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showInkAnnotation="0" autoCompressPictures="0"/>
  <mc:AlternateContent xmlns:mc="http://schemas.openxmlformats.org/markup-compatibility/2006">
    <mc:Choice Requires="x15">
      <x15ac:absPath xmlns:x15ac="http://schemas.microsoft.com/office/spreadsheetml/2010/11/ac" url="https://undp-my.sharepoint.com/personal/caitlin_hannahan_undp_org/Documents/02. UNDP Management/03. FCS PRODOCs /04. PRODOC FCS Budget_Political Engagement 2018 (in process)/"/>
    </mc:Choice>
  </mc:AlternateContent>
  <xr:revisionPtr revIDLastSave="0" documentId="8_{AB03BAE4-7A90-6E47-A98C-0990393543E8}" xr6:coauthVersionLast="44" xr6:coauthVersionMax="44" xr10:uidLastSave="{00000000-0000-0000-0000-000000000000}"/>
  <bookViews>
    <workbookView xWindow="2460" yWindow="880" windowWidth="20740" windowHeight="11160" tabRatio="500" activeTab="2" xr2:uid="{00000000-000D-0000-FFFF-FFFF00000000}"/>
  </bookViews>
  <sheets>
    <sheet name="SUIVI BUDGETAIRE Apui au ST" sheetId="5" r:id="rId1"/>
    <sheet name="Synthese" sheetId="6" r:id="rId2"/>
    <sheet name="budget recapitulatif" sheetId="8" r:id="rId3"/>
  </sheets>
  <definedNames>
    <definedName name="_xlnm._FilterDatabase" localSheetId="2" hidden="1">'budget recapitulatif'!$G$1:$G$27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26" i="5" l="1"/>
  <c r="AG30" i="5"/>
  <c r="E11" i="6"/>
  <c r="C38" i="8"/>
  <c r="C37" i="8"/>
  <c r="C36" i="8"/>
  <c r="C34" i="8"/>
  <c r="C31" i="8"/>
  <c r="C30" i="8"/>
  <c r="B39" i="8"/>
  <c r="B37" i="8"/>
  <c r="B34" i="8"/>
  <c r="B31" i="8"/>
  <c r="B30" i="8"/>
  <c r="B38" i="8"/>
  <c r="B36" i="8"/>
  <c r="G3" i="6" l="1"/>
  <c r="F7" i="6"/>
  <c r="AF23" i="5"/>
  <c r="AJ14" i="5"/>
  <c r="AJ20" i="5"/>
  <c r="AJ22" i="5"/>
  <c r="B24" i="8"/>
  <c r="B19" i="8"/>
  <c r="B12" i="8"/>
  <c r="B9" i="8"/>
  <c r="AH3" i="5"/>
  <c r="B13" i="8" l="1"/>
  <c r="B25" i="8" s="1"/>
  <c r="B26" i="8" s="1"/>
  <c r="B27" i="8" s="1"/>
  <c r="M18" i="5"/>
  <c r="M10" i="5"/>
  <c r="L9" i="5"/>
  <c r="M7" i="5"/>
  <c r="M6" i="5"/>
  <c r="M5" i="5"/>
  <c r="M4" i="5"/>
  <c r="M3" i="5"/>
  <c r="M22" i="5"/>
  <c r="M21" i="5"/>
  <c r="K12" i="5"/>
  <c r="J12" i="5"/>
  <c r="I12" i="5"/>
  <c r="H12" i="5"/>
  <c r="F13" i="5"/>
  <c r="F12" i="5"/>
  <c r="O13" i="5"/>
  <c r="N13" i="5"/>
  <c r="O9" i="5"/>
  <c r="N9" i="5"/>
  <c r="R9" i="5" l="1"/>
  <c r="P9" i="5"/>
  <c r="I19" i="5" l="1"/>
  <c r="H19" i="5"/>
  <c r="D26" i="5"/>
  <c r="D27" i="5" s="1"/>
  <c r="H13" i="5"/>
  <c r="I13" i="5"/>
  <c r="J13" i="5"/>
  <c r="K13" i="5"/>
  <c r="G13" i="5"/>
  <c r="G25" i="5" s="1"/>
  <c r="G24" i="5"/>
  <c r="H24" i="5"/>
  <c r="I24" i="5"/>
  <c r="J24" i="5"/>
  <c r="K24" i="5"/>
  <c r="K25" i="5" s="1"/>
  <c r="F24" i="5"/>
  <c r="F25" i="5" s="1"/>
  <c r="E24" i="5"/>
  <c r="E25" i="5" s="1"/>
  <c r="M23" i="5"/>
  <c r="E26" i="5" l="1"/>
  <c r="E27" i="5" s="1"/>
  <c r="F26" i="5"/>
  <c r="F27" i="5" s="1"/>
  <c r="H25" i="5"/>
  <c r="J25" i="5"/>
  <c r="J26" i="5"/>
  <c r="J27" i="5" s="1"/>
  <c r="I25" i="5"/>
  <c r="I26" i="5" s="1"/>
  <c r="I27" i="5" s="1"/>
  <c r="H26" i="5"/>
  <c r="H27" i="5" s="1"/>
  <c r="G26" i="5"/>
  <c r="G27" i="5" s="1"/>
  <c r="K26" i="5"/>
  <c r="M15" i="5"/>
  <c r="M11" i="5"/>
  <c r="K27" i="5" l="1"/>
  <c r="C9" i="5"/>
  <c r="B3" i="6" s="1"/>
  <c r="U19" i="5"/>
  <c r="T19" i="5"/>
  <c r="T24" i="5" l="1"/>
  <c r="R19" i="5" l="1"/>
  <c r="L19" i="5"/>
  <c r="C19" i="5"/>
  <c r="B7" i="6" s="1"/>
  <c r="Q8" i="5"/>
  <c r="P12" i="5" l="1"/>
  <c r="AF3" i="5" l="1"/>
  <c r="AF4" i="5"/>
  <c r="T9" i="5"/>
  <c r="AE9" i="5"/>
  <c r="AD9" i="5" l="1"/>
  <c r="AC9" i="5"/>
  <c r="AB9" i="5"/>
  <c r="AA9" i="5"/>
  <c r="Z9" i="5"/>
  <c r="Y9" i="5"/>
  <c r="X9" i="5"/>
  <c r="W9" i="5"/>
  <c r="V9" i="5"/>
  <c r="U9" i="5"/>
  <c r="AF8" i="5"/>
  <c r="AG8" i="5" s="1"/>
  <c r="AF21" i="5" l="1"/>
  <c r="AF24" i="5" l="1"/>
  <c r="Q23" i="5"/>
  <c r="S23" i="5" s="1"/>
  <c r="AG23" i="5" s="1"/>
  <c r="AJ23" i="5" s="1"/>
  <c r="E9" i="6" l="1"/>
  <c r="AF18" i="5"/>
  <c r="AF19" i="5" s="1"/>
  <c r="E7" i="6" s="1"/>
  <c r="AF11" i="5"/>
  <c r="AF10" i="5"/>
  <c r="AE12" i="5"/>
  <c r="AE13" i="5" s="1"/>
  <c r="AF7" i="5"/>
  <c r="AF6" i="5"/>
  <c r="AF5" i="5"/>
  <c r="AF9" i="5" l="1"/>
  <c r="E3" i="6" s="1"/>
  <c r="AF12" i="5"/>
  <c r="E4" i="6" s="1"/>
  <c r="E5" i="6" l="1"/>
  <c r="AF13" i="5"/>
  <c r="AF25" i="5" s="1"/>
  <c r="AG14" i="5"/>
  <c r="AG20" i="5"/>
  <c r="R12" i="5"/>
  <c r="R13" i="5" s="1"/>
  <c r="T12" i="5"/>
  <c r="U12" i="5"/>
  <c r="V12" i="5"/>
  <c r="W12" i="5"/>
  <c r="X12" i="5"/>
  <c r="Y12" i="5"/>
  <c r="Z12" i="5"/>
  <c r="AA12" i="5"/>
  <c r="AB12" i="5"/>
  <c r="AC12" i="5"/>
  <c r="AD12" i="5"/>
  <c r="AD13" i="5" s="1"/>
  <c r="V19" i="5"/>
  <c r="W19" i="5"/>
  <c r="X19" i="5"/>
  <c r="Y19" i="5"/>
  <c r="Z19" i="5"/>
  <c r="AA19" i="5"/>
  <c r="AB19" i="5"/>
  <c r="AC19" i="5"/>
  <c r="AD19" i="5"/>
  <c r="AE19" i="5"/>
  <c r="L24" i="5"/>
  <c r="N24" i="5"/>
  <c r="N25" i="5" s="1"/>
  <c r="N27" i="5" s="1"/>
  <c r="O24" i="5"/>
  <c r="O25" i="5" s="1"/>
  <c r="O27" i="5" s="1"/>
  <c r="P24" i="5"/>
  <c r="R24" i="5"/>
  <c r="U24" i="5"/>
  <c r="V24" i="5"/>
  <c r="W24" i="5"/>
  <c r="X24" i="5"/>
  <c r="Y24" i="5"/>
  <c r="Z24" i="5"/>
  <c r="AA24" i="5"/>
  <c r="AB24" i="5"/>
  <c r="AC24" i="5"/>
  <c r="AD24" i="5"/>
  <c r="AE24" i="5"/>
  <c r="C24" i="5"/>
  <c r="B9" i="6" s="1"/>
  <c r="AG25" i="5" l="1"/>
  <c r="E10" i="6"/>
  <c r="F10" i="6" s="1"/>
  <c r="R25" i="5"/>
  <c r="AE25" i="5"/>
  <c r="Q3" i="5"/>
  <c r="T13" i="5"/>
  <c r="T25" i="5" s="1"/>
  <c r="P19" i="5"/>
  <c r="AC13" i="5" l="1"/>
  <c r="AC25" i="5" s="1"/>
  <c r="AC27" i="5" s="1"/>
  <c r="AD25" i="5"/>
  <c r="AD27" i="5" s="1"/>
  <c r="AB13" i="5"/>
  <c r="AB25" i="5" s="1"/>
  <c r="AB27" i="5" s="1"/>
  <c r="P13" i="5"/>
  <c r="P25" i="5" s="1"/>
  <c r="P27" i="5" s="1"/>
  <c r="Z13" i="5" l="1"/>
  <c r="Z25" i="5" s="1"/>
  <c r="Z27" i="5" s="1"/>
  <c r="AA13" i="5"/>
  <c r="AA25" i="5" s="1"/>
  <c r="AA27" i="5" s="1"/>
  <c r="V13" i="5"/>
  <c r="V25" i="5" s="1"/>
  <c r="V27" i="5" s="1"/>
  <c r="W13" i="5"/>
  <c r="W25" i="5" s="1"/>
  <c r="W27" i="5" s="1"/>
  <c r="X13" i="5"/>
  <c r="X25" i="5" s="1"/>
  <c r="X27" i="5" s="1"/>
  <c r="U13" i="5"/>
  <c r="Y13" i="5"/>
  <c r="Y25" i="5" s="1"/>
  <c r="Y27" i="5" s="1"/>
  <c r="AE27" i="5" l="1"/>
  <c r="U25" i="5"/>
  <c r="U27" i="5" s="1"/>
  <c r="T27" i="5"/>
  <c r="Q22" i="5"/>
  <c r="S22" i="5" s="1"/>
  <c r="AG22" i="5" s="1"/>
  <c r="Q21" i="5"/>
  <c r="S21" i="5" s="1"/>
  <c r="AG21" i="5" s="1"/>
  <c r="M24" i="5" l="1"/>
  <c r="AH23" i="5"/>
  <c r="L12" i="5"/>
  <c r="M16" i="5"/>
  <c r="Q16" i="5" s="1"/>
  <c r="S16" i="5" s="1"/>
  <c r="AG16" i="5" s="1"/>
  <c r="M17" i="5"/>
  <c r="Q17" i="5" s="1"/>
  <c r="Q18" i="5"/>
  <c r="Q10" i="5"/>
  <c r="S10" i="5" s="1"/>
  <c r="AG10" i="5" s="1"/>
  <c r="Q11" i="5"/>
  <c r="S11" i="5" s="1"/>
  <c r="AG11" i="5" s="1"/>
  <c r="S3" i="5"/>
  <c r="C12" i="5"/>
  <c r="B4" i="6" s="1"/>
  <c r="B5" i="6" l="1"/>
  <c r="M19" i="5"/>
  <c r="S17" i="5"/>
  <c r="AG17" i="5" s="1"/>
  <c r="Q7" i="5"/>
  <c r="S7" i="5" s="1"/>
  <c r="AG7" i="5" s="1"/>
  <c r="AH7" i="5" s="1"/>
  <c r="AG3" i="5"/>
  <c r="Q6" i="5"/>
  <c r="S6" i="5" s="1"/>
  <c r="AG6" i="5" s="1"/>
  <c r="AH6" i="5" s="1"/>
  <c r="S18" i="5"/>
  <c r="AG18" i="5" s="1"/>
  <c r="AH18" i="5" s="1"/>
  <c r="Q5" i="5"/>
  <c r="S5" i="5" s="1"/>
  <c r="AG5" i="5" s="1"/>
  <c r="AH5" i="5" s="1"/>
  <c r="Q4" i="5"/>
  <c r="M9" i="5"/>
  <c r="Q24" i="5"/>
  <c r="S24" i="5" s="1"/>
  <c r="D9" i="6" s="1"/>
  <c r="Q12" i="5"/>
  <c r="S12" i="5" s="1"/>
  <c r="L13" i="5"/>
  <c r="L25" i="5" s="1"/>
  <c r="AH22" i="5"/>
  <c r="Q15" i="5"/>
  <c r="M12" i="5"/>
  <c r="Q9" i="5" l="1"/>
  <c r="S9" i="5" s="1"/>
  <c r="L26" i="5"/>
  <c r="L27" i="5" s="1"/>
  <c r="AG12" i="5"/>
  <c r="D4" i="6"/>
  <c r="B10" i="6"/>
  <c r="C9" i="6"/>
  <c r="F9" i="6"/>
  <c r="G9" i="6" s="1"/>
  <c r="AG24" i="5"/>
  <c r="AI24" i="5" s="1"/>
  <c r="S4" i="5"/>
  <c r="AG4" i="5" s="1"/>
  <c r="AH4" i="5" s="1"/>
  <c r="Q19" i="5"/>
  <c r="S19" i="5" s="1"/>
  <c r="S15" i="5"/>
  <c r="AG15" i="5" s="1"/>
  <c r="M13" i="5"/>
  <c r="AH17" i="5"/>
  <c r="AH21" i="5"/>
  <c r="AH16" i="5"/>
  <c r="AH10" i="5"/>
  <c r="AH11" i="5"/>
  <c r="Q13" i="5" l="1"/>
  <c r="Q25" i="5" s="1"/>
  <c r="S25" i="5" s="1"/>
  <c r="C10" i="6"/>
  <c r="B11" i="6"/>
  <c r="B12" i="6"/>
  <c r="C12" i="6" s="1"/>
  <c r="G10" i="6"/>
  <c r="I11" i="6" s="1"/>
  <c r="AG19" i="5"/>
  <c r="AI19" i="5" s="1"/>
  <c r="D7" i="6"/>
  <c r="F4" i="6"/>
  <c r="G4" i="6" s="1"/>
  <c r="C4" i="6"/>
  <c r="AG9" i="5"/>
  <c r="AH9" i="5" s="1"/>
  <c r="D3" i="6"/>
  <c r="AH24" i="5"/>
  <c r="S13" i="5" l="1"/>
  <c r="AG13" i="5" s="1"/>
  <c r="AI13" i="5" s="1"/>
  <c r="C3" i="6"/>
  <c r="D5" i="6"/>
  <c r="F3" i="6"/>
  <c r="C7" i="6"/>
  <c r="G7" i="6"/>
  <c r="AH15" i="5"/>
  <c r="M25" i="5"/>
  <c r="C13" i="5"/>
  <c r="AH12" i="5"/>
  <c r="AH13" i="5" l="1"/>
  <c r="F5" i="6"/>
  <c r="G5" i="6" s="1"/>
  <c r="C5" i="6"/>
  <c r="R27" i="5"/>
  <c r="AH19" i="5"/>
  <c r="C25" i="5"/>
  <c r="AI25" i="5" l="1"/>
  <c r="C26" i="5"/>
  <c r="Q26" i="5"/>
  <c r="S26" i="5" s="1"/>
  <c r="D11" i="6" s="1"/>
  <c r="C11" i="6" s="1"/>
  <c r="AH25" i="5"/>
  <c r="S27" i="5" l="1"/>
  <c r="C27" i="5"/>
  <c r="M27" i="5"/>
  <c r="AF27" i="5" l="1"/>
  <c r="AG26" i="5"/>
  <c r="AG27" i="5" s="1"/>
  <c r="Q27" i="5"/>
  <c r="AH27" i="5" l="1"/>
  <c r="AI27" i="5"/>
  <c r="F11" i="6"/>
  <c r="G11" i="6" s="1"/>
  <c r="I12" i="6" s="1"/>
  <c r="E12" i="6"/>
  <c r="F12" i="6" s="1"/>
  <c r="G12" i="6" s="1"/>
  <c r="AH26" i="5"/>
  <c r="AI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tc={697DA5CF-FFBF-415A-B69C-C2CED8818113}</author>
    <author>tc={E1999154-5F5A-4008-93CD-B1838950A15B}</author>
    <author>tc={ACD25321-554F-4033-9EC8-40F8C23B7832}</author>
    <author>tc={D8C7EC16-88E6-456A-9275-5C1B3BD7A020}</author>
    <author>tc={3B613AD7-B812-48D3-BE07-EA4028F21742}</author>
    <author>tc={247A95C6-4886-4BF7-A889-DE47F823D549}</author>
    <author>tc={92DB4EFE-41FF-435E-95EF-BA452B0B7E91}</author>
    <author>tc={470E4B31-0797-44EE-8EC4-6C67BB60C575}</author>
    <author>tc={512ECFB2-5282-43C1-8D73-BA0D61589CD1}</author>
    <author>tc={9AE382AB-256A-4F4C-9A1A-62FE0520E9EC}</author>
    <author>tc={B646111A-8F47-4626-9051-6CACAAB5E910}</author>
    <author>tc={0AE850CB-4A2B-4021-BD4B-6A684216DB52}</author>
    <author>tc={549432F7-E92B-4B82-B2C3-BFA6CEA40536}</author>
    <author>tc={A50BBD7D-4586-405C-9546-CB0DC34FED01}</author>
    <author>tc={ECAF1CAE-25C8-42F0-85EC-6783A04EFA1F}</author>
    <author>tc={FAEA4E70-58ED-491B-A72E-B4D0B0BE33B7}</author>
    <author>tc={2FB783F5-7923-460E-91D6-DDA03C92888C}</author>
  </authors>
  <commentList>
    <comment ref="O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Mission Djugu conflict analysis  Aurelien+Famba</t>
      </text>
    </comment>
    <comment ref="B8"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Ligne budgetaire additionnelle pour assurer les descentes terrain de la SSU que le budget MONUSCO ne peut couvrir et liees directment au management du FCS</t>
      </text>
    </comment>
    <comment ref="B15"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Change to: Campagne d'information communautaires (information/mobilisation)</t>
      </text>
    </comment>
    <comment ref="AF15"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les campagnes d'information communautaires seront plannifiees dans le temps une fois le budget aprouve</t>
      </text>
    </comment>
    <comment ref="AG15" authorId="4"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If the FRPI process goes as planned, we will need these funds to assure PTS can accompany the process (as in go to the field and sensitize where needed and possibly get key messages diffused on community radios).</t>
      </text>
    </comment>
    <comment ref="B16" authorId="5" shapeId="0" xr:uid="{00000000-0006-0000-0000-000006000000}">
      <text>
        <t>[Threaded comment]
Your version of Excel allows you to read this threaded comment; however, any edits to it will get removed if the file is opened in a newer version of Excel. Learn more: https://go.microsoft.com/fwlink/?linkid=870924
Comment:
    change to: Frais forfaitaire production de matériel de communication et de visibilite</t>
      </text>
    </comment>
    <comment ref="AF16" authorId="6" shapeId="0" xr:uid="{00000000-0006-0000-0000-000007000000}">
      <text>
        <t>[Threaded comment]
Your version of Excel allows you to read this threaded comment; however, any edits to it will get removed if the file is opened in a newer version of Excel. Learn more: https://go.microsoft.com/fwlink/?linkid=870924
Comment:
    L'utilisation du budget sera determine lors de l'atelier de Juin avec tous les pints focaux communication et depnese dans l'annee selon cette decision collective.</t>
      </text>
    </comment>
    <comment ref="AG16" authorId="7" shapeId="0" xr:uid="{00000000-0006-0000-0000-000008000000}">
      <text>
        <t>[Threaded comment]
Your version of Excel allows you to read this threaded comment; however, any edits to it will get removed if the file is opened in a newer version of Excel. Learn more: https://go.microsoft.com/fwlink/?linkid=870924
Comment:
    To print ISSSS anual report and get additional visibility items for ISSSS</t>
      </text>
    </comment>
    <comment ref="B17" authorId="8" shapeId="0" xr:uid="{00000000-0006-0000-0000-000009000000}">
      <text>
        <t>[Threaded comment]
Your version of Excel allows you to read this threaded comment; however, any edits to it will get removed if the file is opened in a newer version of Excel. Learn more: https://go.microsoft.com/fwlink/?linkid=870924
Comment:
    change to: Prise en charge STAREC: mission "communication"</t>
      </text>
    </comment>
    <comment ref="P17" authorId="9" shapeId="0" xr:uid="{00000000-0006-0000-0000-00000A000000}">
      <text>
        <t>[Threaded comment]
Your version of Excel allows you to read this threaded comment; however, any edits to it will get removed if the file is opened in a newer version of Excel. Learn more: https://go.microsoft.com/fwlink/?linkid=870924
Comment:
    7 nights Bunia Gama support Comms focal point in Bunia on communiaction plan for futur FRPI DDR process</t>
      </text>
    </comment>
    <comment ref="R17" authorId="10" shapeId="0" xr:uid="{00000000-0006-0000-0000-00000B000000}">
      <text>
        <t>[Threaded comment]
Your version of Excel allows you to read this threaded comment; however, any edits to it will get removed if the file is opened in a newer version of Excel. Learn more: https://go.microsoft.com/fwlink/?linkid=870924
Comment:
    Jackson 5 nights Kitshanga (M&amp;E visit/press visit)</t>
      </text>
    </comment>
    <comment ref="AG17" authorId="11" shapeId="0" xr:uid="{00000000-0006-0000-0000-00000C000000}">
      <text>
        <t>[Threaded comment]
Your version of Excel allows you to read this threaded comment; however, any edits to it will get removed if the file is opened in a newer version of Excel. Learn more: https://go.microsoft.com/fwlink/?linkid=870924
Comment:
    For STAREC focal points in all provinces to go on all the monitoring missions to document.</t>
      </text>
    </comment>
    <comment ref="B18" authorId="12" shapeId="0" xr:uid="{00000000-0006-0000-0000-00000D000000}">
      <text>
        <t>[Threaded comment]
Your version of Excel allows you to read this threaded comment; however, any edits to it will get removed if the file is opened in a newer version of Excel. Learn more: https://go.microsoft.com/fwlink/?linkid=870924
Comment:
    change to: forfait atelier en communication strategique</t>
      </text>
    </comment>
    <comment ref="U18" authorId="13" shapeId="0" xr:uid="{00000000-0006-0000-0000-00000E000000}">
      <text>
        <t>[Threaded comment]
Your version of Excel allows you to read this threaded comment; however, any edits to it will get removed if the file is opened in a newer version of Excel. Learn more: https://go.microsoft.com/fwlink/?linkid=870924
Comment:
    Atelier de communication avec tous els poitns focaux communication du STAREC plannifie initialement en avril mais decale a Juin faute de place sur vol MONUSCO. budget double par rapport a celui planifie en 2018-2019 pour assurer 2 jours datelier au lieu de 1 juge trop court.</t>
      </text>
    </comment>
    <comment ref="AG18" authorId="14" shapeId="0" xr:uid="{00000000-0006-0000-0000-00000F000000}">
      <text>
        <t>[Threaded comment]
Your version of Excel allows you to read this threaded comment; however, any edits to it will get removed if the file is opened in a newer version of Excel. Learn more: https://go.microsoft.com/fwlink/?linkid=870924
Comment:
    Additonal funds required so the event can be 2 days long and have the option to hold it in Kinshasa.</t>
      </text>
    </comment>
    <comment ref="B22" authorId="15" shapeId="0" xr:uid="{00000000-0006-0000-0000-000010000000}">
      <text>
        <t>[Threaded comment]
Your version of Excel allows you to read this threaded comment; however, any edits to it will get removed if the file is opened in a newer version of Excel. Learn more: https://go.microsoft.com/fwlink/?linkid=870924
Comment:
    Organisation de deux retraites STAREC – UAS avant fin  2019 : Mise au point sur la conduite des activités de stabilisation par le tandem STAREC-UAS. Debut 2020 : Partage de la vision des nouvelles autorités sur la STABILISATION et orientations.</t>
      </text>
    </comment>
    <comment ref="AG22" authorId="16" shapeId="0" xr:uid="{00000000-0006-0000-0000-000011000000}">
      <text>
        <t>[Threaded comment]
Your version of Excel allows you to read this threaded comment; however, any edits to it will get removed if the file is opened in a newer version of Excel. Learn more: https://go.microsoft.com/fwlink/?linkid=870924
Comment:
    2 retraites STAREC-UAS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tc={012ED103-0D91-A54C-A6E0-F30C8C7A84DA}</author>
    <author>tc={5F95612D-2DD7-2D41-90DA-F2BAA627F7F2}</author>
    <author>tc={2597F35F-8D7C-3C4E-9041-3AD5A7B21D7A}</author>
    <author>tc={2E556ABA-0B33-C245-82E5-FBF3C81F58C4}</author>
    <author>tc={E49154CF-0B1A-8648-82A9-FF83DA8B8430}</author>
    <author>tc={733B1A19-EBCD-DF42-82F8-926C940D300F}</author>
  </authors>
  <commentList>
    <comment ref="A8" authorId="0" shapeId="0" xr:uid="{012ED103-0D91-A54C-A6E0-F30C8C7A84DA}">
      <text>
        <t>[Threaded comment]
Your version of Excel allows you to read this threaded comment; however, any edits to it will get removed if the file is opened in a newer version of Excel. Learn more: https://go.microsoft.com/fwlink/?linkid=870924
Comment:
    Ligne budgetaire additionnelle pour assurer les descentes terrain de la SSU que le budget MONUSCO ne peut couvrir et liees directment au management du FCS</t>
      </text>
    </comment>
    <comment ref="A15" authorId="1" shapeId="0" xr:uid="{5F95612D-2DD7-2D41-90DA-F2BAA627F7F2}">
      <text>
        <t>[Threaded comment]
Your version of Excel allows you to read this threaded comment; however, any edits to it will get removed if the file is opened in a newer version of Excel. Learn more: https://go.microsoft.com/fwlink/?linkid=870924
Comment:
    Change to: Campagne d'information communautaires (information/mobilisation)</t>
      </text>
    </comment>
    <comment ref="A16" authorId="2" shapeId="0" xr:uid="{2597F35F-8D7C-3C4E-9041-3AD5A7B21D7A}">
      <text>
        <t>[Threaded comment]
Your version of Excel allows you to read this threaded comment; however, any edits to it will get removed if the file is opened in a newer version of Excel. Learn more: https://go.microsoft.com/fwlink/?linkid=870924
Comment:
    change to: Frais forfaitaire production de matériel de communication et de visibilite</t>
      </text>
    </comment>
    <comment ref="A17" authorId="3" shapeId="0" xr:uid="{2E556ABA-0B33-C245-82E5-FBF3C81F58C4}">
      <text>
        <t>[Threaded comment]
Your version of Excel allows you to read this threaded comment; however, any edits to it will get removed if the file is opened in a newer version of Excel. Learn more: https://go.microsoft.com/fwlink/?linkid=870924
Comment:
    change to: Prise en charge STAREC: mission "communication"</t>
      </text>
    </comment>
    <comment ref="A18" authorId="4" shapeId="0" xr:uid="{E49154CF-0B1A-8648-82A9-FF83DA8B8430}">
      <text>
        <t>[Threaded comment]
Your version of Excel allows you to read this threaded comment; however, any edits to it will get removed if the file is opened in a newer version of Excel. Learn more: https://go.microsoft.com/fwlink/?linkid=870924
Comment:
    change to: forfait atelier en communication strategique</t>
      </text>
    </comment>
    <comment ref="A22" authorId="5" shapeId="0" xr:uid="{733B1A19-EBCD-DF42-82F8-926C940D300F}">
      <text>
        <t>[Threaded comment]
Your version of Excel allows you to read this threaded comment; however, any edits to it will get removed if the file is opened in a newer version of Excel. Learn more: https://go.microsoft.com/fwlink/?linkid=870924
Comment:
    Organisation de deux retraites STAREC – UAS avant fin  2019 : Mise au point sur la conduite des activités de stabilisation par le tandem STAREC-UAS. Debut 2020 : Partage de la vision des nouvelles autorités sur la STABILISATION et orientations.</t>
      </text>
    </comment>
  </commentList>
</comments>
</file>

<file path=xl/sharedStrings.xml><?xml version="1.0" encoding="utf-8"?>
<sst xmlns="http://schemas.openxmlformats.org/spreadsheetml/2006/main" count="146" uniqueCount="93">
  <si>
    <t>Intitulé</t>
  </si>
  <si>
    <t>Objectif spécifique 1</t>
  </si>
  <si>
    <t>Sous-total OS1</t>
  </si>
  <si>
    <t>Salaire Assistant technique national</t>
  </si>
  <si>
    <t>Campagnes d'info communautaires annuelles (information/mobilisation)</t>
  </si>
  <si>
    <t>Prise en charge STAREC: mission de suivi sur le terrain</t>
  </si>
  <si>
    <t>Frais de mission assistant technique Sud Kivu</t>
  </si>
  <si>
    <t>Frais de mission assistant technique Ituri</t>
  </si>
  <si>
    <t>Frais de mission assistant technique Kinshasa</t>
  </si>
  <si>
    <t>Frais de facilitation pour les membres des Groupes restreints Ituri, SK et NK</t>
  </si>
  <si>
    <t>Ateliers des 3 Groupes de travail restreints en Ituri, SK et NK (3X/an)</t>
  </si>
  <si>
    <t>Frais de mission assistant technique NK (Beni-Kitshanga)</t>
  </si>
  <si>
    <t>Frais forfaitaire production de matériel de communication</t>
  </si>
  <si>
    <t>Prise en charge STAREC: mission "communication" (collecte et production)</t>
  </si>
  <si>
    <t xml:space="preserve">Forfait formation STAREC en communication stratégique </t>
  </si>
  <si>
    <t>Objectif spécifique 2</t>
  </si>
  <si>
    <t>Objectif spécifique 3</t>
  </si>
  <si>
    <t xml:space="preserve">Couts de support operationnel STAREC (telephone + internet pour 5 bureaux) </t>
  </si>
  <si>
    <t>SOLDE</t>
  </si>
  <si>
    <t>%</t>
  </si>
  <si>
    <t>Solde au 31/12/2018</t>
  </si>
  <si>
    <t>janvier 2019</t>
  </si>
  <si>
    <t>fevrier 2019</t>
  </si>
  <si>
    <t>mars 2019</t>
  </si>
  <si>
    <t>avril 2019</t>
  </si>
  <si>
    <t>mai 2019</t>
  </si>
  <si>
    <t>juin 2019</t>
  </si>
  <si>
    <t>juillet 2019</t>
  </si>
  <si>
    <t>aout 2019</t>
  </si>
  <si>
    <t>septembre 2019</t>
  </si>
  <si>
    <t>octobre 2019</t>
  </si>
  <si>
    <t>novembre 2019</t>
  </si>
  <si>
    <t>decembre 2019</t>
  </si>
  <si>
    <t xml:space="preserve">Total </t>
  </si>
  <si>
    <t>Solde au 31/03/2019</t>
  </si>
  <si>
    <t>janvier 2020</t>
  </si>
  <si>
    <t>fevrier 2020</t>
  </si>
  <si>
    <t>mars 2020</t>
  </si>
  <si>
    <t>avril 2020</t>
  </si>
  <si>
    <t>Solde au 30/04/2019</t>
  </si>
  <si>
    <t xml:space="preserve">Formation des équipes du STAREC (province et national) en gestion projets </t>
  </si>
  <si>
    <t>5701,60</t>
  </si>
  <si>
    <t>Frais de mission UAS en appui au FCS (M&amp;E, Visite bailleurs, engagement Politique)</t>
  </si>
  <si>
    <t>Budget approuve 2018-2019</t>
  </si>
  <si>
    <t>Budget total  May 2019 - April 2020</t>
  </si>
  <si>
    <t>Requete de fonds additionnels  May 2019 - 2020</t>
  </si>
  <si>
    <t>Budget consomme 2018-2019</t>
  </si>
  <si>
    <t>Budget plannifie Mai 2019-2020</t>
  </si>
  <si>
    <t>Extension Budgetaire demandee 2019-2020</t>
  </si>
  <si>
    <t>Sous total Assitant technique ( B3+B4+B5+B6+B7+B8)</t>
  </si>
  <si>
    <t>Sous total Groupe engagement politique et frais de facilitation (B10+B111)</t>
  </si>
  <si>
    <t>Sous-total OS2 (B15+B16+B17+B18)</t>
  </si>
  <si>
    <t>Sous-total OS3 (B21+B22+B23)</t>
  </si>
  <si>
    <t>TOTAL GENERAL  (B13+B19+B24)</t>
  </si>
  <si>
    <t>Cout GMS 7% de B25</t>
  </si>
  <si>
    <t xml:space="preserve">Sous total Assitant technique </t>
  </si>
  <si>
    <t xml:space="preserve">Sous total Groupe engagement politique et frais de facilitation </t>
  </si>
  <si>
    <t xml:space="preserve">Sous-total OS2 </t>
  </si>
  <si>
    <t xml:space="preserve">Sous-total OS3 </t>
  </si>
  <si>
    <t xml:space="preserve">Cout GMS 7% </t>
  </si>
  <si>
    <t xml:space="preserve">Intitulé </t>
  </si>
  <si>
    <t>Sous-total OS1 (A3+A4)</t>
  </si>
  <si>
    <t>TOTAL GENERAL  (A5+A7+A9)</t>
  </si>
  <si>
    <t>Budget Total 2018-2020</t>
  </si>
  <si>
    <t xml:space="preserve">Verification: </t>
  </si>
  <si>
    <t>decembre 2018</t>
  </si>
  <si>
    <t>novembre 2018</t>
  </si>
  <si>
    <t>octobre 2018</t>
  </si>
  <si>
    <t>septembre 2018</t>
  </si>
  <si>
    <t>aout 2018</t>
  </si>
  <si>
    <t>juillet 2018</t>
  </si>
  <si>
    <t>juin 2018</t>
  </si>
  <si>
    <t>mai 2018</t>
  </si>
  <si>
    <t>avril 2018</t>
  </si>
  <si>
    <t xml:space="preserve"> % </t>
  </si>
  <si>
    <t xml:space="preserve">                          -  </t>
  </si>
  <si>
    <t xml:space="preserve">categorie de depense </t>
  </si>
  <si>
    <t>1. Personnel et autres employés</t>
  </si>
  <si>
    <t xml:space="preserve">5. Frais de déplacement </t>
  </si>
  <si>
    <t xml:space="preserve">correction </t>
  </si>
  <si>
    <t>2. Fournitures, produits de base, matériels</t>
  </si>
  <si>
    <t>7. Frais généraux de fonctionnement et autres coûts directs</t>
  </si>
  <si>
    <t>8. Coûts indirects*</t>
  </si>
  <si>
    <t xml:space="preserve"> Requet des fonds additionnels</t>
  </si>
  <si>
    <t>Catégories de dépense</t>
  </si>
  <si>
    <t>3. Équipement, véhicules et mobilier (compte tenu de la dépréciation)</t>
  </si>
  <si>
    <t>4. Services contractuels</t>
  </si>
  <si>
    <t>5. Frais de déplacement</t>
  </si>
  <si>
    <t>6. Transferts et subventions aux homologues</t>
  </si>
  <si>
    <t>Sous-total</t>
  </si>
  <si>
    <t>TOTAL</t>
  </si>
  <si>
    <t>pourcentage</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</si>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</sst>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00\ _€_-;\-* #,##0.00\ _€_-;_-* &quot;-&quot;??\ _€_-;_-@_-"/>
    <numFmt numFmtId="170" formatCode="0.0%"/>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b/>
      <sz val="12"/>
      <color rgb="FFFF0000"/>
      <name val="Calibri"/>
      <family val="2"/>
      <scheme val="minor"/>
    </font>
    <font>
      <b/>
      <sz val="10"/>
      <color rgb="FF000000"/>
      <name val="Times New Roman"/>
      <family val="1"/>
    </font>
    <font>
      <sz val="10"/>
      <color rgb="FF000000"/>
      <name val="Tahoma"/>
      <family val="2"/>
    </font>
    <font>
      <sz val="12"/>
      <color rgb="FF000000"/>
      <name val="Calibri"/>
      <family val="2"/>
      <scheme val="minor"/>
    </font>
    <font>
      <b/>
      <sz val="10"/>
      <color theme="1"/>
      <name val="Times New Roman"/>
      <family val="1"/>
    </font>
    <font>
      <b/>
      <sz val="9"/>
      <color rgb="FF000000"/>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0070C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2F2F2"/>
        <bgColor rgb="FF000000"/>
      </patternFill>
    </fill>
    <fill>
      <patternFill patternType="solid">
        <fgColor rgb="FF4F81BD"/>
        <bgColor rgb="FF000000"/>
      </patternFill>
    </fill>
    <fill>
      <patternFill patternType="solid">
        <fgColor rgb="FFDAEEF3"/>
        <bgColor rgb="FF000000"/>
      </patternFill>
    </fill>
    <fill>
      <patternFill patternType="solid">
        <fgColor rgb="FFFFFFFF"/>
        <bgColor rgb="FF000000"/>
      </patternFill>
    </fill>
    <fill>
      <patternFill patternType="solid">
        <fgColor rgb="FFC5D9F1"/>
        <bgColor rgb="FF000000"/>
      </patternFill>
    </fill>
    <fill>
      <patternFill patternType="solid">
        <fgColor rgb="FF0070C0"/>
        <bgColor rgb="FF000000"/>
      </patternFill>
    </fill>
    <fill>
      <patternFill patternType="solid">
        <fgColor rgb="FFC4D79B"/>
        <bgColor rgb="FF000000"/>
      </patternFill>
    </fill>
    <fill>
      <patternFill patternType="solid">
        <fgColor rgb="FF92D050"/>
        <bgColor rgb="FF000000"/>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s>
  <cellStyleXfs count="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43" fontId="6" fillId="0" borderId="1" xfId="25" applyFont="1" applyBorder="1" applyAlignment="1">
      <alignment horizontal="left" wrapText="1"/>
    </xf>
    <xf numFmtId="43" fontId="6" fillId="0" borderId="1" xfId="25" applyFont="1" applyBorder="1" applyAlignment="1">
      <alignment wrapText="1"/>
    </xf>
    <xf numFmtId="44" fontId="0" fillId="4" borderId="0" xfId="33" applyFont="1" applyFill="1"/>
    <xf numFmtId="0" fontId="4" fillId="0" borderId="0" xfId="0" applyFont="1"/>
    <xf numFmtId="43" fontId="7" fillId="8" borderId="1" xfId="25" applyFont="1" applyFill="1" applyBorder="1" applyAlignment="1">
      <alignment wrapText="1"/>
    </xf>
    <xf numFmtId="44" fontId="6" fillId="10" borderId="1" xfId="33" applyFont="1" applyFill="1" applyBorder="1"/>
    <xf numFmtId="43" fontId="6" fillId="12" borderId="1" xfId="25" applyFont="1" applyFill="1" applyBorder="1" applyAlignment="1">
      <alignment horizontal="left" wrapText="1"/>
    </xf>
    <xf numFmtId="44" fontId="6" fillId="12" borderId="1" xfId="33" applyFont="1" applyFill="1" applyBorder="1" applyAlignment="1">
      <alignment horizontal="left" wrapText="1"/>
    </xf>
    <xf numFmtId="44" fontId="6" fillId="13" borderId="1" xfId="33" applyFont="1" applyFill="1" applyBorder="1"/>
    <xf numFmtId="43" fontId="8" fillId="3" borderId="1" xfId="25" applyFont="1" applyFill="1" applyBorder="1" applyAlignment="1">
      <alignment horizontal="left" wrapText="1"/>
    </xf>
    <xf numFmtId="44" fontId="7" fillId="3" borderId="1" xfId="33" applyFont="1" applyFill="1" applyBorder="1" applyAlignment="1">
      <alignment horizontal="left" wrapText="1"/>
    </xf>
    <xf numFmtId="44" fontId="7" fillId="3" borderId="1" xfId="33" applyFont="1" applyFill="1" applyBorder="1" applyAlignment="1">
      <alignment horizontal="center"/>
    </xf>
    <xf numFmtId="43" fontId="6" fillId="0" borderId="1" xfId="35" applyFont="1" applyBorder="1" applyAlignment="1">
      <alignment horizontal="left" wrapText="1"/>
    </xf>
    <xf numFmtId="43" fontId="8" fillId="3" borderId="1" xfId="25" applyFont="1" applyFill="1" applyBorder="1" applyAlignment="1">
      <alignment horizontal="left"/>
    </xf>
    <xf numFmtId="43" fontId="8" fillId="11" borderId="1" xfId="25" applyFont="1" applyFill="1" applyBorder="1" applyAlignment="1">
      <alignment horizontal="left" wrapText="1"/>
    </xf>
    <xf numFmtId="44" fontId="7" fillId="11" borderId="1" xfId="33" applyFont="1" applyFill="1" applyBorder="1" applyAlignment="1">
      <alignment horizontal="center"/>
    </xf>
    <xf numFmtId="44" fontId="6" fillId="11" borderId="1" xfId="33" applyFont="1" applyFill="1" applyBorder="1"/>
    <xf numFmtId="44" fontId="7" fillId="8" borderId="1" xfId="33" applyFont="1" applyFill="1" applyBorder="1" applyAlignment="1">
      <alignment horizontal="center"/>
    </xf>
    <xf numFmtId="44" fontId="0" fillId="0" borderId="0" xfId="0" applyNumberFormat="1"/>
    <xf numFmtId="44" fontId="4" fillId="0" borderId="0" xfId="0" applyNumberFormat="1" applyFont="1"/>
    <xf numFmtId="43" fontId="7" fillId="10" borderId="1" xfId="25" applyFont="1" applyFill="1" applyBorder="1"/>
    <xf numFmtId="43" fontId="7" fillId="3" borderId="1" xfId="25" applyFont="1" applyFill="1" applyBorder="1" applyAlignment="1">
      <alignment horizontal="left" wrapText="1"/>
    </xf>
    <xf numFmtId="44" fontId="7" fillId="2" borderId="1" xfId="33" applyFont="1" applyFill="1" applyBorder="1" applyAlignment="1">
      <alignment horizontal="center" vertical="center" wrapText="1"/>
    </xf>
    <xf numFmtId="1" fontId="7" fillId="2" borderId="1" xfId="25" applyNumberFormat="1" applyFont="1" applyFill="1" applyBorder="1" applyAlignment="1">
      <alignment horizontal="center" vertical="center" wrapText="1"/>
    </xf>
    <xf numFmtId="43" fontId="7" fillId="2" borderId="1" xfId="25" applyFont="1" applyFill="1" applyBorder="1" applyAlignment="1">
      <alignment horizontal="center" vertical="center" wrapText="1"/>
    </xf>
    <xf numFmtId="44" fontId="7" fillId="7" borderId="1" xfId="33" applyFont="1" applyFill="1" applyBorder="1" applyAlignment="1">
      <alignment horizontal="center" vertical="center" wrapText="1"/>
    </xf>
    <xf numFmtId="43" fontId="7" fillId="2" borderId="1" xfId="25" applyFont="1" applyFill="1" applyBorder="1" applyAlignment="1">
      <alignment horizontal="center" vertical="center"/>
    </xf>
    <xf numFmtId="44" fontId="7" fillId="9" borderId="1" xfId="33" applyFont="1" applyFill="1" applyBorder="1" applyAlignment="1">
      <alignment horizontal="center" vertical="center" wrapText="1"/>
    </xf>
    <xf numFmtId="0" fontId="4" fillId="0" borderId="0" xfId="0" applyFont="1" applyAlignment="1">
      <alignment horizontal="center" vertical="center"/>
    </xf>
    <xf numFmtId="0" fontId="7" fillId="2" borderId="1" xfId="33" applyNumberFormat="1" applyFont="1" applyFill="1" applyBorder="1" applyAlignment="1">
      <alignment horizontal="center" vertical="center" wrapText="1"/>
    </xf>
    <xf numFmtId="0" fontId="0" fillId="10" borderId="1" xfId="0" applyFill="1" applyBorder="1"/>
    <xf numFmtId="44" fontId="0" fillId="11" borderId="1" xfId="0" applyNumberFormat="1" applyFill="1" applyBorder="1"/>
    <xf numFmtId="44" fontId="0" fillId="14" borderId="1" xfId="0" applyNumberFormat="1" applyFill="1" applyBorder="1"/>
    <xf numFmtId="43" fontId="6" fillId="13" borderId="1" xfId="25" applyFont="1" applyFill="1" applyBorder="1" applyAlignment="1">
      <alignment horizontal="left" wrapText="1"/>
    </xf>
    <xf numFmtId="44" fontId="6" fillId="13" borderId="1" xfId="33" applyFont="1" applyFill="1" applyBorder="1" applyAlignment="1">
      <alignment horizontal="left" wrapText="1"/>
    </xf>
    <xf numFmtId="44" fontId="0" fillId="13" borderId="1" xfId="0" applyNumberFormat="1" applyFill="1" applyBorder="1"/>
    <xf numFmtId="0" fontId="4" fillId="0" borderId="1" xfId="0" applyFont="1" applyBorder="1" applyAlignment="1">
      <alignment horizontal="center" vertical="center" wrapText="1"/>
    </xf>
    <xf numFmtId="0" fontId="4" fillId="10" borderId="1" xfId="0" applyFont="1" applyFill="1" applyBorder="1"/>
    <xf numFmtId="44" fontId="4" fillId="13" borderId="1" xfId="0" applyNumberFormat="1" applyFont="1" applyFill="1" applyBorder="1"/>
    <xf numFmtId="44" fontId="4" fillId="3" borderId="1" xfId="0" applyNumberFormat="1" applyFont="1" applyFill="1" applyBorder="1"/>
    <xf numFmtId="44" fontId="4" fillId="11" borderId="1" xfId="0" applyNumberFormat="1" applyFont="1" applyFill="1" applyBorder="1"/>
    <xf numFmtId="44" fontId="4" fillId="8" borderId="1" xfId="0" applyNumberFormat="1" applyFont="1" applyFill="1" applyBorder="1"/>
    <xf numFmtId="44" fontId="9" fillId="8" borderId="1" xfId="0" applyNumberFormat="1" applyFont="1" applyFill="1" applyBorder="1"/>
    <xf numFmtId="44" fontId="4" fillId="15" borderId="1" xfId="0" applyNumberFormat="1" applyFont="1" applyFill="1" applyBorder="1"/>
    <xf numFmtId="0" fontId="0" fillId="0" borderId="0" xfId="0" applyAlignment="1">
      <alignment wrapText="1"/>
    </xf>
    <xf numFmtId="0" fontId="4" fillId="0" borderId="0" xfId="0" applyFont="1" applyAlignment="1">
      <alignment horizontal="center" vertical="center" wrapText="1"/>
    </xf>
    <xf numFmtId="43" fontId="7" fillId="10" borderId="1" xfId="25" applyFont="1" applyFill="1" applyBorder="1" applyAlignment="1">
      <alignment wrapText="1"/>
    </xf>
    <xf numFmtId="44" fontId="6" fillId="10" borderId="1" xfId="33" applyFont="1" applyFill="1" applyBorder="1" applyAlignment="1">
      <alignment wrapText="1"/>
    </xf>
    <xf numFmtId="43" fontId="6" fillId="10" borderId="1" xfId="25" applyFont="1" applyFill="1" applyBorder="1" applyAlignment="1">
      <alignment wrapText="1"/>
    </xf>
    <xf numFmtId="0" fontId="6" fillId="10" borderId="1" xfId="0" applyFont="1" applyFill="1" applyBorder="1" applyAlignment="1">
      <alignment wrapText="1"/>
    </xf>
    <xf numFmtId="164" fontId="7" fillId="10" borderId="1" xfId="0" applyNumberFormat="1" applyFont="1" applyFill="1" applyBorder="1" applyAlignment="1">
      <alignment wrapText="1"/>
    </xf>
    <xf numFmtId="44" fontId="6" fillId="0" borderId="1" xfId="33" applyFont="1" applyBorder="1" applyAlignment="1">
      <alignment wrapText="1"/>
    </xf>
    <xf numFmtId="44" fontId="6" fillId="0" borderId="1" xfId="33" applyFont="1" applyBorder="1" applyAlignment="1">
      <alignment horizontal="center" wrapText="1"/>
    </xf>
    <xf numFmtId="43" fontId="6" fillId="0" borderId="1" xfId="25" applyFont="1" applyBorder="1" applyAlignment="1">
      <alignment horizontal="center" wrapText="1"/>
    </xf>
    <xf numFmtId="164" fontId="6" fillId="0" borderId="1" xfId="25" applyNumberFormat="1" applyFont="1" applyBorder="1" applyAlignment="1">
      <alignment horizontal="center" wrapText="1"/>
    </xf>
    <xf numFmtId="44" fontId="6" fillId="4" borderId="1" xfId="33" applyFont="1" applyFill="1" applyBorder="1" applyAlignment="1">
      <alignment horizontal="center" wrapText="1"/>
    </xf>
    <xf numFmtId="44" fontId="6" fillId="7" borderId="1" xfId="33" applyFont="1" applyFill="1" applyBorder="1" applyAlignment="1">
      <alignment horizontal="center" wrapText="1"/>
    </xf>
    <xf numFmtId="44" fontId="6" fillId="6" borderId="1" xfId="0" applyNumberFormat="1" applyFont="1" applyFill="1" applyBorder="1" applyAlignment="1">
      <alignment wrapText="1"/>
    </xf>
    <xf numFmtId="9" fontId="6" fillId="0" borderId="1" xfId="26" applyFont="1" applyBorder="1" applyAlignment="1">
      <alignment wrapText="1"/>
    </xf>
    <xf numFmtId="9" fontId="6" fillId="4" borderId="1" xfId="26" applyFont="1" applyFill="1" applyBorder="1" applyAlignment="1">
      <alignment wrapText="1"/>
    </xf>
    <xf numFmtId="164" fontId="6" fillId="0" borderId="1" xfId="35" applyNumberFormat="1" applyFont="1" applyBorder="1" applyAlignment="1">
      <alignment horizontal="center" wrapText="1"/>
    </xf>
    <xf numFmtId="44" fontId="0" fillId="0" borderId="0" xfId="0" applyNumberFormat="1" applyAlignment="1">
      <alignment wrapText="1"/>
    </xf>
    <xf numFmtId="44" fontId="6" fillId="12" borderId="1" xfId="33" applyFont="1" applyFill="1" applyBorder="1" applyAlignment="1">
      <alignment horizontal="center" wrapText="1"/>
    </xf>
    <xf numFmtId="44" fontId="6" fillId="12" borderId="1" xfId="33" applyFont="1" applyFill="1" applyBorder="1" applyAlignment="1">
      <alignment wrapText="1"/>
    </xf>
    <xf numFmtId="44" fontId="6" fillId="13" borderId="1" xfId="0" applyNumberFormat="1" applyFont="1" applyFill="1" applyBorder="1" applyAlignment="1">
      <alignment wrapText="1"/>
    </xf>
    <xf numFmtId="9" fontId="6" fillId="13" borderId="1" xfId="26" applyFont="1" applyFill="1" applyBorder="1" applyAlignment="1">
      <alignment wrapText="1"/>
    </xf>
    <xf numFmtId="164" fontId="6" fillId="4" borderId="1" xfId="25" applyNumberFormat="1" applyFont="1" applyFill="1" applyBorder="1" applyAlignment="1">
      <alignment horizontal="center" wrapText="1"/>
    </xf>
    <xf numFmtId="44" fontId="6" fillId="13" borderId="1" xfId="33" applyFont="1" applyFill="1" applyBorder="1" applyAlignment="1">
      <alignment wrapText="1"/>
    </xf>
    <xf numFmtId="44" fontId="7" fillId="3" borderId="1" xfId="33" applyFont="1" applyFill="1" applyBorder="1" applyAlignment="1">
      <alignment horizontal="center" wrapText="1"/>
    </xf>
    <xf numFmtId="44" fontId="7" fillId="3" borderId="1" xfId="33" applyFont="1" applyFill="1" applyBorder="1" applyAlignment="1">
      <alignment wrapText="1"/>
    </xf>
    <xf numFmtId="44" fontId="7" fillId="4" borderId="1" xfId="33" applyFont="1" applyFill="1" applyBorder="1" applyAlignment="1">
      <alignment horizontal="center" wrapText="1"/>
    </xf>
    <xf numFmtId="44" fontId="6" fillId="2" borderId="1" xfId="0" applyNumberFormat="1" applyFont="1" applyFill="1" applyBorder="1" applyAlignment="1">
      <alignment wrapText="1"/>
    </xf>
    <xf numFmtId="44" fontId="7" fillId="9" borderId="1" xfId="33" applyFont="1" applyFill="1" applyBorder="1" applyAlignment="1">
      <alignment wrapText="1"/>
    </xf>
    <xf numFmtId="44" fontId="4" fillId="0" borderId="0" xfId="0" applyNumberFormat="1" applyFont="1" applyAlignment="1">
      <alignment wrapText="1"/>
    </xf>
    <xf numFmtId="0" fontId="4" fillId="0" borderId="0" xfId="0" applyFont="1" applyAlignment="1">
      <alignment wrapText="1"/>
    </xf>
    <xf numFmtId="164" fontId="6" fillId="5" borderId="1" xfId="0" applyNumberFormat="1" applyFont="1" applyFill="1" applyBorder="1" applyAlignment="1">
      <alignment horizontal="center" wrapText="1"/>
    </xf>
    <xf numFmtId="43" fontId="6" fillId="0" borderId="1" xfId="0" applyNumberFormat="1" applyFont="1" applyBorder="1" applyAlignment="1">
      <alignment wrapText="1"/>
    </xf>
    <xf numFmtId="44" fontId="7" fillId="7" borderId="1" xfId="33" applyFont="1" applyFill="1" applyBorder="1" applyAlignment="1">
      <alignment horizontal="center" wrapText="1"/>
    </xf>
    <xf numFmtId="44" fontId="0" fillId="7" borderId="0" xfId="33" applyFont="1" applyFill="1" applyAlignment="1">
      <alignment wrapText="1"/>
    </xf>
    <xf numFmtId="164" fontId="7" fillId="3" borderId="1" xfId="25" applyNumberFormat="1" applyFont="1" applyFill="1" applyBorder="1" applyAlignment="1">
      <alignment horizontal="center" wrapText="1"/>
    </xf>
    <xf numFmtId="44" fontId="7" fillId="2" borderId="1" xfId="33" applyFont="1" applyFill="1" applyBorder="1" applyAlignment="1">
      <alignment wrapText="1"/>
    </xf>
    <xf numFmtId="44" fontId="7" fillId="2" borderId="1" xfId="33" applyFont="1" applyFill="1" applyBorder="1" applyAlignment="1">
      <alignment horizontal="center" wrapText="1"/>
    </xf>
    <xf numFmtId="44" fontId="6" fillId="0" borderId="1" xfId="33" applyFont="1" applyFill="1" applyBorder="1" applyAlignment="1">
      <alignment horizontal="center" wrapText="1"/>
    </xf>
    <xf numFmtId="44" fontId="0" fillId="0" borderId="0" xfId="33" applyFont="1" applyFill="1" applyAlignment="1">
      <alignment wrapText="1"/>
    </xf>
    <xf numFmtId="164" fontId="6" fillId="6" borderId="1" xfId="0" applyNumberFormat="1" applyFont="1" applyFill="1" applyBorder="1" applyAlignment="1">
      <alignment horizontal="center" wrapText="1"/>
    </xf>
    <xf numFmtId="0" fontId="6" fillId="0" borderId="1" xfId="0" applyFont="1" applyBorder="1" applyAlignment="1">
      <alignment wrapText="1"/>
    </xf>
    <xf numFmtId="164" fontId="6" fillId="2" borderId="1" xfId="0" applyNumberFormat="1" applyFont="1" applyFill="1" applyBorder="1" applyAlignment="1">
      <alignment horizontal="center" wrapText="1"/>
    </xf>
    <xf numFmtId="9" fontId="7" fillId="4" borderId="1" xfId="26" applyFont="1" applyFill="1" applyBorder="1" applyAlignment="1">
      <alignment wrapText="1"/>
    </xf>
    <xf numFmtId="44" fontId="7" fillId="11" borderId="1" xfId="33" applyFont="1" applyFill="1" applyBorder="1" applyAlignment="1">
      <alignment horizontal="center" wrapText="1"/>
    </xf>
    <xf numFmtId="164" fontId="6" fillId="11" borderId="1" xfId="0" applyNumberFormat="1" applyFont="1" applyFill="1" applyBorder="1" applyAlignment="1">
      <alignment horizontal="center" wrapText="1"/>
    </xf>
    <xf numFmtId="9" fontId="6" fillId="11" borderId="1" xfId="26" applyFont="1" applyFill="1" applyBorder="1" applyAlignment="1">
      <alignment wrapText="1"/>
    </xf>
    <xf numFmtId="44" fontId="6" fillId="11" borderId="1" xfId="33" applyFont="1" applyFill="1" applyBorder="1" applyAlignment="1">
      <alignment horizontal="center" wrapText="1"/>
    </xf>
    <xf numFmtId="164" fontId="7" fillId="11" borderId="1" xfId="25" applyNumberFormat="1" applyFont="1" applyFill="1" applyBorder="1" applyAlignment="1">
      <alignment horizontal="center" wrapText="1"/>
    </xf>
    <xf numFmtId="0" fontId="6" fillId="11" borderId="1" xfId="0" applyFont="1" applyFill="1" applyBorder="1" applyAlignment="1">
      <alignment wrapText="1"/>
    </xf>
    <xf numFmtId="44" fontId="6" fillId="11" borderId="1" xfId="33" applyFont="1" applyFill="1" applyBorder="1" applyAlignment="1">
      <alignment wrapText="1"/>
    </xf>
    <xf numFmtId="44" fontId="7" fillId="8" borderId="1" xfId="33" applyFont="1" applyFill="1" applyBorder="1" applyAlignment="1">
      <alignment horizontal="center" wrapText="1"/>
    </xf>
    <xf numFmtId="9" fontId="7" fillId="8" borderId="1" xfId="26" applyFont="1" applyFill="1" applyBorder="1" applyAlignment="1">
      <alignment wrapText="1"/>
    </xf>
    <xf numFmtId="44" fontId="0" fillId="4" borderId="0" xfId="33" applyFont="1" applyFill="1" applyAlignment="1">
      <alignment wrapText="1"/>
    </xf>
    <xf numFmtId="44" fontId="0" fillId="0" borderId="0" xfId="33" applyFont="1" applyAlignment="1">
      <alignment wrapText="1"/>
    </xf>
    <xf numFmtId="43" fontId="0" fillId="0" borderId="0" xfId="0" applyNumberFormat="1" applyAlignment="1">
      <alignment wrapText="1"/>
    </xf>
    <xf numFmtId="3" fontId="0" fillId="0" borderId="0" xfId="0" applyNumberFormat="1" applyAlignment="1">
      <alignment wrapText="1"/>
    </xf>
    <xf numFmtId="43" fontId="7" fillId="16" borderId="1" xfId="0" applyNumberFormat="1" applyFont="1" applyFill="1" applyBorder="1" applyAlignment="1">
      <alignment horizontal="center" vertical="center" wrapText="1"/>
    </xf>
    <xf numFmtId="43" fontId="7" fillId="16" borderId="2" xfId="0" applyNumberFormat="1" applyFont="1" applyFill="1" applyBorder="1" applyAlignment="1">
      <alignment horizontal="center" vertical="center" wrapText="1"/>
    </xf>
    <xf numFmtId="164" fontId="7" fillId="17" borderId="4" xfId="0" applyNumberFormat="1" applyFont="1" applyFill="1" applyBorder="1" applyAlignment="1">
      <alignment wrapText="1"/>
    </xf>
    <xf numFmtId="0" fontId="6" fillId="17" borderId="3" xfId="0" applyFont="1" applyFill="1" applyBorder="1" applyAlignment="1">
      <alignment wrapText="1"/>
    </xf>
    <xf numFmtId="44" fontId="6" fillId="18" borderId="4" xfId="0" applyNumberFormat="1" applyFont="1" applyFill="1" applyBorder="1" applyAlignment="1">
      <alignment wrapText="1"/>
    </xf>
    <xf numFmtId="9" fontId="6" fillId="0" borderId="3" xfId="0" applyNumberFormat="1" applyFont="1" applyBorder="1" applyAlignment="1">
      <alignment wrapText="1"/>
    </xf>
    <xf numFmtId="9" fontId="6" fillId="19" borderId="3" xfId="0" applyNumberFormat="1" applyFont="1" applyFill="1" applyBorder="1" applyAlignment="1">
      <alignment wrapText="1"/>
    </xf>
    <xf numFmtId="44" fontId="6" fillId="20" borderId="4" xfId="0" applyNumberFormat="1" applyFont="1" applyFill="1" applyBorder="1" applyAlignment="1">
      <alignment wrapText="1"/>
    </xf>
    <xf numFmtId="9" fontId="6" fillId="20" borderId="3" xfId="0" applyNumberFormat="1" applyFont="1" applyFill="1" applyBorder="1" applyAlignment="1">
      <alignment wrapText="1"/>
    </xf>
    <xf numFmtId="44" fontId="6" fillId="16" borderId="4" xfId="0" applyNumberFormat="1" applyFont="1" applyFill="1" applyBorder="1" applyAlignment="1">
      <alignment wrapText="1"/>
    </xf>
    <xf numFmtId="164" fontId="6" fillId="21" borderId="4" xfId="0" applyNumberFormat="1" applyFont="1" applyFill="1" applyBorder="1" applyAlignment="1">
      <alignment horizontal="center" wrapText="1"/>
    </xf>
    <xf numFmtId="164" fontId="6" fillId="18" borderId="4" xfId="0" applyNumberFormat="1" applyFont="1" applyFill="1" applyBorder="1" applyAlignment="1">
      <alignment horizontal="center" wrapText="1"/>
    </xf>
    <xf numFmtId="164" fontId="6" fillId="16" borderId="4" xfId="0" applyNumberFormat="1" applyFont="1" applyFill="1" applyBorder="1" applyAlignment="1">
      <alignment horizontal="center" wrapText="1"/>
    </xf>
    <xf numFmtId="9" fontId="7" fillId="19" borderId="3" xfId="0" applyNumberFormat="1" applyFont="1" applyFill="1" applyBorder="1" applyAlignment="1">
      <alignment wrapText="1"/>
    </xf>
    <xf numFmtId="164" fontId="6" fillId="22" borderId="4" xfId="0" applyNumberFormat="1" applyFont="1" applyFill="1" applyBorder="1" applyAlignment="1">
      <alignment horizontal="center" wrapText="1"/>
    </xf>
    <xf numFmtId="9" fontId="6" fillId="22" borderId="3" xfId="0" applyNumberFormat="1" applyFont="1" applyFill="1" applyBorder="1" applyAlignment="1">
      <alignment wrapText="1"/>
    </xf>
    <xf numFmtId="44" fontId="7" fillId="23" borderId="4" xfId="0" applyNumberFormat="1" applyFont="1" applyFill="1" applyBorder="1" applyAlignment="1">
      <alignment horizontal="center" wrapText="1"/>
    </xf>
    <xf numFmtId="9" fontId="7" fillId="23" borderId="3" xfId="0" applyNumberFormat="1" applyFont="1" applyFill="1" applyBorder="1" applyAlignment="1">
      <alignment wrapText="1"/>
    </xf>
    <xf numFmtId="0" fontId="10" fillId="0" borderId="0" xfId="0" applyFont="1"/>
    <xf numFmtId="0" fontId="0" fillId="0" borderId="0" xfId="0" applyFont="1" applyAlignment="1"/>
    <xf numFmtId="0" fontId="12" fillId="0" borderId="0" xfId="0" applyFont="1" applyAlignment="1"/>
    <xf numFmtId="44" fontId="6" fillId="10" borderId="4" xfId="33" applyFont="1" applyFill="1" applyBorder="1" applyAlignment="1">
      <alignment wrapText="1"/>
    </xf>
    <xf numFmtId="44" fontId="6" fillId="0" borderId="4" xfId="33" applyFont="1" applyBorder="1" applyAlignment="1">
      <alignment horizontal="center" wrapText="1"/>
    </xf>
    <xf numFmtId="44" fontId="6" fillId="12" borderId="4" xfId="33" applyFont="1" applyFill="1" applyBorder="1" applyAlignment="1">
      <alignment horizontal="left" wrapText="1"/>
    </xf>
    <xf numFmtId="44" fontId="6" fillId="4" borderId="4" xfId="33" applyFont="1" applyFill="1" applyBorder="1" applyAlignment="1">
      <alignment horizontal="center" wrapText="1"/>
    </xf>
    <xf numFmtId="44" fontId="7" fillId="3" borderId="4" xfId="33" applyFont="1" applyFill="1" applyBorder="1" applyAlignment="1">
      <alignment horizontal="left" wrapText="1"/>
    </xf>
    <xf numFmtId="44" fontId="7" fillId="3" borderId="4" xfId="33" applyFont="1" applyFill="1" applyBorder="1" applyAlignment="1">
      <alignment horizontal="center" wrapText="1"/>
    </xf>
    <xf numFmtId="44" fontId="7" fillId="11" borderId="4" xfId="33" applyFont="1" applyFill="1" applyBorder="1" applyAlignment="1">
      <alignment horizontal="center" wrapText="1"/>
    </xf>
    <xf numFmtId="44" fontId="7" fillId="8" borderId="4" xfId="33" applyFont="1" applyFill="1" applyBorder="1" applyAlignment="1">
      <alignment horizontal="center" wrapText="1"/>
    </xf>
    <xf numFmtId="0" fontId="10" fillId="0" borderId="6" xfId="0" applyFont="1" applyBorder="1" applyAlignment="1">
      <alignment vertical="center" wrapText="1"/>
    </xf>
    <xf numFmtId="44" fontId="0" fillId="4" borderId="1" xfId="33" applyFont="1" applyFill="1" applyBorder="1" applyAlignment="1">
      <alignment wrapText="1"/>
    </xf>
    <xf numFmtId="9" fontId="0" fillId="4" borderId="1" xfId="26" applyFont="1" applyFill="1" applyBorder="1" applyAlignment="1">
      <alignment wrapText="1"/>
    </xf>
    <xf numFmtId="170" fontId="0" fillId="4" borderId="1" xfId="26" applyNumberFormat="1" applyFont="1" applyFill="1" applyBorder="1" applyAlignment="1">
      <alignment wrapText="1"/>
    </xf>
    <xf numFmtId="0" fontId="13" fillId="24" borderId="5" xfId="0" applyFont="1" applyFill="1" applyBorder="1" applyAlignment="1">
      <alignment vertical="center" wrapText="1"/>
    </xf>
    <xf numFmtId="44" fontId="4" fillId="24" borderId="1" xfId="33" applyFont="1" applyFill="1" applyBorder="1" applyAlignment="1">
      <alignment wrapText="1"/>
    </xf>
    <xf numFmtId="0" fontId="10" fillId="24" borderId="6" xfId="0" applyFont="1" applyFill="1" applyBorder="1" applyAlignment="1">
      <alignment vertical="center" wrapText="1"/>
    </xf>
    <xf numFmtId="44" fontId="0" fillId="24" borderId="1" xfId="33" applyFont="1" applyFill="1" applyBorder="1" applyAlignment="1">
      <alignment wrapText="1"/>
    </xf>
    <xf numFmtId="9" fontId="4" fillId="24" borderId="1" xfId="26" applyFont="1" applyFill="1" applyBorder="1" applyAlignment="1">
      <alignment wrapText="1"/>
    </xf>
    <xf numFmtId="4" fontId="14" fillId="0" borderId="0" xfId="0" applyNumberFormat="1" applyFont="1"/>
  </cellXfs>
  <cellStyles count="36">
    <cellStyle name="Comma" xfId="25" builtinId="3"/>
    <cellStyle name="Comma 2" xfId="34" xr:uid="{00000000-0005-0000-0000-000001000000}"/>
    <cellStyle name="Comma 3" xfId="35" xr:uid="{00000000-0005-0000-0000-000002000000}"/>
    <cellStyle name="Currency" xfId="33"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7" builtinId="8" hidden="1"/>
    <cellStyle name="Hyperlink" xfId="29" builtinId="8" hidden="1"/>
    <cellStyle name="Hyperlink" xfId="31" builtinId="8" hidden="1"/>
    <cellStyle name="Normal" xfId="0" builtinId="0"/>
    <cellStyle name="Percent" xfId="26"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arah Zingg" id="{884F9974-BC0A-4524-A3C2-26945284AE5F}" userId="Sarah Zingg" providerId="None"/>
  <person displayName="Yohann Bouvier" id="{A8B52794-7425-4352-B4D4-601388939A95}" userId="Yohann Bouvier" providerId="None"/>
  <person displayName="Laetitia Claire Beuscher" id="{BE4C978D-731A-4508-8A0C-CB1D29C0F547}" userId="Laetitia Claire Beuscher" providerId="None"/>
  <person displayName="Laetitia Beuscher" id="{6BB0E575-24B6-42E8-AB4C-4E93810E2610}" userId="S-1-5-21-1770705335-2818183377-2982955565-189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5" dT="2019-02-25T09:37:33.29" personId="{BE4C978D-731A-4508-8A0C-CB1D29C0F547}" id="{697DA5CF-FFBF-415A-B69C-C2CED8818113}">
    <text>Mission Djugu conflict analysis  Aurelien+Famba</text>
  </threadedComment>
  <threadedComment ref="B8" dT="2019-05-24T09:50:39.55" personId="{6BB0E575-24B6-42E8-AB4C-4E93810E2610}" id="{E1999154-5F5A-4008-93CD-B1838950A15B}">
    <text>Ligne budgetaire additionnelle pour assurer les descentes terrain de la SSU que le budget MONUSCO ne peut couvrir et liees directment au management du FCS</text>
  </threadedComment>
  <threadedComment ref="B15" dT="2019-04-23T08:15:17.83" personId="{A8B52794-7425-4352-B4D4-601388939A95}" id="{ACD25321-554F-4033-9EC8-40F8C23B7832}">
    <text>Change to: Campagne d'information communautaires (information/mobilisation)</text>
  </threadedComment>
  <threadedComment ref="AF15" dT="2019-05-24T09:44:57.62" personId="{6BB0E575-24B6-42E8-AB4C-4E93810E2610}" id="{D8C7EC16-88E6-456A-9275-5C1B3BD7A020}">
    <text>les campagnes d'information communautaires seront plannifiees dans le temps une fois le budget aprouve</text>
  </threadedComment>
  <threadedComment ref="AG15" dT="2019-04-24T08:14:12.21" personId="{884F9974-BC0A-4524-A3C2-26945284AE5F}" id="{3B613AD7-B812-48D3-BE07-EA4028F21742}">
    <text>If the FRPI process goes as planned, we will need these funds to assure PTS can accompany the process (as in go to the field and sensitize where needed and possibly get key messages diffused on community radios).</text>
  </threadedComment>
  <threadedComment ref="B16" dT="2019-04-23T08:16:05.73" personId="{A8B52794-7425-4352-B4D4-601388939A95}" id="{247A95C6-4886-4BF7-A889-DE47F823D549}">
    <text>change to: Frais forfaitaire production de matériel de communication et de visibilite</text>
  </threadedComment>
  <threadedComment ref="AF16" dT="2019-05-24T09:44:28.39" personId="{6BB0E575-24B6-42E8-AB4C-4E93810E2610}" id="{92DB4EFE-41FF-435E-95EF-BA452B0B7E91}">
    <text>L'utilisation du budget sera determine lors de l'atelier de Juin avec tous les pints focaux communication et depnese dans l'annee selon cette decision collective.</text>
  </threadedComment>
  <threadedComment ref="AG16" dT="2019-04-24T08:14:39.14" personId="{884F9974-BC0A-4524-A3C2-26945284AE5F}" id="{470E4B31-0797-44EE-8EC4-6C67BB60C575}">
    <text>To print ISSSS anual report and get additional visibility items for ISSSS</text>
  </threadedComment>
  <threadedComment ref="B17" dT="2019-04-23T08:20:28.89" personId="{A8B52794-7425-4352-B4D4-601388939A95}" id="{512ECFB2-5282-43C1-8D73-BA0D61589CD1}">
    <text>change to: Prise en charge STAREC: mission "communication"</text>
  </threadedComment>
  <threadedComment ref="P17" dT="2019-04-17T15:05:35.73" personId="{A8B52794-7425-4352-B4D4-601388939A95}" id="{9AE382AB-256A-4F4C-9A1A-62FE0520E9EC}">
    <text>7 nights Bunia Gama support Comms focal point in Bunia on communiaction plan for futur FRPI DDR process</text>
  </threadedComment>
  <threadedComment ref="R17" dT="2019-04-17T08:29:01.73" personId="{A8B52794-7425-4352-B4D4-601388939A95}" id="{B646111A-8F47-4626-9051-6CACAAB5E910}">
    <text>Jackson 5 nights Kitshanga (M&amp;E visit/press visit)</text>
  </threadedComment>
  <threadedComment ref="AG17" dT="2019-04-24T08:15:20.07" personId="{884F9974-BC0A-4524-A3C2-26945284AE5F}" id="{0AE850CB-4A2B-4021-BD4B-6A684216DB52}">
    <text>For STAREC focal points in all provinces to go on all the monitoring missions to document.</text>
  </threadedComment>
  <threadedComment ref="B18" dT="2019-04-23T08:21:10.92" personId="{A8B52794-7425-4352-B4D4-601388939A95}" id="{549432F7-E92B-4B82-B2C3-BFA6CEA40536}">
    <text>change to: forfait atelier en communication strategique</text>
  </threadedComment>
  <threadedComment ref="U18" dT="2019-04-17T08:24:45.10" personId="{A8B52794-7425-4352-B4D4-601388939A95}" id="{A50BBD7D-4586-405C-9546-CB0DC34FED01}">
    <text>Atelier de communication avec tous els poitns focaux communication du STAREC plannifie initialement en avril mais decale a Juin faute de place sur vol MONUSCO. budget double par rapport a celui planifie en 2018-2019 pour assurer 2 jours datelier au lieu de 1 juge trop court.</text>
  </threadedComment>
  <threadedComment ref="AG18" dT="2019-04-24T08:15:48.42" personId="{884F9974-BC0A-4524-A3C2-26945284AE5F}" id="{ECAF1CAE-25C8-42F0-85EC-6783A04EFA1F}">
    <text>Additonal funds required so the event can be 2 days long and have the option to hold it in Kinshasa.</text>
  </threadedComment>
  <threadedComment ref="B22" dT="2019-05-21T15:23:51.49" personId="{884F9974-BC0A-4524-A3C2-26945284AE5F}" id="{FAEA4E70-58ED-491B-A72E-B4D0B0BE33B7}">
    <text>Organisation de deux retraites STAREC – UAS avant fin  2019 : Mise au point sur la conduite des activités de stabilisation par le tandem STAREC-UAS. Debut 2020 : Partage de la vision des nouvelles autorités sur la STABILISATION et orientations.</text>
  </threadedComment>
  <threadedComment ref="AG22" dT="2019-05-24T08:50:28.99" personId="{884F9974-BC0A-4524-A3C2-26945284AE5F}" id="{2FB783F5-7923-460E-91D6-DDA03C92888C}">
    <text>2 retraites STAREC-UAS</text>
  </threadedComment>
</ThreadedComments>
</file>

<file path=xl/threadedComments/threadedComment2.xml><?xml version="1.0" encoding="utf-8"?>
<ThreadedComments xmlns="http://schemas.microsoft.com/office/spreadsheetml/2018/threadedcomments" xmlns:x="http://schemas.openxmlformats.org/spreadsheetml/2006/main">
  <threadedComment ref="A8" dT="2019-05-24T09:50:39.55" personId="{6BB0E575-24B6-42E8-AB4C-4E93810E2610}" id="{012ED103-0D91-A54C-A6E0-F30C8C7A84DA}">
    <text>Ligne budgetaire additionnelle pour assurer les descentes terrain de la SSU que le budget MONUSCO ne peut couvrir et liees directment au management du FCS</text>
  </threadedComment>
  <threadedComment ref="A15" dT="2019-04-23T08:15:17.83" personId="{A8B52794-7425-4352-B4D4-601388939A95}" id="{5F95612D-2DD7-2D41-90DA-F2BAA627F7F2}">
    <text>Change to: Campagne d'information communautaires (information/mobilisation)</text>
  </threadedComment>
  <threadedComment ref="A16" dT="2019-04-23T08:16:05.73" personId="{A8B52794-7425-4352-B4D4-601388939A95}" id="{2597F35F-8D7C-3C4E-9041-3AD5A7B21D7A}">
    <text>change to: Frais forfaitaire production de matériel de communication et de visibilite</text>
  </threadedComment>
  <threadedComment ref="A17" dT="2019-04-23T08:20:28.89" personId="{A8B52794-7425-4352-B4D4-601388939A95}" id="{2E556ABA-0B33-C245-82E5-FBF3C81F58C4}">
    <text>change to: Prise en charge STAREC: mission "communication"</text>
  </threadedComment>
  <threadedComment ref="A18" dT="2019-04-23T08:21:10.92" personId="{A8B52794-7425-4352-B4D4-601388939A95}" id="{E49154CF-0B1A-8648-82A9-FF83DA8B8430}">
    <text>change to: forfait atelier en communication strategique</text>
  </threadedComment>
  <threadedComment ref="A22" dT="2019-05-21T15:23:51.49" personId="{884F9974-BC0A-4524-A3C2-26945284AE5F}" id="{733B1A19-EBCD-DF42-82F8-926C940D300F}">
    <text>Organisation de deux retraites STAREC – UAS avant fin  2019 : Mise au point sur la conduite des activités de stabilisation par le tandem STAREC-UAS. Debut 2020 : Partage de la vision des nouvelles autorités sur la STABILISATION et orientations.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32"/>
  <sheetViews>
    <sheetView zoomScale="75" zoomScaleNormal="75" zoomScalePageLayoutView="80" workbookViewId="0">
      <pane xSplit="2" ySplit="2" topLeftCell="I20" activePane="bottomRight" state="frozen"/>
      <selection pane="topRight" activeCell="C1" sqref="C1"/>
      <selection pane="bottomLeft" activeCell="A3" sqref="A3"/>
      <selection pane="bottomRight" activeCell="M26" sqref="M26"/>
    </sheetView>
  </sheetViews>
  <sheetFormatPr baseColWidth="10" defaultColWidth="11" defaultRowHeight="16" x14ac:dyDescent="0.2"/>
  <cols>
    <col min="1" max="1" width="11" style="45"/>
    <col min="2" max="2" width="80.6640625" style="45" bestFit="1" customWidth="1"/>
    <col min="3" max="12" width="14.6640625" style="98" customWidth="1"/>
    <col min="13" max="13" width="13.83203125" style="99" customWidth="1"/>
    <col min="14" max="14" width="11.33203125" style="45" customWidth="1"/>
    <col min="15" max="15" width="11.5" style="45" bestFit="1" customWidth="1"/>
    <col min="16" max="16" width="15.33203125" style="45" customWidth="1"/>
    <col min="17" max="17" width="14.33203125" style="99" customWidth="1"/>
    <col min="18" max="20" width="13.33203125" style="98" customWidth="1"/>
    <col min="21" max="21" width="15.1640625" style="98" customWidth="1"/>
    <col min="22" max="22" width="13.6640625" style="98" customWidth="1"/>
    <col min="23" max="23" width="12.1640625" style="98" customWidth="1"/>
    <col min="24" max="24" width="13.33203125" style="98" customWidth="1"/>
    <col min="25" max="25" width="12.1640625" style="98" customWidth="1"/>
    <col min="26" max="26" width="11.1640625" style="98" customWidth="1"/>
    <col min="27" max="27" width="11.6640625" style="98" customWidth="1"/>
    <col min="28" max="28" width="12.1640625" style="98" customWidth="1"/>
    <col min="29" max="29" width="11.83203125" style="98" customWidth="1"/>
    <col min="30" max="30" width="11.6640625" style="98" customWidth="1"/>
    <col min="31" max="31" width="12.5" style="98" customWidth="1"/>
    <col min="32" max="32" width="16.33203125" style="98" customWidth="1"/>
    <col min="33" max="33" width="16" style="45" customWidth="1"/>
    <col min="34" max="34" width="13.83203125" style="45" customWidth="1"/>
    <col min="35" max="35" width="19" style="99" customWidth="1"/>
    <col min="36" max="36" width="20.1640625" style="45" customWidth="1"/>
    <col min="37" max="16384" width="11" style="45"/>
  </cols>
  <sheetData>
    <row r="1" spans="2:36" s="46" customFormat="1" ht="51" x14ac:dyDescent="0.2">
      <c r="B1" s="25" t="s">
        <v>0</v>
      </c>
      <c r="C1" s="30" t="s">
        <v>43</v>
      </c>
      <c r="D1" s="30" t="s">
        <v>73</v>
      </c>
      <c r="E1" s="30" t="s">
        <v>72</v>
      </c>
      <c r="F1" s="30" t="s">
        <v>71</v>
      </c>
      <c r="G1" s="30" t="s">
        <v>70</v>
      </c>
      <c r="H1" s="30" t="s">
        <v>69</v>
      </c>
      <c r="I1" s="30" t="s">
        <v>68</v>
      </c>
      <c r="J1" s="30" t="s">
        <v>67</v>
      </c>
      <c r="K1" s="30" t="s">
        <v>66</v>
      </c>
      <c r="L1" s="23" t="s">
        <v>65</v>
      </c>
      <c r="M1" s="23" t="s">
        <v>20</v>
      </c>
      <c r="N1" s="24" t="s">
        <v>21</v>
      </c>
      <c r="O1" s="24" t="s">
        <v>22</v>
      </c>
      <c r="P1" s="25" t="s">
        <v>23</v>
      </c>
      <c r="Q1" s="23" t="s">
        <v>34</v>
      </c>
      <c r="R1" s="23" t="s">
        <v>24</v>
      </c>
      <c r="S1" s="23" t="s">
        <v>39</v>
      </c>
      <c r="T1" s="26" t="s">
        <v>25</v>
      </c>
      <c r="U1" s="26" t="s">
        <v>26</v>
      </c>
      <c r="V1" s="26" t="s">
        <v>27</v>
      </c>
      <c r="W1" s="26" t="s">
        <v>28</v>
      </c>
      <c r="X1" s="26" t="s">
        <v>29</v>
      </c>
      <c r="Y1" s="26" t="s">
        <v>30</v>
      </c>
      <c r="Z1" s="26" t="s">
        <v>31</v>
      </c>
      <c r="AA1" s="26" t="s">
        <v>32</v>
      </c>
      <c r="AB1" s="26" t="s">
        <v>35</v>
      </c>
      <c r="AC1" s="26" t="s">
        <v>36</v>
      </c>
      <c r="AD1" s="26" t="s">
        <v>37</v>
      </c>
      <c r="AE1" s="26" t="s">
        <v>38</v>
      </c>
      <c r="AF1" s="26" t="s">
        <v>44</v>
      </c>
      <c r="AG1" s="25" t="s">
        <v>18</v>
      </c>
      <c r="AH1" s="25" t="s">
        <v>19</v>
      </c>
      <c r="AI1" s="28" t="s">
        <v>45</v>
      </c>
      <c r="AJ1" s="46" t="s">
        <v>79</v>
      </c>
    </row>
    <row r="2" spans="2:36" ht="17" x14ac:dyDescent="0.2">
      <c r="B2" s="47" t="s">
        <v>1</v>
      </c>
      <c r="C2" s="48"/>
      <c r="D2" s="48"/>
      <c r="E2" s="48"/>
      <c r="F2" s="48"/>
      <c r="G2" s="48"/>
      <c r="H2" s="48"/>
      <c r="I2" s="48"/>
      <c r="J2" s="48"/>
      <c r="K2" s="48"/>
      <c r="L2" s="48"/>
      <c r="M2" s="48"/>
      <c r="N2" s="49"/>
      <c r="O2" s="49"/>
      <c r="P2" s="50"/>
      <c r="Q2" s="48"/>
      <c r="R2" s="48"/>
      <c r="S2" s="48"/>
      <c r="T2" s="48"/>
      <c r="U2" s="48"/>
      <c r="V2" s="48"/>
      <c r="W2" s="48"/>
      <c r="X2" s="48"/>
      <c r="Y2" s="48"/>
      <c r="Z2" s="48"/>
      <c r="AA2" s="48"/>
      <c r="AB2" s="48"/>
      <c r="AC2" s="48"/>
      <c r="AD2" s="48"/>
      <c r="AE2" s="48"/>
      <c r="AF2" s="48"/>
      <c r="AG2" s="51"/>
      <c r="AH2" s="50"/>
      <c r="AI2" s="52"/>
    </row>
    <row r="3" spans="2:36" ht="17" x14ac:dyDescent="0.2">
      <c r="B3" s="1" t="s">
        <v>3</v>
      </c>
      <c r="C3" s="53">
        <v>51070</v>
      </c>
      <c r="D3" s="53">
        <v>0</v>
      </c>
      <c r="E3" s="53">
        <v>0</v>
      </c>
      <c r="F3" s="53">
        <v>0</v>
      </c>
      <c r="G3" s="53">
        <v>0</v>
      </c>
      <c r="H3" s="53">
        <v>0</v>
      </c>
      <c r="I3" s="53">
        <v>0</v>
      </c>
      <c r="J3" s="53">
        <v>0</v>
      </c>
      <c r="K3" s="53">
        <v>0</v>
      </c>
      <c r="L3" s="53">
        <v>0</v>
      </c>
      <c r="M3" s="53">
        <f>C3</f>
        <v>51070</v>
      </c>
      <c r="N3" s="54">
        <v>1840</v>
      </c>
      <c r="O3" s="55">
        <v>3400</v>
      </c>
      <c r="P3" s="53">
        <v>3400</v>
      </c>
      <c r="Q3" s="53">
        <f>M3-N3-O3-P3</f>
        <v>42430</v>
      </c>
      <c r="R3" s="56">
        <v>3400</v>
      </c>
      <c r="S3" s="56">
        <f>Q3-R3</f>
        <v>39030</v>
      </c>
      <c r="T3" s="57">
        <v>4255.83</v>
      </c>
      <c r="U3" s="57">
        <v>4255.83</v>
      </c>
      <c r="V3" s="57">
        <v>4255.83</v>
      </c>
      <c r="W3" s="57">
        <v>4255.83</v>
      </c>
      <c r="X3" s="57">
        <v>4255.83</v>
      </c>
      <c r="Y3" s="57">
        <v>4255.83</v>
      </c>
      <c r="Z3" s="57">
        <v>4255.83</v>
      </c>
      <c r="AA3" s="57">
        <v>4255.83</v>
      </c>
      <c r="AB3" s="57">
        <v>4255.83</v>
      </c>
      <c r="AC3" s="57">
        <v>4255.83</v>
      </c>
      <c r="AD3" s="57">
        <v>4255.83</v>
      </c>
      <c r="AE3" s="57">
        <v>4255.83</v>
      </c>
      <c r="AF3" s="57">
        <f>SUM(T3:AE3)</f>
        <v>51069.960000000014</v>
      </c>
      <c r="AG3" s="58">
        <f t="shared" ref="AG3:AG12" si="0">S3-AF3</f>
        <v>-12039.960000000014</v>
      </c>
      <c r="AH3" s="59">
        <f>AG3/C3</f>
        <v>-0.23575406305071497</v>
      </c>
      <c r="AI3" s="52"/>
    </row>
    <row r="4" spans="2:36" ht="17" x14ac:dyDescent="0.2">
      <c r="B4" s="1" t="s">
        <v>6</v>
      </c>
      <c r="C4" s="53">
        <v>3531</v>
      </c>
      <c r="D4" s="53">
        <v>0</v>
      </c>
      <c r="E4" s="53">
        <v>0</v>
      </c>
      <c r="F4" s="53">
        <v>0</v>
      </c>
      <c r="G4" s="53">
        <v>0</v>
      </c>
      <c r="H4" s="53">
        <v>0</v>
      </c>
      <c r="I4" s="53">
        <v>0</v>
      </c>
      <c r="J4" s="53">
        <v>0</v>
      </c>
      <c r="K4" s="53">
        <v>0</v>
      </c>
      <c r="L4" s="53">
        <v>0</v>
      </c>
      <c r="M4" s="53">
        <f>C4</f>
        <v>3531</v>
      </c>
      <c r="N4" s="55">
        <v>0</v>
      </c>
      <c r="O4" s="55">
        <v>0</v>
      </c>
      <c r="P4" s="53">
        <v>2050</v>
      </c>
      <c r="Q4" s="53">
        <f t="shared" ref="Q4:Q8" si="1">M4-N4-O4-P4</f>
        <v>1481</v>
      </c>
      <c r="R4" s="56">
        <v>564</v>
      </c>
      <c r="S4" s="56">
        <f>Q4-R4</f>
        <v>917</v>
      </c>
      <c r="T4" s="57">
        <v>820</v>
      </c>
      <c r="U4" s="57">
        <v>564</v>
      </c>
      <c r="V4" s="57">
        <v>0</v>
      </c>
      <c r="W4" s="57">
        <v>0</v>
      </c>
      <c r="X4" s="57">
        <v>528</v>
      </c>
      <c r="Y4" s="57">
        <v>0</v>
      </c>
      <c r="Z4" s="57">
        <v>528</v>
      </c>
      <c r="AA4" s="57">
        <v>0</v>
      </c>
      <c r="AB4" s="57">
        <v>0</v>
      </c>
      <c r="AC4" s="57">
        <v>528</v>
      </c>
      <c r="AD4" s="57">
        <v>0</v>
      </c>
      <c r="AE4" s="57">
        <v>563</v>
      </c>
      <c r="AF4" s="57">
        <f>SUM(T4:AE4)</f>
        <v>3531</v>
      </c>
      <c r="AG4" s="58">
        <f t="shared" si="0"/>
        <v>-2614</v>
      </c>
      <c r="AH4" s="60">
        <f t="shared" ref="AH3:AH13" si="2">AG4/C4</f>
        <v>-0.74030019824412352</v>
      </c>
      <c r="AI4" s="52"/>
    </row>
    <row r="5" spans="2:36" ht="17" x14ac:dyDescent="0.2">
      <c r="B5" s="1" t="s">
        <v>7</v>
      </c>
      <c r="C5" s="53">
        <v>3531</v>
      </c>
      <c r="D5" s="53">
        <v>0</v>
      </c>
      <c r="E5" s="53">
        <v>0</v>
      </c>
      <c r="F5" s="53">
        <v>0</v>
      </c>
      <c r="G5" s="53">
        <v>0</v>
      </c>
      <c r="H5" s="53">
        <v>0</v>
      </c>
      <c r="I5" s="53">
        <v>0</v>
      </c>
      <c r="J5" s="53">
        <v>0</v>
      </c>
      <c r="K5" s="53">
        <v>0</v>
      </c>
      <c r="L5" s="53">
        <v>0</v>
      </c>
      <c r="M5" s="53">
        <f>C5</f>
        <v>3531</v>
      </c>
      <c r="N5" s="55">
        <v>0</v>
      </c>
      <c r="O5" s="61">
        <v>3138</v>
      </c>
      <c r="P5" s="53">
        <v>0</v>
      </c>
      <c r="Q5" s="53">
        <f t="shared" si="1"/>
        <v>393</v>
      </c>
      <c r="R5" s="56">
        <v>1500</v>
      </c>
      <c r="S5" s="56">
        <f t="shared" ref="S5:S7" si="3">Q5-R5</f>
        <v>-1107</v>
      </c>
      <c r="T5" s="57">
        <v>0</v>
      </c>
      <c r="U5" s="57">
        <v>0</v>
      </c>
      <c r="V5" s="57">
        <v>546</v>
      </c>
      <c r="W5" s="57">
        <v>1500</v>
      </c>
      <c r="X5" s="57">
        <v>0</v>
      </c>
      <c r="Y5" s="57">
        <v>546</v>
      </c>
      <c r="Z5" s="57">
        <v>0</v>
      </c>
      <c r="AA5" s="57">
        <v>0</v>
      </c>
      <c r="AB5" s="57">
        <v>0</v>
      </c>
      <c r="AC5" s="57">
        <v>0</v>
      </c>
      <c r="AD5" s="57">
        <v>939</v>
      </c>
      <c r="AE5" s="57">
        <v>0</v>
      </c>
      <c r="AF5" s="57">
        <f t="shared" ref="AF5:AF11" si="4">SUM(T5:AE5)</f>
        <v>3531</v>
      </c>
      <c r="AG5" s="58">
        <f t="shared" si="0"/>
        <v>-4638</v>
      </c>
      <c r="AH5" s="60">
        <f t="shared" si="2"/>
        <v>-1.3135089209855566</v>
      </c>
      <c r="AI5" s="52"/>
    </row>
    <row r="6" spans="2:36" ht="17" x14ac:dyDescent="0.2">
      <c r="B6" s="1" t="s">
        <v>8</v>
      </c>
      <c r="C6" s="53">
        <v>3531</v>
      </c>
      <c r="D6" s="53">
        <v>0</v>
      </c>
      <c r="E6" s="53">
        <v>0</v>
      </c>
      <c r="F6" s="53">
        <v>0</v>
      </c>
      <c r="G6" s="53">
        <v>0</v>
      </c>
      <c r="H6" s="53">
        <v>0</v>
      </c>
      <c r="I6" s="53">
        <v>0</v>
      </c>
      <c r="J6" s="53">
        <v>0</v>
      </c>
      <c r="K6" s="53">
        <v>0</v>
      </c>
      <c r="L6" s="53">
        <v>0</v>
      </c>
      <c r="M6" s="53">
        <f>C6</f>
        <v>3531</v>
      </c>
      <c r="N6" s="55">
        <v>0</v>
      </c>
      <c r="O6" s="55">
        <v>0</v>
      </c>
      <c r="P6" s="53">
        <v>0</v>
      </c>
      <c r="Q6" s="53">
        <f t="shared" si="1"/>
        <v>3531</v>
      </c>
      <c r="R6" s="56">
        <v>1415</v>
      </c>
      <c r="S6" s="56">
        <f t="shared" si="3"/>
        <v>2116</v>
      </c>
      <c r="T6" s="57">
        <v>1415</v>
      </c>
      <c r="U6" s="57">
        <v>0</v>
      </c>
      <c r="V6" s="57">
        <v>1132</v>
      </c>
      <c r="W6" s="57">
        <v>0</v>
      </c>
      <c r="X6" s="57">
        <v>0</v>
      </c>
      <c r="Y6" s="57">
        <v>0</v>
      </c>
      <c r="Z6" s="57">
        <v>0</v>
      </c>
      <c r="AA6" s="57">
        <v>984</v>
      </c>
      <c r="AB6" s="57">
        <v>0</v>
      </c>
      <c r="AC6" s="57">
        <v>0</v>
      </c>
      <c r="AD6" s="57">
        <v>0</v>
      </c>
      <c r="AE6" s="57">
        <v>0</v>
      </c>
      <c r="AF6" s="57">
        <f t="shared" si="4"/>
        <v>3531</v>
      </c>
      <c r="AG6" s="58">
        <f t="shared" si="0"/>
        <v>-1415</v>
      </c>
      <c r="AH6" s="59">
        <f t="shared" si="2"/>
        <v>-0.40073633531577457</v>
      </c>
      <c r="AI6" s="52"/>
    </row>
    <row r="7" spans="2:36" ht="17" x14ac:dyDescent="0.2">
      <c r="B7" s="1" t="s">
        <v>11</v>
      </c>
      <c r="C7" s="53">
        <v>3531</v>
      </c>
      <c r="D7" s="53">
        <v>0</v>
      </c>
      <c r="E7" s="53">
        <v>0</v>
      </c>
      <c r="F7" s="53">
        <v>0</v>
      </c>
      <c r="G7" s="53">
        <v>0</v>
      </c>
      <c r="H7" s="53">
        <v>0</v>
      </c>
      <c r="I7" s="53">
        <v>0</v>
      </c>
      <c r="J7" s="53">
        <v>0</v>
      </c>
      <c r="K7" s="53">
        <v>0</v>
      </c>
      <c r="L7" s="53">
        <v>0</v>
      </c>
      <c r="M7" s="53">
        <f>C7</f>
        <v>3531</v>
      </c>
      <c r="N7" s="55">
        <v>0</v>
      </c>
      <c r="O7" s="55">
        <v>0</v>
      </c>
      <c r="P7" s="53">
        <v>1410</v>
      </c>
      <c r="Q7" s="53">
        <f t="shared" si="1"/>
        <v>2121</v>
      </c>
      <c r="R7" s="56">
        <v>0</v>
      </c>
      <c r="S7" s="56">
        <f t="shared" si="3"/>
        <v>2121</v>
      </c>
      <c r="T7" s="57">
        <v>846</v>
      </c>
      <c r="U7" s="57">
        <v>0</v>
      </c>
      <c r="V7" s="57">
        <v>0</v>
      </c>
      <c r="W7" s="57">
        <v>0</v>
      </c>
      <c r="X7" s="57">
        <v>707</v>
      </c>
      <c r="Y7" s="57">
        <v>0</v>
      </c>
      <c r="Z7" s="57">
        <v>707</v>
      </c>
      <c r="AA7" s="57">
        <v>0</v>
      </c>
      <c r="AB7" s="57">
        <v>564</v>
      </c>
      <c r="AC7" s="57">
        <v>0</v>
      </c>
      <c r="AD7" s="57">
        <v>707</v>
      </c>
      <c r="AE7" s="57">
        <v>0</v>
      </c>
      <c r="AF7" s="57">
        <f t="shared" si="4"/>
        <v>3531</v>
      </c>
      <c r="AG7" s="58">
        <f t="shared" si="0"/>
        <v>-1410</v>
      </c>
      <c r="AH7" s="59">
        <f t="shared" si="2"/>
        <v>-0.39932030586236195</v>
      </c>
      <c r="AI7" s="52"/>
    </row>
    <row r="8" spans="2:36" ht="17" x14ac:dyDescent="0.2">
      <c r="B8" s="1" t="s">
        <v>42</v>
      </c>
      <c r="C8" s="53">
        <v>0</v>
      </c>
      <c r="D8" s="53">
        <v>0</v>
      </c>
      <c r="E8" s="53">
        <v>0</v>
      </c>
      <c r="F8" s="53">
        <v>0</v>
      </c>
      <c r="G8" s="53">
        <v>0</v>
      </c>
      <c r="H8" s="53">
        <v>0</v>
      </c>
      <c r="I8" s="53">
        <v>0</v>
      </c>
      <c r="J8" s="53">
        <v>0</v>
      </c>
      <c r="K8" s="53">
        <v>0</v>
      </c>
      <c r="L8" s="53">
        <v>0</v>
      </c>
      <c r="M8" s="53">
        <v>0</v>
      </c>
      <c r="N8" s="55">
        <v>0</v>
      </c>
      <c r="O8" s="55">
        <v>0</v>
      </c>
      <c r="P8" s="53">
        <v>0</v>
      </c>
      <c r="Q8" s="53">
        <f t="shared" si="1"/>
        <v>0</v>
      </c>
      <c r="R8" s="56">
        <v>0</v>
      </c>
      <c r="S8" s="56">
        <v>0</v>
      </c>
      <c r="T8" s="57">
        <v>0</v>
      </c>
      <c r="U8" s="57">
        <v>2000</v>
      </c>
      <c r="V8" s="57">
        <v>2000</v>
      </c>
      <c r="W8" s="57">
        <v>2000</v>
      </c>
      <c r="X8" s="57">
        <v>3000</v>
      </c>
      <c r="Y8" s="57">
        <v>3000</v>
      </c>
      <c r="Z8" s="57">
        <v>3000</v>
      </c>
      <c r="AA8" s="57">
        <v>3000</v>
      </c>
      <c r="AB8" s="57">
        <v>3000</v>
      </c>
      <c r="AC8" s="57">
        <v>3000</v>
      </c>
      <c r="AD8" s="57">
        <v>3000</v>
      </c>
      <c r="AE8" s="57">
        <v>3000</v>
      </c>
      <c r="AF8" s="57">
        <f t="shared" si="4"/>
        <v>30000</v>
      </c>
      <c r="AG8" s="58">
        <f t="shared" si="0"/>
        <v>-30000</v>
      </c>
      <c r="AH8" s="59"/>
      <c r="AI8" s="52"/>
      <c r="AJ8" s="62"/>
    </row>
    <row r="9" spans="2:36" ht="17" x14ac:dyDescent="0.2">
      <c r="B9" s="7" t="s">
        <v>49</v>
      </c>
      <c r="C9" s="8">
        <f>SUM(C3:C8)</f>
        <v>65194</v>
      </c>
      <c r="D9" s="8">
        <v>0</v>
      </c>
      <c r="E9" s="8">
        <v>0</v>
      </c>
      <c r="F9" s="8">
        <v>0</v>
      </c>
      <c r="G9" s="8">
        <v>0</v>
      </c>
      <c r="H9" s="8">
        <v>0</v>
      </c>
      <c r="I9" s="8">
        <v>0</v>
      </c>
      <c r="J9" s="8">
        <v>0</v>
      </c>
      <c r="K9" s="8">
        <v>0</v>
      </c>
      <c r="L9" s="8">
        <f>SUM(L3:L8)</f>
        <v>0</v>
      </c>
      <c r="M9" s="63">
        <f>SUM(M3:M7)</f>
        <v>65194</v>
      </c>
      <c r="N9" s="7">
        <f>N3</f>
        <v>1840</v>
      </c>
      <c r="O9" s="7">
        <f>O3+O5</f>
        <v>6538</v>
      </c>
      <c r="P9" s="63">
        <f>SUM(P3:P8)</f>
        <v>6860</v>
      </c>
      <c r="Q9" s="64">
        <f>SUM(Q3:Q8)</f>
        <v>49956</v>
      </c>
      <c r="R9" s="64">
        <f>SUM(R3:R8)</f>
        <v>6879</v>
      </c>
      <c r="S9" s="64">
        <f>Q9-R9</f>
        <v>43077</v>
      </c>
      <c r="T9" s="64">
        <f>SUM(T3:T8)</f>
        <v>7336.83</v>
      </c>
      <c r="U9" s="64">
        <f t="shared" ref="U9:AD9" si="5">SUM(U3:U8)</f>
        <v>6819.83</v>
      </c>
      <c r="V9" s="64">
        <f t="shared" si="5"/>
        <v>7933.83</v>
      </c>
      <c r="W9" s="64">
        <f t="shared" si="5"/>
        <v>7755.83</v>
      </c>
      <c r="X9" s="64">
        <f t="shared" si="5"/>
        <v>8490.83</v>
      </c>
      <c r="Y9" s="64">
        <f t="shared" si="5"/>
        <v>7801.83</v>
      </c>
      <c r="Z9" s="64">
        <f t="shared" si="5"/>
        <v>8490.83</v>
      </c>
      <c r="AA9" s="64">
        <f t="shared" si="5"/>
        <v>8239.83</v>
      </c>
      <c r="AB9" s="64">
        <f t="shared" si="5"/>
        <v>7819.83</v>
      </c>
      <c r="AC9" s="64">
        <f t="shared" si="5"/>
        <v>7783.83</v>
      </c>
      <c r="AD9" s="64">
        <f t="shared" si="5"/>
        <v>8901.83</v>
      </c>
      <c r="AE9" s="64">
        <f>SUM(AE3:AE8)</f>
        <v>7818.83</v>
      </c>
      <c r="AF9" s="64">
        <f>SUM(AF3:AF8)</f>
        <v>95193.960000000021</v>
      </c>
      <c r="AG9" s="65">
        <f t="shared" si="0"/>
        <v>-52116.960000000021</v>
      </c>
      <c r="AH9" s="66">
        <f t="shared" si="2"/>
        <v>-0.79941344295487349</v>
      </c>
      <c r="AI9" s="52"/>
      <c r="AJ9" s="62"/>
    </row>
    <row r="10" spans="2:36" ht="17" x14ac:dyDescent="0.2">
      <c r="B10" s="1" t="s">
        <v>10</v>
      </c>
      <c r="C10" s="56">
        <v>15245</v>
      </c>
      <c r="D10" s="56">
        <v>0</v>
      </c>
      <c r="E10" s="56">
        <v>0</v>
      </c>
      <c r="F10" s="56">
        <v>0</v>
      </c>
      <c r="G10" s="56">
        <v>0</v>
      </c>
      <c r="H10" s="56">
        <v>0</v>
      </c>
      <c r="I10" s="56">
        <v>0</v>
      </c>
      <c r="J10" s="56">
        <v>0</v>
      </c>
      <c r="K10" s="56">
        <v>0</v>
      </c>
      <c r="L10" s="56">
        <v>0</v>
      </c>
      <c r="M10" s="56">
        <f>C10</f>
        <v>15245</v>
      </c>
      <c r="N10" s="67">
        <v>0</v>
      </c>
      <c r="O10" s="67">
        <v>0</v>
      </c>
      <c r="P10" s="56">
        <v>6327</v>
      </c>
      <c r="Q10" s="56">
        <f>M10-N10-O10-P10</f>
        <v>8918</v>
      </c>
      <c r="R10" s="56">
        <v>0</v>
      </c>
      <c r="S10" s="56">
        <f t="shared" ref="S10:S11" si="6">Q10-R10</f>
        <v>8918</v>
      </c>
      <c r="T10" s="57">
        <v>0</v>
      </c>
      <c r="U10" s="57">
        <v>0</v>
      </c>
      <c r="V10" s="57">
        <v>5027</v>
      </c>
      <c r="W10" s="57">
        <v>0</v>
      </c>
      <c r="X10" s="57">
        <v>5027</v>
      </c>
      <c r="Y10" s="57">
        <v>0</v>
      </c>
      <c r="Z10" s="57">
        <v>5027</v>
      </c>
      <c r="AA10" s="57">
        <v>0</v>
      </c>
      <c r="AB10" s="57">
        <v>0</v>
      </c>
      <c r="AC10" s="57">
        <v>5027</v>
      </c>
      <c r="AD10" s="57">
        <v>0</v>
      </c>
      <c r="AE10" s="57">
        <v>5027</v>
      </c>
      <c r="AF10" s="57">
        <f t="shared" si="4"/>
        <v>25135</v>
      </c>
      <c r="AG10" s="58">
        <f t="shared" si="0"/>
        <v>-16217</v>
      </c>
      <c r="AH10" s="59">
        <f t="shared" si="2"/>
        <v>-1.0637586093801246</v>
      </c>
      <c r="AI10" s="52"/>
      <c r="AJ10" s="62"/>
    </row>
    <row r="11" spans="2:36" ht="17" x14ac:dyDescent="0.2">
      <c r="B11" s="1" t="s">
        <v>9</v>
      </c>
      <c r="C11" s="56">
        <v>43200</v>
      </c>
      <c r="D11" s="56">
        <v>0</v>
      </c>
      <c r="E11" s="56">
        <v>0</v>
      </c>
      <c r="F11" s="56">
        <v>5466.11</v>
      </c>
      <c r="G11" s="56">
        <v>0</v>
      </c>
      <c r="H11" s="56">
        <v>1379</v>
      </c>
      <c r="I11" s="56">
        <v>6277.25</v>
      </c>
      <c r="J11" s="56">
        <v>3130</v>
      </c>
      <c r="K11" s="56">
        <v>4528</v>
      </c>
      <c r="L11" s="56">
        <v>0</v>
      </c>
      <c r="M11" s="56">
        <f>C11-D11-E11-F11-G11-H11-I11-J11-K11-L11</f>
        <v>22419.64</v>
      </c>
      <c r="N11" s="67">
        <v>0</v>
      </c>
      <c r="O11" s="67">
        <v>0</v>
      </c>
      <c r="P11" s="53">
        <v>7390.9</v>
      </c>
      <c r="Q11" s="56">
        <f>M11-N11-O11-P11</f>
        <v>15028.74</v>
      </c>
      <c r="R11" s="56">
        <v>4500</v>
      </c>
      <c r="S11" s="56">
        <f t="shared" si="6"/>
        <v>10528.74</v>
      </c>
      <c r="T11" s="57">
        <v>0</v>
      </c>
      <c r="U11" s="57">
        <v>0</v>
      </c>
      <c r="V11" s="57">
        <v>4500</v>
      </c>
      <c r="W11" s="57">
        <v>2000</v>
      </c>
      <c r="X11" s="57">
        <v>3000</v>
      </c>
      <c r="Y11" s="57">
        <v>2000</v>
      </c>
      <c r="Z11" s="57">
        <v>3000</v>
      </c>
      <c r="AA11" s="57">
        <v>0</v>
      </c>
      <c r="AB11" s="57">
        <v>2000</v>
      </c>
      <c r="AC11" s="57">
        <v>3000</v>
      </c>
      <c r="AD11" s="57">
        <v>2000</v>
      </c>
      <c r="AE11" s="57">
        <v>3000</v>
      </c>
      <c r="AF11" s="57">
        <f t="shared" si="4"/>
        <v>24500</v>
      </c>
      <c r="AG11" s="58">
        <f t="shared" si="0"/>
        <v>-13971.26</v>
      </c>
      <c r="AH11" s="59">
        <f t="shared" si="2"/>
        <v>-0.32340879629629632</v>
      </c>
      <c r="AI11" s="52"/>
    </row>
    <row r="12" spans="2:36" ht="17" x14ac:dyDescent="0.2">
      <c r="B12" s="7" t="s">
        <v>50</v>
      </c>
      <c r="C12" s="8">
        <f>C10+C11</f>
        <v>58445</v>
      </c>
      <c r="D12" s="8">
        <v>0</v>
      </c>
      <c r="E12" s="8">
        <v>0</v>
      </c>
      <c r="F12" s="8">
        <f>F11</f>
        <v>5466.11</v>
      </c>
      <c r="G12" s="8">
        <v>0</v>
      </c>
      <c r="H12" s="8">
        <f>H11</f>
        <v>1379</v>
      </c>
      <c r="I12" s="8">
        <f>I11</f>
        <v>6277.25</v>
      </c>
      <c r="J12" s="8">
        <f>J11</f>
        <v>3130</v>
      </c>
      <c r="K12" s="8">
        <f>K11</f>
        <v>4528</v>
      </c>
      <c r="L12" s="8">
        <f>L10+L11</f>
        <v>0</v>
      </c>
      <c r="M12" s="63">
        <f>M10+M11</f>
        <v>37664.639999999999</v>
      </c>
      <c r="N12" s="7">
        <v>0</v>
      </c>
      <c r="O12" s="7">
        <v>0</v>
      </c>
      <c r="P12" s="63">
        <f>P10+P11</f>
        <v>13717.9</v>
      </c>
      <c r="Q12" s="64">
        <f>Q10+Q11</f>
        <v>23946.739999999998</v>
      </c>
      <c r="R12" s="64">
        <f t="shared" ref="R12:AE12" si="7">R10+R11</f>
        <v>4500</v>
      </c>
      <c r="S12" s="64">
        <f>Q12-R12</f>
        <v>19446.739999999998</v>
      </c>
      <c r="T12" s="64">
        <f t="shared" si="7"/>
        <v>0</v>
      </c>
      <c r="U12" s="64">
        <f t="shared" si="7"/>
        <v>0</v>
      </c>
      <c r="V12" s="64">
        <f t="shared" si="7"/>
        <v>9527</v>
      </c>
      <c r="W12" s="64">
        <f t="shared" si="7"/>
        <v>2000</v>
      </c>
      <c r="X12" s="64">
        <f t="shared" si="7"/>
        <v>8027</v>
      </c>
      <c r="Y12" s="64">
        <f t="shared" si="7"/>
        <v>2000</v>
      </c>
      <c r="Z12" s="64">
        <f t="shared" si="7"/>
        <v>8027</v>
      </c>
      <c r="AA12" s="64">
        <f t="shared" si="7"/>
        <v>0</v>
      </c>
      <c r="AB12" s="64">
        <f t="shared" si="7"/>
        <v>2000</v>
      </c>
      <c r="AC12" s="64">
        <f t="shared" si="7"/>
        <v>8027</v>
      </c>
      <c r="AD12" s="64">
        <f t="shared" si="7"/>
        <v>2000</v>
      </c>
      <c r="AE12" s="64">
        <f t="shared" si="7"/>
        <v>8027</v>
      </c>
      <c r="AF12" s="68">
        <f>AF10+AF11</f>
        <v>49635</v>
      </c>
      <c r="AG12" s="65">
        <f t="shared" si="0"/>
        <v>-30188.260000000002</v>
      </c>
      <c r="AH12" s="66">
        <f t="shared" si="2"/>
        <v>-0.51652425357173415</v>
      </c>
      <c r="AI12" s="52"/>
      <c r="AJ12" s="62"/>
    </row>
    <row r="13" spans="2:36" s="75" customFormat="1" ht="17" x14ac:dyDescent="0.2">
      <c r="B13" s="10" t="s">
        <v>2</v>
      </c>
      <c r="C13" s="11">
        <f>C9+C12</f>
        <v>123639</v>
      </c>
      <c r="D13" s="11">
        <v>0</v>
      </c>
      <c r="E13" s="11">
        <v>0</v>
      </c>
      <c r="F13" s="11">
        <f>F12</f>
        <v>5466.11</v>
      </c>
      <c r="G13" s="11">
        <f>+G11</f>
        <v>0</v>
      </c>
      <c r="H13" s="11">
        <f t="shared" ref="H13:K13" si="8">+H11</f>
        <v>1379</v>
      </c>
      <c r="I13" s="11">
        <f t="shared" si="8"/>
        <v>6277.25</v>
      </c>
      <c r="J13" s="11">
        <f t="shared" si="8"/>
        <v>3130</v>
      </c>
      <c r="K13" s="11">
        <f t="shared" si="8"/>
        <v>4528</v>
      </c>
      <c r="L13" s="11">
        <f>L9+L12</f>
        <v>0</v>
      </c>
      <c r="M13" s="69">
        <f>M9+M12</f>
        <v>102858.64</v>
      </c>
      <c r="N13" s="22">
        <f>N9</f>
        <v>1840</v>
      </c>
      <c r="O13" s="22">
        <f>O9</f>
        <v>6538</v>
      </c>
      <c r="P13" s="69">
        <f>P9+P12</f>
        <v>20577.900000000001</v>
      </c>
      <c r="Q13" s="70">
        <f>Q9+Q12</f>
        <v>73902.739999999991</v>
      </c>
      <c r="R13" s="70">
        <f>R9+R12</f>
        <v>11379</v>
      </c>
      <c r="S13" s="71">
        <f>Q13-R13</f>
        <v>62523.739999999991</v>
      </c>
      <c r="T13" s="70">
        <f>T9+T12</f>
        <v>7336.83</v>
      </c>
      <c r="U13" s="70">
        <f t="shared" ref="U13:AC13" si="9">U9+U12</f>
        <v>6819.83</v>
      </c>
      <c r="V13" s="70">
        <f t="shared" si="9"/>
        <v>17460.830000000002</v>
      </c>
      <c r="W13" s="70">
        <f t="shared" si="9"/>
        <v>9755.83</v>
      </c>
      <c r="X13" s="70">
        <f t="shared" si="9"/>
        <v>16517.830000000002</v>
      </c>
      <c r="Y13" s="70">
        <f t="shared" si="9"/>
        <v>9801.83</v>
      </c>
      <c r="Z13" s="70">
        <f t="shared" si="9"/>
        <v>16517.830000000002</v>
      </c>
      <c r="AA13" s="70">
        <f t="shared" si="9"/>
        <v>8239.83</v>
      </c>
      <c r="AB13" s="70">
        <f t="shared" si="9"/>
        <v>9819.83</v>
      </c>
      <c r="AC13" s="70">
        <f t="shared" si="9"/>
        <v>15810.83</v>
      </c>
      <c r="AD13" s="70">
        <f>AD9+AD12</f>
        <v>10901.83</v>
      </c>
      <c r="AE13" s="70">
        <f>AE9+AE12</f>
        <v>15845.83</v>
      </c>
      <c r="AF13" s="70">
        <f>AF9+AF12</f>
        <v>144828.96000000002</v>
      </c>
      <c r="AG13" s="72">
        <f>S13-AF13</f>
        <v>-82305.22000000003</v>
      </c>
      <c r="AH13" s="60">
        <f t="shared" si="2"/>
        <v>-0.66568979043829235</v>
      </c>
      <c r="AI13" s="73">
        <f>-AG13</f>
        <v>82305.22000000003</v>
      </c>
      <c r="AJ13" s="74"/>
    </row>
    <row r="14" spans="2:36" ht="17" x14ac:dyDescent="0.2">
      <c r="B14" s="49" t="s">
        <v>15</v>
      </c>
      <c r="C14" s="48"/>
      <c r="D14" s="48"/>
      <c r="E14" s="48"/>
      <c r="F14" s="48"/>
      <c r="G14" s="48"/>
      <c r="H14" s="48"/>
      <c r="I14" s="48"/>
      <c r="J14" s="48"/>
      <c r="K14" s="48"/>
      <c r="L14" s="48"/>
      <c r="M14" s="48"/>
      <c r="N14" s="49"/>
      <c r="O14" s="49"/>
      <c r="P14" s="50"/>
      <c r="Q14" s="48"/>
      <c r="R14" s="48"/>
      <c r="S14" s="48"/>
      <c r="T14" s="48"/>
      <c r="U14" s="48"/>
      <c r="V14" s="48"/>
      <c r="W14" s="48"/>
      <c r="X14" s="48"/>
      <c r="Y14" s="48"/>
      <c r="Z14" s="48"/>
      <c r="AA14" s="48"/>
      <c r="AB14" s="48"/>
      <c r="AC14" s="48"/>
      <c r="AD14" s="48"/>
      <c r="AE14" s="48"/>
      <c r="AF14" s="48"/>
      <c r="AG14" s="76">
        <f>C14-(SUM(N14:P14)+SUM(R14:AE14)+L14)</f>
        <v>0</v>
      </c>
      <c r="AH14" s="50"/>
      <c r="AI14" s="52"/>
      <c r="AJ14" s="74">
        <f t="shared" ref="AJ14:AJ27" si="10">AF14+AG14</f>
        <v>0</v>
      </c>
    </row>
    <row r="15" spans="2:36" ht="17" x14ac:dyDescent="0.2">
      <c r="B15" s="13" t="s">
        <v>4</v>
      </c>
      <c r="C15" s="53">
        <v>9000</v>
      </c>
      <c r="D15" s="53">
        <v>0</v>
      </c>
      <c r="E15" s="53">
        <v>0</v>
      </c>
      <c r="F15" s="53">
        <v>0</v>
      </c>
      <c r="G15" s="53">
        <v>0</v>
      </c>
      <c r="H15" s="53">
        <v>596</v>
      </c>
      <c r="I15" s="53">
        <v>596</v>
      </c>
      <c r="J15" s="53">
        <v>0</v>
      </c>
      <c r="K15" s="53">
        <v>0</v>
      </c>
      <c r="L15" s="56">
        <v>596</v>
      </c>
      <c r="M15" s="53">
        <f>C15-H15-I15-L15</f>
        <v>7212</v>
      </c>
      <c r="N15" s="55">
        <v>0</v>
      </c>
      <c r="O15" s="55">
        <v>0</v>
      </c>
      <c r="P15" s="77">
        <v>0</v>
      </c>
      <c r="Q15" s="52">
        <f>M15-N15-O15-P15</f>
        <v>7212</v>
      </c>
      <c r="R15" s="56">
        <v>0</v>
      </c>
      <c r="S15" s="56">
        <f>Q15-R15</f>
        <v>7212</v>
      </c>
      <c r="T15" s="57">
        <v>0</v>
      </c>
      <c r="U15" s="57">
        <v>0</v>
      </c>
      <c r="V15" s="57">
        <v>0</v>
      </c>
      <c r="W15" s="57">
        <v>0</v>
      </c>
      <c r="X15" s="57">
        <v>0</v>
      </c>
      <c r="Y15" s="57">
        <v>0</v>
      </c>
      <c r="Z15" s="57">
        <v>0</v>
      </c>
      <c r="AA15" s="57">
        <v>0</v>
      </c>
      <c r="AB15" s="57">
        <v>0</v>
      </c>
      <c r="AC15" s="57">
        <v>0</v>
      </c>
      <c r="AD15" s="57">
        <v>0</v>
      </c>
      <c r="AE15" s="57">
        <v>0</v>
      </c>
      <c r="AF15" s="57">
        <v>10000</v>
      </c>
      <c r="AG15" s="58">
        <f>S15-AF15</f>
        <v>-2788</v>
      </c>
      <c r="AH15" s="59">
        <f>AG15/C15</f>
        <v>-0.30977777777777776</v>
      </c>
      <c r="AI15" s="52"/>
      <c r="AJ15" s="74"/>
    </row>
    <row r="16" spans="2:36" ht="17" x14ac:dyDescent="0.2">
      <c r="B16" s="13" t="s">
        <v>12</v>
      </c>
      <c r="C16" s="53">
        <v>3000</v>
      </c>
      <c r="D16" s="53">
        <v>0</v>
      </c>
      <c r="E16" s="53">
        <v>0</v>
      </c>
      <c r="F16" s="53">
        <v>0</v>
      </c>
      <c r="G16" s="53">
        <v>0</v>
      </c>
      <c r="H16" s="53">
        <v>0</v>
      </c>
      <c r="I16" s="53">
        <v>0</v>
      </c>
      <c r="J16" s="53">
        <v>0</v>
      </c>
      <c r="K16" s="53">
        <v>0</v>
      </c>
      <c r="L16" s="56">
        <v>1100</v>
      </c>
      <c r="M16" s="53">
        <f>C16-L16</f>
        <v>1900</v>
      </c>
      <c r="N16" s="55">
        <v>0</v>
      </c>
      <c r="O16" s="55">
        <v>0</v>
      </c>
      <c r="P16" s="77">
        <v>0</v>
      </c>
      <c r="Q16" s="52">
        <f>M16-N16-O16-P16</f>
        <v>1900</v>
      </c>
      <c r="R16" s="71">
        <v>0</v>
      </c>
      <c r="S16" s="56">
        <f t="shared" ref="S16:S18" si="11">Q16-R16</f>
        <v>1900</v>
      </c>
      <c r="T16" s="57">
        <v>0</v>
      </c>
      <c r="U16" s="57">
        <v>0</v>
      </c>
      <c r="V16" s="78">
        <v>0</v>
      </c>
      <c r="W16" s="78">
        <v>0</v>
      </c>
      <c r="X16" s="78">
        <v>0</v>
      </c>
      <c r="Y16" s="78">
        <v>0</v>
      </c>
      <c r="Z16" s="78">
        <v>0</v>
      </c>
      <c r="AA16" s="78">
        <v>0</v>
      </c>
      <c r="AB16" s="78">
        <v>0</v>
      </c>
      <c r="AC16" s="57">
        <v>0</v>
      </c>
      <c r="AD16" s="78">
        <v>0</v>
      </c>
      <c r="AE16" s="78">
        <v>0</v>
      </c>
      <c r="AF16" s="57">
        <v>3400</v>
      </c>
      <c r="AG16" s="58">
        <f>S16-AF16</f>
        <v>-1500</v>
      </c>
      <c r="AH16" s="59">
        <f>AG16/C16</f>
        <v>-0.5</v>
      </c>
      <c r="AI16" s="52"/>
      <c r="AJ16" s="74"/>
    </row>
    <row r="17" spans="2:36" ht="17" x14ac:dyDescent="0.2">
      <c r="B17" s="13" t="s">
        <v>13</v>
      </c>
      <c r="C17" s="53">
        <v>3750</v>
      </c>
      <c r="D17" s="53">
        <v>0</v>
      </c>
      <c r="E17" s="53">
        <v>0</v>
      </c>
      <c r="F17" s="53">
        <v>0</v>
      </c>
      <c r="G17" s="53">
        <v>0</v>
      </c>
      <c r="H17" s="53">
        <v>0</v>
      </c>
      <c r="I17" s="53">
        <v>0</v>
      </c>
      <c r="J17" s="53">
        <v>0</v>
      </c>
      <c r="K17" s="53">
        <v>0</v>
      </c>
      <c r="L17" s="56">
        <v>307.5</v>
      </c>
      <c r="M17" s="53">
        <f>C17-L17</f>
        <v>3442.5</v>
      </c>
      <c r="N17" s="55">
        <v>0</v>
      </c>
      <c r="O17" s="55">
        <v>0</v>
      </c>
      <c r="P17" s="56">
        <v>787.5</v>
      </c>
      <c r="Q17" s="52">
        <f>M17-N17-O17-P17</f>
        <v>2655</v>
      </c>
      <c r="R17" s="71">
        <v>528.75</v>
      </c>
      <c r="S17" s="56">
        <f>Q17-R17</f>
        <v>2126.25</v>
      </c>
      <c r="T17" s="57">
        <v>0</v>
      </c>
      <c r="U17" s="57">
        <v>0</v>
      </c>
      <c r="V17" s="57">
        <v>0</v>
      </c>
      <c r="W17" s="57">
        <v>0</v>
      </c>
      <c r="X17" s="57">
        <v>0</v>
      </c>
      <c r="Y17" s="57">
        <v>0</v>
      </c>
      <c r="Z17" s="57">
        <v>0</v>
      </c>
      <c r="AA17" s="57">
        <v>0</v>
      </c>
      <c r="AB17" s="57">
        <v>0</v>
      </c>
      <c r="AC17" s="57">
        <v>0</v>
      </c>
      <c r="AD17" s="57">
        <v>0</v>
      </c>
      <c r="AE17" s="57">
        <v>0</v>
      </c>
      <c r="AF17" s="57">
        <v>4126.25</v>
      </c>
      <c r="AG17" s="58">
        <f>S17-AF17</f>
        <v>-2000</v>
      </c>
      <c r="AH17" s="59">
        <f>AG17/C17</f>
        <v>-0.53333333333333333</v>
      </c>
      <c r="AI17" s="52"/>
      <c r="AJ17" s="74"/>
    </row>
    <row r="18" spans="2:36" ht="17" x14ac:dyDescent="0.2">
      <c r="B18" s="13" t="s">
        <v>14</v>
      </c>
      <c r="C18" s="53">
        <v>1250</v>
      </c>
      <c r="D18" s="53">
        <v>0</v>
      </c>
      <c r="E18" s="53">
        <v>0</v>
      </c>
      <c r="F18" s="53">
        <v>0</v>
      </c>
      <c r="G18" s="53">
        <v>0</v>
      </c>
      <c r="H18" s="53">
        <v>0</v>
      </c>
      <c r="I18" s="53">
        <v>0</v>
      </c>
      <c r="J18" s="53">
        <v>0</v>
      </c>
      <c r="K18" s="53">
        <v>0</v>
      </c>
      <c r="L18" s="53">
        <v>0</v>
      </c>
      <c r="M18" s="53">
        <f>C18</f>
        <v>1250</v>
      </c>
      <c r="N18" s="55">
        <v>0</v>
      </c>
      <c r="O18" s="55">
        <v>0</v>
      </c>
      <c r="P18" s="77">
        <v>0</v>
      </c>
      <c r="Q18" s="52">
        <f>M18-N18-O18-P18</f>
        <v>1250</v>
      </c>
      <c r="R18" s="71">
        <v>0</v>
      </c>
      <c r="S18" s="56">
        <f t="shared" si="11"/>
        <v>1250</v>
      </c>
      <c r="T18" s="79">
        <v>0</v>
      </c>
      <c r="U18" s="57">
        <v>2500</v>
      </c>
      <c r="V18" s="78">
        <v>0</v>
      </c>
      <c r="W18" s="78">
        <v>0</v>
      </c>
      <c r="X18" s="78">
        <v>0</v>
      </c>
      <c r="Y18" s="78">
        <v>0</v>
      </c>
      <c r="Z18" s="78">
        <v>0</v>
      </c>
      <c r="AA18" s="78">
        <v>0</v>
      </c>
      <c r="AB18" s="78">
        <v>0</v>
      </c>
      <c r="AC18" s="78">
        <v>0</v>
      </c>
      <c r="AD18" s="78">
        <v>0</v>
      </c>
      <c r="AE18" s="78">
        <v>0</v>
      </c>
      <c r="AF18" s="57">
        <f>SUM(U18:AE18)</f>
        <v>2500</v>
      </c>
      <c r="AG18" s="58">
        <f>S18-AF18</f>
        <v>-1250</v>
      </c>
      <c r="AH18" s="59">
        <f>AG18/C18</f>
        <v>-1</v>
      </c>
      <c r="AI18" s="52"/>
      <c r="AJ18" s="74"/>
    </row>
    <row r="19" spans="2:36" ht="17" x14ac:dyDescent="0.2">
      <c r="B19" s="10" t="s">
        <v>51</v>
      </c>
      <c r="C19" s="69">
        <f>SUM(C15:C18)</f>
        <v>17000</v>
      </c>
      <c r="D19" s="69">
        <v>0</v>
      </c>
      <c r="E19" s="69">
        <v>0</v>
      </c>
      <c r="F19" s="69">
        <v>0</v>
      </c>
      <c r="G19" s="69">
        <v>0</v>
      </c>
      <c r="H19" s="69">
        <f>+H15</f>
        <v>596</v>
      </c>
      <c r="I19" s="69">
        <f>+I15</f>
        <v>596</v>
      </c>
      <c r="J19" s="69">
        <v>0</v>
      </c>
      <c r="K19" s="69">
        <v>0</v>
      </c>
      <c r="L19" s="69">
        <f>SUM(L15:L18)</f>
        <v>2003.5</v>
      </c>
      <c r="M19" s="69">
        <f>SUM(M15:M18)</f>
        <v>13804.5</v>
      </c>
      <c r="N19" s="80">
        <v>0</v>
      </c>
      <c r="O19" s="80">
        <v>0</v>
      </c>
      <c r="P19" s="69">
        <f>SUM(P15:P18)</f>
        <v>787.5</v>
      </c>
      <c r="Q19" s="81">
        <f>SUM(Q15:Q18)</f>
        <v>13017</v>
      </c>
      <c r="R19" s="81">
        <f>R15+R16+R17+R18</f>
        <v>528.75</v>
      </c>
      <c r="S19" s="82">
        <f>Q19-R19</f>
        <v>12488.25</v>
      </c>
      <c r="T19" s="70">
        <f>T15+T16+T17+U17</f>
        <v>0</v>
      </c>
      <c r="U19" s="70">
        <f>U15+U16+U18</f>
        <v>2500</v>
      </c>
      <c r="V19" s="70">
        <f t="shared" ref="V19:AE19" si="12">V15+V16+V17+V18</f>
        <v>0</v>
      </c>
      <c r="W19" s="70">
        <f t="shared" si="12"/>
        <v>0</v>
      </c>
      <c r="X19" s="70">
        <f t="shared" si="12"/>
        <v>0</v>
      </c>
      <c r="Y19" s="70">
        <f t="shared" si="12"/>
        <v>0</v>
      </c>
      <c r="Z19" s="70">
        <f t="shared" si="12"/>
        <v>0</v>
      </c>
      <c r="AA19" s="70">
        <f t="shared" si="12"/>
        <v>0</v>
      </c>
      <c r="AB19" s="70">
        <f t="shared" si="12"/>
        <v>0</v>
      </c>
      <c r="AC19" s="70">
        <f t="shared" si="12"/>
        <v>0</v>
      </c>
      <c r="AD19" s="70">
        <f t="shared" si="12"/>
        <v>0</v>
      </c>
      <c r="AE19" s="70">
        <f t="shared" si="12"/>
        <v>0</v>
      </c>
      <c r="AF19" s="70">
        <f>SUM(AF15:AF18)</f>
        <v>20026.25</v>
      </c>
      <c r="AG19" s="72">
        <f>S19-AF19</f>
        <v>-7538</v>
      </c>
      <c r="AH19" s="60">
        <f>AG19/C19</f>
        <v>-0.44341176470588234</v>
      </c>
      <c r="AI19" s="73">
        <f>-AG19</f>
        <v>7538</v>
      </c>
      <c r="AJ19" s="74"/>
    </row>
    <row r="20" spans="2:36" ht="17" x14ac:dyDescent="0.2">
      <c r="B20" s="49" t="s">
        <v>16</v>
      </c>
      <c r="C20" s="48"/>
      <c r="D20" s="48"/>
      <c r="E20" s="48"/>
      <c r="F20" s="48"/>
      <c r="G20" s="48"/>
      <c r="H20" s="48"/>
      <c r="I20" s="48"/>
      <c r="J20" s="48"/>
      <c r="K20" s="48"/>
      <c r="L20" s="48"/>
      <c r="M20" s="48"/>
      <c r="N20" s="49"/>
      <c r="O20" s="49"/>
      <c r="P20" s="50"/>
      <c r="Q20" s="48"/>
      <c r="R20" s="48"/>
      <c r="S20" s="48"/>
      <c r="T20" s="48"/>
      <c r="U20" s="48"/>
      <c r="V20" s="48"/>
      <c r="W20" s="48"/>
      <c r="X20" s="48"/>
      <c r="Y20" s="48"/>
      <c r="Z20" s="48"/>
      <c r="AA20" s="48"/>
      <c r="AB20" s="48"/>
      <c r="AC20" s="48"/>
      <c r="AD20" s="48"/>
      <c r="AE20" s="48"/>
      <c r="AF20" s="48"/>
      <c r="AG20" s="76">
        <f>C20-(SUM(N20:P20)+SUM(R20:AE20)+L20)</f>
        <v>0</v>
      </c>
      <c r="AH20" s="50"/>
      <c r="AI20" s="52"/>
      <c r="AJ20" s="74">
        <f t="shared" si="10"/>
        <v>0</v>
      </c>
    </row>
    <row r="21" spans="2:36" ht="17" x14ac:dyDescent="0.2">
      <c r="B21" s="2" t="s">
        <v>5</v>
      </c>
      <c r="C21" s="53">
        <v>71500</v>
      </c>
      <c r="D21" s="83">
        <v>0</v>
      </c>
      <c r="E21" s="84">
        <v>0</v>
      </c>
      <c r="F21" s="83">
        <v>4830.0600000000004</v>
      </c>
      <c r="G21" s="83">
        <v>5830.06</v>
      </c>
      <c r="H21" s="83">
        <v>3830.06</v>
      </c>
      <c r="I21" s="83">
        <v>5830.06</v>
      </c>
      <c r="J21" s="83">
        <v>5830.06</v>
      </c>
      <c r="K21" s="83">
        <v>5830.03</v>
      </c>
      <c r="L21" s="83">
        <v>3000</v>
      </c>
      <c r="M21" s="53">
        <f>C21-F21-G21-H21-I21-J21-K21-L21</f>
        <v>36519.670000000013</v>
      </c>
      <c r="N21" s="55">
        <v>0</v>
      </c>
      <c r="O21" s="61">
        <v>246</v>
      </c>
      <c r="P21" s="77">
        <v>8797.85</v>
      </c>
      <c r="Q21" s="52">
        <f>M21-N21-O21-P21</f>
        <v>27475.820000000014</v>
      </c>
      <c r="R21" s="56">
        <v>4790</v>
      </c>
      <c r="S21" s="56">
        <f>Q21-R21</f>
        <v>22685.820000000014</v>
      </c>
      <c r="T21" s="57">
        <v>0</v>
      </c>
      <c r="U21" s="57">
        <v>7807.6</v>
      </c>
      <c r="V21" s="79">
        <v>0</v>
      </c>
      <c r="W21" s="57">
        <v>6631.6</v>
      </c>
      <c r="X21" s="57">
        <v>10665.6</v>
      </c>
      <c r="Y21" s="57" t="s">
        <v>41</v>
      </c>
      <c r="Z21" s="57">
        <v>5403.6</v>
      </c>
      <c r="AA21" s="57">
        <v>2701.6</v>
      </c>
      <c r="AB21" s="57">
        <v>5716</v>
      </c>
      <c r="AC21" s="57">
        <v>6951</v>
      </c>
      <c r="AD21" s="57">
        <v>6840</v>
      </c>
      <c r="AE21" s="57">
        <v>2858</v>
      </c>
      <c r="AF21" s="57">
        <f>SUM(T21:AE21)</f>
        <v>55575</v>
      </c>
      <c r="AG21" s="85">
        <f>S21-AF21</f>
        <v>-32889.179999999986</v>
      </c>
      <c r="AH21" s="59">
        <f t="shared" ref="AH21:AH27" si="13">AG21/C21</f>
        <v>-0.45998853146853125</v>
      </c>
      <c r="AI21" s="52"/>
      <c r="AJ21" s="74"/>
    </row>
    <row r="22" spans="2:36" ht="17" x14ac:dyDescent="0.2">
      <c r="B22" s="2" t="s">
        <v>40</v>
      </c>
      <c r="C22" s="53">
        <v>12000</v>
      </c>
      <c r="D22" s="53">
        <v>0</v>
      </c>
      <c r="E22" s="53">
        <v>12000</v>
      </c>
      <c r="F22" s="53">
        <v>0</v>
      </c>
      <c r="G22" s="53">
        <v>0</v>
      </c>
      <c r="H22" s="53">
        <v>0</v>
      </c>
      <c r="I22" s="53">
        <v>0</v>
      </c>
      <c r="J22" s="53">
        <v>0</v>
      </c>
      <c r="K22" s="53">
        <v>0</v>
      </c>
      <c r="L22" s="53">
        <v>0</v>
      </c>
      <c r="M22" s="53">
        <f>C22-E22</f>
        <v>0</v>
      </c>
      <c r="N22" s="55">
        <v>0</v>
      </c>
      <c r="O22" s="61">
        <v>0</v>
      </c>
      <c r="P22" s="86">
        <v>0</v>
      </c>
      <c r="Q22" s="52">
        <f>M22-N22-P22</f>
        <v>0</v>
      </c>
      <c r="R22" s="56">
        <v>0</v>
      </c>
      <c r="S22" s="56">
        <f t="shared" ref="S22:S23" si="14">Q22-R22</f>
        <v>0</v>
      </c>
      <c r="T22" s="57">
        <v>0</v>
      </c>
      <c r="U22" s="57">
        <v>0</v>
      </c>
      <c r="V22" s="57">
        <v>0</v>
      </c>
      <c r="W22" s="57">
        <v>0</v>
      </c>
      <c r="X22" s="57">
        <v>0</v>
      </c>
      <c r="Y22" s="57">
        <v>0</v>
      </c>
      <c r="Z22" s="57">
        <v>0</v>
      </c>
      <c r="AA22" s="57">
        <v>0</v>
      </c>
      <c r="AB22" s="57">
        <v>0</v>
      </c>
      <c r="AC22" s="57">
        <v>0</v>
      </c>
      <c r="AD22" s="57">
        <v>0</v>
      </c>
      <c r="AE22" s="57">
        <v>0</v>
      </c>
      <c r="AF22" s="57">
        <v>50000</v>
      </c>
      <c r="AG22" s="85">
        <f>S22-AF22</f>
        <v>-50000</v>
      </c>
      <c r="AH22" s="59">
        <f t="shared" si="13"/>
        <v>-4.166666666666667</v>
      </c>
      <c r="AI22" s="52"/>
      <c r="AJ22" s="74">
        <f t="shared" si="10"/>
        <v>0</v>
      </c>
    </row>
    <row r="23" spans="2:36" ht="17" x14ac:dyDescent="0.2">
      <c r="B23" s="2" t="s">
        <v>17</v>
      </c>
      <c r="C23" s="53">
        <v>9505</v>
      </c>
      <c r="D23" s="53">
        <v>0</v>
      </c>
      <c r="E23" s="53">
        <v>0</v>
      </c>
      <c r="F23" s="53">
        <v>1357.86</v>
      </c>
      <c r="G23" s="53">
        <v>1357.86</v>
      </c>
      <c r="H23" s="53">
        <v>1357.86</v>
      </c>
      <c r="I23" s="53">
        <v>1357.86</v>
      </c>
      <c r="J23" s="53">
        <v>1357.86</v>
      </c>
      <c r="K23" s="53">
        <v>1357.86</v>
      </c>
      <c r="L23" s="53">
        <v>1357.84</v>
      </c>
      <c r="M23" s="53">
        <f>C23-F23-G23-H23-I23-J23-K23-L23</f>
        <v>1.8189894035458565E-12</v>
      </c>
      <c r="N23" s="55">
        <v>0</v>
      </c>
      <c r="O23" s="61">
        <v>0</v>
      </c>
      <c r="P23" s="86">
        <v>0</v>
      </c>
      <c r="Q23" s="52">
        <f>N23-O23-P23</f>
        <v>0</v>
      </c>
      <c r="R23" s="56">
        <v>0</v>
      </c>
      <c r="S23" s="56">
        <f t="shared" si="14"/>
        <v>0</v>
      </c>
      <c r="T23" s="57">
        <v>792.08</v>
      </c>
      <c r="U23" s="57">
        <v>792.08</v>
      </c>
      <c r="V23" s="57">
        <v>792.08</v>
      </c>
      <c r="W23" s="57">
        <v>792.08</v>
      </c>
      <c r="X23" s="57">
        <v>792.08</v>
      </c>
      <c r="Y23" s="57">
        <v>792.08</v>
      </c>
      <c r="Z23" s="57">
        <v>792.08</v>
      </c>
      <c r="AA23" s="57">
        <v>792.08</v>
      </c>
      <c r="AB23" s="57">
        <v>792.08</v>
      </c>
      <c r="AC23" s="57">
        <v>792.08</v>
      </c>
      <c r="AD23" s="57">
        <v>792.08</v>
      </c>
      <c r="AE23" s="57">
        <v>792.08</v>
      </c>
      <c r="AF23" s="57">
        <f>SUM(T23:AE23)</f>
        <v>9504.9600000000009</v>
      </c>
      <c r="AG23" s="85">
        <f t="shared" ref="AG23" si="15">S23-AF23</f>
        <v>-9504.9600000000009</v>
      </c>
      <c r="AH23" s="59">
        <f t="shared" si="13"/>
        <v>-0.9999957916885851</v>
      </c>
      <c r="AI23" s="52"/>
      <c r="AJ23" s="74">
        <f t="shared" si="10"/>
        <v>0</v>
      </c>
    </row>
    <row r="24" spans="2:36" ht="17" x14ac:dyDescent="0.2">
      <c r="B24" s="10" t="s">
        <v>52</v>
      </c>
      <c r="C24" s="69">
        <f>SUM(C21:C23)</f>
        <v>93005</v>
      </c>
      <c r="D24" s="69">
        <v>0</v>
      </c>
      <c r="E24" s="69">
        <f>SUM(E22:E23)</f>
        <v>12000</v>
      </c>
      <c r="F24" s="69">
        <f>+F21+F23</f>
        <v>6187.92</v>
      </c>
      <c r="G24" s="69">
        <f t="shared" ref="G24:K24" si="16">+G21+G23</f>
        <v>7187.92</v>
      </c>
      <c r="H24" s="69">
        <f t="shared" si="16"/>
        <v>5187.92</v>
      </c>
      <c r="I24" s="69">
        <f t="shared" si="16"/>
        <v>7187.92</v>
      </c>
      <c r="J24" s="69">
        <f t="shared" si="16"/>
        <v>7187.92</v>
      </c>
      <c r="K24" s="69">
        <f t="shared" si="16"/>
        <v>7187.8899999999994</v>
      </c>
      <c r="L24" s="69">
        <f t="shared" ref="L24:AE24" si="17">SUM(L21:L23)</f>
        <v>4357.84</v>
      </c>
      <c r="M24" s="69">
        <f t="shared" si="17"/>
        <v>36519.670000000013</v>
      </c>
      <c r="N24" s="69">
        <f t="shared" si="17"/>
        <v>0</v>
      </c>
      <c r="O24" s="69">
        <f t="shared" si="17"/>
        <v>246</v>
      </c>
      <c r="P24" s="69">
        <f t="shared" si="17"/>
        <v>8797.85</v>
      </c>
      <c r="Q24" s="69">
        <f t="shared" si="17"/>
        <v>27475.820000000014</v>
      </c>
      <c r="R24" s="69">
        <f t="shared" si="17"/>
        <v>4790</v>
      </c>
      <c r="S24" s="69">
        <f>Q24-R24</f>
        <v>22685.820000000014</v>
      </c>
      <c r="T24" s="69">
        <f>SUM(T21:T23)</f>
        <v>792.08</v>
      </c>
      <c r="U24" s="69">
        <f>SUM(U21:U23)</f>
        <v>8599.68</v>
      </c>
      <c r="V24" s="69">
        <f t="shared" si="17"/>
        <v>792.08</v>
      </c>
      <c r="W24" s="69">
        <f t="shared" si="17"/>
        <v>7423.68</v>
      </c>
      <c r="X24" s="69">
        <f t="shared" si="17"/>
        <v>11457.68</v>
      </c>
      <c r="Y24" s="69">
        <f t="shared" si="17"/>
        <v>792.08</v>
      </c>
      <c r="Z24" s="69">
        <f t="shared" si="17"/>
        <v>6195.68</v>
      </c>
      <c r="AA24" s="69">
        <f t="shared" si="17"/>
        <v>3493.68</v>
      </c>
      <c r="AB24" s="69">
        <f t="shared" si="17"/>
        <v>6508.08</v>
      </c>
      <c r="AC24" s="69">
        <f t="shared" si="17"/>
        <v>7743.08</v>
      </c>
      <c r="AD24" s="69">
        <f t="shared" si="17"/>
        <v>7632.08</v>
      </c>
      <c r="AE24" s="69">
        <f t="shared" si="17"/>
        <v>3650.08</v>
      </c>
      <c r="AF24" s="69">
        <f>SUM(AF21:AF23)</f>
        <v>115079.96</v>
      </c>
      <c r="AG24" s="87">
        <f>S24-AF24</f>
        <v>-92394.139999999985</v>
      </c>
      <c r="AH24" s="88">
        <f t="shared" si="13"/>
        <v>-0.99343196602333195</v>
      </c>
      <c r="AI24" s="73">
        <f>-AG24</f>
        <v>92394.139999999985</v>
      </c>
      <c r="AJ24" s="74"/>
    </row>
    <row r="25" spans="2:36" ht="17" x14ac:dyDescent="0.2">
      <c r="B25" s="15" t="s">
        <v>53</v>
      </c>
      <c r="C25" s="89">
        <f>C13+C19+C24</f>
        <v>233644</v>
      </c>
      <c r="D25" s="89"/>
      <c r="E25" s="89">
        <f>+E24+E19+E13</f>
        <v>12000</v>
      </c>
      <c r="F25" s="89">
        <f>+F24</f>
        <v>6187.92</v>
      </c>
      <c r="G25" s="89">
        <f>+G24+G19+G13</f>
        <v>7187.92</v>
      </c>
      <c r="H25" s="89">
        <f t="shared" ref="H25:K25" si="18">+H24+H19+H13</f>
        <v>7162.92</v>
      </c>
      <c r="I25" s="89">
        <f t="shared" si="18"/>
        <v>14061.17</v>
      </c>
      <c r="J25" s="89">
        <f t="shared" si="18"/>
        <v>10317.92</v>
      </c>
      <c r="K25" s="89">
        <f t="shared" si="18"/>
        <v>11715.89</v>
      </c>
      <c r="L25" s="89">
        <f t="shared" ref="L25:AD25" si="19">L13+L19+L24</f>
        <v>6361.34</v>
      </c>
      <c r="M25" s="89">
        <f t="shared" si="19"/>
        <v>153182.81</v>
      </c>
      <c r="N25" s="89">
        <f t="shared" si="19"/>
        <v>1840</v>
      </c>
      <c r="O25" s="89">
        <f t="shared" si="19"/>
        <v>6784</v>
      </c>
      <c r="P25" s="89">
        <f t="shared" si="19"/>
        <v>30163.25</v>
      </c>
      <c r="Q25" s="89">
        <f>Q13+Q19+Q24</f>
        <v>114395.56</v>
      </c>
      <c r="R25" s="89">
        <f>R13+R19+R24</f>
        <v>16697.75</v>
      </c>
      <c r="S25" s="89">
        <f>Q25-R25</f>
        <v>97697.81</v>
      </c>
      <c r="T25" s="89">
        <f>T13+T19+T24</f>
        <v>8128.91</v>
      </c>
      <c r="U25" s="89">
        <f t="shared" si="19"/>
        <v>17919.510000000002</v>
      </c>
      <c r="V25" s="89">
        <f t="shared" si="19"/>
        <v>18252.910000000003</v>
      </c>
      <c r="W25" s="89">
        <f t="shared" si="19"/>
        <v>17179.510000000002</v>
      </c>
      <c r="X25" s="89">
        <f t="shared" si="19"/>
        <v>27975.510000000002</v>
      </c>
      <c r="Y25" s="89">
        <f t="shared" si="19"/>
        <v>10593.91</v>
      </c>
      <c r="Z25" s="89">
        <f t="shared" si="19"/>
        <v>22713.510000000002</v>
      </c>
      <c r="AA25" s="89">
        <f t="shared" si="19"/>
        <v>11733.51</v>
      </c>
      <c r="AB25" s="89">
        <f t="shared" si="19"/>
        <v>16327.91</v>
      </c>
      <c r="AC25" s="89">
        <f t="shared" si="19"/>
        <v>23553.91</v>
      </c>
      <c r="AD25" s="89">
        <f t="shared" si="19"/>
        <v>18533.91</v>
      </c>
      <c r="AE25" s="89">
        <f>AE13+AE19+AE24</f>
        <v>19495.91</v>
      </c>
      <c r="AF25" s="89">
        <f>AF13+AF19+AF24</f>
        <v>279935.17000000004</v>
      </c>
      <c r="AG25" s="90">
        <f>S25-AF25</f>
        <v>-182237.36000000004</v>
      </c>
      <c r="AH25" s="91">
        <f t="shared" si="13"/>
        <v>-0.77997877112187797</v>
      </c>
      <c r="AI25" s="73">
        <f>-AG25</f>
        <v>182237.36000000004</v>
      </c>
      <c r="AJ25" s="74"/>
    </row>
    <row r="26" spans="2:36" ht="17" x14ac:dyDescent="0.2">
      <c r="B26" s="15" t="s">
        <v>54</v>
      </c>
      <c r="C26" s="89">
        <f>C25*0.07</f>
        <v>16355.080000000002</v>
      </c>
      <c r="D26" s="89">
        <f t="shared" ref="D26:L26" si="20">D25*0.07</f>
        <v>0</v>
      </c>
      <c r="E26" s="89">
        <f t="shared" si="20"/>
        <v>840.00000000000011</v>
      </c>
      <c r="F26" s="89">
        <f t="shared" si="20"/>
        <v>433.15440000000007</v>
      </c>
      <c r="G26" s="89">
        <f t="shared" si="20"/>
        <v>503.15440000000007</v>
      </c>
      <c r="H26" s="89">
        <f t="shared" si="20"/>
        <v>501.40440000000007</v>
      </c>
      <c r="I26" s="89">
        <f t="shared" si="20"/>
        <v>984.28190000000006</v>
      </c>
      <c r="J26" s="89">
        <f t="shared" si="20"/>
        <v>722.25440000000003</v>
      </c>
      <c r="K26" s="89">
        <f t="shared" si="20"/>
        <v>820.1123</v>
      </c>
      <c r="L26" s="89">
        <f t="shared" si="20"/>
        <v>445.29380000000003</v>
      </c>
      <c r="M26" s="92">
        <v>10851.63</v>
      </c>
      <c r="N26" s="93"/>
      <c r="O26" s="93"/>
      <c r="P26" s="94"/>
      <c r="Q26" s="95">
        <f>M26-N26-O26-P26</f>
        <v>10851.63</v>
      </c>
      <c r="R26" s="95"/>
      <c r="S26" s="95">
        <f>Q26-R26</f>
        <v>10851.63</v>
      </c>
      <c r="T26" s="95"/>
      <c r="U26" s="95"/>
      <c r="V26" s="95"/>
      <c r="W26" s="95"/>
      <c r="X26" s="95"/>
      <c r="Y26" s="95"/>
      <c r="Z26" s="95"/>
      <c r="AA26" s="95"/>
      <c r="AB26" s="95"/>
      <c r="AC26" s="95"/>
      <c r="AD26" s="95"/>
      <c r="AE26" s="95"/>
      <c r="AF26" s="95">
        <f>S26+(AI25*0.07)</f>
        <v>23608.245200000005</v>
      </c>
      <c r="AG26" s="90">
        <f>S26-AF26</f>
        <v>-12756.615200000006</v>
      </c>
      <c r="AH26" s="91">
        <f t="shared" si="13"/>
        <v>-0.77997877112187797</v>
      </c>
      <c r="AI26" s="73">
        <f>-AG26</f>
        <v>12756.615200000006</v>
      </c>
      <c r="AJ26" s="74"/>
    </row>
    <row r="27" spans="2:36" ht="17" x14ac:dyDescent="0.2">
      <c r="B27" s="5" t="s">
        <v>33</v>
      </c>
      <c r="C27" s="96">
        <f>C25+C26</f>
        <v>249999.08000000002</v>
      </c>
      <c r="D27" s="96">
        <f t="shared" ref="D27:K27" si="21">D25+D26</f>
        <v>0</v>
      </c>
      <c r="E27" s="96">
        <f t="shared" si="21"/>
        <v>12840</v>
      </c>
      <c r="F27" s="96">
        <f t="shared" si="21"/>
        <v>6621.0744000000004</v>
      </c>
      <c r="G27" s="96">
        <f t="shared" si="21"/>
        <v>7691.0744000000004</v>
      </c>
      <c r="H27" s="96">
        <f t="shared" si="21"/>
        <v>7664.3244000000004</v>
      </c>
      <c r="I27" s="96">
        <f t="shared" si="21"/>
        <v>15045.4519</v>
      </c>
      <c r="J27" s="96">
        <f t="shared" si="21"/>
        <v>11040.1744</v>
      </c>
      <c r="K27" s="96">
        <f t="shared" si="21"/>
        <v>12536.0023</v>
      </c>
      <c r="L27" s="96">
        <f t="shared" ref="L27:AA27" si="22">L25+L26</f>
        <v>6806.6338000000005</v>
      </c>
      <c r="M27" s="96">
        <f t="shared" si="22"/>
        <v>164034.44</v>
      </c>
      <c r="N27" s="96">
        <f t="shared" si="22"/>
        <v>1840</v>
      </c>
      <c r="O27" s="96">
        <f t="shared" si="22"/>
        <v>6784</v>
      </c>
      <c r="P27" s="96">
        <f t="shared" si="22"/>
        <v>30163.25</v>
      </c>
      <c r="Q27" s="96">
        <f t="shared" si="22"/>
        <v>125247.19</v>
      </c>
      <c r="R27" s="96">
        <f>R25+R26</f>
        <v>16697.75</v>
      </c>
      <c r="S27" s="96">
        <f>S25+S26</f>
        <v>108549.44</v>
      </c>
      <c r="T27" s="96">
        <f t="shared" si="22"/>
        <v>8128.91</v>
      </c>
      <c r="U27" s="96">
        <f t="shared" si="22"/>
        <v>17919.510000000002</v>
      </c>
      <c r="V27" s="96">
        <f t="shared" si="22"/>
        <v>18252.910000000003</v>
      </c>
      <c r="W27" s="96">
        <f t="shared" si="22"/>
        <v>17179.510000000002</v>
      </c>
      <c r="X27" s="96">
        <f t="shared" si="22"/>
        <v>27975.510000000002</v>
      </c>
      <c r="Y27" s="96">
        <f t="shared" si="22"/>
        <v>10593.91</v>
      </c>
      <c r="Z27" s="96">
        <f t="shared" si="22"/>
        <v>22713.510000000002</v>
      </c>
      <c r="AA27" s="96">
        <f t="shared" si="22"/>
        <v>11733.51</v>
      </c>
      <c r="AB27" s="96">
        <f t="shared" ref="AB27" si="23">AB25+AB26</f>
        <v>16327.91</v>
      </c>
      <c r="AC27" s="96">
        <f t="shared" ref="AC27" si="24">AC25+AC26</f>
        <v>23553.91</v>
      </c>
      <c r="AD27" s="96">
        <f t="shared" ref="AD27" si="25">AD25+AD26</f>
        <v>18533.91</v>
      </c>
      <c r="AE27" s="96">
        <f t="shared" ref="AE27" si="26">AE25+AE26</f>
        <v>19495.91</v>
      </c>
      <c r="AF27" s="96">
        <f>AF26+AF25</f>
        <v>303543.41520000005</v>
      </c>
      <c r="AG27" s="96">
        <f>AG25+AG26</f>
        <v>-194993.97520000004</v>
      </c>
      <c r="AH27" s="97">
        <f>AG27/C27</f>
        <v>-0.77997877112187786</v>
      </c>
      <c r="AI27" s="73">
        <f>-AG27</f>
        <v>194993.97520000004</v>
      </c>
      <c r="AJ27" s="74"/>
    </row>
    <row r="29" spans="2:36" x14ac:dyDescent="0.2">
      <c r="B29" s="62"/>
      <c r="O29" s="62"/>
      <c r="AG29" s="140">
        <v>279935.17</v>
      </c>
      <c r="AH29" s="62"/>
    </row>
    <row r="30" spans="2:36" x14ac:dyDescent="0.2">
      <c r="B30" s="62"/>
      <c r="N30" s="100"/>
      <c r="O30" s="100"/>
      <c r="AG30" s="62">
        <f>AG29*0.07</f>
        <v>19595.461900000002</v>
      </c>
      <c r="AH30" s="62"/>
    </row>
    <row r="31" spans="2:36" x14ac:dyDescent="0.2">
      <c r="AG31" s="62"/>
      <c r="AH31" s="62"/>
    </row>
    <row r="32" spans="2:36" x14ac:dyDescent="0.2">
      <c r="N32" s="101"/>
      <c r="O32" s="101"/>
    </row>
  </sheetData>
  <pageMargins left="0.75" right="0.75" top="1" bottom="1" header="0.5" footer="0.5"/>
  <pageSetup paperSize="9"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workbookViewId="0">
      <pane ySplit="1" topLeftCell="A2" activePane="bottomLeft" state="frozen"/>
      <selection pane="bottomLeft" activeCell="E11" sqref="E11"/>
    </sheetView>
  </sheetViews>
  <sheetFormatPr baseColWidth="10" defaultColWidth="8.83203125" defaultRowHeight="16" x14ac:dyDescent="0.2"/>
  <cols>
    <col min="1" max="1" width="52.83203125" customWidth="1"/>
    <col min="2" max="2" width="14.6640625" style="3" customWidth="1"/>
    <col min="3" max="3" width="17.6640625" customWidth="1"/>
    <col min="4" max="4" width="13.33203125" style="3" customWidth="1"/>
    <col min="5" max="5" width="19.1640625" customWidth="1"/>
    <col min="6" max="6" width="26.33203125" style="4" customWidth="1"/>
    <col min="7" max="7" width="12.6640625" customWidth="1"/>
    <col min="8" max="8" width="11.5" customWidth="1"/>
    <col min="9" max="9" width="12.1640625" bestFit="1" customWidth="1"/>
  </cols>
  <sheetData>
    <row r="1" spans="1:9" s="29" customFormat="1" ht="51" x14ac:dyDescent="0.2">
      <c r="A1" s="27" t="s">
        <v>60</v>
      </c>
      <c r="B1" s="30" t="s">
        <v>43</v>
      </c>
      <c r="C1" s="37" t="s">
        <v>46</v>
      </c>
      <c r="D1" s="23" t="s">
        <v>39</v>
      </c>
      <c r="E1" s="37" t="s">
        <v>47</v>
      </c>
      <c r="F1" s="37" t="s">
        <v>48</v>
      </c>
      <c r="G1" s="37" t="s">
        <v>63</v>
      </c>
    </row>
    <row r="2" spans="1:9" x14ac:dyDescent="0.2">
      <c r="A2" s="21" t="s">
        <v>1</v>
      </c>
      <c r="B2" s="6"/>
      <c r="C2" s="31"/>
      <c r="D2" s="6"/>
      <c r="E2" s="31"/>
      <c r="F2" s="38"/>
      <c r="G2" s="31"/>
    </row>
    <row r="3" spans="1:9" ht="17" x14ac:dyDescent="0.2">
      <c r="A3" s="34" t="s">
        <v>55</v>
      </c>
      <c r="B3" s="35">
        <f>'SUIVI BUDGETAIRE Apui au ST'!C9</f>
        <v>65194</v>
      </c>
      <c r="C3" s="36">
        <f>B3-D3</f>
        <v>22117</v>
      </c>
      <c r="D3" s="9">
        <f>'SUIVI BUDGETAIRE Apui au ST'!S9</f>
        <v>43077</v>
      </c>
      <c r="E3" s="36">
        <f>'SUIVI BUDGETAIRE Apui au ST'!AF9</f>
        <v>95193.960000000021</v>
      </c>
      <c r="F3" s="39">
        <f>E3-D3</f>
        <v>52116.960000000021</v>
      </c>
      <c r="G3" s="36">
        <f>B3+F3</f>
        <v>117310.96000000002</v>
      </c>
    </row>
    <row r="4" spans="1:9" ht="34" x14ac:dyDescent="0.2">
      <c r="A4" s="34" t="s">
        <v>56</v>
      </c>
      <c r="B4" s="35">
        <f>'SUIVI BUDGETAIRE Apui au ST'!C12</f>
        <v>58445</v>
      </c>
      <c r="C4" s="36">
        <f>B4-D4</f>
        <v>38998.26</v>
      </c>
      <c r="D4" s="9">
        <f>'SUIVI BUDGETAIRE Apui au ST'!S12</f>
        <v>19446.739999999998</v>
      </c>
      <c r="E4" s="36">
        <f>'SUIVI BUDGETAIRE Apui au ST'!AF12</f>
        <v>49635</v>
      </c>
      <c r="F4" s="39">
        <f>E4-D4</f>
        <v>30188.260000000002</v>
      </c>
      <c r="G4" s="36">
        <f>B4+F4</f>
        <v>88633.260000000009</v>
      </c>
    </row>
    <row r="5" spans="1:9" s="4" customFormat="1" ht="17" x14ac:dyDescent="0.2">
      <c r="A5" s="10" t="s">
        <v>61</v>
      </c>
      <c r="B5" s="11">
        <f>B3+B4</f>
        <v>123639</v>
      </c>
      <c r="C5" s="40">
        <f>B5-D5</f>
        <v>61115.26</v>
      </c>
      <c r="D5" s="12">
        <f>D3+D4</f>
        <v>62523.74</v>
      </c>
      <c r="E5" s="40">
        <f>E3+E4</f>
        <v>144828.96000000002</v>
      </c>
      <c r="F5" s="40">
        <f>E5-D5</f>
        <v>82305.22000000003</v>
      </c>
      <c r="G5" s="44">
        <f>B5+F5</f>
        <v>205944.22000000003</v>
      </c>
    </row>
    <row r="6" spans="1:9" x14ac:dyDescent="0.2">
      <c r="A6" s="21" t="s">
        <v>15</v>
      </c>
      <c r="B6" s="6"/>
      <c r="C6" s="31"/>
      <c r="D6" s="6"/>
      <c r="E6" s="31"/>
      <c r="F6" s="38"/>
      <c r="G6" s="31"/>
    </row>
    <row r="7" spans="1:9" s="4" customFormat="1" ht="17" x14ac:dyDescent="0.2">
      <c r="A7" s="10" t="s">
        <v>57</v>
      </c>
      <c r="B7" s="12">
        <f>'SUIVI BUDGETAIRE Apui au ST'!C19</f>
        <v>17000</v>
      </c>
      <c r="C7" s="40">
        <f>B7-D7</f>
        <v>4511.75</v>
      </c>
      <c r="D7" s="12">
        <f>'SUIVI BUDGETAIRE Apui au ST'!S19</f>
        <v>12488.25</v>
      </c>
      <c r="E7" s="40">
        <f>'SUIVI BUDGETAIRE Apui au ST'!AF19</f>
        <v>20026.25</v>
      </c>
      <c r="F7" s="40">
        <f>E7-D7</f>
        <v>7538</v>
      </c>
      <c r="G7" s="44">
        <f>B7+F7</f>
        <v>24538</v>
      </c>
    </row>
    <row r="8" spans="1:9" x14ac:dyDescent="0.2">
      <c r="A8" s="21" t="s">
        <v>16</v>
      </c>
      <c r="B8" s="6"/>
      <c r="C8" s="31"/>
      <c r="D8" s="6"/>
      <c r="E8" s="31"/>
      <c r="F8" s="38"/>
      <c r="G8" s="31"/>
    </row>
    <row r="9" spans="1:9" s="4" customFormat="1" x14ac:dyDescent="0.2">
      <c r="A9" s="14" t="s">
        <v>58</v>
      </c>
      <c r="B9" s="12">
        <f>'SUIVI BUDGETAIRE Apui au ST'!C24</f>
        <v>93005</v>
      </c>
      <c r="C9" s="40">
        <f>B9-D9</f>
        <v>70319.179999999993</v>
      </c>
      <c r="D9" s="12">
        <f>'SUIVI BUDGETAIRE Apui au ST'!S24</f>
        <v>22685.820000000014</v>
      </c>
      <c r="E9" s="40">
        <f>'SUIVI BUDGETAIRE Apui au ST'!AF24</f>
        <v>115079.96</v>
      </c>
      <c r="F9" s="40">
        <f>E9-D9</f>
        <v>92394.139999999985</v>
      </c>
      <c r="G9" s="44">
        <f>B9+F9</f>
        <v>185399.13999999998</v>
      </c>
    </row>
    <row r="10" spans="1:9" ht="17" x14ac:dyDescent="0.2">
      <c r="A10" s="15" t="s">
        <v>62</v>
      </c>
      <c r="B10" s="16">
        <f>B5+B7+B9</f>
        <v>233644</v>
      </c>
      <c r="C10" s="32">
        <f>B10-D10</f>
        <v>135946.19</v>
      </c>
      <c r="D10" s="16">
        <v>97697.81</v>
      </c>
      <c r="E10" s="32">
        <f>E5+E7+E9</f>
        <v>279935.17000000004</v>
      </c>
      <c r="F10" s="41">
        <f>E10-D10</f>
        <v>182237.36000000004</v>
      </c>
      <c r="G10" s="33">
        <f>B10+F10</f>
        <v>415881.36000000004</v>
      </c>
    </row>
    <row r="11" spans="1:9" ht="17" x14ac:dyDescent="0.2">
      <c r="A11" s="15" t="s">
        <v>59</v>
      </c>
      <c r="B11" s="16">
        <f>B10*0.07</f>
        <v>16355.080000000002</v>
      </c>
      <c r="C11" s="32">
        <f>B11-D11</f>
        <v>5503.4500000000025</v>
      </c>
      <c r="D11" s="17">
        <f>'SUIVI BUDGETAIRE Apui au ST'!S26</f>
        <v>10851.63</v>
      </c>
      <c r="E11" s="32">
        <f>'SUIVI BUDGETAIRE Apui au ST'!AF26</f>
        <v>23608.245200000005</v>
      </c>
      <c r="F11" s="41">
        <f>E11-D11</f>
        <v>12756.615200000006</v>
      </c>
      <c r="G11" s="33">
        <f>B11+F11</f>
        <v>29111.695200000009</v>
      </c>
      <c r="H11" t="s">
        <v>64</v>
      </c>
      <c r="I11" s="19">
        <f>G10*0.07</f>
        <v>29111.695200000006</v>
      </c>
    </row>
    <row r="12" spans="1:9" s="4" customFormat="1" ht="17" x14ac:dyDescent="0.2">
      <c r="A12" s="5" t="s">
        <v>33</v>
      </c>
      <c r="B12" s="18">
        <f>B10+B11</f>
        <v>249999.08000000002</v>
      </c>
      <c r="C12" s="42">
        <f>B12-D12</f>
        <v>141449.64000000001</v>
      </c>
      <c r="D12" s="18">
        <v>108549.44</v>
      </c>
      <c r="E12" s="42">
        <f>E10+E11</f>
        <v>303543.41520000005</v>
      </c>
      <c r="F12" s="43">
        <f>E12-D12</f>
        <v>194993.97520000004</v>
      </c>
      <c r="G12" s="42">
        <f>B12+F12</f>
        <v>444993.05520000006</v>
      </c>
      <c r="H12" t="s">
        <v>64</v>
      </c>
      <c r="I12" s="20">
        <f>G10+G11</f>
        <v>444993.05520000006</v>
      </c>
    </row>
    <row r="14" spans="1:9" x14ac:dyDescent="0.2">
      <c r="A14" s="19"/>
      <c r="G14" s="19"/>
    </row>
    <row r="16" spans="1:9" x14ac:dyDescent="0.2">
      <c r="C16" s="19"/>
    </row>
    <row r="18" spans="3:5" x14ac:dyDescent="0.2">
      <c r="C18" s="19"/>
      <c r="E18" s="19"/>
    </row>
    <row r="19" spans="3:5" x14ac:dyDescent="0.2">
      <c r="C19" s="19"/>
      <c r="E19"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305F-0ABB-8C42-B535-1D4099DA7408}">
  <dimension ref="A1:G39"/>
  <sheetViews>
    <sheetView tabSelected="1" topLeftCell="A26" workbookViewId="0">
      <selection activeCell="B26" sqref="B26"/>
    </sheetView>
  </sheetViews>
  <sheetFormatPr baseColWidth="10" defaultRowHeight="16" x14ac:dyDescent="0.2"/>
  <cols>
    <col min="1" max="1" width="80.6640625" style="45" bestFit="1" customWidth="1"/>
    <col min="2" max="4" width="14.6640625" style="98" customWidth="1"/>
    <col min="5" max="5" width="13.5" customWidth="1"/>
    <col min="7" max="7" width="34.6640625" style="121" customWidth="1"/>
  </cols>
  <sheetData>
    <row r="1" spans="1:7" ht="51" x14ac:dyDescent="0.2">
      <c r="A1" s="25" t="s">
        <v>0</v>
      </c>
      <c r="B1" s="30" t="s">
        <v>43</v>
      </c>
      <c r="C1" s="30" t="s">
        <v>39</v>
      </c>
      <c r="D1" s="30" t="s">
        <v>44</v>
      </c>
      <c r="E1" s="102" t="s">
        <v>83</v>
      </c>
      <c r="F1" s="103" t="s">
        <v>74</v>
      </c>
      <c r="G1" s="121" t="s">
        <v>76</v>
      </c>
    </row>
    <row r="2" spans="1:7" ht="17" x14ac:dyDescent="0.2">
      <c r="A2" s="47" t="s">
        <v>1</v>
      </c>
      <c r="B2" s="48"/>
      <c r="C2" s="123"/>
      <c r="D2" s="123"/>
      <c r="E2" s="104"/>
      <c r="F2" s="105"/>
    </row>
    <row r="3" spans="1:7" ht="17" x14ac:dyDescent="0.2">
      <c r="A3" s="1" t="s">
        <v>3</v>
      </c>
      <c r="B3" s="53">
        <v>51070</v>
      </c>
      <c r="C3" s="124">
        <v>39030</v>
      </c>
      <c r="D3" s="124">
        <v>51069.960000000014</v>
      </c>
      <c r="E3" s="106">
        <v>-12039.96</v>
      </c>
      <c r="F3" s="107">
        <v>-0.24</v>
      </c>
      <c r="G3" s="121" t="s">
        <v>77</v>
      </c>
    </row>
    <row r="4" spans="1:7" ht="17" x14ac:dyDescent="0.2">
      <c r="A4" s="1" t="s">
        <v>6</v>
      </c>
      <c r="B4" s="53">
        <v>3531</v>
      </c>
      <c r="C4" s="124">
        <v>917</v>
      </c>
      <c r="D4" s="124">
        <v>3531</v>
      </c>
      <c r="E4" s="106">
        <v>-2614</v>
      </c>
      <c r="F4" s="108">
        <v>-0.74</v>
      </c>
      <c r="G4" s="121" t="s">
        <v>78</v>
      </c>
    </row>
    <row r="5" spans="1:7" ht="17" x14ac:dyDescent="0.2">
      <c r="A5" s="1" t="s">
        <v>7</v>
      </c>
      <c r="B5" s="53">
        <v>3531</v>
      </c>
      <c r="C5" s="124">
        <v>-1107</v>
      </c>
      <c r="D5" s="124">
        <v>3531</v>
      </c>
      <c r="E5" s="106">
        <v>-4638</v>
      </c>
      <c r="F5" s="108">
        <v>-1.31</v>
      </c>
      <c r="G5" s="121" t="s">
        <v>78</v>
      </c>
    </row>
    <row r="6" spans="1:7" ht="17" x14ac:dyDescent="0.2">
      <c r="A6" s="1" t="s">
        <v>8</v>
      </c>
      <c r="B6" s="53">
        <v>3531</v>
      </c>
      <c r="C6" s="124">
        <v>2116</v>
      </c>
      <c r="D6" s="124">
        <v>3531</v>
      </c>
      <c r="E6" s="106">
        <v>-1415</v>
      </c>
      <c r="F6" s="107">
        <v>-0.4</v>
      </c>
      <c r="G6" s="121" t="s">
        <v>78</v>
      </c>
    </row>
    <row r="7" spans="1:7" ht="17" x14ac:dyDescent="0.2">
      <c r="A7" s="1" t="s">
        <v>11</v>
      </c>
      <c r="B7" s="53">
        <v>3531</v>
      </c>
      <c r="C7" s="124">
        <v>2121</v>
      </c>
      <c r="D7" s="124">
        <v>3531</v>
      </c>
      <c r="E7" s="106">
        <v>-1410</v>
      </c>
      <c r="F7" s="107">
        <v>-0.4</v>
      </c>
      <c r="G7" s="121" t="s">
        <v>78</v>
      </c>
    </row>
    <row r="8" spans="1:7" ht="17" x14ac:dyDescent="0.2">
      <c r="A8" s="1" t="s">
        <v>42</v>
      </c>
      <c r="B8" s="53">
        <v>0</v>
      </c>
      <c r="C8" s="124">
        <v>0</v>
      </c>
      <c r="D8" s="124">
        <v>30000</v>
      </c>
      <c r="E8" s="106">
        <v>-30000</v>
      </c>
      <c r="F8" s="107"/>
      <c r="G8" s="121" t="s">
        <v>78</v>
      </c>
    </row>
    <row r="9" spans="1:7" ht="17" x14ac:dyDescent="0.2">
      <c r="A9" s="7" t="s">
        <v>49</v>
      </c>
      <c r="B9" s="8">
        <f>SUM(B3:B8)</f>
        <v>65194</v>
      </c>
      <c r="C9" s="125">
        <v>43077</v>
      </c>
      <c r="D9" s="125">
        <v>95193.960000000021</v>
      </c>
      <c r="E9" s="109">
        <v>-52116.959999999999</v>
      </c>
      <c r="F9" s="110">
        <v>-0.8</v>
      </c>
    </row>
    <row r="10" spans="1:7" ht="17" x14ac:dyDescent="0.2">
      <c r="A10" s="1" t="s">
        <v>10</v>
      </c>
      <c r="B10" s="56">
        <v>15245</v>
      </c>
      <c r="C10" s="126">
        <v>8918</v>
      </c>
      <c r="D10" s="126">
        <v>25135</v>
      </c>
      <c r="E10" s="106">
        <v>-16217</v>
      </c>
      <c r="F10" s="107">
        <v>-1.06</v>
      </c>
      <c r="G10" s="121" t="s">
        <v>78</v>
      </c>
    </row>
    <row r="11" spans="1:7" ht="17" x14ac:dyDescent="0.2">
      <c r="A11" s="1" t="s">
        <v>9</v>
      </c>
      <c r="B11" s="56">
        <v>43200</v>
      </c>
      <c r="C11" s="126">
        <v>10528.74</v>
      </c>
      <c r="D11" s="126">
        <v>24500</v>
      </c>
      <c r="E11" s="106">
        <v>-13971.26</v>
      </c>
      <c r="F11" s="107">
        <v>-0.32</v>
      </c>
      <c r="G11" s="121" t="s">
        <v>78</v>
      </c>
    </row>
    <row r="12" spans="1:7" ht="17" x14ac:dyDescent="0.2">
      <c r="A12" s="7" t="s">
        <v>50</v>
      </c>
      <c r="B12" s="8">
        <f>B10+B11</f>
        <v>58445</v>
      </c>
      <c r="C12" s="125">
        <v>19446.739999999998</v>
      </c>
      <c r="D12" s="125">
        <v>49635</v>
      </c>
      <c r="E12" s="109">
        <v>-30188.26</v>
      </c>
      <c r="F12" s="110">
        <v>-0.52</v>
      </c>
    </row>
    <row r="13" spans="1:7" ht="17" x14ac:dyDescent="0.2">
      <c r="A13" s="10" t="s">
        <v>2</v>
      </c>
      <c r="B13" s="11">
        <f>B9+B12</f>
        <v>123639</v>
      </c>
      <c r="C13" s="127">
        <v>62523.739999999991</v>
      </c>
      <c r="D13" s="127">
        <v>144828.96000000002</v>
      </c>
      <c r="E13" s="111">
        <v>-82305.22</v>
      </c>
      <c r="F13" s="108">
        <v>-0.67</v>
      </c>
    </row>
    <row r="14" spans="1:7" ht="34" x14ac:dyDescent="0.2">
      <c r="A14" s="49" t="s">
        <v>15</v>
      </c>
      <c r="B14" s="48"/>
      <c r="C14" s="123"/>
      <c r="D14" s="123"/>
      <c r="E14" s="112" t="s">
        <v>75</v>
      </c>
      <c r="F14" s="105"/>
    </row>
    <row r="15" spans="1:7" ht="17" x14ac:dyDescent="0.2">
      <c r="A15" s="13" t="s">
        <v>4</v>
      </c>
      <c r="B15" s="53">
        <v>9000</v>
      </c>
      <c r="C15" s="124">
        <v>7212</v>
      </c>
      <c r="D15" s="124">
        <v>10000</v>
      </c>
      <c r="E15" s="106">
        <v>-2788</v>
      </c>
      <c r="F15" s="107">
        <v>-0.31</v>
      </c>
      <c r="G15" s="122" t="s">
        <v>80</v>
      </c>
    </row>
    <row r="16" spans="1:7" ht="17" x14ac:dyDescent="0.2">
      <c r="A16" s="13" t="s">
        <v>12</v>
      </c>
      <c r="B16" s="53">
        <v>3000</v>
      </c>
      <c r="C16" s="124">
        <v>1900</v>
      </c>
      <c r="D16" s="124">
        <v>3400</v>
      </c>
      <c r="E16" s="106">
        <v>-1500</v>
      </c>
      <c r="F16" s="107">
        <v>-0.5</v>
      </c>
      <c r="G16" s="122" t="s">
        <v>80</v>
      </c>
    </row>
    <row r="17" spans="1:7" ht="17" x14ac:dyDescent="0.2">
      <c r="A17" s="13" t="s">
        <v>13</v>
      </c>
      <c r="B17" s="53">
        <v>3750</v>
      </c>
      <c r="C17" s="124">
        <v>2126.25</v>
      </c>
      <c r="D17" s="124">
        <v>4126.25</v>
      </c>
      <c r="E17" s="106">
        <v>-2000</v>
      </c>
      <c r="F17" s="107">
        <v>-0.53</v>
      </c>
      <c r="G17" s="121" t="s">
        <v>78</v>
      </c>
    </row>
    <row r="18" spans="1:7" ht="17" x14ac:dyDescent="0.2">
      <c r="A18" s="13" t="s">
        <v>14</v>
      </c>
      <c r="B18" s="53">
        <v>1250</v>
      </c>
      <c r="C18" s="124">
        <v>1250</v>
      </c>
      <c r="D18" s="124">
        <v>2500</v>
      </c>
      <c r="E18" s="106">
        <v>-1250</v>
      </c>
      <c r="F18" s="107">
        <v>-1</v>
      </c>
      <c r="G18" s="121" t="s">
        <v>78</v>
      </c>
    </row>
    <row r="19" spans="1:7" ht="17" x14ac:dyDescent="0.2">
      <c r="A19" s="10" t="s">
        <v>51</v>
      </c>
      <c r="B19" s="69">
        <f>SUM(B15:B18)</f>
        <v>17000</v>
      </c>
      <c r="C19" s="128">
        <v>12488.25</v>
      </c>
      <c r="D19" s="128">
        <v>20026.25</v>
      </c>
      <c r="E19" s="111">
        <v>-7538</v>
      </c>
      <c r="F19" s="108">
        <v>-0.44</v>
      </c>
    </row>
    <row r="20" spans="1:7" ht="34" x14ac:dyDescent="0.2">
      <c r="A20" s="49" t="s">
        <v>16</v>
      </c>
      <c r="B20" s="48"/>
      <c r="C20" s="123"/>
      <c r="D20" s="123"/>
      <c r="E20" s="112" t="s">
        <v>75</v>
      </c>
      <c r="F20" s="105"/>
    </row>
    <row r="21" spans="1:7" ht="17" x14ac:dyDescent="0.2">
      <c r="A21" s="2" t="s">
        <v>5</v>
      </c>
      <c r="B21" s="53">
        <v>71500</v>
      </c>
      <c r="C21" s="124">
        <v>22685.820000000014</v>
      </c>
      <c r="D21" s="124">
        <v>55575</v>
      </c>
      <c r="E21" s="113">
        <v>-32889</v>
      </c>
      <c r="F21" s="107">
        <v>-0.46</v>
      </c>
      <c r="G21" s="121" t="s">
        <v>78</v>
      </c>
    </row>
    <row r="22" spans="1:7" ht="17" x14ac:dyDescent="0.2">
      <c r="A22" s="2" t="s">
        <v>40</v>
      </c>
      <c r="B22" s="53">
        <v>12000</v>
      </c>
      <c r="C22" s="124">
        <v>0</v>
      </c>
      <c r="D22" s="124">
        <v>50000</v>
      </c>
      <c r="E22" s="113">
        <v>-50000</v>
      </c>
      <c r="F22" s="107">
        <v>-4.17</v>
      </c>
      <c r="G22" s="121" t="s">
        <v>78</v>
      </c>
    </row>
    <row r="23" spans="1:7" ht="17" x14ac:dyDescent="0.2">
      <c r="A23" s="2" t="s">
        <v>17</v>
      </c>
      <c r="B23" s="53">
        <v>9505</v>
      </c>
      <c r="C23" s="124">
        <v>0</v>
      </c>
      <c r="D23" s="124">
        <v>9504.9600000000009</v>
      </c>
      <c r="E23" s="113">
        <v>-9505</v>
      </c>
      <c r="F23" s="107">
        <v>-1</v>
      </c>
      <c r="G23" s="122" t="s">
        <v>81</v>
      </c>
    </row>
    <row r="24" spans="1:7" ht="17" x14ac:dyDescent="0.2">
      <c r="A24" s="10" t="s">
        <v>52</v>
      </c>
      <c r="B24" s="69">
        <f>SUM(B21:B23)</f>
        <v>93005</v>
      </c>
      <c r="C24" s="128">
        <v>22685.820000000014</v>
      </c>
      <c r="D24" s="128">
        <v>115079.96</v>
      </c>
      <c r="E24" s="114">
        <v>-92394</v>
      </c>
      <c r="F24" s="115">
        <v>-0.99</v>
      </c>
    </row>
    <row r="25" spans="1:7" ht="17" x14ac:dyDescent="0.2">
      <c r="A25" s="15" t="s">
        <v>53</v>
      </c>
      <c r="B25" s="89">
        <f>B13+B19+B24</f>
        <v>233644</v>
      </c>
      <c r="C25" s="129">
        <v>97697.81</v>
      </c>
      <c r="D25" s="129">
        <v>279935.17000000004</v>
      </c>
      <c r="E25" s="116">
        <v>-182237</v>
      </c>
      <c r="F25" s="117">
        <v>-0.78</v>
      </c>
    </row>
    <row r="26" spans="1:7" ht="17" x14ac:dyDescent="0.2">
      <c r="A26" s="15" t="s">
        <v>54</v>
      </c>
      <c r="B26" s="89">
        <f>B25*0.07</f>
        <v>16355.080000000002</v>
      </c>
      <c r="C26" s="129">
        <v>10851.63</v>
      </c>
      <c r="D26" s="129">
        <v>23608.245200000005</v>
      </c>
      <c r="E26" s="116">
        <v>-12757</v>
      </c>
      <c r="F26" s="117">
        <v>-0.78</v>
      </c>
      <c r="G26" s="120" t="s">
        <v>82</v>
      </c>
    </row>
    <row r="27" spans="1:7" ht="17" x14ac:dyDescent="0.2">
      <c r="A27" s="5" t="s">
        <v>33</v>
      </c>
      <c r="B27" s="96">
        <f>B25+B26</f>
        <v>249999.08000000002</v>
      </c>
      <c r="C27" s="130">
        <v>108549.44</v>
      </c>
      <c r="D27" s="130">
        <v>303543.41520000005</v>
      </c>
      <c r="E27" s="118">
        <v>-194993.98</v>
      </c>
      <c r="F27" s="119">
        <v>-0.78</v>
      </c>
    </row>
    <row r="28" spans="1:7" ht="17" thickBot="1" x14ac:dyDescent="0.25"/>
    <row r="29" spans="1:7" ht="18" thickBot="1" x14ac:dyDescent="0.25">
      <c r="A29" s="135" t="s">
        <v>84</v>
      </c>
      <c r="B29" s="136" t="s">
        <v>92</v>
      </c>
      <c r="C29" s="136" t="s">
        <v>91</v>
      </c>
    </row>
    <row r="30" spans="1:7" ht="17" thickBot="1" x14ac:dyDescent="0.25">
      <c r="A30" s="131" t="s">
        <v>77</v>
      </c>
      <c r="B30" s="132">
        <f>D3</f>
        <v>51069.960000000014</v>
      </c>
      <c r="C30" s="133">
        <f>B30/B39</f>
        <v>0.16824598209897193</v>
      </c>
    </row>
    <row r="31" spans="1:7" ht="17" thickBot="1" x14ac:dyDescent="0.25">
      <c r="A31" s="131" t="s">
        <v>80</v>
      </c>
      <c r="B31" s="132">
        <f>SUM(D15,D16)</f>
        <v>13400</v>
      </c>
      <c r="C31" s="133">
        <f>B31/B39</f>
        <v>4.414525016518954E-2</v>
      </c>
    </row>
    <row r="32" spans="1:7" ht="17" thickBot="1" x14ac:dyDescent="0.25">
      <c r="A32" s="131" t="s">
        <v>85</v>
      </c>
      <c r="B32" s="132"/>
      <c r="C32" s="133"/>
      <c r="E32" s="19"/>
    </row>
    <row r="33" spans="1:3" ht="17" thickBot="1" x14ac:dyDescent="0.25">
      <c r="A33" s="131" t="s">
        <v>86</v>
      </c>
      <c r="B33" s="132"/>
      <c r="C33" s="133"/>
    </row>
    <row r="34" spans="1:3" ht="17" thickBot="1" x14ac:dyDescent="0.25">
      <c r="A34" s="131" t="s">
        <v>87</v>
      </c>
      <c r="B34" s="132">
        <f>SUM(D4,D5,D6,D7,D8,D10,D11,D17,D18,D21,D22)</f>
        <v>205960.25</v>
      </c>
      <c r="C34" s="133">
        <f>B34/B39</f>
        <v>0.67851990748768509</v>
      </c>
    </row>
    <row r="35" spans="1:3" ht="17" thickBot="1" x14ac:dyDescent="0.25">
      <c r="A35" s="131" t="s">
        <v>88</v>
      </c>
      <c r="B35" s="132"/>
      <c r="C35" s="133"/>
    </row>
    <row r="36" spans="1:3" ht="17" thickBot="1" x14ac:dyDescent="0.25">
      <c r="A36" s="131" t="s">
        <v>81</v>
      </c>
      <c r="B36" s="132">
        <f>D23</f>
        <v>9504.9600000000009</v>
      </c>
      <c r="C36" s="133">
        <f>B36/B39</f>
        <v>3.1313346045531348E-2</v>
      </c>
    </row>
    <row r="37" spans="1:3" ht="17" thickBot="1" x14ac:dyDescent="0.25">
      <c r="A37" s="137" t="s">
        <v>89</v>
      </c>
      <c r="B37" s="136">
        <f>SUM(B30:B36)</f>
        <v>279935.17000000004</v>
      </c>
      <c r="C37" s="139">
        <f>B37/B39</f>
        <v>0.92222448579737792</v>
      </c>
    </row>
    <row r="38" spans="1:3" ht="17" thickBot="1" x14ac:dyDescent="0.25">
      <c r="A38" s="131" t="s">
        <v>82</v>
      </c>
      <c r="B38" s="132">
        <f>D26</f>
        <v>23608.245200000005</v>
      </c>
      <c r="C38" s="134">
        <f>B38/B39</f>
        <v>7.7775514202622048E-2</v>
      </c>
    </row>
    <row r="39" spans="1:3" ht="17" thickBot="1" x14ac:dyDescent="0.25">
      <c r="A39" s="137" t="s">
        <v>90</v>
      </c>
      <c r="B39" s="138">
        <f>SUM(B37:B38)</f>
        <v>303543.41520000005</v>
      </c>
      <c r="C39" s="138"/>
    </row>
  </sheetData>
  <autoFilter ref="G1:G27" xr:uid="{A13A0B72-A8AC-C04D-9F78-DCE923439D13}"/>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SUIVI BUDGETAIRE Apui au ST</vt:lpstr>
      <vt:lpstr>Synthese</vt:lpstr>
      <vt:lpstr>budget recapitulatif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Urbain</dc:creator>
  <cp:lastModifiedBy>Caitlin Hannahan</cp:lastModifiedBy>
  <dcterms:created xsi:type="dcterms:W3CDTF">2017-09-13T14:31:26Z</dcterms:created>
  <dcterms:modified xsi:type="dcterms:W3CDTF">2019-08-20T14:04:35Z</dcterms:modified>
</cp:coreProperties>
</file>