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showInkAnnotation="0" autoCompressPictures="0"/>
  <mc:AlternateContent xmlns:mc="http://schemas.openxmlformats.org/markup-compatibility/2006">
    <mc:Choice Requires="x15">
      <x15ac:absPath xmlns:x15ac="http://schemas.microsoft.com/office/spreadsheetml/2010/11/ac" url="https://undp-my.sharepoint.com/personal/caitlin_hannahan_undp_org/Documents/02. UNDP Management/03. FCS PRODOCs /04. PRODOC FCS Budget_Political Engagement 2018 (in process)/"/>
    </mc:Choice>
  </mc:AlternateContent>
  <xr:revisionPtr revIDLastSave="0" documentId="8_{AB03BAE4-7A90-6E47-A98C-0990393543E8}" xr6:coauthVersionLast="44" xr6:coauthVersionMax="44" xr10:uidLastSave="{00000000-0000-0000-0000-000000000000}"/>
  <bookViews>
    <workbookView xWindow="2460" yWindow="880" windowWidth="20740" windowHeight="11160" tabRatio="500" activeTab="2" xr2:uid="{00000000-000D-0000-FFFF-FFFF00000000}"/>
  </bookViews>
  <sheets>
    <sheet name="SUIVI BUDGETAIRE Apui au ST" sheetId="5" r:id="rId1"/>
    <sheet name="Synthese" sheetId="6" r:id="rId2"/>
    <sheet name="budget recapitulatif" sheetId="8" r:id="rId3"/>
  </sheets>
  <definedNames>
    <definedName name="_xlnm._FilterDatabase" localSheetId="2" hidden="1">'budget recapitulatif'!$G$1:$G$27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26" i="5" l="1"/>
  <c r="AG30" i="5"/>
  <c r="E11" i="6"/>
  <c r="C38" i="8"/>
  <c r="C37" i="8"/>
  <c r="C36" i="8"/>
  <c r="C34" i="8"/>
  <c r="C31" i="8"/>
  <c r="C30" i="8"/>
  <c r="B39" i="8"/>
  <c r="B37" i="8"/>
  <c r="B34" i="8"/>
  <c r="B31" i="8"/>
  <c r="B30" i="8"/>
  <c r="B38" i="8"/>
  <c r="B36" i="8"/>
  <c r="G3" i="6" l="1"/>
  <c r="F7" i="6"/>
  <c r="AF23" i="5"/>
  <c r="AJ14" i="5"/>
  <c r="AJ20" i="5"/>
  <c r="AJ22" i="5"/>
  <c r="B24" i="8"/>
  <c r="B19" i="8"/>
  <c r="B12" i="8"/>
  <c r="B9" i="8"/>
  <c r="AH3" i="5"/>
  <c r="B13" i="8" l="1"/>
  <c r="B25" i="8" s="1"/>
  <c r="B26" i="8" s="1"/>
  <c r="B27" i="8" s="1"/>
  <c r="M18" i="5"/>
  <c r="M10" i="5"/>
  <c r="L9" i="5"/>
  <c r="M7" i="5"/>
  <c r="M6" i="5"/>
  <c r="M5" i="5"/>
  <c r="M4" i="5"/>
  <c r="M3" i="5"/>
  <c r="M22" i="5"/>
  <c r="M21" i="5"/>
  <c r="K12" i="5"/>
  <c r="J12" i="5"/>
  <c r="I12" i="5"/>
  <c r="H12" i="5"/>
  <c r="F13" i="5"/>
  <c r="F12" i="5"/>
  <c r="O13" i="5"/>
  <c r="N13" i="5"/>
  <c r="O9" i="5"/>
  <c r="N9" i="5"/>
  <c r="R9" i="5" l="1"/>
  <c r="P9" i="5"/>
  <c r="I19" i="5" l="1"/>
  <c r="H19" i="5"/>
  <c r="D26" i="5"/>
  <c r="D27" i="5" s="1"/>
  <c r="H13" i="5"/>
  <c r="I13" i="5"/>
  <c r="J13" i="5"/>
  <c r="K13" i="5"/>
  <c r="G13" i="5"/>
  <c r="G25" i="5" s="1"/>
  <c r="G24" i="5"/>
  <c r="H24" i="5"/>
  <c r="I24" i="5"/>
  <c r="J24" i="5"/>
  <c r="K24" i="5"/>
  <c r="K25" i="5" s="1"/>
  <c r="F24" i="5"/>
  <c r="F25" i="5" s="1"/>
  <c r="E24" i="5"/>
  <c r="E25" i="5" s="1"/>
  <c r="M23" i="5"/>
  <c r="E26" i="5" l="1"/>
  <c r="E27" i="5" s="1"/>
  <c r="F26" i="5"/>
  <c r="F27" i="5" s="1"/>
  <c r="H25" i="5"/>
  <c r="J25" i="5"/>
  <c r="J26" i="5"/>
  <c r="J27" i="5" s="1"/>
  <c r="I25" i="5"/>
  <c r="I26" i="5" s="1"/>
  <c r="I27" i="5" s="1"/>
  <c r="H26" i="5"/>
  <c r="H27" i="5" s="1"/>
  <c r="G26" i="5"/>
  <c r="G27" i="5" s="1"/>
  <c r="K26" i="5"/>
  <c r="M15" i="5"/>
  <c r="M11" i="5"/>
  <c r="K27" i="5" l="1"/>
  <c r="C9" i="5"/>
  <c r="B3" i="6" s="1"/>
  <c r="U19" i="5"/>
  <c r="T19" i="5"/>
  <c r="T24" i="5" l="1"/>
  <c r="R19" i="5" l="1"/>
  <c r="L19" i="5"/>
  <c r="C19" i="5"/>
  <c r="B7" i="6" s="1"/>
  <c r="Q8" i="5"/>
  <c r="P12" i="5" l="1"/>
  <c r="AF3" i="5" l="1"/>
  <c r="AF4" i="5"/>
  <c r="T9" i="5"/>
  <c r="AE9" i="5"/>
  <c r="AD9" i="5" l="1"/>
  <c r="AC9" i="5"/>
  <c r="AB9" i="5"/>
  <c r="AA9" i="5"/>
  <c r="Z9" i="5"/>
  <c r="Y9" i="5"/>
  <c r="X9" i="5"/>
  <c r="W9" i="5"/>
  <c r="V9" i="5"/>
  <c r="U9" i="5"/>
  <c r="AF8" i="5"/>
  <c r="AG8" i="5" s="1"/>
  <c r="AF21" i="5" l="1"/>
  <c r="AF24" i="5" l="1"/>
  <c r="Q23" i="5"/>
  <c r="S23" i="5" s="1"/>
  <c r="AG23" i="5" s="1"/>
  <c r="AJ23" i="5" s="1"/>
  <c r="E9" i="6" l="1"/>
  <c r="AF18" i="5"/>
  <c r="AF19" i="5" s="1"/>
  <c r="E7" i="6" s="1"/>
  <c r="AF11" i="5"/>
  <c r="AF10" i="5"/>
  <c r="AE12" i="5"/>
  <c r="AE13" i="5" s="1"/>
  <c r="AF7" i="5"/>
  <c r="AF6" i="5"/>
  <c r="AF5" i="5"/>
  <c r="AF9" i="5" l="1"/>
  <c r="E3" i="6" s="1"/>
  <c r="AF12" i="5"/>
  <c r="E4" i="6" s="1"/>
  <c r="E5" i="6" l="1"/>
  <c r="AF13" i="5"/>
  <c r="AF25" i="5" s="1"/>
  <c r="AG14" i="5"/>
  <c r="AG20" i="5"/>
  <c r="R12" i="5"/>
  <c r="R13" i="5" s="1"/>
  <c r="T12" i="5"/>
  <c r="U12" i="5"/>
  <c r="V12" i="5"/>
  <c r="W12" i="5"/>
  <c r="X12" i="5"/>
  <c r="Y12" i="5"/>
  <c r="Z12" i="5"/>
  <c r="AA12" i="5"/>
  <c r="AB12" i="5"/>
  <c r="AC12" i="5"/>
  <c r="AD12" i="5"/>
  <c r="AD13" i="5" s="1"/>
  <c r="V19" i="5"/>
  <c r="W19" i="5"/>
  <c r="X19" i="5"/>
  <c r="Y19" i="5"/>
  <c r="Z19" i="5"/>
  <c r="AA19" i="5"/>
  <c r="AB19" i="5"/>
  <c r="AC19" i="5"/>
  <c r="AD19" i="5"/>
  <c r="AE19" i="5"/>
  <c r="L24" i="5"/>
  <c r="N24" i="5"/>
  <c r="N25" i="5" s="1"/>
  <c r="N27" i="5" s="1"/>
  <c r="O24" i="5"/>
  <c r="O25" i="5" s="1"/>
  <c r="O27" i="5" s="1"/>
  <c r="P24" i="5"/>
  <c r="R24" i="5"/>
  <c r="U24" i="5"/>
  <c r="V24" i="5"/>
  <c r="W24" i="5"/>
  <c r="X24" i="5"/>
  <c r="Y24" i="5"/>
  <c r="Z24" i="5"/>
  <c r="AA24" i="5"/>
  <c r="AB24" i="5"/>
  <c r="AC24" i="5"/>
  <c r="AD24" i="5"/>
  <c r="AE24" i="5"/>
  <c r="C24" i="5"/>
  <c r="B9" i="6" s="1"/>
  <c r="AG25" i="5" l="1"/>
  <c r="E10" i="6"/>
  <c r="F10" i="6" s="1"/>
  <c r="R25" i="5"/>
  <c r="AE25" i="5"/>
  <c r="Q3" i="5"/>
  <c r="T13" i="5"/>
  <c r="T25" i="5" s="1"/>
  <c r="P19" i="5"/>
  <c r="AC13" i="5" l="1"/>
  <c r="AC25" i="5" s="1"/>
  <c r="AC27" i="5" s="1"/>
  <c r="AD25" i="5"/>
  <c r="AD27" i="5" s="1"/>
  <c r="AB13" i="5"/>
  <c r="AB25" i="5" s="1"/>
  <c r="AB27" i="5" s="1"/>
  <c r="P13" i="5"/>
  <c r="P25" i="5" s="1"/>
  <c r="P27" i="5" s="1"/>
  <c r="Z13" i="5" l="1"/>
  <c r="Z25" i="5" s="1"/>
  <c r="Z27" i="5" s="1"/>
  <c r="AA13" i="5"/>
  <c r="AA25" i="5" s="1"/>
  <c r="AA27" i="5" s="1"/>
  <c r="V13" i="5"/>
  <c r="V25" i="5" s="1"/>
  <c r="V27" i="5" s="1"/>
  <c r="W13" i="5"/>
  <c r="W25" i="5" s="1"/>
  <c r="W27" i="5" s="1"/>
  <c r="X13" i="5"/>
  <c r="X25" i="5" s="1"/>
  <c r="X27" i="5" s="1"/>
  <c r="U13" i="5"/>
  <c r="Y13" i="5"/>
  <c r="Y25" i="5" s="1"/>
  <c r="Y27" i="5" s="1"/>
  <c r="AE27" i="5" l="1"/>
  <c r="U25" i="5"/>
  <c r="U27" i="5" s="1"/>
  <c r="T27" i="5"/>
  <c r="Q22" i="5"/>
  <c r="S22" i="5" s="1"/>
  <c r="AG22" i="5" s="1"/>
  <c r="Q21" i="5"/>
  <c r="S21" i="5" s="1"/>
  <c r="AG21" i="5" s="1"/>
  <c r="M24" i="5" l="1"/>
  <c r="AH23" i="5"/>
  <c r="L12" i="5"/>
  <c r="M16" i="5"/>
  <c r="Q16" i="5" s="1"/>
  <c r="S16" i="5" s="1"/>
  <c r="AG16" i="5" s="1"/>
  <c r="M17" i="5"/>
  <c r="Q17" i="5" s="1"/>
  <c r="Q18" i="5"/>
  <c r="Q10" i="5"/>
  <c r="S10" i="5" s="1"/>
  <c r="AG10" i="5" s="1"/>
  <c r="Q11" i="5"/>
  <c r="S11" i="5" s="1"/>
  <c r="AG11" i="5" s="1"/>
  <c r="S3" i="5"/>
  <c r="C12" i="5"/>
  <c r="B4" i="6" s="1"/>
  <c r="B5" i="6" l="1"/>
  <c r="M19" i="5"/>
  <c r="S17" i="5"/>
  <c r="AG17" i="5" s="1"/>
  <c r="Q7" i="5"/>
  <c r="S7" i="5" s="1"/>
  <c r="AG7" i="5" s="1"/>
  <c r="AH7" i="5" s="1"/>
  <c r="AG3" i="5"/>
  <c r="Q6" i="5"/>
  <c r="S6" i="5" s="1"/>
  <c r="AG6" i="5" s="1"/>
  <c r="AH6" i="5" s="1"/>
  <c r="S18" i="5"/>
  <c r="AG18" i="5" s="1"/>
  <c r="AH18" i="5" s="1"/>
  <c r="Q5" i="5"/>
  <c r="S5" i="5" s="1"/>
  <c r="AG5" i="5" s="1"/>
  <c r="AH5" i="5" s="1"/>
  <c r="Q4" i="5"/>
  <c r="M9" i="5"/>
  <c r="Q24" i="5"/>
  <c r="S24" i="5" s="1"/>
  <c r="D9" i="6" s="1"/>
  <c r="Q12" i="5"/>
  <c r="S12" i="5" s="1"/>
  <c r="L13" i="5"/>
  <c r="L25" i="5" s="1"/>
  <c r="AH22" i="5"/>
  <c r="Q15" i="5"/>
  <c r="M12" i="5"/>
  <c r="Q9" i="5" l="1"/>
  <c r="S9" i="5" s="1"/>
  <c r="L26" i="5"/>
  <c r="L27" i="5" s="1"/>
  <c r="AG12" i="5"/>
  <c r="D4" i="6"/>
  <c r="B10" i="6"/>
  <c r="C9" i="6"/>
  <c r="F9" i="6"/>
  <c r="G9" i="6" s="1"/>
  <c r="AG24" i="5"/>
  <c r="AI24" i="5" s="1"/>
  <c r="S4" i="5"/>
  <c r="AG4" i="5" s="1"/>
  <c r="AH4" i="5" s="1"/>
  <c r="Q19" i="5"/>
  <c r="S19" i="5" s="1"/>
  <c r="S15" i="5"/>
  <c r="AG15" i="5" s="1"/>
  <c r="M13" i="5"/>
  <c r="AH17" i="5"/>
  <c r="AH21" i="5"/>
  <c r="AH16" i="5"/>
  <c r="AH10" i="5"/>
  <c r="AH11" i="5"/>
  <c r="Q13" i="5" l="1"/>
  <c r="Q25" i="5" s="1"/>
  <c r="S25" i="5" s="1"/>
  <c r="C10" i="6"/>
  <c r="B11" i="6"/>
  <c r="B12" i="6"/>
  <c r="C12" i="6" s="1"/>
  <c r="G10" i="6"/>
  <c r="I11" i="6" s="1"/>
  <c r="AG19" i="5"/>
  <c r="AI19" i="5" s="1"/>
  <c r="D7" i="6"/>
  <c r="F4" i="6"/>
  <c r="G4" i="6" s="1"/>
  <c r="C4" i="6"/>
  <c r="AG9" i="5"/>
  <c r="AH9" i="5" s="1"/>
  <c r="D3" i="6"/>
  <c r="AH24" i="5"/>
  <c r="S13" i="5" l="1"/>
  <c r="AG13" i="5" s="1"/>
  <c r="AI13" i="5" s="1"/>
  <c r="C3" i="6"/>
  <c r="D5" i="6"/>
  <c r="F3" i="6"/>
  <c r="C7" i="6"/>
  <c r="G7" i="6"/>
  <c r="AH15" i="5"/>
  <c r="M25" i="5"/>
  <c r="C13" i="5"/>
  <c r="AH12" i="5"/>
  <c r="AH13" i="5" l="1"/>
  <c r="F5" i="6"/>
  <c r="G5" i="6" s="1"/>
  <c r="C5" i="6"/>
  <c r="R27" i="5"/>
  <c r="AH19" i="5"/>
  <c r="C25" i="5"/>
  <c r="AI25" i="5" l="1"/>
  <c r="C26" i="5"/>
  <c r="Q26" i="5"/>
  <c r="S26" i="5" s="1"/>
  <c r="D11" i="6" s="1"/>
  <c r="C11" i="6" s="1"/>
  <c r="AH25" i="5"/>
  <c r="S27" i="5" l="1"/>
  <c r="C27" i="5"/>
  <c r="M27" i="5"/>
  <c r="AF27" i="5" l="1"/>
  <c r="AG26" i="5"/>
  <c r="AG27" i="5" s="1"/>
  <c r="Q27" i="5"/>
  <c r="AH27" i="5" l="1"/>
  <c r="AI27" i="5"/>
  <c r="F11" i="6"/>
  <c r="G11" i="6" s="1"/>
  <c r="I12" i="6" s="1"/>
  <c r="E12" i="6"/>
  <c r="F12" i="6" s="1"/>
  <c r="G12" i="6" s="1"/>
  <c r="AH26" i="5"/>
  <c r="AI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tc={697DA5CF-FFBF-415A-B69C-C2CED8818113}</author>
    <author>tc={E1999154-5F5A-4008-93CD-B1838950A15B}</author>
    <author>tc={ACD25321-554F-4033-9EC8-40F8C23B7832}</author>
    <author>tc={D8C7EC16-88E6-456A-9275-5C1B3BD7A020}</author>
    <author>tc={3B613AD7-B812-48D3-BE07-EA4028F21742}</author>
    <author>tc={247A95C6-4886-4BF7-A889-DE47F823D549}</author>
    <author>tc={92DB4EFE-41FF-435E-95EF-BA452B0B7E91}</author>
    <author>tc={470E4B31-0797-44EE-8EC4-6C67BB60C575}</author>
    <author>tc={512ECFB2-5282-43C1-8D73-BA0D61589CD1}</author>
    <author>tc={9AE382AB-256A-4F4C-9A1A-62FE0520E9EC}</author>
    <author>tc={B646111A-8F47-4626-9051-6CACAAB5E910}</author>
    <author>tc={0AE850CB-4A2B-4021-BD4B-6A684216DB52}</author>
    <author>tc={549432F7-E92B-4B82-B2C3-BFA6CEA40536}</author>
    <author>tc={A50BBD7D-4586-405C-9546-CB0DC34FED01}</author>
    <author>tc={ECAF1CAE-25C8-42F0-85EC-6783A04EFA1F}</author>
    <author>tc={FAEA4E70-58ED-491B-A72E-B4D0B0BE33B7}</author>
    <author>tc={2FB783F5-7923-460E-91D6-DDA03C92888C}</author>
  </authors>
  <commentList>
    <comment ref="O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Mission Djugu conflict analysis  Aurelien+Famba</t>
      </text>
    </comment>
    <comment ref="B8"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Ligne budgetaire additionnelle pour assurer les descentes terrain de la SSU que le budget MONUSCO ne peut couvrir et liees directment au management du FCS</t>
      </text>
    </comment>
    <comment ref="B15"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Change to: Campagne d'information communautaires (information/mobilisation)</t>
      </text>
    </comment>
    <comment ref="AF15"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les campagnes d'information communautaires seront plannifiees dans le temps une fois le budget aprouve</t>
      </text>
    </comment>
    <comment ref="AG15"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If the FRPI process goes as planned, we will need these funds to assure PTS can accompany the process (as in go to the field and sensitize where needed and possibly get key messages diffused on community radios).</t>
      </text>
    </comment>
    <comment ref="B16"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change to: Frais forfaitaire production de matériel de communication et de visibilite</t>
      </text>
    </comment>
    <comment ref="AF16" authorId="6" shapeId="0" xr:uid="{00000000-0006-0000-0000-000007000000}">
      <text>
        <t>[Threaded comment]
Your version of Excel allows you to read this threaded comment; however, any edits to it will get removed if the file is opened in a newer version of Excel. Learn more: https://go.microsoft.com/fwlink/?linkid=870924
Comment:
    L'utilisation du budget sera determine lors de l'atelier de Juin avec tous les pints focaux communication et depnese dans l'annee selon cette decision collective.</t>
      </text>
    </comment>
    <comment ref="AG16"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To print ISSSS anual report and get additional visibility items for ISSSS</t>
      </text>
    </comment>
    <comment ref="B17" authorId="8" shapeId="0" xr:uid="{00000000-0006-0000-0000-000009000000}">
      <text>
        <t>[Threaded comment]
Your version of Excel allows you to read this threaded comment; however, any edits to it will get removed if the file is opened in a newer version of Excel. Learn more: https://go.microsoft.com/fwlink/?linkid=870924
Comment:
    change to: Prise en charge STAREC: mission "communication"</t>
      </text>
    </comment>
    <comment ref="P17" authorId="9" shapeId="0" xr:uid="{00000000-0006-0000-0000-00000A000000}">
      <text>
        <t>[Threaded comment]
Your version of Excel allows you to read this threaded comment; however, any edits to it will get removed if the file is opened in a newer version of Excel. Learn more: https://go.microsoft.com/fwlink/?linkid=870924
Comment:
    7 nights Bunia Gama support Comms focal point in Bunia on communiaction plan for futur FRPI DDR process</t>
      </text>
    </comment>
    <comment ref="R17" authorId="10" shapeId="0" xr:uid="{00000000-0006-0000-0000-00000B000000}">
      <text>
        <t>[Threaded comment]
Your version of Excel allows you to read this threaded comment; however, any edits to it will get removed if the file is opened in a newer version of Excel. Learn more: https://go.microsoft.com/fwlink/?linkid=870924
Comment:
    Jackson 5 nights Kitshanga (M&amp;E visit/press visit)</t>
      </text>
    </comment>
    <comment ref="AG17" authorId="11" shapeId="0" xr:uid="{00000000-0006-0000-0000-00000C000000}">
      <text>
        <t>[Threaded comment]
Your version of Excel allows you to read this threaded comment; however, any edits to it will get removed if the file is opened in a newer version of Excel. Learn more: https://go.microsoft.com/fwlink/?linkid=870924
Comment:
    For STAREC focal points in all provinces to go on all the monitoring missions to document.</t>
      </text>
    </comment>
    <comment ref="B18" authorId="12" shapeId="0" xr:uid="{00000000-0006-0000-0000-00000D000000}">
      <text>
        <t>[Threaded comment]
Your version of Excel allows you to read this threaded comment; however, any edits to it will get removed if the file is opened in a newer version of Excel. Learn more: https://go.microsoft.com/fwlink/?linkid=870924
Comment:
    change to: forfait atelier en communication strategique</t>
      </text>
    </comment>
    <comment ref="U18" authorId="13" shapeId="0" xr:uid="{00000000-0006-0000-0000-00000E000000}">
      <text>
        <t>[Threaded comment]
Your version of Excel allows you to read this threaded comment; however, any edits to it will get removed if the file is opened in a newer version of Excel. Learn more: https://go.microsoft.com/fwlink/?linkid=870924
Comment:
    Atelier de communication avec tous els poitns focaux communication du STAREC plannifie initialement en avril mais decale a Juin faute de place sur vol MONUSCO. budget double par rapport a celui planifie en 2018-2019 pour assurer 2 jours datelier au lieu de 1 juge trop court.</t>
      </text>
    </comment>
    <comment ref="AG18" authorId="14" shapeId="0" xr:uid="{00000000-0006-0000-0000-00000F000000}">
      <text>
        <t>[Threaded comment]
Your version of Excel allows you to read this threaded comment; however, any edits to it will get removed if the file is opened in a newer version of Excel. Learn more: https://go.microsoft.com/fwlink/?linkid=870924
Comment:
    Additonal funds required so the event can be 2 days long and have the option to hold it in Kinshasa.</t>
      </text>
    </comment>
    <comment ref="B22" authorId="15"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Organisation de deux retraites STAREC – UAS avant fin  2019 : Mise au point sur la conduite des activités de stabilisation par le tandem STAREC-UAS. Debut 2020 : Partage de la vision des nouvelles autorités sur la STABILISATION et orientations.</t>
      </text>
    </comment>
    <comment ref="AG22" authorId="16" shapeId="0" xr:uid="{00000000-0006-0000-0000-000011000000}">
      <text>
        <t>[Threaded comment]
Your version of Excel allows you to read this threaded comment; however, any edits to it will get removed if the file is opened in a newer version of Excel. Learn more: https://go.microsoft.com/fwlink/?linkid=870924
Comment:
    2 retraites STAREC-UAS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tc={012ED103-0D91-A54C-A6E0-F30C8C7A84DA}</author>
    <author>tc={5F95612D-2DD7-2D41-90DA-F2BAA627F7F2}</author>
    <author>tc={2597F35F-8D7C-3C4E-9041-3AD5A7B21D7A}</author>
    <author>tc={2E556ABA-0B33-C245-82E5-FBF3C81F58C4}</author>
    <author>tc={E49154CF-0B1A-8648-82A9-FF83DA8B8430}</author>
    <author>tc={733B1A19-EBCD-DF42-82F8-926C940D300F}</author>
  </authors>
  <commentList>
    <comment ref="A8" authorId="0" shapeId="0" xr:uid="{012ED103-0D91-A54C-A6E0-F30C8C7A84DA}">
      <text>
        <t>[Threaded comment]
Your version of Excel allows you to read this threaded comment; however, any edits to it will get removed if the file is opened in a newer version of Excel. Learn more: https://go.microsoft.com/fwlink/?linkid=870924
Comment:
    Ligne budgetaire additionnelle pour assurer les descentes terrain de la SSU que le budget MONUSCO ne peut couvrir et liees directment au management du FCS</t>
      </text>
    </comment>
    <comment ref="A15" authorId="1" shapeId="0" xr:uid="{5F95612D-2DD7-2D41-90DA-F2BAA627F7F2}">
      <text>
        <t>[Threaded comment]
Your version of Excel allows you to read this threaded comment; however, any edits to it will get removed if the file is opened in a newer version of Excel. Learn more: https://go.microsoft.com/fwlink/?linkid=870924
Comment:
    Change to: Campagne d'information communautaires (information/mobilisation)</t>
      </text>
    </comment>
    <comment ref="A16" authorId="2" shapeId="0" xr:uid="{2597F35F-8D7C-3C4E-9041-3AD5A7B21D7A}">
      <text>
        <t>[Threaded comment]
Your version of Excel allows you to read this threaded comment; however, any edits to it will get removed if the file is opened in a newer version of Excel. Learn more: https://go.microsoft.com/fwlink/?linkid=870924
Comment:
    change to: Frais forfaitaire production de matériel de communication et de visibilite</t>
      </text>
    </comment>
    <comment ref="A17" authorId="3" shapeId="0" xr:uid="{2E556ABA-0B33-C245-82E5-FBF3C81F58C4}">
      <text>
        <t>[Threaded comment]
Your version of Excel allows you to read this threaded comment; however, any edits to it will get removed if the file is opened in a newer version of Excel. Learn more: https://go.microsoft.com/fwlink/?linkid=870924
Comment:
    change to: Prise en charge STAREC: mission "communication"</t>
      </text>
    </comment>
    <comment ref="A18" authorId="4" shapeId="0" xr:uid="{E49154CF-0B1A-8648-82A9-FF83DA8B8430}">
      <text>
        <t>[Threaded comment]
Your version of Excel allows you to read this threaded comment; however, any edits to it will get removed if the file is opened in a newer version of Excel. Learn more: https://go.microsoft.com/fwlink/?linkid=870924
Comment:
    change to: forfait atelier en communication strategique</t>
      </text>
    </comment>
    <comment ref="A22" authorId="5" shapeId="0" xr:uid="{733B1A19-EBCD-DF42-82F8-926C940D300F}">
      <text>
        <t>[Threaded comment]
Your version of Excel allows you to read this threaded comment; however, any edits to it will get removed if the file is opened in a newer version of Excel. Learn more: https://go.microsoft.com/fwlink/?linkid=870924
Comment:
    Organisation de deux retraites STAREC – UAS avant fin  2019 : Mise au point sur la conduite des activités de stabilisation par le tandem STAREC-UAS. Debut 2020 : Partage de la vision des nouvelles autorités sur la STABILISATION et orientations.</t>
      </text>
    </comment>
  </commentList>
</comments>
</file>

<file path=xl/sharedStrings.xml><?xml version="1.0" encoding="utf-8"?>
<sst xmlns="http://schemas.openxmlformats.org/spreadsheetml/2006/main" count="146" uniqueCount="93">
  <si>
    <t>Intitulé</t>
  </si>
  <si>
    <t>Objectif spécifique 1</t>
  </si>
  <si>
    <t>Sous-total OS1</t>
  </si>
  <si>
    <t>Salaire Assistant technique national</t>
  </si>
  <si>
    <t>Campagnes d'info communautaires annuelles (information/mobilisation)</t>
  </si>
  <si>
    <t>Prise en charge STAREC: mission de suivi sur le terrain</t>
  </si>
  <si>
    <t>Frais de mission assistant technique Sud Kivu</t>
  </si>
  <si>
    <t>Frais de mission assistant technique Ituri</t>
  </si>
  <si>
    <t>Frais de mission assistant technique Kinshasa</t>
  </si>
  <si>
    <t>Frais de facilitation pour les membres des Groupes restreints Ituri, SK et NK</t>
  </si>
  <si>
    <t>Ateliers des 3 Groupes de travail restreints en Ituri, SK et NK (3X/an)</t>
  </si>
  <si>
    <t>Frais de mission assistant technique NK (Beni-Kitshanga)</t>
  </si>
  <si>
    <t>Frais forfaitaire production de matériel de communication</t>
  </si>
  <si>
    <t>Prise en charge STAREC: mission "communication" (collecte et production)</t>
  </si>
  <si>
    <t xml:space="preserve">Forfait formation STAREC en communication stratégique </t>
  </si>
  <si>
    <t>Objectif spécifique 2</t>
  </si>
  <si>
    <t>Objectif spécifique 3</t>
  </si>
  <si>
    <t xml:space="preserve">Couts de support operationnel STAREC (telephone + internet pour 5 bureaux) </t>
  </si>
  <si>
    <t>SOLDE</t>
  </si>
  <si>
    <t>%</t>
  </si>
  <si>
    <t>Solde au 31/12/2018</t>
  </si>
  <si>
    <t>janvier 2019</t>
  </si>
  <si>
    <t>fevrier 2019</t>
  </si>
  <si>
    <t>mars 2019</t>
  </si>
  <si>
    <t>avril 2019</t>
  </si>
  <si>
    <t>mai 2019</t>
  </si>
  <si>
    <t>juin 2019</t>
  </si>
  <si>
    <t>juillet 2019</t>
  </si>
  <si>
    <t>aout 2019</t>
  </si>
  <si>
    <t>septembre 2019</t>
  </si>
  <si>
    <t>octobre 2019</t>
  </si>
  <si>
    <t>novembre 2019</t>
  </si>
  <si>
    <t>decembre 2019</t>
  </si>
  <si>
    <t xml:space="preserve">Total </t>
  </si>
  <si>
    <t>Solde au 31/03/2019</t>
  </si>
  <si>
    <t>janvier 2020</t>
  </si>
  <si>
    <t>fevrier 2020</t>
  </si>
  <si>
    <t>mars 2020</t>
  </si>
  <si>
    <t>avril 2020</t>
  </si>
  <si>
    <t>Solde au 30/04/2019</t>
  </si>
  <si>
    <t xml:space="preserve">Formation des équipes du STAREC (province et national) en gestion projets </t>
  </si>
  <si>
    <t>5701,60</t>
  </si>
  <si>
    <t>Frais de mission UAS en appui au FCS (M&amp;E, Visite bailleurs, engagement Politique)</t>
  </si>
  <si>
    <t>Budget approuve 2018-2019</t>
  </si>
  <si>
    <t>Budget total  May 2019 - April 2020</t>
  </si>
  <si>
    <t>Requete de fonds additionnels  May 2019 - 2020</t>
  </si>
  <si>
    <t>Budget consomme 2018-2019</t>
  </si>
  <si>
    <t>Budget plannifie Mai 2019-2020</t>
  </si>
  <si>
    <t>Extension Budgetaire demandee 2019-2020</t>
  </si>
  <si>
    <t>Sous total Assitant technique ( B3+B4+B5+B6+B7+B8)</t>
  </si>
  <si>
    <t>Sous total Groupe engagement politique et frais de facilitation (B10+B111)</t>
  </si>
  <si>
    <t>Sous-total OS2 (B15+B16+B17+B18)</t>
  </si>
  <si>
    <t>Sous-total OS3 (B21+B22+B23)</t>
  </si>
  <si>
    <t>TOTAL GENERAL  (B13+B19+B24)</t>
  </si>
  <si>
    <t>Cout GMS 7% de B25</t>
  </si>
  <si>
    <t xml:space="preserve">Sous total Assitant technique </t>
  </si>
  <si>
    <t xml:space="preserve">Sous total Groupe engagement politique et frais de facilitation </t>
  </si>
  <si>
    <t xml:space="preserve">Sous-total OS2 </t>
  </si>
  <si>
    <t xml:space="preserve">Sous-total OS3 </t>
  </si>
  <si>
    <t xml:space="preserve">Cout GMS 7% </t>
  </si>
  <si>
    <t xml:space="preserve">Intitulé </t>
  </si>
  <si>
    <t>Sous-total OS1 (A3+A4)</t>
  </si>
  <si>
    <t>TOTAL GENERAL  (A5+A7+A9)</t>
  </si>
  <si>
    <t>Budget Total 2018-2020</t>
  </si>
  <si>
    <t xml:space="preserve">Verification: </t>
  </si>
  <si>
    <t>decembre 2018</t>
  </si>
  <si>
    <t>novembre 2018</t>
  </si>
  <si>
    <t>octobre 2018</t>
  </si>
  <si>
    <t>septembre 2018</t>
  </si>
  <si>
    <t>aout 2018</t>
  </si>
  <si>
    <t>juillet 2018</t>
  </si>
  <si>
    <t>juin 2018</t>
  </si>
  <si>
    <t>mai 2018</t>
  </si>
  <si>
    <t>avril 2018</t>
  </si>
  <si>
    <t xml:space="preserve"> % </t>
  </si>
  <si>
    <t xml:space="preserve">                          -  </t>
  </si>
  <si>
    <t xml:space="preserve">categorie de depense </t>
  </si>
  <si>
    <t>1. Personnel et autres employés</t>
  </si>
  <si>
    <t xml:space="preserve">5. Frais de déplacement </t>
  </si>
  <si>
    <t xml:space="preserve">correction </t>
  </si>
  <si>
    <t>2. Fournitures, produits de base, matériels</t>
  </si>
  <si>
    <t>7. Frais généraux de fonctionnement et autres coûts directs</t>
  </si>
  <si>
    <t>8. Coûts indirects*</t>
  </si>
  <si>
    <t xml:space="preserve"> Requet des fonds additionnels</t>
  </si>
  <si>
    <t>Catégories de dépense</t>
  </si>
  <si>
    <t>3. Équipement, véhicules et mobilier (compte tenu de la dépréciation)</t>
  </si>
  <si>
    <t>4. Services contractuels</t>
  </si>
  <si>
    <t>5. Frais de déplacement</t>
  </si>
  <si>
    <t>6. Transferts et subventions aux homologues</t>
  </si>
  <si>
    <t>Sous-total</t>
  </si>
  <si>
    <t>TOTAL</t>
  </si>
  <si>
    <t>pourcentage</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</si>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</sst>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00\ _€_-;\-* #,##0.00\ _€_-;_-* &quot;-&quot;??\ _€_-;_-@_-"/>
    <numFmt numFmtId="170" formatCode="0.0%"/>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b/>
      <sz val="12"/>
      <color rgb="FFFF0000"/>
      <name val="Calibri"/>
      <family val="2"/>
      <scheme val="minor"/>
    </font>
    <font>
      <b/>
      <sz val="10"/>
      <color rgb="FF000000"/>
      <name val="Times New Roman"/>
      <family val="1"/>
    </font>
    <font>
      <sz val="10"/>
      <color rgb="FF000000"/>
      <name val="Tahoma"/>
      <family val="2"/>
    </font>
    <font>
      <sz val="12"/>
      <color rgb="FF000000"/>
      <name val="Calibri"/>
      <family val="2"/>
      <scheme val="minor"/>
    </font>
    <font>
      <b/>
      <sz val="10"/>
      <color theme="1"/>
      <name val="Times New Roman"/>
      <family val="1"/>
    </font>
    <font>
      <b/>
      <sz val="9"/>
      <color rgb="FF000000"/>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0070C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2F2F2"/>
        <bgColor rgb="FF000000"/>
      </patternFill>
    </fill>
    <fill>
      <patternFill patternType="solid">
        <fgColor rgb="FF4F81BD"/>
        <bgColor rgb="FF000000"/>
      </patternFill>
    </fill>
    <fill>
      <patternFill patternType="solid">
        <fgColor rgb="FFDAEEF3"/>
        <bgColor rgb="FF000000"/>
      </patternFill>
    </fill>
    <fill>
      <patternFill patternType="solid">
        <fgColor rgb="FFFFFFFF"/>
        <bgColor rgb="FF000000"/>
      </patternFill>
    </fill>
    <fill>
      <patternFill patternType="solid">
        <fgColor rgb="FFC5D9F1"/>
        <bgColor rgb="FF000000"/>
      </patternFill>
    </fill>
    <fill>
      <patternFill patternType="solid">
        <fgColor rgb="FF0070C0"/>
        <bgColor rgb="FF000000"/>
      </patternFill>
    </fill>
    <fill>
      <patternFill patternType="solid">
        <fgColor rgb="FFC4D79B"/>
        <bgColor rgb="FF000000"/>
      </patternFill>
    </fill>
    <fill>
      <patternFill patternType="solid">
        <fgColor rgb="FF92D050"/>
        <bgColor rgb="FF000000"/>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s>
  <cellStyleXfs count="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43" fontId="6" fillId="0" borderId="1" xfId="25" applyFont="1" applyBorder="1" applyAlignment="1">
      <alignment horizontal="left" wrapText="1"/>
    </xf>
    <xf numFmtId="43" fontId="6" fillId="0" borderId="1" xfId="25" applyFont="1" applyBorder="1" applyAlignment="1">
      <alignment wrapText="1"/>
    </xf>
    <xf numFmtId="44" fontId="0" fillId="4" borderId="0" xfId="33" applyFont="1" applyFill="1"/>
    <xf numFmtId="0" fontId="4" fillId="0" borderId="0" xfId="0" applyFont="1"/>
    <xf numFmtId="43" fontId="7" fillId="8" borderId="1" xfId="25" applyFont="1" applyFill="1" applyBorder="1" applyAlignment="1">
      <alignment wrapText="1"/>
    </xf>
    <xf numFmtId="44" fontId="6" fillId="10" borderId="1" xfId="33" applyFont="1" applyFill="1" applyBorder="1"/>
    <xf numFmtId="43" fontId="6" fillId="12" borderId="1" xfId="25" applyFont="1" applyFill="1" applyBorder="1" applyAlignment="1">
      <alignment horizontal="left" wrapText="1"/>
    </xf>
    <xf numFmtId="44" fontId="6" fillId="12" borderId="1" xfId="33" applyFont="1" applyFill="1" applyBorder="1" applyAlignment="1">
      <alignment horizontal="left" wrapText="1"/>
    </xf>
    <xf numFmtId="44" fontId="6" fillId="13" borderId="1" xfId="33" applyFont="1" applyFill="1" applyBorder="1"/>
    <xf numFmtId="43" fontId="8" fillId="3" borderId="1" xfId="25" applyFont="1" applyFill="1" applyBorder="1" applyAlignment="1">
      <alignment horizontal="left" wrapText="1"/>
    </xf>
    <xf numFmtId="44" fontId="7" fillId="3" borderId="1" xfId="33" applyFont="1" applyFill="1" applyBorder="1" applyAlignment="1">
      <alignment horizontal="left" wrapText="1"/>
    </xf>
    <xf numFmtId="44" fontId="7" fillId="3" borderId="1" xfId="33" applyFont="1" applyFill="1" applyBorder="1" applyAlignment="1">
      <alignment horizontal="center"/>
    </xf>
    <xf numFmtId="43" fontId="6" fillId="0" borderId="1" xfId="35" applyFont="1" applyBorder="1" applyAlignment="1">
      <alignment horizontal="left" wrapText="1"/>
    </xf>
    <xf numFmtId="43" fontId="8" fillId="3" borderId="1" xfId="25" applyFont="1" applyFill="1" applyBorder="1" applyAlignment="1">
      <alignment horizontal="left"/>
    </xf>
    <xf numFmtId="43" fontId="8" fillId="11" borderId="1" xfId="25" applyFont="1" applyFill="1" applyBorder="1" applyAlignment="1">
      <alignment horizontal="left" wrapText="1"/>
    </xf>
    <xf numFmtId="44" fontId="7" fillId="11" borderId="1" xfId="33" applyFont="1" applyFill="1" applyBorder="1" applyAlignment="1">
      <alignment horizontal="center"/>
    </xf>
    <xf numFmtId="44" fontId="6" fillId="11" borderId="1" xfId="33" applyFont="1" applyFill="1" applyBorder="1"/>
    <xf numFmtId="44" fontId="7" fillId="8" borderId="1" xfId="33" applyFont="1" applyFill="1" applyBorder="1" applyAlignment="1">
      <alignment horizontal="center"/>
    </xf>
    <xf numFmtId="44" fontId="0" fillId="0" borderId="0" xfId="0" applyNumberFormat="1"/>
    <xf numFmtId="44" fontId="4" fillId="0" borderId="0" xfId="0" applyNumberFormat="1" applyFont="1"/>
    <xf numFmtId="43" fontId="7" fillId="10" borderId="1" xfId="25" applyFont="1" applyFill="1" applyBorder="1"/>
    <xf numFmtId="43" fontId="7" fillId="3" borderId="1" xfId="25" applyFont="1" applyFill="1" applyBorder="1" applyAlignment="1">
      <alignment horizontal="left" wrapText="1"/>
    </xf>
    <xf numFmtId="44" fontId="7" fillId="2" borderId="1" xfId="33" applyFont="1" applyFill="1" applyBorder="1" applyAlignment="1">
      <alignment horizontal="center" vertical="center" wrapText="1"/>
    </xf>
    <xf numFmtId="1" fontId="7" fillId="2" borderId="1" xfId="25" applyNumberFormat="1" applyFont="1" applyFill="1" applyBorder="1" applyAlignment="1">
      <alignment horizontal="center" vertical="center" wrapText="1"/>
    </xf>
    <xf numFmtId="43" fontId="7" fillId="2" borderId="1" xfId="25" applyFont="1" applyFill="1" applyBorder="1" applyAlignment="1">
      <alignment horizontal="center" vertical="center" wrapText="1"/>
    </xf>
    <xf numFmtId="44" fontId="7" fillId="7" borderId="1" xfId="33" applyFont="1" applyFill="1" applyBorder="1" applyAlignment="1">
      <alignment horizontal="center" vertical="center" wrapText="1"/>
    </xf>
    <xf numFmtId="43" fontId="7" fillId="2" borderId="1" xfId="25" applyFont="1" applyFill="1" applyBorder="1" applyAlignment="1">
      <alignment horizontal="center" vertical="center"/>
    </xf>
    <xf numFmtId="44" fontId="7" fillId="9" borderId="1" xfId="33" applyFont="1" applyFill="1" applyBorder="1" applyAlignment="1">
      <alignment horizontal="center" vertical="center" wrapText="1"/>
    </xf>
    <xf numFmtId="0" fontId="4" fillId="0" borderId="0" xfId="0" applyFont="1" applyAlignment="1">
      <alignment horizontal="center" vertical="center"/>
    </xf>
    <xf numFmtId="0" fontId="7" fillId="2" borderId="1" xfId="33" applyNumberFormat="1" applyFont="1" applyFill="1" applyBorder="1" applyAlignment="1">
      <alignment horizontal="center" vertical="center" wrapText="1"/>
    </xf>
    <xf numFmtId="0" fontId="0" fillId="10" borderId="1" xfId="0" applyFill="1" applyBorder="1"/>
    <xf numFmtId="44" fontId="0" fillId="11" borderId="1" xfId="0" applyNumberFormat="1" applyFill="1" applyBorder="1"/>
    <xf numFmtId="44" fontId="0" fillId="14" borderId="1" xfId="0" applyNumberFormat="1" applyFill="1" applyBorder="1"/>
    <xf numFmtId="43" fontId="6" fillId="13" borderId="1" xfId="25" applyFont="1" applyFill="1" applyBorder="1" applyAlignment="1">
      <alignment horizontal="left" wrapText="1"/>
    </xf>
    <xf numFmtId="44" fontId="6" fillId="13" borderId="1" xfId="33" applyFont="1" applyFill="1" applyBorder="1" applyAlignment="1">
      <alignment horizontal="left" wrapText="1"/>
    </xf>
    <xf numFmtId="44" fontId="0" fillId="13" borderId="1" xfId="0" applyNumberFormat="1" applyFill="1" applyBorder="1"/>
    <xf numFmtId="0" fontId="4" fillId="0" borderId="1" xfId="0" applyFont="1" applyBorder="1" applyAlignment="1">
      <alignment horizontal="center" vertical="center" wrapText="1"/>
    </xf>
    <xf numFmtId="0" fontId="4" fillId="10" borderId="1" xfId="0" applyFont="1" applyFill="1" applyBorder="1"/>
    <xf numFmtId="44" fontId="4" fillId="13" borderId="1" xfId="0" applyNumberFormat="1" applyFont="1" applyFill="1" applyBorder="1"/>
    <xf numFmtId="44" fontId="4" fillId="3" borderId="1" xfId="0" applyNumberFormat="1" applyFont="1" applyFill="1" applyBorder="1"/>
    <xf numFmtId="44" fontId="4" fillId="11" borderId="1" xfId="0" applyNumberFormat="1" applyFont="1" applyFill="1" applyBorder="1"/>
    <xf numFmtId="44" fontId="4" fillId="8" borderId="1" xfId="0" applyNumberFormat="1" applyFont="1" applyFill="1" applyBorder="1"/>
    <xf numFmtId="44" fontId="9" fillId="8" borderId="1" xfId="0" applyNumberFormat="1" applyFont="1" applyFill="1" applyBorder="1"/>
    <xf numFmtId="44" fontId="4" fillId="15" borderId="1" xfId="0" applyNumberFormat="1" applyFont="1" applyFill="1" applyBorder="1"/>
    <xf numFmtId="0" fontId="0" fillId="0" borderId="0" xfId="0" applyAlignment="1">
      <alignment wrapText="1"/>
    </xf>
    <xf numFmtId="0" fontId="4" fillId="0" borderId="0" xfId="0" applyFont="1" applyAlignment="1">
      <alignment horizontal="center" vertical="center" wrapText="1"/>
    </xf>
    <xf numFmtId="43" fontId="7" fillId="10" borderId="1" xfId="25" applyFont="1" applyFill="1" applyBorder="1" applyAlignment="1">
      <alignment wrapText="1"/>
    </xf>
    <xf numFmtId="44" fontId="6" fillId="10" borderId="1" xfId="33" applyFont="1" applyFill="1" applyBorder="1" applyAlignment="1">
      <alignment wrapText="1"/>
    </xf>
    <xf numFmtId="43" fontId="6" fillId="10" borderId="1" xfId="25" applyFont="1" applyFill="1" applyBorder="1" applyAlignment="1">
      <alignment wrapText="1"/>
    </xf>
    <xf numFmtId="0" fontId="6" fillId="10" borderId="1" xfId="0" applyFont="1" applyFill="1" applyBorder="1" applyAlignment="1">
      <alignment wrapText="1"/>
    </xf>
    <xf numFmtId="164" fontId="7" fillId="10" borderId="1" xfId="0" applyNumberFormat="1" applyFont="1" applyFill="1" applyBorder="1" applyAlignment="1">
      <alignment wrapText="1"/>
    </xf>
    <xf numFmtId="44" fontId="6" fillId="0" borderId="1" xfId="33" applyFont="1" applyBorder="1" applyAlignment="1">
      <alignment wrapText="1"/>
    </xf>
    <xf numFmtId="44" fontId="6" fillId="0" borderId="1" xfId="33" applyFont="1" applyBorder="1" applyAlignment="1">
      <alignment horizontal="center" wrapText="1"/>
    </xf>
    <xf numFmtId="43" fontId="6" fillId="0" borderId="1" xfId="25" applyFont="1" applyBorder="1" applyAlignment="1">
      <alignment horizontal="center" wrapText="1"/>
    </xf>
    <xf numFmtId="164" fontId="6" fillId="0" borderId="1" xfId="25" applyNumberFormat="1" applyFont="1" applyBorder="1" applyAlignment="1">
      <alignment horizontal="center" wrapText="1"/>
    </xf>
    <xf numFmtId="44" fontId="6" fillId="4" borderId="1" xfId="33" applyFont="1" applyFill="1" applyBorder="1" applyAlignment="1">
      <alignment horizontal="center" wrapText="1"/>
    </xf>
    <xf numFmtId="44" fontId="6" fillId="7" borderId="1" xfId="33" applyFont="1" applyFill="1" applyBorder="1" applyAlignment="1">
      <alignment horizontal="center" wrapText="1"/>
    </xf>
    <xf numFmtId="44" fontId="6" fillId="6" borderId="1" xfId="0" applyNumberFormat="1" applyFont="1" applyFill="1" applyBorder="1" applyAlignment="1">
      <alignment wrapText="1"/>
    </xf>
    <xf numFmtId="9" fontId="6" fillId="0" borderId="1" xfId="26" applyFont="1" applyBorder="1" applyAlignment="1">
      <alignment wrapText="1"/>
    </xf>
    <xf numFmtId="9" fontId="6" fillId="4" borderId="1" xfId="26" applyFont="1" applyFill="1" applyBorder="1" applyAlignment="1">
      <alignment wrapText="1"/>
    </xf>
    <xf numFmtId="164" fontId="6" fillId="0" borderId="1" xfId="35" applyNumberFormat="1" applyFont="1" applyBorder="1" applyAlignment="1">
      <alignment horizontal="center" wrapText="1"/>
    </xf>
    <xf numFmtId="44" fontId="0" fillId="0" borderId="0" xfId="0" applyNumberFormat="1" applyAlignment="1">
      <alignment wrapText="1"/>
    </xf>
    <xf numFmtId="44" fontId="6" fillId="12" borderId="1" xfId="33" applyFont="1" applyFill="1" applyBorder="1" applyAlignment="1">
      <alignment horizontal="center" wrapText="1"/>
    </xf>
    <xf numFmtId="44" fontId="6" fillId="12" borderId="1" xfId="33" applyFont="1" applyFill="1" applyBorder="1" applyAlignment="1">
      <alignment wrapText="1"/>
    </xf>
    <xf numFmtId="44" fontId="6" fillId="13" borderId="1" xfId="0" applyNumberFormat="1" applyFont="1" applyFill="1" applyBorder="1" applyAlignment="1">
      <alignment wrapText="1"/>
    </xf>
    <xf numFmtId="9" fontId="6" fillId="13" borderId="1" xfId="26" applyFont="1" applyFill="1" applyBorder="1" applyAlignment="1">
      <alignment wrapText="1"/>
    </xf>
    <xf numFmtId="164" fontId="6" fillId="4" borderId="1" xfId="25" applyNumberFormat="1" applyFont="1" applyFill="1" applyBorder="1" applyAlignment="1">
      <alignment horizontal="center" wrapText="1"/>
    </xf>
    <xf numFmtId="44" fontId="6" fillId="13" borderId="1" xfId="33" applyFont="1" applyFill="1" applyBorder="1" applyAlignment="1">
      <alignment wrapText="1"/>
    </xf>
    <xf numFmtId="44" fontId="7" fillId="3" borderId="1" xfId="33" applyFont="1" applyFill="1" applyBorder="1" applyAlignment="1">
      <alignment horizontal="center" wrapText="1"/>
    </xf>
    <xf numFmtId="44" fontId="7" fillId="3" borderId="1" xfId="33" applyFont="1" applyFill="1" applyBorder="1" applyAlignment="1">
      <alignment wrapText="1"/>
    </xf>
    <xf numFmtId="44" fontId="7" fillId="4" borderId="1" xfId="33" applyFont="1" applyFill="1" applyBorder="1" applyAlignment="1">
      <alignment horizontal="center" wrapText="1"/>
    </xf>
    <xf numFmtId="44" fontId="6" fillId="2" borderId="1" xfId="0" applyNumberFormat="1" applyFont="1" applyFill="1" applyBorder="1" applyAlignment="1">
      <alignment wrapText="1"/>
    </xf>
    <xf numFmtId="44" fontId="7" fillId="9" borderId="1" xfId="33" applyFont="1" applyFill="1" applyBorder="1" applyAlignment="1">
      <alignment wrapText="1"/>
    </xf>
    <xf numFmtId="44" fontId="4" fillId="0" borderId="0" xfId="0" applyNumberFormat="1" applyFont="1" applyAlignment="1">
      <alignment wrapText="1"/>
    </xf>
    <xf numFmtId="0" fontId="4" fillId="0" borderId="0" xfId="0" applyFont="1" applyAlignment="1">
      <alignment wrapText="1"/>
    </xf>
    <xf numFmtId="164" fontId="6" fillId="5" borderId="1" xfId="0" applyNumberFormat="1" applyFont="1" applyFill="1" applyBorder="1" applyAlignment="1">
      <alignment horizontal="center" wrapText="1"/>
    </xf>
    <xf numFmtId="43" fontId="6" fillId="0" borderId="1" xfId="0" applyNumberFormat="1" applyFont="1" applyBorder="1" applyAlignment="1">
      <alignment wrapText="1"/>
    </xf>
    <xf numFmtId="44" fontId="7" fillId="7" borderId="1" xfId="33" applyFont="1" applyFill="1" applyBorder="1" applyAlignment="1">
      <alignment horizontal="center" wrapText="1"/>
    </xf>
    <xf numFmtId="44" fontId="0" fillId="7" borderId="0" xfId="33" applyFont="1" applyFill="1" applyAlignment="1">
      <alignment wrapText="1"/>
    </xf>
    <xf numFmtId="164" fontId="7" fillId="3" borderId="1" xfId="25" applyNumberFormat="1" applyFont="1" applyFill="1" applyBorder="1" applyAlignment="1">
      <alignment horizontal="center" wrapText="1"/>
    </xf>
    <xf numFmtId="44" fontId="7" fillId="2" borderId="1" xfId="33" applyFont="1" applyFill="1" applyBorder="1" applyAlignment="1">
      <alignment wrapText="1"/>
    </xf>
    <xf numFmtId="44" fontId="7" fillId="2" borderId="1" xfId="33" applyFont="1" applyFill="1" applyBorder="1" applyAlignment="1">
      <alignment horizontal="center" wrapText="1"/>
    </xf>
    <xf numFmtId="44" fontId="6" fillId="0" borderId="1" xfId="33" applyFont="1" applyFill="1" applyBorder="1" applyAlignment="1">
      <alignment horizontal="center" wrapText="1"/>
    </xf>
    <xf numFmtId="44" fontId="0" fillId="0" borderId="0" xfId="33" applyFont="1" applyFill="1" applyAlignment="1">
      <alignment wrapText="1"/>
    </xf>
    <xf numFmtId="164" fontId="6" fillId="6" borderId="1" xfId="0" applyNumberFormat="1" applyFont="1" applyFill="1" applyBorder="1" applyAlignment="1">
      <alignment horizontal="center" wrapText="1"/>
    </xf>
    <xf numFmtId="0" fontId="6" fillId="0" borderId="1" xfId="0" applyFont="1" applyBorder="1" applyAlignment="1">
      <alignment wrapText="1"/>
    </xf>
    <xf numFmtId="164" fontId="6" fillId="2" borderId="1" xfId="0" applyNumberFormat="1" applyFont="1" applyFill="1" applyBorder="1" applyAlignment="1">
      <alignment horizontal="center" wrapText="1"/>
    </xf>
    <xf numFmtId="9" fontId="7" fillId="4" borderId="1" xfId="26" applyFont="1" applyFill="1" applyBorder="1" applyAlignment="1">
      <alignment wrapText="1"/>
    </xf>
    <xf numFmtId="44" fontId="7" fillId="11" borderId="1" xfId="33" applyFont="1" applyFill="1" applyBorder="1" applyAlignment="1">
      <alignment horizontal="center" wrapText="1"/>
    </xf>
    <xf numFmtId="164" fontId="6" fillId="11" borderId="1" xfId="0" applyNumberFormat="1" applyFont="1" applyFill="1" applyBorder="1" applyAlignment="1">
      <alignment horizontal="center" wrapText="1"/>
    </xf>
    <xf numFmtId="9" fontId="6" fillId="11" borderId="1" xfId="26" applyFont="1" applyFill="1" applyBorder="1" applyAlignment="1">
      <alignment wrapText="1"/>
    </xf>
    <xf numFmtId="44" fontId="6" fillId="11" borderId="1" xfId="33" applyFont="1" applyFill="1" applyBorder="1" applyAlignment="1">
      <alignment horizontal="center" wrapText="1"/>
    </xf>
    <xf numFmtId="164" fontId="7" fillId="11" borderId="1" xfId="25" applyNumberFormat="1" applyFont="1" applyFill="1" applyBorder="1" applyAlignment="1">
      <alignment horizontal="center" wrapText="1"/>
    </xf>
    <xf numFmtId="0" fontId="6" fillId="11" borderId="1" xfId="0" applyFont="1" applyFill="1" applyBorder="1" applyAlignment="1">
      <alignment wrapText="1"/>
    </xf>
    <xf numFmtId="44" fontId="6" fillId="11" borderId="1" xfId="33" applyFont="1" applyFill="1" applyBorder="1" applyAlignment="1">
      <alignment wrapText="1"/>
    </xf>
    <xf numFmtId="44" fontId="7" fillId="8" borderId="1" xfId="33" applyFont="1" applyFill="1" applyBorder="1" applyAlignment="1">
      <alignment horizontal="center" wrapText="1"/>
    </xf>
    <xf numFmtId="9" fontId="7" fillId="8" borderId="1" xfId="26" applyFont="1" applyFill="1" applyBorder="1" applyAlignment="1">
      <alignment wrapText="1"/>
    </xf>
    <xf numFmtId="44" fontId="0" fillId="4" borderId="0" xfId="33" applyFont="1" applyFill="1" applyAlignment="1">
      <alignment wrapText="1"/>
    </xf>
    <xf numFmtId="44" fontId="0" fillId="0" borderId="0" xfId="33" applyFont="1" applyAlignment="1">
      <alignment wrapText="1"/>
    </xf>
    <xf numFmtId="43" fontId="0" fillId="0" borderId="0" xfId="0" applyNumberFormat="1" applyAlignment="1">
      <alignment wrapText="1"/>
    </xf>
    <xf numFmtId="3" fontId="0" fillId="0" borderId="0" xfId="0" applyNumberFormat="1" applyAlignment="1">
      <alignment wrapText="1"/>
    </xf>
    <xf numFmtId="43" fontId="7" fillId="16" borderId="1" xfId="0" applyNumberFormat="1" applyFont="1" applyFill="1" applyBorder="1" applyAlignment="1">
      <alignment horizontal="center" vertical="center" wrapText="1"/>
    </xf>
    <xf numFmtId="43" fontId="7" fillId="16" borderId="2" xfId="0" applyNumberFormat="1" applyFont="1" applyFill="1" applyBorder="1" applyAlignment="1">
      <alignment horizontal="center" vertical="center" wrapText="1"/>
    </xf>
    <xf numFmtId="164" fontId="7" fillId="17" borderId="4" xfId="0" applyNumberFormat="1" applyFont="1" applyFill="1" applyBorder="1" applyAlignment="1">
      <alignment wrapText="1"/>
    </xf>
    <xf numFmtId="0" fontId="6" fillId="17" borderId="3" xfId="0" applyFont="1" applyFill="1" applyBorder="1" applyAlignment="1">
      <alignment wrapText="1"/>
    </xf>
    <xf numFmtId="44" fontId="6" fillId="18" borderId="4" xfId="0" applyNumberFormat="1" applyFont="1" applyFill="1" applyBorder="1" applyAlignment="1">
      <alignment wrapText="1"/>
    </xf>
    <xf numFmtId="9" fontId="6" fillId="0" borderId="3" xfId="0" applyNumberFormat="1" applyFont="1" applyBorder="1" applyAlignment="1">
      <alignment wrapText="1"/>
    </xf>
    <xf numFmtId="9" fontId="6" fillId="19" borderId="3" xfId="0" applyNumberFormat="1" applyFont="1" applyFill="1" applyBorder="1" applyAlignment="1">
      <alignment wrapText="1"/>
    </xf>
    <xf numFmtId="44" fontId="6" fillId="20" borderId="4" xfId="0" applyNumberFormat="1" applyFont="1" applyFill="1" applyBorder="1" applyAlignment="1">
      <alignment wrapText="1"/>
    </xf>
    <xf numFmtId="9" fontId="6" fillId="20" borderId="3" xfId="0" applyNumberFormat="1" applyFont="1" applyFill="1" applyBorder="1" applyAlignment="1">
      <alignment wrapText="1"/>
    </xf>
    <xf numFmtId="44" fontId="6" fillId="16" borderId="4" xfId="0" applyNumberFormat="1" applyFont="1" applyFill="1" applyBorder="1" applyAlignment="1">
      <alignment wrapText="1"/>
    </xf>
    <xf numFmtId="164" fontId="6" fillId="21" borderId="4" xfId="0" applyNumberFormat="1" applyFont="1" applyFill="1" applyBorder="1" applyAlignment="1">
      <alignment horizontal="center" wrapText="1"/>
    </xf>
    <xf numFmtId="164" fontId="6" fillId="18" borderId="4" xfId="0" applyNumberFormat="1" applyFont="1" applyFill="1" applyBorder="1" applyAlignment="1">
      <alignment horizontal="center" wrapText="1"/>
    </xf>
    <xf numFmtId="164" fontId="6" fillId="16" borderId="4" xfId="0" applyNumberFormat="1" applyFont="1" applyFill="1" applyBorder="1" applyAlignment="1">
      <alignment horizontal="center" wrapText="1"/>
    </xf>
    <xf numFmtId="9" fontId="7" fillId="19" borderId="3" xfId="0" applyNumberFormat="1" applyFont="1" applyFill="1" applyBorder="1" applyAlignment="1">
      <alignment wrapText="1"/>
    </xf>
    <xf numFmtId="164" fontId="6" fillId="22" borderId="4" xfId="0" applyNumberFormat="1" applyFont="1" applyFill="1" applyBorder="1" applyAlignment="1">
      <alignment horizontal="center" wrapText="1"/>
    </xf>
    <xf numFmtId="9" fontId="6" fillId="22" borderId="3" xfId="0" applyNumberFormat="1" applyFont="1" applyFill="1" applyBorder="1" applyAlignment="1">
      <alignment wrapText="1"/>
    </xf>
    <xf numFmtId="44" fontId="7" fillId="23" borderId="4" xfId="0" applyNumberFormat="1" applyFont="1" applyFill="1" applyBorder="1" applyAlignment="1">
      <alignment horizontal="center" wrapText="1"/>
    </xf>
    <xf numFmtId="9" fontId="7" fillId="23" borderId="3" xfId="0" applyNumberFormat="1" applyFont="1" applyFill="1" applyBorder="1" applyAlignment="1">
      <alignment wrapText="1"/>
    </xf>
    <xf numFmtId="0" fontId="10" fillId="0" borderId="0" xfId="0" applyFont="1"/>
    <xf numFmtId="0" fontId="0" fillId="0" borderId="0" xfId="0" applyFont="1" applyAlignment="1"/>
    <xf numFmtId="0" fontId="12" fillId="0" borderId="0" xfId="0" applyFont="1" applyAlignment="1"/>
    <xf numFmtId="44" fontId="6" fillId="10" borderId="4" xfId="33" applyFont="1" applyFill="1" applyBorder="1" applyAlignment="1">
      <alignment wrapText="1"/>
    </xf>
    <xf numFmtId="44" fontId="6" fillId="0" borderId="4" xfId="33" applyFont="1" applyBorder="1" applyAlignment="1">
      <alignment horizontal="center" wrapText="1"/>
    </xf>
    <xf numFmtId="44" fontId="6" fillId="12" borderId="4" xfId="33" applyFont="1" applyFill="1" applyBorder="1" applyAlignment="1">
      <alignment horizontal="left" wrapText="1"/>
    </xf>
    <xf numFmtId="44" fontId="6" fillId="4" borderId="4" xfId="33" applyFont="1" applyFill="1" applyBorder="1" applyAlignment="1">
      <alignment horizontal="center" wrapText="1"/>
    </xf>
    <xf numFmtId="44" fontId="7" fillId="3" borderId="4" xfId="33" applyFont="1" applyFill="1" applyBorder="1" applyAlignment="1">
      <alignment horizontal="left" wrapText="1"/>
    </xf>
    <xf numFmtId="44" fontId="7" fillId="3" borderId="4" xfId="33" applyFont="1" applyFill="1" applyBorder="1" applyAlignment="1">
      <alignment horizontal="center" wrapText="1"/>
    </xf>
    <xf numFmtId="44" fontId="7" fillId="11" borderId="4" xfId="33" applyFont="1" applyFill="1" applyBorder="1" applyAlignment="1">
      <alignment horizontal="center" wrapText="1"/>
    </xf>
    <xf numFmtId="44" fontId="7" fillId="8" borderId="4" xfId="33" applyFont="1" applyFill="1" applyBorder="1" applyAlignment="1">
      <alignment horizontal="center" wrapText="1"/>
    </xf>
    <xf numFmtId="0" fontId="10" fillId="0" borderId="6" xfId="0" applyFont="1" applyBorder="1" applyAlignment="1">
      <alignment vertical="center" wrapText="1"/>
    </xf>
    <xf numFmtId="44" fontId="0" fillId="4" borderId="1" xfId="33" applyFont="1" applyFill="1" applyBorder="1" applyAlignment="1">
      <alignment wrapText="1"/>
    </xf>
    <xf numFmtId="9" fontId="0" fillId="4" borderId="1" xfId="26" applyFont="1" applyFill="1" applyBorder="1" applyAlignment="1">
      <alignment wrapText="1"/>
    </xf>
    <xf numFmtId="170" fontId="0" fillId="4" borderId="1" xfId="26" applyNumberFormat="1" applyFont="1" applyFill="1" applyBorder="1" applyAlignment="1">
      <alignment wrapText="1"/>
    </xf>
    <xf numFmtId="0" fontId="13" fillId="24" borderId="5" xfId="0" applyFont="1" applyFill="1" applyBorder="1" applyAlignment="1">
      <alignment vertical="center" wrapText="1"/>
    </xf>
    <xf numFmtId="44" fontId="4" fillId="24" borderId="1" xfId="33" applyFont="1" applyFill="1" applyBorder="1" applyAlignment="1">
      <alignment wrapText="1"/>
    </xf>
    <xf numFmtId="0" fontId="10" fillId="24" borderId="6" xfId="0" applyFont="1" applyFill="1" applyBorder="1" applyAlignment="1">
      <alignment vertical="center" wrapText="1"/>
    </xf>
    <xf numFmtId="44" fontId="0" fillId="24" borderId="1" xfId="33" applyFont="1" applyFill="1" applyBorder="1" applyAlignment="1">
      <alignment wrapText="1"/>
    </xf>
    <xf numFmtId="9" fontId="4" fillId="24" borderId="1" xfId="26" applyFont="1" applyFill="1" applyBorder="1" applyAlignment="1">
      <alignment wrapText="1"/>
    </xf>
    <xf numFmtId="4" fontId="14" fillId="0" borderId="0" xfId="0" applyNumberFormat="1" applyFont="1"/>
  </cellXfs>
  <cellStyles count="36">
    <cellStyle name="Comma" xfId="25" builtinId="3"/>
    <cellStyle name="Comma 2" xfId="34" xr:uid="{00000000-0005-0000-0000-000001000000}"/>
    <cellStyle name="Comma 3" xfId="35" xr:uid="{00000000-0005-0000-0000-000002000000}"/>
    <cellStyle name="Currency" xfId="33"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7" builtinId="8" hidden="1"/>
    <cellStyle name="Hyperlink" xfId="29" builtinId="8" hidden="1"/>
    <cellStyle name="Hyperlink" xfId="31" builtinId="8" hidden="1"/>
    <cellStyle name="Normal" xfId="0" builtinId="0"/>
    <cellStyle name="Percent" xfId="26"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arah Zingg" id="{884F9974-BC0A-4524-A3C2-26945284AE5F}" userId="Sarah Zingg" providerId="None"/>
  <person displayName="Yohann Bouvier" id="{A8B52794-7425-4352-B4D4-601388939A95}" userId="Yohann Bouvier" providerId="None"/>
  <person displayName="Laetitia Claire Beuscher" id="{BE4C978D-731A-4508-8A0C-CB1D29C0F547}" userId="Laetitia Claire Beuscher" providerId="None"/>
  <person displayName="Laetitia Beuscher" id="{6BB0E575-24B6-42E8-AB4C-4E93810E2610}" userId="S-1-5-21-1770705335-2818183377-2982955565-189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5" dT="2019-02-25T09:37:33.29" personId="{BE4C978D-731A-4508-8A0C-CB1D29C0F547}" id="{697DA5CF-FFBF-415A-B69C-C2CED8818113}">
    <text>Mission Djugu conflict analysis  Aurelien+Famba</text>
  </threadedComment>
  <threadedComment ref="B8" dT="2019-05-24T09:50:39.55" personId="{6BB0E575-24B6-42E8-AB4C-4E93810E2610}" id="{E1999154-5F5A-4008-93CD-B1838950A15B}">
    <text>Ligne budgetaire additionnelle pour assurer les descentes terrain de la SSU que le budget MONUSCO ne peut couvrir et liees directment au management du FCS</text>
  </threadedComment>
  <threadedComment ref="B15" dT="2019-04-23T08:15:17.83" personId="{A8B52794-7425-4352-B4D4-601388939A95}" id="{ACD25321-554F-4033-9EC8-40F8C23B7832}">
    <text>Change to: Campagne d'information communautaires (information/mobilisation)</text>
  </threadedComment>
  <threadedComment ref="AF15" dT="2019-05-24T09:44:57.62" personId="{6BB0E575-24B6-42E8-AB4C-4E93810E2610}" id="{D8C7EC16-88E6-456A-9275-5C1B3BD7A020}">
    <text>les campagnes d'information communautaires seront plannifiees dans le temps une fois le budget aprouve</text>
  </threadedComment>
  <threadedComment ref="AG15" dT="2019-04-24T08:14:12.21" personId="{884F9974-BC0A-4524-A3C2-26945284AE5F}" id="{3B613AD7-B812-48D3-BE07-EA4028F21742}">
    <text>If the FRPI process goes as planned, we will need these funds to assure PTS can accompany the process (as in go to the field and sensitize where needed and possibly get key messages diffused on community radios).</text>
  </threadedComment>
  <threadedComment ref="B16" dT="2019-04-23T08:16:05.73" personId="{A8B52794-7425-4352-B4D4-601388939A95}" id="{247A95C6-4886-4BF7-A889-DE47F823D549}">
    <text>change to: Frais forfaitaire production de matériel de communication et de visibilite</text>
  </threadedComment>
  <threadedComment ref="AF16" dT="2019-05-24T09:44:28.39" personId="{6BB0E575-24B6-42E8-AB4C-4E93810E2610}" id="{92DB4EFE-41FF-435E-95EF-BA452B0B7E91}">
    <text>L'utilisation du budget sera determine lors de l'atelier de Juin avec tous les pints focaux communication et depnese dans l'annee selon cette decision collective.</text>
  </threadedComment>
  <threadedComment ref="AG16" dT="2019-04-24T08:14:39.14" personId="{884F9974-BC0A-4524-A3C2-26945284AE5F}" id="{470E4B31-0797-44EE-8EC4-6C67BB60C575}">
    <text>To print ISSSS anual report and get additional visibility items for ISSSS</text>
  </threadedComment>
  <threadedComment ref="B17" dT="2019-04-23T08:20:28.89" personId="{A8B52794-7425-4352-B4D4-601388939A95}" id="{512ECFB2-5282-43C1-8D73-BA0D61589CD1}">
    <text>change to: Prise en charge STAREC: mission "communication"</text>
  </threadedComment>
  <threadedComment ref="P17" dT="2019-04-17T15:05:35.73" personId="{A8B52794-7425-4352-B4D4-601388939A95}" id="{9AE382AB-256A-4F4C-9A1A-62FE0520E9EC}">
    <text>7 nights Bunia Gama support Comms focal point in Bunia on communiaction plan for futur FRPI DDR process</text>
  </threadedComment>
  <threadedComment ref="R17" dT="2019-04-17T08:29:01.73" personId="{A8B52794-7425-4352-B4D4-601388939A95}" id="{B646111A-8F47-4626-9051-6CACAAB5E910}">
    <text>Jackson 5 nights Kitshanga (M&amp;E visit/press visit)</text>
  </threadedComment>
  <threadedComment ref="AG17" dT="2019-04-24T08:15:20.07" personId="{884F9974-BC0A-4524-A3C2-26945284AE5F}" id="{0AE850CB-4A2B-4021-BD4B-6A684216DB52}">
    <text>For STAREC focal points in all provinces to go on all the monitoring missions to document.</text>
  </threadedComment>
  <threadedComment ref="B18" dT="2019-04-23T08:21:10.92" personId="{A8B52794-7425-4352-B4D4-601388939A95}" id="{549432F7-E92B-4B82-B2C3-BFA6CEA40536}">
    <text>change to: forfait atelier en communication strategique</text>
  </threadedComment>
  <threadedComment ref="U18" dT="2019-04-17T08:24:45.10" personId="{A8B52794-7425-4352-B4D4-601388939A95}" id="{A50BBD7D-4586-405C-9546-CB0DC34FED01}">
    <text>Atelier de communication avec tous els poitns focaux communication du STAREC plannifie initialement en avril mais decale a Juin faute de place sur vol MONUSCO. budget double par rapport a celui planifie en 2018-2019 pour assurer 2 jours datelier au lieu de 1 juge trop court.</text>
  </threadedComment>
  <threadedComment ref="AG18" dT="2019-04-24T08:15:48.42" personId="{884F9974-BC0A-4524-A3C2-26945284AE5F}" id="{ECAF1CAE-25C8-42F0-85EC-6783A04EFA1F}">
    <text>Additonal funds required so the event can be 2 days long and have the option to hold it in Kinshasa.</text>
  </threadedComment>
  <threadedComment ref="B22" dT="2019-05-21T15:23:51.49" personId="{884F9974-BC0A-4524-A3C2-26945284AE5F}" id="{FAEA4E70-58ED-491B-A72E-B4D0B0BE33B7}">
    <text>Organisation de deux retraites STAREC – UAS avant fin  2019 : Mise au point sur la conduite des activités de stabilisation par le tandem STAREC-UAS. Debut 2020 : Partage de la vision des nouvelles autorités sur la STABILISATION et orientations.</text>
  </threadedComment>
  <threadedComment ref="AG22" dT="2019-05-24T08:50:28.99" personId="{884F9974-BC0A-4524-A3C2-26945284AE5F}" id="{2FB783F5-7923-460E-91D6-DDA03C92888C}">
    <text>2 retraites STAREC-UAS</text>
  </threadedComment>
</ThreadedComments>
</file>

<file path=xl/threadedComments/threadedComment2.xml><?xml version="1.0" encoding="utf-8"?>
<ThreadedComments xmlns="http://schemas.microsoft.com/office/spreadsheetml/2018/threadedcomments" xmlns:x="http://schemas.openxmlformats.org/spreadsheetml/2006/main">
  <threadedComment ref="A8" dT="2019-05-24T09:50:39.55" personId="{6BB0E575-24B6-42E8-AB4C-4E93810E2610}" id="{012ED103-0D91-A54C-A6E0-F30C8C7A84DA}">
    <text>Ligne budgetaire additionnelle pour assurer les descentes terrain de la SSU que le budget MONUSCO ne peut couvrir et liees directment au management du FCS</text>
  </threadedComment>
  <threadedComment ref="A15" dT="2019-04-23T08:15:17.83" personId="{A8B52794-7425-4352-B4D4-601388939A95}" id="{5F95612D-2DD7-2D41-90DA-F2BAA627F7F2}">
    <text>Change to: Campagne d'information communautaires (information/mobilisation)</text>
  </threadedComment>
  <threadedComment ref="A16" dT="2019-04-23T08:16:05.73" personId="{A8B52794-7425-4352-B4D4-601388939A95}" id="{2597F35F-8D7C-3C4E-9041-3AD5A7B21D7A}">
    <text>change to: Frais forfaitaire production de matériel de communication et de visibilite</text>
  </threadedComment>
  <threadedComment ref="A17" dT="2019-04-23T08:20:28.89" personId="{A8B52794-7425-4352-B4D4-601388939A95}" id="{2E556ABA-0B33-C245-82E5-FBF3C81F58C4}">
    <text>change to: Prise en charge STAREC: mission "communication"</text>
  </threadedComment>
  <threadedComment ref="A18" dT="2019-04-23T08:21:10.92" personId="{A8B52794-7425-4352-B4D4-601388939A95}" id="{E49154CF-0B1A-8648-82A9-FF83DA8B8430}">
    <text>change to: forfait atelier en communication strategique</text>
  </threadedComment>
  <threadedComment ref="A22" dT="2019-05-21T15:23:51.49" personId="{884F9974-BC0A-4524-A3C2-26945284AE5F}" id="{733B1A19-EBCD-DF42-82F8-926C940D300F}">
    <text>Organisation de deux retraites STAREC – UAS avant fin  2019 : Mise au point sur la conduite des activités de stabilisation par le tandem STAREC-UAS. Debut 2020 : Partage de la vision des nouvelles autorités sur la STABILISATION et orientations.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32"/>
  <sheetViews>
    <sheetView zoomScale="75" zoomScaleNormal="75" zoomScalePageLayoutView="80" workbookViewId="0">
      <pane xSplit="2" ySplit="2" topLeftCell="I20" activePane="bottomRight" state="frozen"/>
      <selection pane="topRight" activeCell="C1" sqref="C1"/>
      <selection pane="bottomLeft" activeCell="A3" sqref="A3"/>
      <selection pane="bottomRight" activeCell="M26" sqref="M26"/>
    </sheetView>
  </sheetViews>
  <sheetFormatPr baseColWidth="10" defaultColWidth="11" defaultRowHeight="16" x14ac:dyDescent="0.2"/>
  <cols>
    <col min="1" max="1" width="11" style="45"/>
    <col min="2" max="2" width="80.6640625" style="45" bestFit="1" customWidth="1"/>
    <col min="3" max="12" width="14.6640625" style="98" customWidth="1"/>
    <col min="13" max="13" width="13.83203125" style="99" customWidth="1"/>
    <col min="14" max="14" width="11.33203125" style="45" customWidth="1"/>
    <col min="15" max="15" width="11.5" style="45" bestFit="1" customWidth="1"/>
    <col min="16" max="16" width="15.33203125" style="45" customWidth="1"/>
    <col min="17" max="17" width="14.33203125" style="99" customWidth="1"/>
    <col min="18" max="20" width="13.33203125" style="98" customWidth="1"/>
    <col min="21" max="21" width="15.1640625" style="98" customWidth="1"/>
    <col min="22" max="22" width="13.6640625" style="98" customWidth="1"/>
    <col min="23" max="23" width="12.1640625" style="98" customWidth="1"/>
    <col min="24" max="24" width="13.33203125" style="98" customWidth="1"/>
    <col min="25" max="25" width="12.1640625" style="98" customWidth="1"/>
    <col min="26" max="26" width="11.1640625" style="98" customWidth="1"/>
    <col min="27" max="27" width="11.6640625" style="98" customWidth="1"/>
    <col min="28" max="28" width="12.1640625" style="98" customWidth="1"/>
    <col min="29" max="29" width="11.83203125" style="98" customWidth="1"/>
    <col min="30" max="30" width="11.6640625" style="98" customWidth="1"/>
    <col min="31" max="31" width="12.5" style="98" customWidth="1"/>
    <col min="32" max="32" width="16.33203125" style="98" customWidth="1"/>
    <col min="33" max="33" width="16" style="45" customWidth="1"/>
    <col min="34" max="34" width="13.83203125" style="45" customWidth="1"/>
    <col min="35" max="35" width="19" style="99" customWidth="1"/>
    <col min="36" max="36" width="20.1640625" style="45" customWidth="1"/>
    <col min="37" max="16384" width="11" style="45"/>
  </cols>
  <sheetData>
    <row r="1" spans="2:36" s="46" customFormat="1" ht="51" x14ac:dyDescent="0.2">
      <c r="B1" s="25" t="s">
        <v>0</v>
      </c>
      <c r="C1" s="30" t="s">
        <v>43</v>
      </c>
      <c r="D1" s="30" t="s">
        <v>73</v>
      </c>
      <c r="E1" s="30" t="s">
        <v>72</v>
      </c>
      <c r="F1" s="30" t="s">
        <v>71</v>
      </c>
      <c r="G1" s="30" t="s">
        <v>70</v>
      </c>
      <c r="H1" s="30" t="s">
        <v>69</v>
      </c>
      <c r="I1" s="30" t="s">
        <v>68</v>
      </c>
      <c r="J1" s="30" t="s">
        <v>67</v>
      </c>
      <c r="K1" s="30" t="s">
        <v>66</v>
      </c>
      <c r="L1" s="23" t="s">
        <v>65</v>
      </c>
      <c r="M1" s="23" t="s">
        <v>20</v>
      </c>
      <c r="N1" s="24" t="s">
        <v>21</v>
      </c>
      <c r="O1" s="24" t="s">
        <v>22</v>
      </c>
      <c r="P1" s="25" t="s">
        <v>23</v>
      </c>
      <c r="Q1" s="23" t="s">
        <v>34</v>
      </c>
      <c r="R1" s="23" t="s">
        <v>24</v>
      </c>
      <c r="S1" s="23" t="s">
        <v>39</v>
      </c>
      <c r="T1" s="26" t="s">
        <v>25</v>
      </c>
      <c r="U1" s="26" t="s">
        <v>26</v>
      </c>
      <c r="V1" s="26" t="s">
        <v>27</v>
      </c>
      <c r="W1" s="26" t="s">
        <v>28</v>
      </c>
      <c r="X1" s="26" t="s">
        <v>29</v>
      </c>
      <c r="Y1" s="26" t="s">
        <v>30</v>
      </c>
      <c r="Z1" s="26" t="s">
        <v>31</v>
      </c>
      <c r="AA1" s="26" t="s">
        <v>32</v>
      </c>
      <c r="AB1" s="26" t="s">
        <v>35</v>
      </c>
      <c r="AC1" s="26" t="s">
        <v>36</v>
      </c>
      <c r="AD1" s="26" t="s">
        <v>37</v>
      </c>
      <c r="AE1" s="26" t="s">
        <v>38</v>
      </c>
      <c r="AF1" s="26" t="s">
        <v>44</v>
      </c>
      <c r="AG1" s="25" t="s">
        <v>18</v>
      </c>
      <c r="AH1" s="25" t="s">
        <v>19</v>
      </c>
      <c r="AI1" s="28" t="s">
        <v>45</v>
      </c>
      <c r="AJ1" s="46" t="s">
        <v>79</v>
      </c>
    </row>
    <row r="2" spans="2:36" ht="17" x14ac:dyDescent="0.2">
      <c r="B2" s="47" t="s">
        <v>1</v>
      </c>
      <c r="C2" s="48"/>
      <c r="D2" s="48"/>
      <c r="E2" s="48"/>
      <c r="F2" s="48"/>
      <c r="G2" s="48"/>
      <c r="H2" s="48"/>
      <c r="I2" s="48"/>
      <c r="J2" s="48"/>
      <c r="K2" s="48"/>
      <c r="L2" s="48"/>
      <c r="M2" s="48"/>
      <c r="N2" s="49"/>
      <c r="O2" s="49"/>
      <c r="P2" s="50"/>
      <c r="Q2" s="48"/>
      <c r="R2" s="48"/>
      <c r="S2" s="48"/>
      <c r="T2" s="48"/>
      <c r="U2" s="48"/>
      <c r="V2" s="48"/>
      <c r="W2" s="48"/>
      <c r="X2" s="48"/>
      <c r="Y2" s="48"/>
      <c r="Z2" s="48"/>
      <c r="AA2" s="48"/>
      <c r="AB2" s="48"/>
      <c r="AC2" s="48"/>
      <c r="AD2" s="48"/>
      <c r="AE2" s="48"/>
      <c r="AF2" s="48"/>
      <c r="AG2" s="51"/>
      <c r="AH2" s="50"/>
      <c r="AI2" s="52"/>
    </row>
    <row r="3" spans="2:36" ht="17" x14ac:dyDescent="0.2">
      <c r="B3" s="1" t="s">
        <v>3</v>
      </c>
      <c r="C3" s="53">
        <v>51070</v>
      </c>
      <c r="D3" s="53">
        <v>0</v>
      </c>
      <c r="E3" s="53">
        <v>0</v>
      </c>
      <c r="F3" s="53">
        <v>0</v>
      </c>
      <c r="G3" s="53">
        <v>0</v>
      </c>
      <c r="H3" s="53">
        <v>0</v>
      </c>
      <c r="I3" s="53">
        <v>0</v>
      </c>
      <c r="J3" s="53">
        <v>0</v>
      </c>
      <c r="K3" s="53">
        <v>0</v>
      </c>
      <c r="L3" s="53">
        <v>0</v>
      </c>
      <c r="M3" s="53">
        <f>C3</f>
        <v>51070</v>
      </c>
      <c r="N3" s="54">
        <v>1840</v>
      </c>
      <c r="O3" s="55">
        <v>3400</v>
      </c>
      <c r="P3" s="53">
        <v>3400</v>
      </c>
      <c r="Q3" s="53">
        <f>M3-N3-O3-P3</f>
        <v>42430</v>
      </c>
      <c r="R3" s="56">
        <v>3400</v>
      </c>
      <c r="S3" s="56">
        <f>Q3-R3</f>
        <v>39030</v>
      </c>
      <c r="T3" s="57">
        <v>4255.83</v>
      </c>
      <c r="U3" s="57">
        <v>4255.83</v>
      </c>
      <c r="V3" s="57">
        <v>4255.83</v>
      </c>
      <c r="W3" s="57">
        <v>4255.83</v>
      </c>
      <c r="X3" s="57">
        <v>4255.83</v>
      </c>
      <c r="Y3" s="57">
        <v>4255.83</v>
      </c>
      <c r="Z3" s="57">
        <v>4255.83</v>
      </c>
      <c r="AA3" s="57">
        <v>4255.83</v>
      </c>
      <c r="AB3" s="57">
        <v>4255.83</v>
      </c>
      <c r="AC3" s="57">
        <v>4255.83</v>
      </c>
      <c r="AD3" s="57">
        <v>4255.83</v>
      </c>
      <c r="AE3" s="57">
        <v>4255.83</v>
      </c>
      <c r="AF3" s="57">
        <f>SUM(T3:AE3)</f>
        <v>51069.960000000014</v>
      </c>
      <c r="AG3" s="58">
        <f t="shared" ref="AG3:AG12" si="0">S3-AF3</f>
        <v>-12039.960000000014</v>
      </c>
      <c r="AH3" s="59">
        <f>AG3/C3</f>
        <v>-0.23575406305071497</v>
      </c>
      <c r="AI3" s="52"/>
    </row>
    <row r="4" spans="2:36" ht="17" x14ac:dyDescent="0.2">
      <c r="B4" s="1" t="s">
        <v>6</v>
      </c>
      <c r="C4" s="53">
        <v>3531</v>
      </c>
      <c r="D4" s="53">
        <v>0</v>
      </c>
      <c r="E4" s="53">
        <v>0</v>
      </c>
      <c r="F4" s="53">
        <v>0</v>
      </c>
      <c r="G4" s="53">
        <v>0</v>
      </c>
      <c r="H4" s="53">
        <v>0</v>
      </c>
      <c r="I4" s="53">
        <v>0</v>
      </c>
      <c r="J4" s="53">
        <v>0</v>
      </c>
      <c r="K4" s="53">
        <v>0</v>
      </c>
      <c r="L4" s="53">
        <v>0</v>
      </c>
      <c r="M4" s="53">
        <f>C4</f>
        <v>3531</v>
      </c>
      <c r="N4" s="55">
        <v>0</v>
      </c>
      <c r="O4" s="55">
        <v>0</v>
      </c>
      <c r="P4" s="53">
        <v>2050</v>
      </c>
      <c r="Q4" s="53">
        <f t="shared" ref="Q4:Q8" si="1">M4-N4-O4-P4</f>
        <v>1481</v>
      </c>
      <c r="R4" s="56">
        <v>564</v>
      </c>
      <c r="S4" s="56">
        <f>Q4-R4</f>
        <v>917</v>
      </c>
      <c r="T4" s="57">
        <v>820</v>
      </c>
      <c r="U4" s="57">
        <v>564</v>
      </c>
      <c r="V4" s="57">
        <v>0</v>
      </c>
      <c r="W4" s="57">
        <v>0</v>
      </c>
      <c r="X4" s="57">
        <v>528</v>
      </c>
      <c r="Y4" s="57">
        <v>0</v>
      </c>
      <c r="Z4" s="57">
        <v>528</v>
      </c>
      <c r="AA4" s="57">
        <v>0</v>
      </c>
      <c r="AB4" s="57">
        <v>0</v>
      </c>
      <c r="AC4" s="57">
        <v>528</v>
      </c>
      <c r="AD4" s="57">
        <v>0</v>
      </c>
      <c r="AE4" s="57">
        <v>563</v>
      </c>
      <c r="AF4" s="57">
        <f>SUM(T4:AE4)</f>
        <v>3531</v>
      </c>
      <c r="AG4" s="58">
        <f t="shared" si="0"/>
        <v>-2614</v>
      </c>
      <c r="AH4" s="60">
        <f t="shared" ref="AH3:AH13" si="2">AG4/C4</f>
        <v>-0.74030019824412352</v>
      </c>
      <c r="AI4" s="52"/>
    </row>
    <row r="5" spans="2:36" ht="17" x14ac:dyDescent="0.2">
      <c r="B5" s="1" t="s">
        <v>7</v>
      </c>
      <c r="C5" s="53">
        <v>3531</v>
      </c>
      <c r="D5" s="53">
        <v>0</v>
      </c>
      <c r="E5" s="53">
        <v>0</v>
      </c>
      <c r="F5" s="53">
        <v>0</v>
      </c>
      <c r="G5" s="53">
        <v>0</v>
      </c>
      <c r="H5" s="53">
        <v>0</v>
      </c>
      <c r="I5" s="53">
        <v>0</v>
      </c>
      <c r="J5" s="53">
        <v>0</v>
      </c>
      <c r="K5" s="53">
        <v>0</v>
      </c>
      <c r="L5" s="53">
        <v>0</v>
      </c>
      <c r="M5" s="53">
        <f>C5</f>
        <v>3531</v>
      </c>
      <c r="N5" s="55">
        <v>0</v>
      </c>
      <c r="O5" s="61">
        <v>3138</v>
      </c>
      <c r="P5" s="53">
        <v>0</v>
      </c>
      <c r="Q5" s="53">
        <f t="shared" si="1"/>
        <v>393</v>
      </c>
      <c r="R5" s="56">
        <v>1500</v>
      </c>
      <c r="S5" s="56">
        <f t="shared" ref="S5:S7" si="3">Q5-R5</f>
        <v>-1107</v>
      </c>
      <c r="T5" s="57">
        <v>0</v>
      </c>
      <c r="U5" s="57">
        <v>0</v>
      </c>
      <c r="V5" s="57">
        <v>546</v>
      </c>
      <c r="W5" s="57">
        <v>1500</v>
      </c>
      <c r="X5" s="57">
        <v>0</v>
      </c>
      <c r="Y5" s="57">
        <v>546</v>
      </c>
      <c r="Z5" s="57">
        <v>0</v>
      </c>
      <c r="AA5" s="57">
        <v>0</v>
      </c>
      <c r="AB5" s="57">
        <v>0</v>
      </c>
      <c r="AC5" s="57">
        <v>0</v>
      </c>
      <c r="AD5" s="57">
        <v>939</v>
      </c>
      <c r="AE5" s="57">
        <v>0</v>
      </c>
      <c r="AF5" s="57">
        <f t="shared" ref="AF5:AF11" si="4">SUM(T5:AE5)</f>
        <v>3531</v>
      </c>
      <c r="AG5" s="58">
        <f t="shared" si="0"/>
        <v>-4638</v>
      </c>
      <c r="AH5" s="60">
        <f t="shared" si="2"/>
        <v>-1.3135089209855566</v>
      </c>
      <c r="AI5" s="52"/>
    </row>
    <row r="6" spans="2:36" ht="17" x14ac:dyDescent="0.2">
      <c r="B6" s="1" t="s">
        <v>8</v>
      </c>
      <c r="C6" s="53">
        <v>3531</v>
      </c>
      <c r="D6" s="53">
        <v>0</v>
      </c>
      <c r="E6" s="53">
        <v>0</v>
      </c>
      <c r="F6" s="53">
        <v>0</v>
      </c>
      <c r="G6" s="53">
        <v>0</v>
      </c>
      <c r="H6" s="53">
        <v>0</v>
      </c>
      <c r="I6" s="53">
        <v>0</v>
      </c>
      <c r="J6" s="53">
        <v>0</v>
      </c>
      <c r="K6" s="53">
        <v>0</v>
      </c>
      <c r="L6" s="53">
        <v>0</v>
      </c>
      <c r="M6" s="53">
        <f>C6</f>
        <v>3531</v>
      </c>
      <c r="N6" s="55">
        <v>0</v>
      </c>
      <c r="O6" s="55">
        <v>0</v>
      </c>
      <c r="P6" s="53">
        <v>0</v>
      </c>
      <c r="Q6" s="53">
        <f t="shared" si="1"/>
        <v>3531</v>
      </c>
      <c r="R6" s="56">
        <v>1415</v>
      </c>
      <c r="S6" s="56">
        <f t="shared" si="3"/>
        <v>2116</v>
      </c>
      <c r="T6" s="57">
        <v>1415</v>
      </c>
      <c r="U6" s="57">
        <v>0</v>
      </c>
      <c r="V6" s="57">
        <v>1132</v>
      </c>
      <c r="W6" s="57">
        <v>0</v>
      </c>
      <c r="X6" s="57">
        <v>0</v>
      </c>
      <c r="Y6" s="57">
        <v>0</v>
      </c>
      <c r="Z6" s="57">
        <v>0</v>
      </c>
      <c r="AA6" s="57">
        <v>984</v>
      </c>
      <c r="AB6" s="57">
        <v>0</v>
      </c>
      <c r="AC6" s="57">
        <v>0</v>
      </c>
      <c r="AD6" s="57">
        <v>0</v>
      </c>
      <c r="AE6" s="57">
        <v>0</v>
      </c>
      <c r="AF6" s="57">
        <f t="shared" si="4"/>
        <v>3531</v>
      </c>
      <c r="AG6" s="58">
        <f t="shared" si="0"/>
        <v>-1415</v>
      </c>
      <c r="AH6" s="59">
        <f t="shared" si="2"/>
        <v>-0.40073633531577457</v>
      </c>
      <c r="AI6" s="52"/>
    </row>
    <row r="7" spans="2:36" ht="17" x14ac:dyDescent="0.2">
      <c r="B7" s="1" t="s">
        <v>11</v>
      </c>
      <c r="C7" s="53">
        <v>3531</v>
      </c>
      <c r="D7" s="53">
        <v>0</v>
      </c>
      <c r="E7" s="53">
        <v>0</v>
      </c>
      <c r="F7" s="53">
        <v>0</v>
      </c>
      <c r="G7" s="53">
        <v>0</v>
      </c>
      <c r="H7" s="53">
        <v>0</v>
      </c>
      <c r="I7" s="53">
        <v>0</v>
      </c>
      <c r="J7" s="53">
        <v>0</v>
      </c>
      <c r="K7" s="53">
        <v>0</v>
      </c>
      <c r="L7" s="53">
        <v>0</v>
      </c>
      <c r="M7" s="53">
        <f>C7</f>
        <v>3531</v>
      </c>
      <c r="N7" s="55">
        <v>0</v>
      </c>
      <c r="O7" s="55">
        <v>0</v>
      </c>
      <c r="P7" s="53">
        <v>1410</v>
      </c>
      <c r="Q7" s="53">
        <f t="shared" si="1"/>
        <v>2121</v>
      </c>
      <c r="R7" s="56">
        <v>0</v>
      </c>
      <c r="S7" s="56">
        <f t="shared" si="3"/>
        <v>2121</v>
      </c>
      <c r="T7" s="57">
        <v>846</v>
      </c>
      <c r="U7" s="57">
        <v>0</v>
      </c>
      <c r="V7" s="57">
        <v>0</v>
      </c>
      <c r="W7" s="57">
        <v>0</v>
      </c>
      <c r="X7" s="57">
        <v>707</v>
      </c>
      <c r="Y7" s="57">
        <v>0</v>
      </c>
      <c r="Z7" s="57">
        <v>707</v>
      </c>
      <c r="AA7" s="57">
        <v>0</v>
      </c>
      <c r="AB7" s="57">
        <v>564</v>
      </c>
      <c r="AC7" s="57">
        <v>0</v>
      </c>
      <c r="AD7" s="57">
        <v>707</v>
      </c>
      <c r="AE7" s="57">
        <v>0</v>
      </c>
      <c r="AF7" s="57">
        <f t="shared" si="4"/>
        <v>3531</v>
      </c>
      <c r="AG7" s="58">
        <f t="shared" si="0"/>
        <v>-1410</v>
      </c>
      <c r="AH7" s="59">
        <f t="shared" si="2"/>
        <v>-0.39932030586236195</v>
      </c>
      <c r="AI7" s="52"/>
    </row>
    <row r="8" spans="2:36" ht="17" x14ac:dyDescent="0.2">
      <c r="B8" s="1" t="s">
        <v>42</v>
      </c>
      <c r="C8" s="53">
        <v>0</v>
      </c>
      <c r="D8" s="53">
        <v>0</v>
      </c>
      <c r="E8" s="53">
        <v>0</v>
      </c>
      <c r="F8" s="53">
        <v>0</v>
      </c>
      <c r="G8" s="53">
        <v>0</v>
      </c>
      <c r="H8" s="53">
        <v>0</v>
      </c>
      <c r="I8" s="53">
        <v>0</v>
      </c>
      <c r="J8" s="53">
        <v>0</v>
      </c>
      <c r="K8" s="53">
        <v>0</v>
      </c>
      <c r="L8" s="53">
        <v>0</v>
      </c>
      <c r="M8" s="53">
        <v>0</v>
      </c>
      <c r="N8" s="55">
        <v>0</v>
      </c>
      <c r="O8" s="55">
        <v>0</v>
      </c>
      <c r="P8" s="53">
        <v>0</v>
      </c>
      <c r="Q8" s="53">
        <f t="shared" si="1"/>
        <v>0</v>
      </c>
      <c r="R8" s="56">
        <v>0</v>
      </c>
      <c r="S8" s="56">
        <v>0</v>
      </c>
      <c r="T8" s="57">
        <v>0</v>
      </c>
      <c r="U8" s="57">
        <v>2000</v>
      </c>
      <c r="V8" s="57">
        <v>2000</v>
      </c>
      <c r="W8" s="57">
        <v>2000</v>
      </c>
      <c r="X8" s="57">
        <v>3000</v>
      </c>
      <c r="Y8" s="57">
        <v>3000</v>
      </c>
      <c r="Z8" s="57">
        <v>3000</v>
      </c>
      <c r="AA8" s="57">
        <v>3000</v>
      </c>
      <c r="AB8" s="57">
        <v>3000</v>
      </c>
      <c r="AC8" s="57">
        <v>3000</v>
      </c>
      <c r="AD8" s="57">
        <v>3000</v>
      </c>
      <c r="AE8" s="57">
        <v>3000</v>
      </c>
      <c r="AF8" s="57">
        <f t="shared" si="4"/>
        <v>30000</v>
      </c>
      <c r="AG8" s="58">
        <f t="shared" si="0"/>
        <v>-30000</v>
      </c>
      <c r="AH8" s="59"/>
      <c r="AI8" s="52"/>
      <c r="AJ8" s="62"/>
    </row>
    <row r="9" spans="2:36" ht="17" x14ac:dyDescent="0.2">
      <c r="B9" s="7" t="s">
        <v>49</v>
      </c>
      <c r="C9" s="8">
        <f>SUM(C3:C8)</f>
        <v>65194</v>
      </c>
      <c r="D9" s="8">
        <v>0</v>
      </c>
      <c r="E9" s="8">
        <v>0</v>
      </c>
      <c r="F9" s="8">
        <v>0</v>
      </c>
      <c r="G9" s="8">
        <v>0</v>
      </c>
      <c r="H9" s="8">
        <v>0</v>
      </c>
      <c r="I9" s="8">
        <v>0</v>
      </c>
      <c r="J9" s="8">
        <v>0</v>
      </c>
      <c r="K9" s="8">
        <v>0</v>
      </c>
      <c r="L9" s="8">
        <f>SUM(L3:L8)</f>
        <v>0</v>
      </c>
      <c r="M9" s="63">
        <f>SUM(M3:M7)</f>
        <v>65194</v>
      </c>
      <c r="N9" s="7">
        <f>N3</f>
        <v>1840</v>
      </c>
      <c r="O9" s="7">
        <f>O3+O5</f>
        <v>6538</v>
      </c>
      <c r="P9" s="63">
        <f>SUM(P3:P8)</f>
        <v>6860</v>
      </c>
      <c r="Q9" s="64">
        <f>SUM(Q3:Q8)</f>
        <v>49956</v>
      </c>
      <c r="R9" s="64">
        <f>SUM(R3:R8)</f>
        <v>6879</v>
      </c>
      <c r="S9" s="64">
        <f>Q9-R9</f>
        <v>43077</v>
      </c>
      <c r="T9" s="64">
        <f>SUM(T3:T8)</f>
        <v>7336.83</v>
      </c>
      <c r="U9" s="64">
        <f t="shared" ref="U9:AD9" si="5">SUM(U3:U8)</f>
        <v>6819.83</v>
      </c>
      <c r="V9" s="64">
        <f t="shared" si="5"/>
        <v>7933.83</v>
      </c>
      <c r="W9" s="64">
        <f t="shared" si="5"/>
        <v>7755.83</v>
      </c>
      <c r="X9" s="64">
        <f t="shared" si="5"/>
        <v>8490.83</v>
      </c>
      <c r="Y9" s="64">
        <f t="shared" si="5"/>
        <v>7801.83</v>
      </c>
      <c r="Z9" s="64">
        <f t="shared" si="5"/>
        <v>8490.83</v>
      </c>
      <c r="AA9" s="64">
        <f t="shared" si="5"/>
        <v>8239.83</v>
      </c>
      <c r="AB9" s="64">
        <f t="shared" si="5"/>
        <v>7819.83</v>
      </c>
      <c r="AC9" s="64">
        <f t="shared" si="5"/>
        <v>7783.83</v>
      </c>
      <c r="AD9" s="64">
        <f t="shared" si="5"/>
        <v>8901.83</v>
      </c>
      <c r="AE9" s="64">
        <f>SUM(AE3:AE8)</f>
        <v>7818.83</v>
      </c>
      <c r="AF9" s="64">
        <f>SUM(AF3:AF8)</f>
        <v>95193.960000000021</v>
      </c>
      <c r="AG9" s="65">
        <f t="shared" si="0"/>
        <v>-52116.960000000021</v>
      </c>
      <c r="AH9" s="66">
        <f t="shared" si="2"/>
        <v>-0.79941344295487349</v>
      </c>
      <c r="AI9" s="52"/>
      <c r="AJ9" s="62"/>
    </row>
    <row r="10" spans="2:36" ht="17" x14ac:dyDescent="0.2">
      <c r="B10" s="1" t="s">
        <v>10</v>
      </c>
      <c r="C10" s="56">
        <v>15245</v>
      </c>
      <c r="D10" s="56">
        <v>0</v>
      </c>
      <c r="E10" s="56">
        <v>0</v>
      </c>
      <c r="F10" s="56">
        <v>0</v>
      </c>
      <c r="G10" s="56">
        <v>0</v>
      </c>
      <c r="H10" s="56">
        <v>0</v>
      </c>
      <c r="I10" s="56">
        <v>0</v>
      </c>
      <c r="J10" s="56">
        <v>0</v>
      </c>
      <c r="K10" s="56">
        <v>0</v>
      </c>
      <c r="L10" s="56">
        <v>0</v>
      </c>
      <c r="M10" s="56">
        <f>C10</f>
        <v>15245</v>
      </c>
      <c r="N10" s="67">
        <v>0</v>
      </c>
      <c r="O10" s="67">
        <v>0</v>
      </c>
      <c r="P10" s="56">
        <v>6327</v>
      </c>
      <c r="Q10" s="56">
        <f>M10-N10-O10-P10</f>
        <v>8918</v>
      </c>
      <c r="R10" s="56">
        <v>0</v>
      </c>
      <c r="S10" s="56">
        <f t="shared" ref="S10:S11" si="6">Q10-R10</f>
        <v>8918</v>
      </c>
      <c r="T10" s="57">
        <v>0</v>
      </c>
      <c r="U10" s="57">
        <v>0</v>
      </c>
      <c r="V10" s="57">
        <v>5027</v>
      </c>
      <c r="W10" s="57">
        <v>0</v>
      </c>
      <c r="X10" s="57">
        <v>5027</v>
      </c>
      <c r="Y10" s="57">
        <v>0</v>
      </c>
      <c r="Z10" s="57">
        <v>5027</v>
      </c>
      <c r="AA10" s="57">
        <v>0</v>
      </c>
      <c r="AB10" s="57">
        <v>0</v>
      </c>
      <c r="AC10" s="57">
        <v>5027</v>
      </c>
      <c r="AD10" s="57">
        <v>0</v>
      </c>
      <c r="AE10" s="57">
        <v>5027</v>
      </c>
      <c r="AF10" s="57">
        <f t="shared" si="4"/>
        <v>25135</v>
      </c>
      <c r="AG10" s="58">
        <f t="shared" si="0"/>
        <v>-16217</v>
      </c>
      <c r="AH10" s="59">
        <f t="shared" si="2"/>
        <v>-1.0637586093801246</v>
      </c>
      <c r="AI10" s="52"/>
      <c r="AJ10" s="62"/>
    </row>
    <row r="11" spans="2:36" ht="17" x14ac:dyDescent="0.2">
      <c r="B11" s="1" t="s">
        <v>9</v>
      </c>
      <c r="C11" s="56">
        <v>43200</v>
      </c>
      <c r="D11" s="56">
        <v>0</v>
      </c>
      <c r="E11" s="56">
        <v>0</v>
      </c>
      <c r="F11" s="56">
        <v>5466.11</v>
      </c>
      <c r="G11" s="56">
        <v>0</v>
      </c>
      <c r="H11" s="56">
        <v>1379</v>
      </c>
      <c r="I11" s="56">
        <v>6277.25</v>
      </c>
      <c r="J11" s="56">
        <v>3130</v>
      </c>
      <c r="K11" s="56">
        <v>4528</v>
      </c>
      <c r="L11" s="56">
        <v>0</v>
      </c>
      <c r="M11" s="56">
        <f>C11-D11-E11-F11-G11-H11-I11-J11-K11-L11</f>
        <v>22419.64</v>
      </c>
      <c r="N11" s="67">
        <v>0</v>
      </c>
      <c r="O11" s="67">
        <v>0</v>
      </c>
      <c r="P11" s="53">
        <v>7390.9</v>
      </c>
      <c r="Q11" s="56">
        <f>M11-N11-O11-P11</f>
        <v>15028.74</v>
      </c>
      <c r="R11" s="56">
        <v>4500</v>
      </c>
      <c r="S11" s="56">
        <f t="shared" si="6"/>
        <v>10528.74</v>
      </c>
      <c r="T11" s="57">
        <v>0</v>
      </c>
      <c r="U11" s="57">
        <v>0</v>
      </c>
      <c r="V11" s="57">
        <v>4500</v>
      </c>
      <c r="W11" s="57">
        <v>2000</v>
      </c>
      <c r="X11" s="57">
        <v>3000</v>
      </c>
      <c r="Y11" s="57">
        <v>2000</v>
      </c>
      <c r="Z11" s="57">
        <v>3000</v>
      </c>
      <c r="AA11" s="57">
        <v>0</v>
      </c>
      <c r="AB11" s="57">
        <v>2000</v>
      </c>
      <c r="AC11" s="57">
        <v>3000</v>
      </c>
      <c r="AD11" s="57">
        <v>2000</v>
      </c>
      <c r="AE11" s="57">
        <v>3000</v>
      </c>
      <c r="AF11" s="57">
        <f t="shared" si="4"/>
        <v>24500</v>
      </c>
      <c r="AG11" s="58">
        <f t="shared" si="0"/>
        <v>-13971.26</v>
      </c>
      <c r="AH11" s="59">
        <f t="shared" si="2"/>
        <v>-0.32340879629629632</v>
      </c>
      <c r="AI11" s="52"/>
    </row>
    <row r="12" spans="2:36" ht="17" x14ac:dyDescent="0.2">
      <c r="B12" s="7" t="s">
        <v>50</v>
      </c>
      <c r="C12" s="8">
        <f>C10+C11</f>
        <v>58445</v>
      </c>
      <c r="D12" s="8">
        <v>0</v>
      </c>
      <c r="E12" s="8">
        <v>0</v>
      </c>
      <c r="F12" s="8">
        <f>F11</f>
        <v>5466.11</v>
      </c>
      <c r="G12" s="8">
        <v>0</v>
      </c>
      <c r="H12" s="8">
        <f>H11</f>
        <v>1379</v>
      </c>
      <c r="I12" s="8">
        <f>I11</f>
        <v>6277.25</v>
      </c>
      <c r="J12" s="8">
        <f>J11</f>
        <v>3130</v>
      </c>
      <c r="K12" s="8">
        <f>K11</f>
        <v>4528</v>
      </c>
      <c r="L12" s="8">
        <f>L10+L11</f>
        <v>0</v>
      </c>
      <c r="M12" s="63">
        <f>M10+M11</f>
        <v>37664.639999999999</v>
      </c>
      <c r="N12" s="7">
        <v>0</v>
      </c>
      <c r="O12" s="7">
        <v>0</v>
      </c>
      <c r="P12" s="63">
        <f>P10+P11</f>
        <v>13717.9</v>
      </c>
      <c r="Q12" s="64">
        <f>Q10+Q11</f>
        <v>23946.739999999998</v>
      </c>
      <c r="R12" s="64">
        <f t="shared" ref="R12:AE12" si="7">R10+R11</f>
        <v>4500</v>
      </c>
      <c r="S12" s="64">
        <f>Q12-R12</f>
        <v>19446.739999999998</v>
      </c>
      <c r="T12" s="64">
        <f t="shared" si="7"/>
        <v>0</v>
      </c>
      <c r="U12" s="64">
        <f t="shared" si="7"/>
        <v>0</v>
      </c>
      <c r="V12" s="64">
        <f t="shared" si="7"/>
        <v>9527</v>
      </c>
      <c r="W12" s="64">
        <f t="shared" si="7"/>
        <v>2000</v>
      </c>
      <c r="X12" s="64">
        <f t="shared" si="7"/>
        <v>8027</v>
      </c>
      <c r="Y12" s="64">
        <f t="shared" si="7"/>
        <v>2000</v>
      </c>
      <c r="Z12" s="64">
        <f t="shared" si="7"/>
        <v>8027</v>
      </c>
      <c r="AA12" s="64">
        <f t="shared" si="7"/>
        <v>0</v>
      </c>
      <c r="AB12" s="64">
        <f t="shared" si="7"/>
        <v>2000</v>
      </c>
      <c r="AC12" s="64">
        <f t="shared" si="7"/>
        <v>8027</v>
      </c>
      <c r="AD12" s="64">
        <f t="shared" si="7"/>
        <v>2000</v>
      </c>
      <c r="AE12" s="64">
        <f t="shared" si="7"/>
        <v>8027</v>
      </c>
      <c r="AF12" s="68">
        <f>AF10+AF11</f>
        <v>49635</v>
      </c>
      <c r="AG12" s="65">
        <f t="shared" si="0"/>
        <v>-30188.260000000002</v>
      </c>
      <c r="AH12" s="66">
        <f t="shared" si="2"/>
        <v>-0.51652425357173415</v>
      </c>
      <c r="AI12" s="52"/>
      <c r="AJ12" s="62"/>
    </row>
    <row r="13" spans="2:36" s="75" customFormat="1" ht="17" x14ac:dyDescent="0.2">
      <c r="B13" s="10" t="s">
        <v>2</v>
      </c>
      <c r="C13" s="11">
        <f>C9+C12</f>
        <v>123639</v>
      </c>
      <c r="D13" s="11">
        <v>0</v>
      </c>
      <c r="E13" s="11">
        <v>0</v>
      </c>
      <c r="F13" s="11">
        <f>F12</f>
        <v>5466.11</v>
      </c>
      <c r="G13" s="11">
        <f>+G11</f>
        <v>0</v>
      </c>
      <c r="H13" s="11">
        <f t="shared" ref="H13:K13" si="8">+H11</f>
        <v>1379</v>
      </c>
      <c r="I13" s="11">
        <f t="shared" si="8"/>
        <v>6277.25</v>
      </c>
      <c r="J13" s="11">
        <f t="shared" si="8"/>
        <v>3130</v>
      </c>
      <c r="K13" s="11">
        <f t="shared" si="8"/>
        <v>4528</v>
      </c>
      <c r="L13" s="11">
        <f>L9+L12</f>
        <v>0</v>
      </c>
      <c r="M13" s="69">
        <f>M9+M12</f>
        <v>102858.64</v>
      </c>
      <c r="N13" s="22">
        <f>N9</f>
        <v>1840</v>
      </c>
      <c r="O13" s="22">
        <f>O9</f>
        <v>6538</v>
      </c>
      <c r="P13" s="69">
        <f>P9+P12</f>
        <v>20577.900000000001</v>
      </c>
      <c r="Q13" s="70">
        <f>Q9+Q12</f>
        <v>73902.739999999991</v>
      </c>
      <c r="R13" s="70">
        <f>R9+R12</f>
        <v>11379</v>
      </c>
      <c r="S13" s="71">
        <f>Q13-R13</f>
        <v>62523.739999999991</v>
      </c>
      <c r="T13" s="70">
        <f>T9+T12</f>
        <v>7336.83</v>
      </c>
      <c r="U13" s="70">
        <f t="shared" ref="U13:AC13" si="9">U9+U12</f>
        <v>6819.83</v>
      </c>
      <c r="V13" s="70">
        <f t="shared" si="9"/>
        <v>17460.830000000002</v>
      </c>
      <c r="W13" s="70">
        <f t="shared" si="9"/>
        <v>9755.83</v>
      </c>
      <c r="X13" s="70">
        <f t="shared" si="9"/>
        <v>16517.830000000002</v>
      </c>
      <c r="Y13" s="70">
        <f t="shared" si="9"/>
        <v>9801.83</v>
      </c>
      <c r="Z13" s="70">
        <f t="shared" si="9"/>
        <v>16517.830000000002</v>
      </c>
      <c r="AA13" s="70">
        <f t="shared" si="9"/>
        <v>8239.83</v>
      </c>
      <c r="AB13" s="70">
        <f t="shared" si="9"/>
        <v>9819.83</v>
      </c>
      <c r="AC13" s="70">
        <f t="shared" si="9"/>
        <v>15810.83</v>
      </c>
      <c r="AD13" s="70">
        <f>AD9+AD12</f>
        <v>10901.83</v>
      </c>
      <c r="AE13" s="70">
        <f>AE9+AE12</f>
        <v>15845.83</v>
      </c>
      <c r="AF13" s="70">
        <f>AF9+AF12</f>
        <v>144828.96000000002</v>
      </c>
      <c r="AG13" s="72">
        <f>S13-AF13</f>
        <v>-82305.22000000003</v>
      </c>
      <c r="AH13" s="60">
        <f t="shared" si="2"/>
        <v>-0.66568979043829235</v>
      </c>
      <c r="AI13" s="73">
        <f>-AG13</f>
        <v>82305.22000000003</v>
      </c>
      <c r="AJ13" s="74"/>
    </row>
    <row r="14" spans="2:36" ht="17" x14ac:dyDescent="0.2">
      <c r="B14" s="49" t="s">
        <v>15</v>
      </c>
      <c r="C14" s="48"/>
      <c r="D14" s="48"/>
      <c r="E14" s="48"/>
      <c r="F14" s="48"/>
      <c r="G14" s="48"/>
      <c r="H14" s="48"/>
      <c r="I14" s="48"/>
      <c r="J14" s="48"/>
      <c r="K14" s="48"/>
      <c r="L14" s="48"/>
      <c r="M14" s="48"/>
      <c r="N14" s="49"/>
      <c r="O14" s="49"/>
      <c r="P14" s="50"/>
      <c r="Q14" s="48"/>
      <c r="R14" s="48"/>
      <c r="S14" s="48"/>
      <c r="T14" s="48"/>
      <c r="U14" s="48"/>
      <c r="V14" s="48"/>
      <c r="W14" s="48"/>
      <c r="X14" s="48"/>
      <c r="Y14" s="48"/>
      <c r="Z14" s="48"/>
      <c r="AA14" s="48"/>
      <c r="AB14" s="48"/>
      <c r="AC14" s="48"/>
      <c r="AD14" s="48"/>
      <c r="AE14" s="48"/>
      <c r="AF14" s="48"/>
      <c r="AG14" s="76">
        <f>C14-(SUM(N14:P14)+SUM(R14:AE14)+L14)</f>
        <v>0</v>
      </c>
      <c r="AH14" s="50"/>
      <c r="AI14" s="52"/>
      <c r="AJ14" s="74">
        <f t="shared" ref="AJ14:AJ27" si="10">AF14+AG14</f>
        <v>0</v>
      </c>
    </row>
    <row r="15" spans="2:36" ht="17" x14ac:dyDescent="0.2">
      <c r="B15" s="13" t="s">
        <v>4</v>
      </c>
      <c r="C15" s="53">
        <v>9000</v>
      </c>
      <c r="D15" s="53">
        <v>0</v>
      </c>
      <c r="E15" s="53">
        <v>0</v>
      </c>
      <c r="F15" s="53">
        <v>0</v>
      </c>
      <c r="G15" s="53">
        <v>0</v>
      </c>
      <c r="H15" s="53">
        <v>596</v>
      </c>
      <c r="I15" s="53">
        <v>596</v>
      </c>
      <c r="J15" s="53">
        <v>0</v>
      </c>
      <c r="K15" s="53">
        <v>0</v>
      </c>
      <c r="L15" s="56">
        <v>596</v>
      </c>
      <c r="M15" s="53">
        <f>C15-H15-I15-L15</f>
        <v>7212</v>
      </c>
      <c r="N15" s="55">
        <v>0</v>
      </c>
      <c r="O15" s="55">
        <v>0</v>
      </c>
      <c r="P15" s="77">
        <v>0</v>
      </c>
      <c r="Q15" s="52">
        <f>M15-N15-O15-P15</f>
        <v>7212</v>
      </c>
      <c r="R15" s="56">
        <v>0</v>
      </c>
      <c r="S15" s="56">
        <f>Q15-R15</f>
        <v>7212</v>
      </c>
      <c r="T15" s="57">
        <v>0</v>
      </c>
      <c r="U15" s="57">
        <v>0</v>
      </c>
      <c r="V15" s="57">
        <v>0</v>
      </c>
      <c r="W15" s="57">
        <v>0</v>
      </c>
      <c r="X15" s="57">
        <v>0</v>
      </c>
      <c r="Y15" s="57">
        <v>0</v>
      </c>
      <c r="Z15" s="57">
        <v>0</v>
      </c>
      <c r="AA15" s="57">
        <v>0</v>
      </c>
      <c r="AB15" s="57">
        <v>0</v>
      </c>
      <c r="AC15" s="57">
        <v>0</v>
      </c>
      <c r="AD15" s="57">
        <v>0</v>
      </c>
      <c r="AE15" s="57">
        <v>0</v>
      </c>
      <c r="AF15" s="57">
        <v>10000</v>
      </c>
      <c r="AG15" s="58">
        <f>S15-AF15</f>
        <v>-2788</v>
      </c>
      <c r="AH15" s="59">
        <f>AG15/C15</f>
        <v>-0.30977777777777776</v>
      </c>
      <c r="AI15" s="52"/>
      <c r="AJ15" s="74"/>
    </row>
    <row r="16" spans="2:36" ht="17" x14ac:dyDescent="0.2">
      <c r="B16" s="13" t="s">
        <v>12</v>
      </c>
      <c r="C16" s="53">
        <v>3000</v>
      </c>
      <c r="D16" s="53">
        <v>0</v>
      </c>
      <c r="E16" s="53">
        <v>0</v>
      </c>
      <c r="F16" s="53">
        <v>0</v>
      </c>
      <c r="G16" s="53">
        <v>0</v>
      </c>
      <c r="H16" s="53">
        <v>0</v>
      </c>
      <c r="I16" s="53">
        <v>0</v>
      </c>
      <c r="J16" s="53">
        <v>0</v>
      </c>
      <c r="K16" s="53">
        <v>0</v>
      </c>
      <c r="L16" s="56">
        <v>1100</v>
      </c>
      <c r="M16" s="53">
        <f>C16-L16</f>
        <v>1900</v>
      </c>
      <c r="N16" s="55">
        <v>0</v>
      </c>
      <c r="O16" s="55">
        <v>0</v>
      </c>
      <c r="P16" s="77">
        <v>0</v>
      </c>
      <c r="Q16" s="52">
        <f>M16-N16-O16-P16</f>
        <v>1900</v>
      </c>
      <c r="R16" s="71">
        <v>0</v>
      </c>
      <c r="S16" s="56">
        <f t="shared" ref="S16:S18" si="11">Q16-R16</f>
        <v>1900</v>
      </c>
      <c r="T16" s="57">
        <v>0</v>
      </c>
      <c r="U16" s="57">
        <v>0</v>
      </c>
      <c r="V16" s="78">
        <v>0</v>
      </c>
      <c r="W16" s="78">
        <v>0</v>
      </c>
      <c r="X16" s="78">
        <v>0</v>
      </c>
      <c r="Y16" s="78">
        <v>0</v>
      </c>
      <c r="Z16" s="78">
        <v>0</v>
      </c>
      <c r="AA16" s="78">
        <v>0</v>
      </c>
      <c r="AB16" s="78">
        <v>0</v>
      </c>
      <c r="AC16" s="57">
        <v>0</v>
      </c>
      <c r="AD16" s="78">
        <v>0</v>
      </c>
      <c r="AE16" s="78">
        <v>0</v>
      </c>
      <c r="AF16" s="57">
        <v>3400</v>
      </c>
      <c r="AG16" s="58">
        <f>S16-AF16</f>
        <v>-1500</v>
      </c>
      <c r="AH16" s="59">
        <f>AG16/C16</f>
        <v>-0.5</v>
      </c>
      <c r="AI16" s="52"/>
      <c r="AJ16" s="74"/>
    </row>
    <row r="17" spans="2:36" ht="17" x14ac:dyDescent="0.2">
      <c r="B17" s="13" t="s">
        <v>13</v>
      </c>
      <c r="C17" s="53">
        <v>3750</v>
      </c>
      <c r="D17" s="53">
        <v>0</v>
      </c>
      <c r="E17" s="53">
        <v>0</v>
      </c>
      <c r="F17" s="53">
        <v>0</v>
      </c>
      <c r="G17" s="53">
        <v>0</v>
      </c>
      <c r="H17" s="53">
        <v>0</v>
      </c>
      <c r="I17" s="53">
        <v>0</v>
      </c>
      <c r="J17" s="53">
        <v>0</v>
      </c>
      <c r="K17" s="53">
        <v>0</v>
      </c>
      <c r="L17" s="56">
        <v>307.5</v>
      </c>
      <c r="M17" s="53">
        <f>C17-L17</f>
        <v>3442.5</v>
      </c>
      <c r="N17" s="55">
        <v>0</v>
      </c>
      <c r="O17" s="55">
        <v>0</v>
      </c>
      <c r="P17" s="56">
        <v>787.5</v>
      </c>
      <c r="Q17" s="52">
        <f>M17-N17-O17-P17</f>
        <v>2655</v>
      </c>
      <c r="R17" s="71">
        <v>528.75</v>
      </c>
      <c r="S17" s="56">
        <f>Q17-R17</f>
        <v>2126.25</v>
      </c>
      <c r="T17" s="57">
        <v>0</v>
      </c>
      <c r="U17" s="57">
        <v>0</v>
      </c>
      <c r="V17" s="57">
        <v>0</v>
      </c>
      <c r="W17" s="57">
        <v>0</v>
      </c>
      <c r="X17" s="57">
        <v>0</v>
      </c>
      <c r="Y17" s="57">
        <v>0</v>
      </c>
      <c r="Z17" s="57">
        <v>0</v>
      </c>
      <c r="AA17" s="57">
        <v>0</v>
      </c>
      <c r="AB17" s="57">
        <v>0</v>
      </c>
      <c r="AC17" s="57">
        <v>0</v>
      </c>
      <c r="AD17" s="57">
        <v>0</v>
      </c>
      <c r="AE17" s="57">
        <v>0</v>
      </c>
      <c r="AF17" s="57">
        <v>4126.25</v>
      </c>
      <c r="AG17" s="58">
        <f>S17-AF17</f>
        <v>-2000</v>
      </c>
      <c r="AH17" s="59">
        <f>AG17/C17</f>
        <v>-0.53333333333333333</v>
      </c>
      <c r="AI17" s="52"/>
      <c r="AJ17" s="74"/>
    </row>
    <row r="18" spans="2:36" ht="17" x14ac:dyDescent="0.2">
      <c r="B18" s="13" t="s">
        <v>14</v>
      </c>
      <c r="C18" s="53">
        <v>1250</v>
      </c>
      <c r="D18" s="53">
        <v>0</v>
      </c>
      <c r="E18" s="53">
        <v>0</v>
      </c>
      <c r="F18" s="53">
        <v>0</v>
      </c>
      <c r="G18" s="53">
        <v>0</v>
      </c>
      <c r="H18" s="53">
        <v>0</v>
      </c>
      <c r="I18" s="53">
        <v>0</v>
      </c>
      <c r="J18" s="53">
        <v>0</v>
      </c>
      <c r="K18" s="53">
        <v>0</v>
      </c>
      <c r="L18" s="53">
        <v>0</v>
      </c>
      <c r="M18" s="53">
        <f>C18</f>
        <v>1250</v>
      </c>
      <c r="N18" s="55">
        <v>0</v>
      </c>
      <c r="O18" s="55">
        <v>0</v>
      </c>
      <c r="P18" s="77">
        <v>0</v>
      </c>
      <c r="Q18" s="52">
        <f>M18-N18-O18-P18</f>
        <v>1250</v>
      </c>
      <c r="R18" s="71">
        <v>0</v>
      </c>
      <c r="S18" s="56">
        <f t="shared" si="11"/>
        <v>1250</v>
      </c>
      <c r="T18" s="79">
        <v>0</v>
      </c>
      <c r="U18" s="57">
        <v>2500</v>
      </c>
      <c r="V18" s="78">
        <v>0</v>
      </c>
      <c r="W18" s="78">
        <v>0</v>
      </c>
      <c r="X18" s="78">
        <v>0</v>
      </c>
      <c r="Y18" s="78">
        <v>0</v>
      </c>
      <c r="Z18" s="78">
        <v>0</v>
      </c>
      <c r="AA18" s="78">
        <v>0</v>
      </c>
      <c r="AB18" s="78">
        <v>0</v>
      </c>
      <c r="AC18" s="78">
        <v>0</v>
      </c>
      <c r="AD18" s="78">
        <v>0</v>
      </c>
      <c r="AE18" s="78">
        <v>0</v>
      </c>
      <c r="AF18" s="57">
        <f>SUM(U18:AE18)</f>
        <v>2500</v>
      </c>
      <c r="AG18" s="58">
        <f>S18-AF18</f>
        <v>-1250</v>
      </c>
      <c r="AH18" s="59">
        <f>AG18/C18</f>
        <v>-1</v>
      </c>
      <c r="AI18" s="52"/>
      <c r="AJ18" s="74"/>
    </row>
    <row r="19" spans="2:36" ht="17" x14ac:dyDescent="0.2">
      <c r="B19" s="10" t="s">
        <v>51</v>
      </c>
      <c r="C19" s="69">
        <f>SUM(C15:C18)</f>
        <v>17000</v>
      </c>
      <c r="D19" s="69">
        <v>0</v>
      </c>
      <c r="E19" s="69">
        <v>0</v>
      </c>
      <c r="F19" s="69">
        <v>0</v>
      </c>
      <c r="G19" s="69">
        <v>0</v>
      </c>
      <c r="H19" s="69">
        <f>+H15</f>
        <v>596</v>
      </c>
      <c r="I19" s="69">
        <f>+I15</f>
        <v>596</v>
      </c>
      <c r="J19" s="69">
        <v>0</v>
      </c>
      <c r="K19" s="69">
        <v>0</v>
      </c>
      <c r="L19" s="69">
        <f>SUM(L15:L18)</f>
        <v>2003.5</v>
      </c>
      <c r="M19" s="69">
        <f>SUM(M15:M18)</f>
        <v>13804.5</v>
      </c>
      <c r="N19" s="80">
        <v>0</v>
      </c>
      <c r="O19" s="80">
        <v>0</v>
      </c>
      <c r="P19" s="69">
        <f>SUM(P15:P18)</f>
        <v>787.5</v>
      </c>
      <c r="Q19" s="81">
        <f>SUM(Q15:Q18)</f>
        <v>13017</v>
      </c>
      <c r="R19" s="81">
        <f>R15+R16+R17+R18</f>
        <v>528.75</v>
      </c>
      <c r="S19" s="82">
        <f>Q19-R19</f>
        <v>12488.25</v>
      </c>
      <c r="T19" s="70">
        <f>T15+T16+T17+U17</f>
        <v>0</v>
      </c>
      <c r="U19" s="70">
        <f>U15+U16+U18</f>
        <v>2500</v>
      </c>
      <c r="V19" s="70">
        <f t="shared" ref="V19:AE19" si="12">V15+V16+V17+V18</f>
        <v>0</v>
      </c>
      <c r="W19" s="70">
        <f t="shared" si="12"/>
        <v>0</v>
      </c>
      <c r="X19" s="70">
        <f t="shared" si="12"/>
        <v>0</v>
      </c>
      <c r="Y19" s="70">
        <f t="shared" si="12"/>
        <v>0</v>
      </c>
      <c r="Z19" s="70">
        <f t="shared" si="12"/>
        <v>0</v>
      </c>
      <c r="AA19" s="70">
        <f t="shared" si="12"/>
        <v>0</v>
      </c>
      <c r="AB19" s="70">
        <f t="shared" si="12"/>
        <v>0</v>
      </c>
      <c r="AC19" s="70">
        <f t="shared" si="12"/>
        <v>0</v>
      </c>
      <c r="AD19" s="70">
        <f t="shared" si="12"/>
        <v>0</v>
      </c>
      <c r="AE19" s="70">
        <f t="shared" si="12"/>
        <v>0</v>
      </c>
      <c r="AF19" s="70">
        <f>SUM(AF15:AF18)</f>
        <v>20026.25</v>
      </c>
      <c r="AG19" s="72">
        <f>S19-AF19</f>
        <v>-7538</v>
      </c>
      <c r="AH19" s="60">
        <f>AG19/C19</f>
        <v>-0.44341176470588234</v>
      </c>
      <c r="AI19" s="73">
        <f>-AG19</f>
        <v>7538</v>
      </c>
      <c r="AJ19" s="74"/>
    </row>
    <row r="20" spans="2:36" ht="17" x14ac:dyDescent="0.2">
      <c r="B20" s="49" t="s">
        <v>16</v>
      </c>
      <c r="C20" s="48"/>
      <c r="D20" s="48"/>
      <c r="E20" s="48"/>
      <c r="F20" s="48"/>
      <c r="G20" s="48"/>
      <c r="H20" s="48"/>
      <c r="I20" s="48"/>
      <c r="J20" s="48"/>
      <c r="K20" s="48"/>
      <c r="L20" s="48"/>
      <c r="M20" s="48"/>
      <c r="N20" s="49"/>
      <c r="O20" s="49"/>
      <c r="P20" s="50"/>
      <c r="Q20" s="48"/>
      <c r="R20" s="48"/>
      <c r="S20" s="48"/>
      <c r="T20" s="48"/>
      <c r="U20" s="48"/>
      <c r="V20" s="48"/>
      <c r="W20" s="48"/>
      <c r="X20" s="48"/>
      <c r="Y20" s="48"/>
      <c r="Z20" s="48"/>
      <c r="AA20" s="48"/>
      <c r="AB20" s="48"/>
      <c r="AC20" s="48"/>
      <c r="AD20" s="48"/>
      <c r="AE20" s="48"/>
      <c r="AF20" s="48"/>
      <c r="AG20" s="76">
        <f>C20-(SUM(N20:P20)+SUM(R20:AE20)+L20)</f>
        <v>0</v>
      </c>
      <c r="AH20" s="50"/>
      <c r="AI20" s="52"/>
      <c r="AJ20" s="74">
        <f t="shared" si="10"/>
        <v>0</v>
      </c>
    </row>
    <row r="21" spans="2:36" ht="17" x14ac:dyDescent="0.2">
      <c r="B21" s="2" t="s">
        <v>5</v>
      </c>
      <c r="C21" s="53">
        <v>71500</v>
      </c>
      <c r="D21" s="83">
        <v>0</v>
      </c>
      <c r="E21" s="84">
        <v>0</v>
      </c>
      <c r="F21" s="83">
        <v>4830.0600000000004</v>
      </c>
      <c r="G21" s="83">
        <v>5830.06</v>
      </c>
      <c r="H21" s="83">
        <v>3830.06</v>
      </c>
      <c r="I21" s="83">
        <v>5830.06</v>
      </c>
      <c r="J21" s="83">
        <v>5830.06</v>
      </c>
      <c r="K21" s="83">
        <v>5830.03</v>
      </c>
      <c r="L21" s="83">
        <v>3000</v>
      </c>
      <c r="M21" s="53">
        <f>C21-F21-G21-H21-I21-J21-K21-L21</f>
        <v>36519.670000000013</v>
      </c>
      <c r="N21" s="55">
        <v>0</v>
      </c>
      <c r="O21" s="61">
        <v>246</v>
      </c>
      <c r="P21" s="77">
        <v>8797.85</v>
      </c>
      <c r="Q21" s="52">
        <f>M21-N21-O21-P21</f>
        <v>27475.820000000014</v>
      </c>
      <c r="R21" s="56">
        <v>4790</v>
      </c>
      <c r="S21" s="56">
        <f>Q21-R21</f>
        <v>22685.820000000014</v>
      </c>
      <c r="T21" s="57">
        <v>0</v>
      </c>
      <c r="U21" s="57">
        <v>7807.6</v>
      </c>
      <c r="V21" s="79">
        <v>0</v>
      </c>
      <c r="W21" s="57">
        <v>6631.6</v>
      </c>
      <c r="X21" s="57">
        <v>10665.6</v>
      </c>
      <c r="Y21" s="57" t="s">
        <v>41</v>
      </c>
      <c r="Z21" s="57">
        <v>5403.6</v>
      </c>
      <c r="AA21" s="57">
        <v>2701.6</v>
      </c>
      <c r="AB21" s="57">
        <v>5716</v>
      </c>
      <c r="AC21" s="57">
        <v>6951</v>
      </c>
      <c r="AD21" s="57">
        <v>6840</v>
      </c>
      <c r="AE21" s="57">
        <v>2858</v>
      </c>
      <c r="AF21" s="57">
        <f>SUM(T21:AE21)</f>
        <v>55575</v>
      </c>
      <c r="AG21" s="85">
        <f>S21-AF21</f>
        <v>-32889.179999999986</v>
      </c>
      <c r="AH21" s="59">
        <f t="shared" ref="AH21:AH27" si="13">AG21/C21</f>
        <v>-0.45998853146853125</v>
      </c>
      <c r="AI21" s="52"/>
      <c r="AJ21" s="74"/>
    </row>
    <row r="22" spans="2:36" ht="17" x14ac:dyDescent="0.2">
      <c r="B22" s="2" t="s">
        <v>40</v>
      </c>
      <c r="C22" s="53">
        <v>12000</v>
      </c>
      <c r="D22" s="53">
        <v>0</v>
      </c>
      <c r="E22" s="53">
        <v>12000</v>
      </c>
      <c r="F22" s="53">
        <v>0</v>
      </c>
      <c r="G22" s="53">
        <v>0</v>
      </c>
      <c r="H22" s="53">
        <v>0</v>
      </c>
      <c r="I22" s="53">
        <v>0</v>
      </c>
      <c r="J22" s="53">
        <v>0</v>
      </c>
      <c r="K22" s="53">
        <v>0</v>
      </c>
      <c r="L22" s="53">
        <v>0</v>
      </c>
      <c r="M22" s="53">
        <f>C22-E22</f>
        <v>0</v>
      </c>
      <c r="N22" s="55">
        <v>0</v>
      </c>
      <c r="O22" s="61">
        <v>0</v>
      </c>
      <c r="P22" s="86">
        <v>0</v>
      </c>
      <c r="Q22" s="52">
        <f>M22-N22-P22</f>
        <v>0</v>
      </c>
      <c r="R22" s="56">
        <v>0</v>
      </c>
      <c r="S22" s="56">
        <f t="shared" ref="S22:S23" si="14">Q22-R22</f>
        <v>0</v>
      </c>
      <c r="T22" s="57">
        <v>0</v>
      </c>
      <c r="U22" s="57">
        <v>0</v>
      </c>
      <c r="V22" s="57">
        <v>0</v>
      </c>
      <c r="W22" s="57">
        <v>0</v>
      </c>
      <c r="X22" s="57">
        <v>0</v>
      </c>
      <c r="Y22" s="57">
        <v>0</v>
      </c>
      <c r="Z22" s="57">
        <v>0</v>
      </c>
      <c r="AA22" s="57">
        <v>0</v>
      </c>
      <c r="AB22" s="57">
        <v>0</v>
      </c>
      <c r="AC22" s="57">
        <v>0</v>
      </c>
      <c r="AD22" s="57">
        <v>0</v>
      </c>
      <c r="AE22" s="57">
        <v>0</v>
      </c>
      <c r="AF22" s="57">
        <v>50000</v>
      </c>
      <c r="AG22" s="85">
        <f>S22-AF22</f>
        <v>-50000</v>
      </c>
      <c r="AH22" s="59">
        <f t="shared" si="13"/>
        <v>-4.166666666666667</v>
      </c>
      <c r="AI22" s="52"/>
      <c r="AJ22" s="74">
        <f t="shared" si="10"/>
        <v>0</v>
      </c>
    </row>
    <row r="23" spans="2:36" ht="17" x14ac:dyDescent="0.2">
      <c r="B23" s="2" t="s">
        <v>17</v>
      </c>
      <c r="C23" s="53">
        <v>9505</v>
      </c>
      <c r="D23" s="53">
        <v>0</v>
      </c>
      <c r="E23" s="53">
        <v>0</v>
      </c>
      <c r="F23" s="53">
        <v>1357.86</v>
      </c>
      <c r="G23" s="53">
        <v>1357.86</v>
      </c>
      <c r="H23" s="53">
        <v>1357.86</v>
      </c>
      <c r="I23" s="53">
        <v>1357.86</v>
      </c>
      <c r="J23" s="53">
        <v>1357.86</v>
      </c>
      <c r="K23" s="53">
        <v>1357.86</v>
      </c>
      <c r="L23" s="53">
        <v>1357.84</v>
      </c>
      <c r="M23" s="53">
        <f>C23-F23-G23-H23-I23-J23-K23-L23</f>
        <v>1.8189894035458565E-12</v>
      </c>
      <c r="N23" s="55">
        <v>0</v>
      </c>
      <c r="O23" s="61">
        <v>0</v>
      </c>
      <c r="P23" s="86">
        <v>0</v>
      </c>
      <c r="Q23" s="52">
        <f>N23-O23-P23</f>
        <v>0</v>
      </c>
      <c r="R23" s="56">
        <v>0</v>
      </c>
      <c r="S23" s="56">
        <f t="shared" si="14"/>
        <v>0</v>
      </c>
      <c r="T23" s="57">
        <v>792.08</v>
      </c>
      <c r="U23" s="57">
        <v>792.08</v>
      </c>
      <c r="V23" s="57">
        <v>792.08</v>
      </c>
      <c r="W23" s="57">
        <v>792.08</v>
      </c>
      <c r="X23" s="57">
        <v>792.08</v>
      </c>
      <c r="Y23" s="57">
        <v>792.08</v>
      </c>
      <c r="Z23" s="57">
        <v>792.08</v>
      </c>
      <c r="AA23" s="57">
        <v>792.08</v>
      </c>
      <c r="AB23" s="57">
        <v>792.08</v>
      </c>
      <c r="AC23" s="57">
        <v>792.08</v>
      </c>
      <c r="AD23" s="57">
        <v>792.08</v>
      </c>
      <c r="AE23" s="57">
        <v>792.08</v>
      </c>
      <c r="AF23" s="57">
        <f>SUM(T23:AE23)</f>
        <v>9504.9600000000009</v>
      </c>
      <c r="AG23" s="85">
        <f t="shared" ref="AG23" si="15">S23-AF23</f>
        <v>-9504.9600000000009</v>
      </c>
      <c r="AH23" s="59">
        <f t="shared" si="13"/>
        <v>-0.9999957916885851</v>
      </c>
      <c r="AI23" s="52"/>
      <c r="AJ23" s="74">
        <f t="shared" si="10"/>
        <v>0</v>
      </c>
    </row>
    <row r="24" spans="2:36" ht="17" x14ac:dyDescent="0.2">
      <c r="B24" s="10" t="s">
        <v>52</v>
      </c>
      <c r="C24" s="69">
        <f>SUM(C21:C23)</f>
        <v>93005</v>
      </c>
      <c r="D24" s="69">
        <v>0</v>
      </c>
      <c r="E24" s="69">
        <f>SUM(E22:E23)</f>
        <v>12000</v>
      </c>
      <c r="F24" s="69">
        <f>+F21+F23</f>
        <v>6187.92</v>
      </c>
      <c r="G24" s="69">
        <f t="shared" ref="G24:K24" si="16">+G21+G23</f>
        <v>7187.92</v>
      </c>
      <c r="H24" s="69">
        <f t="shared" si="16"/>
        <v>5187.92</v>
      </c>
      <c r="I24" s="69">
        <f t="shared" si="16"/>
        <v>7187.92</v>
      </c>
      <c r="J24" s="69">
        <f t="shared" si="16"/>
        <v>7187.92</v>
      </c>
      <c r="K24" s="69">
        <f t="shared" si="16"/>
        <v>7187.8899999999994</v>
      </c>
      <c r="L24" s="69">
        <f t="shared" ref="L24:AE24" si="17">SUM(L21:L23)</f>
        <v>4357.84</v>
      </c>
      <c r="M24" s="69">
        <f t="shared" si="17"/>
        <v>36519.670000000013</v>
      </c>
      <c r="N24" s="69">
        <f t="shared" si="17"/>
        <v>0</v>
      </c>
      <c r="O24" s="69">
        <f t="shared" si="17"/>
        <v>246</v>
      </c>
      <c r="P24" s="69">
        <f t="shared" si="17"/>
        <v>8797.85</v>
      </c>
      <c r="Q24" s="69">
        <f t="shared" si="17"/>
        <v>27475.820000000014</v>
      </c>
      <c r="R24" s="69">
        <f t="shared" si="17"/>
        <v>4790</v>
      </c>
      <c r="S24" s="69">
        <f>Q24-R24</f>
        <v>22685.820000000014</v>
      </c>
      <c r="T24" s="69">
        <f>SUM(T21:T23)</f>
        <v>792.08</v>
      </c>
      <c r="U24" s="69">
        <f>SUM(U21:U23)</f>
        <v>8599.68</v>
      </c>
      <c r="V24" s="69">
        <f t="shared" si="17"/>
        <v>792.08</v>
      </c>
      <c r="W24" s="69">
        <f t="shared" si="17"/>
        <v>7423.68</v>
      </c>
      <c r="X24" s="69">
        <f t="shared" si="17"/>
        <v>11457.68</v>
      </c>
      <c r="Y24" s="69">
        <f t="shared" si="17"/>
        <v>792.08</v>
      </c>
      <c r="Z24" s="69">
        <f t="shared" si="17"/>
        <v>6195.68</v>
      </c>
      <c r="AA24" s="69">
        <f t="shared" si="17"/>
        <v>3493.68</v>
      </c>
      <c r="AB24" s="69">
        <f t="shared" si="17"/>
        <v>6508.08</v>
      </c>
      <c r="AC24" s="69">
        <f t="shared" si="17"/>
        <v>7743.08</v>
      </c>
      <c r="AD24" s="69">
        <f t="shared" si="17"/>
        <v>7632.08</v>
      </c>
      <c r="AE24" s="69">
        <f t="shared" si="17"/>
        <v>3650.08</v>
      </c>
      <c r="AF24" s="69">
        <f>SUM(AF21:AF23)</f>
        <v>115079.96</v>
      </c>
      <c r="AG24" s="87">
        <f>S24-AF24</f>
        <v>-92394.139999999985</v>
      </c>
      <c r="AH24" s="88">
        <f t="shared" si="13"/>
        <v>-0.99343196602333195</v>
      </c>
      <c r="AI24" s="73">
        <f>-AG24</f>
        <v>92394.139999999985</v>
      </c>
      <c r="AJ24" s="74"/>
    </row>
    <row r="25" spans="2:36" ht="17" x14ac:dyDescent="0.2">
      <c r="B25" s="15" t="s">
        <v>53</v>
      </c>
      <c r="C25" s="89">
        <f>C13+C19+C24</f>
        <v>233644</v>
      </c>
      <c r="D25" s="89"/>
      <c r="E25" s="89">
        <f>+E24+E19+E13</f>
        <v>12000</v>
      </c>
      <c r="F25" s="89">
        <f>+F24</f>
        <v>6187.92</v>
      </c>
      <c r="G25" s="89">
        <f>+G24+G19+G13</f>
        <v>7187.92</v>
      </c>
      <c r="H25" s="89">
        <f t="shared" ref="H25:K25" si="18">+H24+H19+H13</f>
        <v>7162.92</v>
      </c>
      <c r="I25" s="89">
        <f t="shared" si="18"/>
        <v>14061.17</v>
      </c>
      <c r="J25" s="89">
        <f t="shared" si="18"/>
        <v>10317.92</v>
      </c>
      <c r="K25" s="89">
        <f t="shared" si="18"/>
        <v>11715.89</v>
      </c>
      <c r="L25" s="89">
        <f t="shared" ref="L25:AD25" si="19">L13+L19+L24</f>
        <v>6361.34</v>
      </c>
      <c r="M25" s="89">
        <f t="shared" si="19"/>
        <v>153182.81</v>
      </c>
      <c r="N25" s="89">
        <f t="shared" si="19"/>
        <v>1840</v>
      </c>
      <c r="O25" s="89">
        <f t="shared" si="19"/>
        <v>6784</v>
      </c>
      <c r="P25" s="89">
        <f t="shared" si="19"/>
        <v>30163.25</v>
      </c>
      <c r="Q25" s="89">
        <f>Q13+Q19+Q24</f>
        <v>114395.56</v>
      </c>
      <c r="R25" s="89">
        <f>R13+R19+R24</f>
        <v>16697.75</v>
      </c>
      <c r="S25" s="89">
        <f>Q25-R25</f>
        <v>97697.81</v>
      </c>
      <c r="T25" s="89">
        <f>T13+T19+T24</f>
        <v>8128.91</v>
      </c>
      <c r="U25" s="89">
        <f t="shared" si="19"/>
        <v>17919.510000000002</v>
      </c>
      <c r="V25" s="89">
        <f t="shared" si="19"/>
        <v>18252.910000000003</v>
      </c>
      <c r="W25" s="89">
        <f t="shared" si="19"/>
        <v>17179.510000000002</v>
      </c>
      <c r="X25" s="89">
        <f t="shared" si="19"/>
        <v>27975.510000000002</v>
      </c>
      <c r="Y25" s="89">
        <f t="shared" si="19"/>
        <v>10593.91</v>
      </c>
      <c r="Z25" s="89">
        <f t="shared" si="19"/>
        <v>22713.510000000002</v>
      </c>
      <c r="AA25" s="89">
        <f t="shared" si="19"/>
        <v>11733.51</v>
      </c>
      <c r="AB25" s="89">
        <f t="shared" si="19"/>
        <v>16327.91</v>
      </c>
      <c r="AC25" s="89">
        <f t="shared" si="19"/>
        <v>23553.91</v>
      </c>
      <c r="AD25" s="89">
        <f t="shared" si="19"/>
        <v>18533.91</v>
      </c>
      <c r="AE25" s="89">
        <f>AE13+AE19+AE24</f>
        <v>19495.91</v>
      </c>
      <c r="AF25" s="89">
        <f>AF13+AF19+AF24</f>
        <v>279935.17000000004</v>
      </c>
      <c r="AG25" s="90">
        <f>S25-AF25</f>
        <v>-182237.36000000004</v>
      </c>
      <c r="AH25" s="91">
        <f t="shared" si="13"/>
        <v>-0.77997877112187797</v>
      </c>
      <c r="AI25" s="73">
        <f>-AG25</f>
        <v>182237.36000000004</v>
      </c>
      <c r="AJ25" s="74"/>
    </row>
    <row r="26" spans="2:36" ht="17" x14ac:dyDescent="0.2">
      <c r="B26" s="15" t="s">
        <v>54</v>
      </c>
      <c r="C26" s="89">
        <f>C25*0.07</f>
        <v>16355.080000000002</v>
      </c>
      <c r="D26" s="89">
        <f t="shared" ref="D26:L26" si="20">D25*0.07</f>
        <v>0</v>
      </c>
      <c r="E26" s="89">
        <f t="shared" si="20"/>
        <v>840.00000000000011</v>
      </c>
      <c r="F26" s="89">
        <f t="shared" si="20"/>
        <v>433.15440000000007</v>
      </c>
      <c r="G26" s="89">
        <f t="shared" si="20"/>
        <v>503.15440000000007</v>
      </c>
      <c r="H26" s="89">
        <f t="shared" si="20"/>
        <v>501.40440000000007</v>
      </c>
      <c r="I26" s="89">
        <f t="shared" si="20"/>
        <v>984.28190000000006</v>
      </c>
      <c r="J26" s="89">
        <f t="shared" si="20"/>
        <v>722.25440000000003</v>
      </c>
      <c r="K26" s="89">
        <f t="shared" si="20"/>
        <v>820.1123</v>
      </c>
      <c r="L26" s="89">
        <f t="shared" si="20"/>
        <v>445.29380000000003</v>
      </c>
      <c r="M26" s="92">
        <v>10851.63</v>
      </c>
      <c r="N26" s="93"/>
      <c r="O26" s="93"/>
      <c r="P26" s="94"/>
      <c r="Q26" s="95">
        <f>M26-N26-O26-P26</f>
        <v>10851.63</v>
      </c>
      <c r="R26" s="95"/>
      <c r="S26" s="95">
        <f>Q26-R26</f>
        <v>10851.63</v>
      </c>
      <c r="T26" s="95"/>
      <c r="U26" s="95"/>
      <c r="V26" s="95"/>
      <c r="W26" s="95"/>
      <c r="X26" s="95"/>
      <c r="Y26" s="95"/>
      <c r="Z26" s="95"/>
      <c r="AA26" s="95"/>
      <c r="AB26" s="95"/>
      <c r="AC26" s="95"/>
      <c r="AD26" s="95"/>
      <c r="AE26" s="95"/>
      <c r="AF26" s="95">
        <f>S26+(AI25*0.07)</f>
        <v>23608.245200000005</v>
      </c>
      <c r="AG26" s="90">
        <f>S26-AF26</f>
        <v>-12756.615200000006</v>
      </c>
      <c r="AH26" s="91">
        <f t="shared" si="13"/>
        <v>-0.77997877112187797</v>
      </c>
      <c r="AI26" s="73">
        <f>-AG26</f>
        <v>12756.615200000006</v>
      </c>
      <c r="AJ26" s="74"/>
    </row>
    <row r="27" spans="2:36" ht="17" x14ac:dyDescent="0.2">
      <c r="B27" s="5" t="s">
        <v>33</v>
      </c>
      <c r="C27" s="96">
        <f>C25+C26</f>
        <v>249999.08000000002</v>
      </c>
      <c r="D27" s="96">
        <f t="shared" ref="D27:K27" si="21">D25+D26</f>
        <v>0</v>
      </c>
      <c r="E27" s="96">
        <f t="shared" si="21"/>
        <v>12840</v>
      </c>
      <c r="F27" s="96">
        <f t="shared" si="21"/>
        <v>6621.0744000000004</v>
      </c>
      <c r="G27" s="96">
        <f t="shared" si="21"/>
        <v>7691.0744000000004</v>
      </c>
      <c r="H27" s="96">
        <f t="shared" si="21"/>
        <v>7664.3244000000004</v>
      </c>
      <c r="I27" s="96">
        <f t="shared" si="21"/>
        <v>15045.4519</v>
      </c>
      <c r="J27" s="96">
        <f t="shared" si="21"/>
        <v>11040.1744</v>
      </c>
      <c r="K27" s="96">
        <f t="shared" si="21"/>
        <v>12536.0023</v>
      </c>
      <c r="L27" s="96">
        <f t="shared" ref="L27:AA27" si="22">L25+L26</f>
        <v>6806.6338000000005</v>
      </c>
      <c r="M27" s="96">
        <f t="shared" si="22"/>
        <v>164034.44</v>
      </c>
      <c r="N27" s="96">
        <f t="shared" si="22"/>
        <v>1840</v>
      </c>
      <c r="O27" s="96">
        <f t="shared" si="22"/>
        <v>6784</v>
      </c>
      <c r="P27" s="96">
        <f t="shared" si="22"/>
        <v>30163.25</v>
      </c>
      <c r="Q27" s="96">
        <f t="shared" si="22"/>
        <v>125247.19</v>
      </c>
      <c r="R27" s="96">
        <f>R25+R26</f>
        <v>16697.75</v>
      </c>
      <c r="S27" s="96">
        <f>S25+S26</f>
        <v>108549.44</v>
      </c>
      <c r="T27" s="96">
        <f t="shared" si="22"/>
        <v>8128.91</v>
      </c>
      <c r="U27" s="96">
        <f t="shared" si="22"/>
        <v>17919.510000000002</v>
      </c>
      <c r="V27" s="96">
        <f t="shared" si="22"/>
        <v>18252.910000000003</v>
      </c>
      <c r="W27" s="96">
        <f t="shared" si="22"/>
        <v>17179.510000000002</v>
      </c>
      <c r="X27" s="96">
        <f t="shared" si="22"/>
        <v>27975.510000000002</v>
      </c>
      <c r="Y27" s="96">
        <f t="shared" si="22"/>
        <v>10593.91</v>
      </c>
      <c r="Z27" s="96">
        <f t="shared" si="22"/>
        <v>22713.510000000002</v>
      </c>
      <c r="AA27" s="96">
        <f t="shared" si="22"/>
        <v>11733.51</v>
      </c>
      <c r="AB27" s="96">
        <f t="shared" ref="AB27" si="23">AB25+AB26</f>
        <v>16327.91</v>
      </c>
      <c r="AC27" s="96">
        <f t="shared" ref="AC27" si="24">AC25+AC26</f>
        <v>23553.91</v>
      </c>
      <c r="AD27" s="96">
        <f t="shared" ref="AD27" si="25">AD25+AD26</f>
        <v>18533.91</v>
      </c>
      <c r="AE27" s="96">
        <f t="shared" ref="AE27" si="26">AE25+AE26</f>
        <v>19495.91</v>
      </c>
      <c r="AF27" s="96">
        <f>AF26+AF25</f>
        <v>303543.41520000005</v>
      </c>
      <c r="AG27" s="96">
        <f>AG25+AG26</f>
        <v>-194993.97520000004</v>
      </c>
      <c r="AH27" s="97">
        <f>AG27/C27</f>
        <v>-0.77997877112187786</v>
      </c>
      <c r="AI27" s="73">
        <f>-AG27</f>
        <v>194993.97520000004</v>
      </c>
      <c r="AJ27" s="74"/>
    </row>
    <row r="29" spans="2:36" x14ac:dyDescent="0.2">
      <c r="B29" s="62"/>
      <c r="O29" s="62"/>
      <c r="AG29" s="140">
        <v>279935.17</v>
      </c>
      <c r="AH29" s="62"/>
    </row>
    <row r="30" spans="2:36" x14ac:dyDescent="0.2">
      <c r="B30" s="62"/>
      <c r="N30" s="100"/>
      <c r="O30" s="100"/>
      <c r="AG30" s="62">
        <f>AG29*0.07</f>
        <v>19595.461900000002</v>
      </c>
      <c r="AH30" s="62"/>
    </row>
    <row r="31" spans="2:36" x14ac:dyDescent="0.2">
      <c r="AG31" s="62"/>
      <c r="AH31" s="62"/>
    </row>
    <row r="32" spans="2:36" x14ac:dyDescent="0.2">
      <c r="N32" s="101"/>
      <c r="O32" s="101"/>
    </row>
  </sheetData>
  <pageMargins left="0.75" right="0.75" top="1" bottom="1" header="0.5" footer="0.5"/>
  <pageSetup paperSize="9"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workbookViewId="0">
      <pane ySplit="1" topLeftCell="A2" activePane="bottomLeft" state="frozen"/>
      <selection pane="bottomLeft" activeCell="E11" sqref="E11"/>
    </sheetView>
  </sheetViews>
  <sheetFormatPr baseColWidth="10" defaultColWidth="8.83203125" defaultRowHeight="16" x14ac:dyDescent="0.2"/>
  <cols>
    <col min="1" max="1" width="52.83203125" customWidth="1"/>
    <col min="2" max="2" width="14.6640625" style="3" customWidth="1"/>
    <col min="3" max="3" width="17.6640625" customWidth="1"/>
    <col min="4" max="4" width="13.33203125" style="3" customWidth="1"/>
    <col min="5" max="5" width="19.1640625" customWidth="1"/>
    <col min="6" max="6" width="26.33203125" style="4" customWidth="1"/>
    <col min="7" max="7" width="12.6640625" customWidth="1"/>
    <col min="8" max="8" width="11.5" customWidth="1"/>
    <col min="9" max="9" width="12.1640625" bestFit="1" customWidth="1"/>
  </cols>
  <sheetData>
    <row r="1" spans="1:9" s="29" customFormat="1" ht="51" x14ac:dyDescent="0.2">
      <c r="A1" s="27" t="s">
        <v>60</v>
      </c>
      <c r="B1" s="30" t="s">
        <v>43</v>
      </c>
      <c r="C1" s="37" t="s">
        <v>46</v>
      </c>
      <c r="D1" s="23" t="s">
        <v>39</v>
      </c>
      <c r="E1" s="37" t="s">
        <v>47</v>
      </c>
      <c r="F1" s="37" t="s">
        <v>48</v>
      </c>
      <c r="G1" s="37" t="s">
        <v>63</v>
      </c>
    </row>
    <row r="2" spans="1:9" x14ac:dyDescent="0.2">
      <c r="A2" s="21" t="s">
        <v>1</v>
      </c>
      <c r="B2" s="6"/>
      <c r="C2" s="31"/>
      <c r="D2" s="6"/>
      <c r="E2" s="31"/>
      <c r="F2" s="38"/>
      <c r="G2" s="31"/>
    </row>
    <row r="3" spans="1:9" ht="17" x14ac:dyDescent="0.2">
      <c r="A3" s="34" t="s">
        <v>55</v>
      </c>
      <c r="B3" s="35">
        <f>'SUIVI BUDGETAIRE Apui au ST'!C9</f>
        <v>65194</v>
      </c>
      <c r="C3" s="36">
        <f>B3-D3</f>
        <v>22117</v>
      </c>
      <c r="D3" s="9">
        <f>'SUIVI BUDGETAIRE Apui au ST'!S9</f>
        <v>43077</v>
      </c>
      <c r="E3" s="36">
        <f>'SUIVI BUDGETAIRE Apui au ST'!AF9</f>
        <v>95193.960000000021</v>
      </c>
      <c r="F3" s="39">
        <f>E3-D3</f>
        <v>52116.960000000021</v>
      </c>
      <c r="G3" s="36">
        <f>B3+F3</f>
        <v>117310.96000000002</v>
      </c>
    </row>
    <row r="4" spans="1:9" ht="34" x14ac:dyDescent="0.2">
      <c r="A4" s="34" t="s">
        <v>56</v>
      </c>
      <c r="B4" s="35">
        <f>'SUIVI BUDGETAIRE Apui au ST'!C12</f>
        <v>58445</v>
      </c>
      <c r="C4" s="36">
        <f>B4-D4</f>
        <v>38998.26</v>
      </c>
      <c r="D4" s="9">
        <f>'SUIVI BUDGETAIRE Apui au ST'!S12</f>
        <v>19446.739999999998</v>
      </c>
      <c r="E4" s="36">
        <f>'SUIVI BUDGETAIRE Apui au ST'!AF12</f>
        <v>49635</v>
      </c>
      <c r="F4" s="39">
        <f>E4-D4</f>
        <v>30188.260000000002</v>
      </c>
      <c r="G4" s="36">
        <f>B4+F4</f>
        <v>88633.260000000009</v>
      </c>
    </row>
    <row r="5" spans="1:9" s="4" customFormat="1" ht="17" x14ac:dyDescent="0.2">
      <c r="A5" s="10" t="s">
        <v>61</v>
      </c>
      <c r="B5" s="11">
        <f>B3+B4</f>
        <v>123639</v>
      </c>
      <c r="C5" s="40">
        <f>B5-D5</f>
        <v>61115.26</v>
      </c>
      <c r="D5" s="12">
        <f>D3+D4</f>
        <v>62523.74</v>
      </c>
      <c r="E5" s="40">
        <f>E3+E4</f>
        <v>144828.96000000002</v>
      </c>
      <c r="F5" s="40">
        <f>E5-D5</f>
        <v>82305.22000000003</v>
      </c>
      <c r="G5" s="44">
        <f>B5+F5</f>
        <v>205944.22000000003</v>
      </c>
    </row>
    <row r="6" spans="1:9" x14ac:dyDescent="0.2">
      <c r="A6" s="21" t="s">
        <v>15</v>
      </c>
      <c r="B6" s="6"/>
      <c r="C6" s="31"/>
      <c r="D6" s="6"/>
      <c r="E6" s="31"/>
      <c r="F6" s="38"/>
      <c r="G6" s="31"/>
    </row>
    <row r="7" spans="1:9" s="4" customFormat="1" ht="17" x14ac:dyDescent="0.2">
      <c r="A7" s="10" t="s">
        <v>57</v>
      </c>
      <c r="B7" s="12">
        <f>'SUIVI BUDGETAIRE Apui au ST'!C19</f>
        <v>17000</v>
      </c>
      <c r="C7" s="40">
        <f>B7-D7</f>
        <v>4511.75</v>
      </c>
      <c r="D7" s="12">
        <f>'SUIVI BUDGETAIRE Apui au ST'!S19</f>
        <v>12488.25</v>
      </c>
      <c r="E7" s="40">
        <f>'SUIVI BUDGETAIRE Apui au ST'!AF19</f>
        <v>20026.25</v>
      </c>
      <c r="F7" s="40">
        <f>E7-D7</f>
        <v>7538</v>
      </c>
      <c r="G7" s="44">
        <f>B7+F7</f>
        <v>24538</v>
      </c>
    </row>
    <row r="8" spans="1:9" x14ac:dyDescent="0.2">
      <c r="A8" s="21" t="s">
        <v>16</v>
      </c>
      <c r="B8" s="6"/>
      <c r="C8" s="31"/>
      <c r="D8" s="6"/>
      <c r="E8" s="31"/>
      <c r="F8" s="38"/>
      <c r="G8" s="31"/>
    </row>
    <row r="9" spans="1:9" s="4" customFormat="1" x14ac:dyDescent="0.2">
      <c r="A9" s="14" t="s">
        <v>58</v>
      </c>
      <c r="B9" s="12">
        <f>'SUIVI BUDGETAIRE Apui au ST'!C24</f>
        <v>93005</v>
      </c>
      <c r="C9" s="40">
        <f>B9-D9</f>
        <v>70319.179999999993</v>
      </c>
      <c r="D9" s="12">
        <f>'SUIVI BUDGETAIRE Apui au ST'!S24</f>
        <v>22685.820000000014</v>
      </c>
      <c r="E9" s="40">
        <f>'SUIVI BUDGETAIRE Apui au ST'!AF24</f>
        <v>115079.96</v>
      </c>
      <c r="F9" s="40">
        <f>E9-D9</f>
        <v>92394.139999999985</v>
      </c>
      <c r="G9" s="44">
        <f>B9+F9</f>
        <v>185399.13999999998</v>
      </c>
    </row>
    <row r="10" spans="1:9" ht="17" x14ac:dyDescent="0.2">
      <c r="A10" s="15" t="s">
        <v>62</v>
      </c>
      <c r="B10" s="16">
        <f>B5+B7+B9</f>
        <v>233644</v>
      </c>
      <c r="C10" s="32">
        <f>B10-D10</f>
        <v>135946.19</v>
      </c>
      <c r="D10" s="16">
        <v>97697.81</v>
      </c>
      <c r="E10" s="32">
        <f>E5+E7+E9</f>
        <v>279935.17000000004</v>
      </c>
      <c r="F10" s="41">
        <f>E10-D10</f>
        <v>182237.36000000004</v>
      </c>
      <c r="G10" s="33">
        <f>B10+F10</f>
        <v>415881.36000000004</v>
      </c>
    </row>
    <row r="11" spans="1:9" ht="17" x14ac:dyDescent="0.2">
      <c r="A11" s="15" t="s">
        <v>59</v>
      </c>
      <c r="B11" s="16">
        <f>B10*0.07</f>
        <v>16355.080000000002</v>
      </c>
      <c r="C11" s="32">
        <f>B11-D11</f>
        <v>5503.4500000000025</v>
      </c>
      <c r="D11" s="17">
        <f>'SUIVI BUDGETAIRE Apui au ST'!S26</f>
        <v>10851.63</v>
      </c>
      <c r="E11" s="32">
        <f>'SUIVI BUDGETAIRE Apui au ST'!AF26</f>
        <v>23608.245200000005</v>
      </c>
      <c r="F11" s="41">
        <f>E11-D11</f>
        <v>12756.615200000006</v>
      </c>
      <c r="G11" s="33">
        <f>B11+F11</f>
        <v>29111.695200000009</v>
      </c>
      <c r="H11" t="s">
        <v>64</v>
      </c>
      <c r="I11" s="19">
        <f>G10*0.07</f>
        <v>29111.695200000006</v>
      </c>
    </row>
    <row r="12" spans="1:9" s="4" customFormat="1" ht="17" x14ac:dyDescent="0.2">
      <c r="A12" s="5" t="s">
        <v>33</v>
      </c>
      <c r="B12" s="18">
        <f>B10+B11</f>
        <v>249999.08000000002</v>
      </c>
      <c r="C12" s="42">
        <f>B12-D12</f>
        <v>141449.64000000001</v>
      </c>
      <c r="D12" s="18">
        <v>108549.44</v>
      </c>
      <c r="E12" s="42">
        <f>E10+E11</f>
        <v>303543.41520000005</v>
      </c>
      <c r="F12" s="43">
        <f>E12-D12</f>
        <v>194993.97520000004</v>
      </c>
      <c r="G12" s="42">
        <f>B12+F12</f>
        <v>444993.05520000006</v>
      </c>
      <c r="H12" t="s">
        <v>64</v>
      </c>
      <c r="I12" s="20">
        <f>G10+G11</f>
        <v>444993.05520000006</v>
      </c>
    </row>
    <row r="14" spans="1:9" x14ac:dyDescent="0.2">
      <c r="A14" s="19"/>
      <c r="G14" s="19"/>
    </row>
    <row r="16" spans="1:9" x14ac:dyDescent="0.2">
      <c r="C16" s="19"/>
    </row>
    <row r="18" spans="3:5" x14ac:dyDescent="0.2">
      <c r="C18" s="19"/>
      <c r="E18" s="19"/>
    </row>
    <row r="19" spans="3:5" x14ac:dyDescent="0.2">
      <c r="C19" s="19"/>
      <c r="E19"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305F-0ABB-8C42-B535-1D4099DA7408}">
  <dimension ref="A1:G39"/>
  <sheetViews>
    <sheetView tabSelected="1" topLeftCell="A26" workbookViewId="0">
      <selection activeCell="B26" sqref="B26"/>
    </sheetView>
  </sheetViews>
  <sheetFormatPr baseColWidth="10" defaultRowHeight="16" x14ac:dyDescent="0.2"/>
  <cols>
    <col min="1" max="1" width="80.6640625" style="45" bestFit="1" customWidth="1"/>
    <col min="2" max="4" width="14.6640625" style="98" customWidth="1"/>
    <col min="5" max="5" width="13.5" customWidth="1"/>
    <col min="7" max="7" width="34.6640625" style="121" customWidth="1"/>
  </cols>
  <sheetData>
    <row r="1" spans="1:7" ht="51" x14ac:dyDescent="0.2">
      <c r="A1" s="25" t="s">
        <v>0</v>
      </c>
      <c r="B1" s="30" t="s">
        <v>43</v>
      </c>
      <c r="C1" s="30" t="s">
        <v>39</v>
      </c>
      <c r="D1" s="30" t="s">
        <v>44</v>
      </c>
      <c r="E1" s="102" t="s">
        <v>83</v>
      </c>
      <c r="F1" s="103" t="s">
        <v>74</v>
      </c>
      <c r="G1" s="121" t="s">
        <v>76</v>
      </c>
    </row>
    <row r="2" spans="1:7" ht="17" x14ac:dyDescent="0.2">
      <c r="A2" s="47" t="s">
        <v>1</v>
      </c>
      <c r="B2" s="48"/>
      <c r="C2" s="123"/>
      <c r="D2" s="123"/>
      <c r="E2" s="104"/>
      <c r="F2" s="105"/>
    </row>
    <row r="3" spans="1:7" ht="17" x14ac:dyDescent="0.2">
      <c r="A3" s="1" t="s">
        <v>3</v>
      </c>
      <c r="B3" s="53">
        <v>51070</v>
      </c>
      <c r="C3" s="124">
        <v>39030</v>
      </c>
      <c r="D3" s="124">
        <v>51069.960000000014</v>
      </c>
      <c r="E3" s="106">
        <v>-12039.96</v>
      </c>
      <c r="F3" s="107">
        <v>-0.24</v>
      </c>
      <c r="G3" s="121" t="s">
        <v>77</v>
      </c>
    </row>
    <row r="4" spans="1:7" ht="17" x14ac:dyDescent="0.2">
      <c r="A4" s="1" t="s">
        <v>6</v>
      </c>
      <c r="B4" s="53">
        <v>3531</v>
      </c>
      <c r="C4" s="124">
        <v>917</v>
      </c>
      <c r="D4" s="124">
        <v>3531</v>
      </c>
      <c r="E4" s="106">
        <v>-2614</v>
      </c>
      <c r="F4" s="108">
        <v>-0.74</v>
      </c>
      <c r="G4" s="121" t="s">
        <v>78</v>
      </c>
    </row>
    <row r="5" spans="1:7" ht="17" x14ac:dyDescent="0.2">
      <c r="A5" s="1" t="s">
        <v>7</v>
      </c>
      <c r="B5" s="53">
        <v>3531</v>
      </c>
      <c r="C5" s="124">
        <v>-1107</v>
      </c>
      <c r="D5" s="124">
        <v>3531</v>
      </c>
      <c r="E5" s="106">
        <v>-4638</v>
      </c>
      <c r="F5" s="108">
        <v>-1.31</v>
      </c>
      <c r="G5" s="121" t="s">
        <v>78</v>
      </c>
    </row>
    <row r="6" spans="1:7" ht="17" x14ac:dyDescent="0.2">
      <c r="A6" s="1" t="s">
        <v>8</v>
      </c>
      <c r="B6" s="53">
        <v>3531</v>
      </c>
      <c r="C6" s="124">
        <v>2116</v>
      </c>
      <c r="D6" s="124">
        <v>3531</v>
      </c>
      <c r="E6" s="106">
        <v>-1415</v>
      </c>
      <c r="F6" s="107">
        <v>-0.4</v>
      </c>
      <c r="G6" s="121" t="s">
        <v>78</v>
      </c>
    </row>
    <row r="7" spans="1:7" ht="17" x14ac:dyDescent="0.2">
      <c r="A7" s="1" t="s">
        <v>11</v>
      </c>
      <c r="B7" s="53">
        <v>3531</v>
      </c>
      <c r="C7" s="124">
        <v>2121</v>
      </c>
      <c r="D7" s="124">
        <v>3531</v>
      </c>
      <c r="E7" s="106">
        <v>-1410</v>
      </c>
      <c r="F7" s="107">
        <v>-0.4</v>
      </c>
      <c r="G7" s="121" t="s">
        <v>78</v>
      </c>
    </row>
    <row r="8" spans="1:7" ht="17" x14ac:dyDescent="0.2">
      <c r="A8" s="1" t="s">
        <v>42</v>
      </c>
      <c r="B8" s="53">
        <v>0</v>
      </c>
      <c r="C8" s="124">
        <v>0</v>
      </c>
      <c r="D8" s="124">
        <v>30000</v>
      </c>
      <c r="E8" s="106">
        <v>-30000</v>
      </c>
      <c r="F8" s="107"/>
      <c r="G8" s="121" t="s">
        <v>78</v>
      </c>
    </row>
    <row r="9" spans="1:7" ht="17" x14ac:dyDescent="0.2">
      <c r="A9" s="7" t="s">
        <v>49</v>
      </c>
      <c r="B9" s="8">
        <f>SUM(B3:B8)</f>
        <v>65194</v>
      </c>
      <c r="C9" s="125">
        <v>43077</v>
      </c>
      <c r="D9" s="125">
        <v>95193.960000000021</v>
      </c>
      <c r="E9" s="109">
        <v>-52116.959999999999</v>
      </c>
      <c r="F9" s="110">
        <v>-0.8</v>
      </c>
    </row>
    <row r="10" spans="1:7" ht="17" x14ac:dyDescent="0.2">
      <c r="A10" s="1" t="s">
        <v>10</v>
      </c>
      <c r="B10" s="56">
        <v>15245</v>
      </c>
      <c r="C10" s="126">
        <v>8918</v>
      </c>
      <c r="D10" s="126">
        <v>25135</v>
      </c>
      <c r="E10" s="106">
        <v>-16217</v>
      </c>
      <c r="F10" s="107">
        <v>-1.06</v>
      </c>
      <c r="G10" s="121" t="s">
        <v>78</v>
      </c>
    </row>
    <row r="11" spans="1:7" ht="17" x14ac:dyDescent="0.2">
      <c r="A11" s="1" t="s">
        <v>9</v>
      </c>
      <c r="B11" s="56">
        <v>43200</v>
      </c>
      <c r="C11" s="126">
        <v>10528.74</v>
      </c>
      <c r="D11" s="126">
        <v>24500</v>
      </c>
      <c r="E11" s="106">
        <v>-13971.26</v>
      </c>
      <c r="F11" s="107">
        <v>-0.32</v>
      </c>
      <c r="G11" s="121" t="s">
        <v>78</v>
      </c>
    </row>
    <row r="12" spans="1:7" ht="17" x14ac:dyDescent="0.2">
      <c r="A12" s="7" t="s">
        <v>50</v>
      </c>
      <c r="B12" s="8">
        <f>B10+B11</f>
        <v>58445</v>
      </c>
      <c r="C12" s="125">
        <v>19446.739999999998</v>
      </c>
      <c r="D12" s="125">
        <v>49635</v>
      </c>
      <c r="E12" s="109">
        <v>-30188.26</v>
      </c>
      <c r="F12" s="110">
        <v>-0.52</v>
      </c>
    </row>
    <row r="13" spans="1:7" ht="17" x14ac:dyDescent="0.2">
      <c r="A13" s="10" t="s">
        <v>2</v>
      </c>
      <c r="B13" s="11">
        <f>B9+B12</f>
        <v>123639</v>
      </c>
      <c r="C13" s="127">
        <v>62523.739999999991</v>
      </c>
      <c r="D13" s="127">
        <v>144828.96000000002</v>
      </c>
      <c r="E13" s="111">
        <v>-82305.22</v>
      </c>
      <c r="F13" s="108">
        <v>-0.67</v>
      </c>
    </row>
    <row r="14" spans="1:7" ht="34" x14ac:dyDescent="0.2">
      <c r="A14" s="49" t="s">
        <v>15</v>
      </c>
      <c r="B14" s="48"/>
      <c r="C14" s="123"/>
      <c r="D14" s="123"/>
      <c r="E14" s="112" t="s">
        <v>75</v>
      </c>
      <c r="F14" s="105"/>
    </row>
    <row r="15" spans="1:7" ht="17" x14ac:dyDescent="0.2">
      <c r="A15" s="13" t="s">
        <v>4</v>
      </c>
      <c r="B15" s="53">
        <v>9000</v>
      </c>
      <c r="C15" s="124">
        <v>7212</v>
      </c>
      <c r="D15" s="124">
        <v>10000</v>
      </c>
      <c r="E15" s="106">
        <v>-2788</v>
      </c>
      <c r="F15" s="107">
        <v>-0.31</v>
      </c>
      <c r="G15" s="122" t="s">
        <v>80</v>
      </c>
    </row>
    <row r="16" spans="1:7" ht="17" x14ac:dyDescent="0.2">
      <c r="A16" s="13" t="s">
        <v>12</v>
      </c>
      <c r="B16" s="53">
        <v>3000</v>
      </c>
      <c r="C16" s="124">
        <v>1900</v>
      </c>
      <c r="D16" s="124">
        <v>3400</v>
      </c>
      <c r="E16" s="106">
        <v>-1500</v>
      </c>
      <c r="F16" s="107">
        <v>-0.5</v>
      </c>
      <c r="G16" s="122" t="s">
        <v>80</v>
      </c>
    </row>
    <row r="17" spans="1:7" ht="17" x14ac:dyDescent="0.2">
      <c r="A17" s="13" t="s">
        <v>13</v>
      </c>
      <c r="B17" s="53">
        <v>3750</v>
      </c>
      <c r="C17" s="124">
        <v>2126.25</v>
      </c>
      <c r="D17" s="124">
        <v>4126.25</v>
      </c>
      <c r="E17" s="106">
        <v>-2000</v>
      </c>
      <c r="F17" s="107">
        <v>-0.53</v>
      </c>
      <c r="G17" s="121" t="s">
        <v>78</v>
      </c>
    </row>
    <row r="18" spans="1:7" ht="17" x14ac:dyDescent="0.2">
      <c r="A18" s="13" t="s">
        <v>14</v>
      </c>
      <c r="B18" s="53">
        <v>1250</v>
      </c>
      <c r="C18" s="124">
        <v>1250</v>
      </c>
      <c r="D18" s="124">
        <v>2500</v>
      </c>
      <c r="E18" s="106">
        <v>-1250</v>
      </c>
      <c r="F18" s="107">
        <v>-1</v>
      </c>
      <c r="G18" s="121" t="s">
        <v>78</v>
      </c>
    </row>
    <row r="19" spans="1:7" ht="17" x14ac:dyDescent="0.2">
      <c r="A19" s="10" t="s">
        <v>51</v>
      </c>
      <c r="B19" s="69">
        <f>SUM(B15:B18)</f>
        <v>17000</v>
      </c>
      <c r="C19" s="128">
        <v>12488.25</v>
      </c>
      <c r="D19" s="128">
        <v>20026.25</v>
      </c>
      <c r="E19" s="111">
        <v>-7538</v>
      </c>
      <c r="F19" s="108">
        <v>-0.44</v>
      </c>
    </row>
    <row r="20" spans="1:7" ht="34" x14ac:dyDescent="0.2">
      <c r="A20" s="49" t="s">
        <v>16</v>
      </c>
      <c r="B20" s="48"/>
      <c r="C20" s="123"/>
      <c r="D20" s="123"/>
      <c r="E20" s="112" t="s">
        <v>75</v>
      </c>
      <c r="F20" s="105"/>
    </row>
    <row r="21" spans="1:7" ht="17" x14ac:dyDescent="0.2">
      <c r="A21" s="2" t="s">
        <v>5</v>
      </c>
      <c r="B21" s="53">
        <v>71500</v>
      </c>
      <c r="C21" s="124">
        <v>22685.820000000014</v>
      </c>
      <c r="D21" s="124">
        <v>55575</v>
      </c>
      <c r="E21" s="113">
        <v>-32889</v>
      </c>
      <c r="F21" s="107">
        <v>-0.46</v>
      </c>
      <c r="G21" s="121" t="s">
        <v>78</v>
      </c>
    </row>
    <row r="22" spans="1:7" ht="17" x14ac:dyDescent="0.2">
      <c r="A22" s="2" t="s">
        <v>40</v>
      </c>
      <c r="B22" s="53">
        <v>12000</v>
      </c>
      <c r="C22" s="124">
        <v>0</v>
      </c>
      <c r="D22" s="124">
        <v>50000</v>
      </c>
      <c r="E22" s="113">
        <v>-50000</v>
      </c>
      <c r="F22" s="107">
        <v>-4.17</v>
      </c>
      <c r="G22" s="121" t="s">
        <v>78</v>
      </c>
    </row>
    <row r="23" spans="1:7" ht="17" x14ac:dyDescent="0.2">
      <c r="A23" s="2" t="s">
        <v>17</v>
      </c>
      <c r="B23" s="53">
        <v>9505</v>
      </c>
      <c r="C23" s="124">
        <v>0</v>
      </c>
      <c r="D23" s="124">
        <v>9504.9600000000009</v>
      </c>
      <c r="E23" s="113">
        <v>-9505</v>
      </c>
      <c r="F23" s="107">
        <v>-1</v>
      </c>
      <c r="G23" s="122" t="s">
        <v>81</v>
      </c>
    </row>
    <row r="24" spans="1:7" ht="17" x14ac:dyDescent="0.2">
      <c r="A24" s="10" t="s">
        <v>52</v>
      </c>
      <c r="B24" s="69">
        <f>SUM(B21:B23)</f>
        <v>93005</v>
      </c>
      <c r="C24" s="128">
        <v>22685.820000000014</v>
      </c>
      <c r="D24" s="128">
        <v>115079.96</v>
      </c>
      <c r="E24" s="114">
        <v>-92394</v>
      </c>
      <c r="F24" s="115">
        <v>-0.99</v>
      </c>
    </row>
    <row r="25" spans="1:7" ht="17" x14ac:dyDescent="0.2">
      <c r="A25" s="15" t="s">
        <v>53</v>
      </c>
      <c r="B25" s="89">
        <f>B13+B19+B24</f>
        <v>233644</v>
      </c>
      <c r="C25" s="129">
        <v>97697.81</v>
      </c>
      <c r="D25" s="129">
        <v>279935.17000000004</v>
      </c>
      <c r="E25" s="116">
        <v>-182237</v>
      </c>
      <c r="F25" s="117">
        <v>-0.78</v>
      </c>
    </row>
    <row r="26" spans="1:7" ht="17" x14ac:dyDescent="0.2">
      <c r="A26" s="15" t="s">
        <v>54</v>
      </c>
      <c r="B26" s="89">
        <f>B25*0.07</f>
        <v>16355.080000000002</v>
      </c>
      <c r="C26" s="129">
        <v>10851.63</v>
      </c>
      <c r="D26" s="129">
        <v>23608.245200000005</v>
      </c>
      <c r="E26" s="116">
        <v>-12757</v>
      </c>
      <c r="F26" s="117">
        <v>-0.78</v>
      </c>
      <c r="G26" s="120" t="s">
        <v>82</v>
      </c>
    </row>
    <row r="27" spans="1:7" ht="17" x14ac:dyDescent="0.2">
      <c r="A27" s="5" t="s">
        <v>33</v>
      </c>
      <c r="B27" s="96">
        <f>B25+B26</f>
        <v>249999.08000000002</v>
      </c>
      <c r="C27" s="130">
        <v>108549.44</v>
      </c>
      <c r="D27" s="130">
        <v>303543.41520000005</v>
      </c>
      <c r="E27" s="118">
        <v>-194993.98</v>
      </c>
      <c r="F27" s="119">
        <v>-0.78</v>
      </c>
    </row>
    <row r="28" spans="1:7" ht="17" thickBot="1" x14ac:dyDescent="0.25"/>
    <row r="29" spans="1:7" ht="18" thickBot="1" x14ac:dyDescent="0.25">
      <c r="A29" s="135" t="s">
        <v>84</v>
      </c>
      <c r="B29" s="136" t="s">
        <v>92</v>
      </c>
      <c r="C29" s="136" t="s">
        <v>91</v>
      </c>
    </row>
    <row r="30" spans="1:7" ht="17" thickBot="1" x14ac:dyDescent="0.25">
      <c r="A30" s="131" t="s">
        <v>77</v>
      </c>
      <c r="B30" s="132">
        <f>D3</f>
        <v>51069.960000000014</v>
      </c>
      <c r="C30" s="133">
        <f>B30/B39</f>
        <v>0.16824598209897193</v>
      </c>
    </row>
    <row r="31" spans="1:7" ht="17" thickBot="1" x14ac:dyDescent="0.25">
      <c r="A31" s="131" t="s">
        <v>80</v>
      </c>
      <c r="B31" s="132">
        <f>SUM(D15,D16)</f>
        <v>13400</v>
      </c>
      <c r="C31" s="133">
        <f>B31/B39</f>
        <v>4.414525016518954E-2</v>
      </c>
    </row>
    <row r="32" spans="1:7" ht="17" thickBot="1" x14ac:dyDescent="0.25">
      <c r="A32" s="131" t="s">
        <v>85</v>
      </c>
      <c r="B32" s="132"/>
      <c r="C32" s="133"/>
      <c r="E32" s="19"/>
    </row>
    <row r="33" spans="1:3" ht="17" thickBot="1" x14ac:dyDescent="0.25">
      <c r="A33" s="131" t="s">
        <v>86</v>
      </c>
      <c r="B33" s="132"/>
      <c r="C33" s="133"/>
    </row>
    <row r="34" spans="1:3" ht="17" thickBot="1" x14ac:dyDescent="0.25">
      <c r="A34" s="131" t="s">
        <v>87</v>
      </c>
      <c r="B34" s="132">
        <f>SUM(D4,D5,D6,D7,D8,D10,D11,D17,D18,D21,D22)</f>
        <v>205960.25</v>
      </c>
      <c r="C34" s="133">
        <f>B34/B39</f>
        <v>0.67851990748768509</v>
      </c>
    </row>
    <row r="35" spans="1:3" ht="17" thickBot="1" x14ac:dyDescent="0.25">
      <c r="A35" s="131" t="s">
        <v>88</v>
      </c>
      <c r="B35" s="132"/>
      <c r="C35" s="133"/>
    </row>
    <row r="36" spans="1:3" ht="17" thickBot="1" x14ac:dyDescent="0.25">
      <c r="A36" s="131" t="s">
        <v>81</v>
      </c>
      <c r="B36" s="132">
        <f>D23</f>
        <v>9504.9600000000009</v>
      </c>
      <c r="C36" s="133">
        <f>B36/B39</f>
        <v>3.1313346045531348E-2</v>
      </c>
    </row>
    <row r="37" spans="1:3" ht="17" thickBot="1" x14ac:dyDescent="0.25">
      <c r="A37" s="137" t="s">
        <v>89</v>
      </c>
      <c r="B37" s="136">
        <f>SUM(B30:B36)</f>
        <v>279935.17000000004</v>
      </c>
      <c r="C37" s="139">
        <f>B37/B39</f>
        <v>0.92222448579737792</v>
      </c>
    </row>
    <row r="38" spans="1:3" ht="17" thickBot="1" x14ac:dyDescent="0.25">
      <c r="A38" s="131" t="s">
        <v>82</v>
      </c>
      <c r="B38" s="132">
        <f>D26</f>
        <v>23608.245200000005</v>
      </c>
      <c r="C38" s="134">
        <f>B38/B39</f>
        <v>7.7775514202622048E-2</v>
      </c>
    </row>
    <row r="39" spans="1:3" ht="17" thickBot="1" x14ac:dyDescent="0.25">
      <c r="A39" s="137" t="s">
        <v>90</v>
      </c>
      <c r="B39" s="138">
        <f>SUM(B37:B38)</f>
        <v>303543.41520000005</v>
      </c>
      <c r="C39" s="138"/>
    </row>
  </sheetData>
  <autoFilter ref="G1:G27" xr:uid="{A13A0B72-A8AC-C04D-9F78-DCE923439D13}"/>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SUIVI BUDGETAIRE Apui au ST</vt:lpstr>
      <vt:lpstr>Synthese</vt:lpstr>
      <vt:lpstr>budget recapitulatif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Urbain</dc:creator>
  <cp:lastModifiedBy>Caitlin Hannahan</cp:lastModifiedBy>
  <dcterms:created xsi:type="dcterms:W3CDTF">2017-09-13T14:31:26Z</dcterms:created>
  <dcterms:modified xsi:type="dcterms:W3CDTF">2019-08-20T14:04:35Z</dcterms:modified>
</cp:coreProperties>
</file>