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SAM\Documents\ARSSAM\Coordination ARSSAM\Rapports PBF\Rapport annuel PBF novembre 2018\Rapports finaux\"/>
    </mc:Choice>
  </mc:AlternateContent>
  <xr:revisionPtr revIDLastSave="0" documentId="10_ncr:100000_{4D3A16BD-8DC8-471D-94BF-7CA8EC2C2DAD}" xr6:coauthVersionLast="31" xr6:coauthVersionMax="31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S76" i="1" l="1"/>
  <c r="S75" i="1"/>
  <c r="G34" i="1"/>
  <c r="C75" i="1"/>
  <c r="J75" i="1"/>
  <c r="C20" i="1"/>
  <c r="S71" i="1"/>
  <c r="S72" i="1"/>
  <c r="S74" i="1"/>
  <c r="S70" i="1"/>
  <c r="S68" i="1"/>
  <c r="S69" i="1"/>
  <c r="S66" i="1"/>
  <c r="S67" i="1"/>
  <c r="S63" i="1"/>
  <c r="S64" i="1"/>
  <c r="S65" i="1"/>
  <c r="S60" i="1"/>
  <c r="S61" i="1"/>
  <c r="S62" i="1"/>
  <c r="S59" i="1"/>
  <c r="S57" i="1"/>
  <c r="S55" i="1"/>
  <c r="S56" i="1"/>
  <c r="S52" i="1"/>
  <c r="S53" i="1"/>
  <c r="S54" i="1"/>
  <c r="S46" i="1"/>
  <c r="S47" i="1"/>
  <c r="S48" i="1"/>
  <c r="S49" i="1"/>
  <c r="S50" i="1"/>
  <c r="S51" i="1"/>
  <c r="S4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26" i="1"/>
  <c r="S24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9" i="1"/>
  <c r="P73" i="1"/>
  <c r="Q73" i="1" s="1"/>
  <c r="P64" i="1"/>
  <c r="Q64" i="1" s="1"/>
  <c r="M75" i="1"/>
  <c r="N75" i="1" s="1"/>
  <c r="M73" i="1"/>
  <c r="N57" i="1"/>
  <c r="M57" i="1"/>
  <c r="M53" i="1"/>
  <c r="N50" i="1"/>
  <c r="M50" i="1"/>
  <c r="N45" i="1"/>
  <c r="M45" i="1"/>
  <c r="N43" i="1"/>
  <c r="M43" i="1"/>
  <c r="N24" i="1"/>
  <c r="N26" i="1"/>
  <c r="M26" i="1"/>
  <c r="M24" i="1"/>
  <c r="N12" i="1"/>
  <c r="M12" i="1"/>
  <c r="N73" i="1" s="1"/>
  <c r="J73" i="1"/>
  <c r="K57" i="1"/>
  <c r="J57" i="1"/>
  <c r="K43" i="1"/>
  <c r="J43" i="1"/>
  <c r="I43" i="1"/>
  <c r="K26" i="1"/>
  <c r="J26" i="1"/>
  <c r="I26" i="1"/>
  <c r="H74" i="1"/>
  <c r="H70" i="1"/>
  <c r="H43" i="1"/>
  <c r="G43" i="1"/>
  <c r="G73" i="1" s="1"/>
  <c r="F43" i="1"/>
  <c r="G24" i="1"/>
  <c r="F24" i="1"/>
  <c r="H34" i="1"/>
  <c r="H24" i="1"/>
  <c r="H12" i="1"/>
  <c r="G12" i="1"/>
  <c r="F12" i="1"/>
  <c r="D59" i="1"/>
  <c r="D69" i="1"/>
  <c r="E69" i="1" s="1"/>
  <c r="C69" i="1"/>
  <c r="C57" i="1"/>
  <c r="C43" i="1"/>
  <c r="C24" i="1"/>
  <c r="C73" i="1" s="1"/>
  <c r="D50" i="1"/>
  <c r="D45" i="1"/>
  <c r="C45" i="1"/>
  <c r="D43" i="1"/>
  <c r="D38" i="1"/>
  <c r="C38" i="1"/>
  <c r="D31" i="1"/>
  <c r="C31" i="1"/>
  <c r="D24" i="1"/>
  <c r="D20" i="1"/>
  <c r="D12" i="1"/>
  <c r="D13" i="1"/>
  <c r="C12" i="1"/>
  <c r="D9" i="1"/>
  <c r="E9" i="1" s="1"/>
  <c r="C9" i="1"/>
  <c r="Q66" i="1"/>
  <c r="Q67" i="1"/>
  <c r="Q68" i="1"/>
  <c r="Q70" i="1"/>
  <c r="Q74" i="1"/>
  <c r="Q65" i="1"/>
  <c r="N71" i="1"/>
  <c r="N74" i="1"/>
  <c r="N70" i="1"/>
  <c r="N53" i="1"/>
  <c r="N55" i="1"/>
  <c r="N52" i="1"/>
  <c r="N48" i="1"/>
  <c r="N46" i="1"/>
  <c r="N28" i="1"/>
  <c r="N29" i="1"/>
  <c r="N30" i="1"/>
  <c r="N27" i="1"/>
  <c r="N18" i="1"/>
  <c r="K75" i="1"/>
  <c r="K71" i="1"/>
  <c r="K74" i="1"/>
  <c r="K70" i="1"/>
  <c r="K54" i="1"/>
  <c r="K28" i="1"/>
  <c r="K29" i="1"/>
  <c r="K27" i="1"/>
  <c r="H37" i="1"/>
  <c r="H36" i="1"/>
  <c r="H35" i="1"/>
  <c r="H14" i="1"/>
  <c r="E74" i="1"/>
  <c r="E61" i="1"/>
  <c r="E62" i="1"/>
  <c r="E63" i="1"/>
  <c r="E49" i="1"/>
  <c r="E40" i="1"/>
  <c r="E41" i="1"/>
  <c r="E42" i="1"/>
  <c r="E19" i="1"/>
  <c r="E17" i="1"/>
  <c r="D74" i="1"/>
  <c r="D71" i="1"/>
  <c r="E71" i="1" s="1"/>
  <c r="D70" i="1"/>
  <c r="D64" i="1"/>
  <c r="D60" i="1"/>
  <c r="E60" i="1" s="1"/>
  <c r="D53" i="1"/>
  <c r="D57" i="1" s="1"/>
  <c r="D73" i="1" s="1"/>
  <c r="D75" i="1" s="1"/>
  <c r="D51" i="1"/>
  <c r="D47" i="1"/>
  <c r="D42" i="1"/>
  <c r="D39" i="1"/>
  <c r="D34" i="1"/>
  <c r="D33" i="1"/>
  <c r="D32" i="1"/>
  <c r="D26" i="1"/>
  <c r="D23" i="1"/>
  <c r="E23" i="1" s="1"/>
  <c r="D22" i="1"/>
  <c r="E22" i="1" s="1"/>
  <c r="D21" i="1"/>
  <c r="E21" i="1" s="1"/>
  <c r="D19" i="1"/>
  <c r="D18" i="1"/>
  <c r="E18" i="1" s="1"/>
  <c r="D17" i="1"/>
  <c r="D16" i="1"/>
  <c r="E16" i="1" s="1"/>
  <c r="D15" i="1"/>
  <c r="E15" i="1" s="1"/>
  <c r="D11" i="1"/>
  <c r="E11" i="1" s="1"/>
  <c r="D10" i="1"/>
  <c r="S73" i="1" l="1"/>
  <c r="H73" i="1"/>
  <c r="G75" i="1"/>
  <c r="H75" i="1" s="1"/>
  <c r="S43" i="1"/>
  <c r="P75" i="1"/>
  <c r="P69" i="1"/>
  <c r="Q69" i="1" s="1"/>
  <c r="E32" i="1"/>
  <c r="E56" i="1"/>
  <c r="E13" i="1"/>
  <c r="E39" i="1"/>
  <c r="E47" i="1"/>
  <c r="C13" i="2"/>
  <c r="D13" i="2"/>
  <c r="E13" i="2"/>
  <c r="F13" i="2"/>
  <c r="B13" i="2"/>
  <c r="B15" i="2" s="1"/>
  <c r="Q75" i="1" l="1"/>
  <c r="C70" i="1"/>
  <c r="E70" i="1" s="1"/>
  <c r="R69" i="1"/>
  <c r="R43" i="1"/>
  <c r="R24" i="1"/>
  <c r="T24" i="1"/>
  <c r="F15" i="2" l="1"/>
  <c r="D15" i="2" l="1"/>
  <c r="G7" i="2" l="1"/>
  <c r="G8" i="2"/>
  <c r="G9" i="2"/>
  <c r="G10" i="2"/>
  <c r="G11" i="2"/>
  <c r="G12" i="2"/>
  <c r="G6" i="2"/>
  <c r="G13" i="2" l="1"/>
  <c r="E15" i="2" l="1"/>
  <c r="G14" i="2"/>
  <c r="O70" i="1"/>
  <c r="O64" i="1" s="1"/>
  <c r="O59" i="1"/>
  <c r="O69" i="1" s="1"/>
  <c r="O53" i="1"/>
  <c r="O50" i="1"/>
  <c r="O45" i="1"/>
  <c r="O57" i="1" s="1"/>
  <c r="O38" i="1"/>
  <c r="O34" i="1"/>
  <c r="O31" i="1"/>
  <c r="O26" i="1"/>
  <c r="O20" i="1"/>
  <c r="O12" i="1"/>
  <c r="O9" i="1"/>
  <c r="O43" i="1" l="1"/>
  <c r="O24" i="1"/>
  <c r="O73" i="1"/>
  <c r="F34" i="1"/>
  <c r="C15" i="2" l="1"/>
  <c r="I9" i="1"/>
  <c r="L9" i="1"/>
  <c r="I12" i="1"/>
  <c r="L12" i="1"/>
  <c r="F20" i="1"/>
  <c r="I20" i="1"/>
  <c r="L20" i="1"/>
  <c r="F26" i="1"/>
  <c r="L26" i="1"/>
  <c r="F31" i="1"/>
  <c r="I31" i="1"/>
  <c r="L31" i="1"/>
  <c r="I34" i="1"/>
  <c r="L34" i="1"/>
  <c r="F38" i="1"/>
  <c r="I38" i="1"/>
  <c r="L38" i="1"/>
  <c r="F45" i="1"/>
  <c r="I45" i="1"/>
  <c r="L45" i="1"/>
  <c r="F53" i="1"/>
  <c r="I53" i="1"/>
  <c r="K53" i="1" s="1"/>
  <c r="L53" i="1"/>
  <c r="F50" i="1"/>
  <c r="I50" i="1"/>
  <c r="L50" i="1"/>
  <c r="L57" i="1" l="1"/>
  <c r="I57" i="1"/>
  <c r="I24" i="1"/>
  <c r="L24" i="1"/>
  <c r="F57" i="1"/>
  <c r="L43" i="1"/>
  <c r="G15" i="2"/>
  <c r="C10" i="1"/>
  <c r="E10" i="1" l="1"/>
  <c r="F64" i="1"/>
  <c r="F59" i="1"/>
  <c r="R53" i="1"/>
  <c r="F69" i="1" l="1"/>
  <c r="F73" i="1"/>
  <c r="R73" i="1"/>
  <c r="R57" i="1"/>
  <c r="C64" i="1"/>
  <c r="C59" i="1"/>
  <c r="C53" i="1"/>
  <c r="E53" i="1" s="1"/>
  <c r="C51" i="1"/>
  <c r="E45" i="1"/>
  <c r="E38" i="1"/>
  <c r="C34" i="1"/>
  <c r="C33" i="1"/>
  <c r="E20" i="1"/>
  <c r="E12" i="1"/>
  <c r="E59" i="1" l="1"/>
  <c r="E31" i="1"/>
  <c r="E33" i="1"/>
  <c r="C50" i="1"/>
  <c r="E50" i="1" s="1"/>
  <c r="E51" i="1"/>
  <c r="E73" i="1"/>
  <c r="E24" i="1"/>
  <c r="E57" i="1"/>
  <c r="E75" i="1" l="1"/>
  <c r="E43" i="1"/>
  <c r="L64" i="1"/>
  <c r="I64" i="1"/>
  <c r="L59" i="1"/>
  <c r="I59" i="1"/>
  <c r="I69" i="1" l="1"/>
  <c r="I73" i="1"/>
  <c r="K73" i="1" s="1"/>
  <c r="L69" i="1"/>
  <c r="L73" i="1"/>
</calcChain>
</file>

<file path=xl/sharedStrings.xml><?xml version="1.0" encoding="utf-8"?>
<sst xmlns="http://schemas.openxmlformats.org/spreadsheetml/2006/main" count="168" uniqueCount="168">
  <si>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</si>
  <si>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</si>
  <si>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</si>
  <si>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</si>
  <si>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</si>
  <si>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USD: PNUD</t>
  </si>
  <si>
    <t>Budget par agence recipiendiaire en USD: OIM</t>
  </si>
  <si>
    <t>Budget par agence recipiendiaire en USD: UNICEF</t>
  </si>
  <si>
    <t>Budget par agence recipiendiaire en USD: OHCHR</t>
  </si>
  <si>
    <t>Budget par agence recipiendiaire en USD: UNFPA</t>
  </si>
  <si>
    <t>Pourcentage du budget pour chaque produit ou activite reserve pour action directe sur le genre (cas echeant)</t>
  </si>
  <si>
    <t>Notes quelconque le cas echeant (.e.g sur types des entrants ou justification du budget)</t>
  </si>
  <si>
    <t>Resultat 1: Une vision de la RSS est développée de manière participative, tournée vers la protection des biens et des personnes, et traduite dans des plans d’action inclusifs et réalistes</t>
  </si>
  <si>
    <t>Produit 1.1:</t>
  </si>
  <si>
    <t>Le processus de réforme du secteur de la sécurité dans sa globalité est soutenu techniquement et politiquement, ses enjeux sont compris par les acteurs politiques informés</t>
  </si>
  <si>
    <t>Activite 1.1.1:</t>
  </si>
  <si>
    <t>Appui au CTO-RSS (ou son successeur)</t>
  </si>
  <si>
    <t>Activite 1.1.2:</t>
  </si>
  <si>
    <t>Plaidoyer pour une appropriation efficace de la RSS par les Gouvernants</t>
  </si>
  <si>
    <t>Produit 1.2:</t>
  </si>
  <si>
    <t>Une vision nationale de la sécurité répondant aux réalités des défis sécuritaires sur le territoire malgache est développée et permet une planification et formulation stratégique pour chaque FDS</t>
  </si>
  <si>
    <t>Activite 1.2.1:</t>
  </si>
  <si>
    <t>Revoir les besoins de sécurité du pays</t>
  </si>
  <si>
    <t>Activite 1.2.2:</t>
  </si>
  <si>
    <t>Mener une analyse de la sécurité et de la gestion des frontières</t>
  </si>
  <si>
    <t>Activite 1.2.3:</t>
  </si>
  <si>
    <t>Evaluation et analyse de la législation nationale, des règles et des procédures pour la gestion des armes des FDS et des civils</t>
  </si>
  <si>
    <t>Activité 1.2.4:</t>
  </si>
  <si>
    <t>Harmonisation des textes relatifs à la sécurité communautaire</t>
  </si>
  <si>
    <t>Activité 1.2.5:</t>
  </si>
  <si>
    <t>Faciliter le développement d’une vision nationale de la sécurité</t>
  </si>
  <si>
    <t>Activité 1.2.6:</t>
  </si>
  <si>
    <t>Analyser le système de promotion/sa transparence</t>
  </si>
  <si>
    <t>Activité 1.2.7:</t>
  </si>
  <si>
    <t>Appuyer l’élaboration de plans d’action pour chaque FDS</t>
  </si>
  <si>
    <t>Produit 1.3:</t>
  </si>
  <si>
    <t>La participation et le rôle des femmes dans le secteur de la sécurité sont
Renforcés</t>
  </si>
  <si>
    <t>Activite 1.3.1:</t>
  </si>
  <si>
    <t>Appuyer la réforme des critères de recrutement</t>
  </si>
  <si>
    <t>Activite 1.3.2:</t>
  </si>
  <si>
    <t>Appuyer les associations professionnelles des femmes et les points focaux genre</t>
  </si>
  <si>
    <t>Activite 1.3.3:</t>
  </si>
  <si>
    <t>Développer des lignes directrices relatives aux infrastructures et
réhabiliter une infrastructure pilote</t>
  </si>
  <si>
    <t>TOTAL $ pour Résultat 1:</t>
  </si>
  <si>
    <t>Resultat 2: Les FDS accomplissent leur mandat de manière compétente et professionnelle, grâce au renforcement de leurs compétences et capacités</t>
  </si>
  <si>
    <t>Produit 2.1:</t>
  </si>
  <si>
    <t>Les éléments des FDS sont formés sur les questions d’éthique, déontologie, droits de l’homme, de la femme et des enfants</t>
  </si>
  <si>
    <t>Activite 2.1.1:</t>
  </si>
  <si>
    <t>Appui à la révision et mise à niveau des curricula et des manuels de formations (initiale et continue) des FDS</t>
  </si>
  <si>
    <t>Activite 2.1.2:</t>
  </si>
  <si>
    <t>Formation de deux « Pools de formateurs » pour les formations
initiales et continues sur les questions de Droits de l’Homme</t>
  </si>
  <si>
    <t>Activite 2.1.3:</t>
  </si>
  <si>
    <t>Formation de 14 promotions de FDS sur les questions de droits de
l’homme, et de 300 représentants des FDS en poste</t>
  </si>
  <si>
    <t>Activité 2.1.4:</t>
  </si>
  <si>
    <t>Traduction et vulgarisation du Code Pénal en langue malagasy et
production de manuels de formation</t>
  </si>
  <si>
    <t>Produit 2.2:</t>
  </si>
  <si>
    <t>Les FDS sont sensibilisés et formés sur l’attitude de Police de proximité, pour gérer et traiter avec les citoyens, y compris sur les questions de VBG</t>
  </si>
  <si>
    <t>Activite 2.2.1:</t>
  </si>
  <si>
    <t>Sensibilisation sur le concept de « police de proximité »</t>
  </si>
  <si>
    <t>Activite 2.2.2:</t>
  </si>
  <si>
    <t>Adapter les modules de formation pertinents</t>
  </si>
  <si>
    <t>Produit 2.3:</t>
  </si>
  <si>
    <t>La gestion intégrée des frontières est rendue possible</t>
  </si>
  <si>
    <t>Activite 2.3.1:</t>
  </si>
  <si>
    <t>Sensibilisation aux concepts clés de la gestion intégrée des frontières et mise à disposition des bonnes pratiques</t>
  </si>
  <si>
    <t>Activite 2.3.2:</t>
  </si>
  <si>
    <t>Mise à disposition des infrastructures, des équipements, matériels, et systèmes rendant possible la gestion intégrée de deux espaces frontières pilotes à
Madagascar</t>
  </si>
  <si>
    <t>Activite 2.3.3:</t>
  </si>
  <si>
    <t>Renforcement des capacités des personnels rendant possible la
gestion intégrée de deux espaces frontières pilotes à Madagascar</t>
  </si>
  <si>
    <t>Produit 2.4:</t>
  </si>
  <si>
    <t>Les FDS gèrent plus efficacement leurs stocks d’armes</t>
  </si>
  <si>
    <t>Activité 2.4.1:</t>
  </si>
  <si>
    <t>Formation des FDS responsables du contrôle et de la gestion des
stocks d’armes légères détenues par l’Etat (volet gestion)</t>
  </si>
  <si>
    <t>Activité 2.4.2:</t>
  </si>
  <si>
    <t>Renforcer les capacités des inspecteurs des stocks d’armes (volet contrôle interne)</t>
  </si>
  <si>
    <t>Activité 2.4.3:</t>
  </si>
  <si>
    <t>Mettre à jour les procédures de gestion de stocks d’armes des FDS</t>
  </si>
  <si>
    <t>Activité 2.4.4:</t>
  </si>
  <si>
    <t>Fournir les moyens techniques et les compétences pour un marquage et un enregistrement d’armes selon les standards internationaux (volet traçabilité
et marquage)</t>
  </si>
  <si>
    <t>TOTAL $ pour Resultat 2:</t>
  </si>
  <si>
    <t>Resultat 3: Les mécanismes de contrôle civil et institutionnel sont en place et fonctionnent</t>
  </si>
  <si>
    <t>Produit 3.1:</t>
  </si>
  <si>
    <t>Des mécanismes de contrôle internes aux FDS sont développés et appuyés pour le lancement de leur opérationnalisation</t>
  </si>
  <si>
    <t>Activite 3.1.1:</t>
  </si>
  <si>
    <t>Appuyer le CSED</t>
  </si>
  <si>
    <t>Activite 3.1.2:</t>
  </si>
  <si>
    <t>Evaluer la justice militaire</t>
  </si>
  <si>
    <t>Activite 3.1.3:</t>
  </si>
  <si>
    <t>Elaborer des codes de conduite et d’éthique, et leurs mécanismes</t>
  </si>
  <si>
    <t>Activité 3.1.4:</t>
  </si>
  <si>
    <t>Appuyer la conception d’un mécanisme de dénonciation d’abus</t>
  </si>
  <si>
    <t>Produit 3.2:</t>
  </si>
  <si>
    <t>Les institutions et mécanismes de contrôle étatiques jouent un rôle accru et responsable dans l’exercice de leurs fonctions de contrôle démocratique des forces de défense et de sécurité</t>
  </si>
  <si>
    <t>Activite 3.2.1:</t>
  </si>
  <si>
    <t>Renforcement des capacités des parlementaires et du personnel de l’Assemblée nationale et du Sénat sur la RSS</t>
  </si>
  <si>
    <t>Activite 3.2.2:</t>
  </si>
  <si>
    <t>Formation des membres de la Commission Nationale Indépendante des Droits de l’Homme</t>
  </si>
  <si>
    <t>Produit 3.3:</t>
  </si>
  <si>
    <t>Les mécanismes de contrôle civil jouent un rôle accru et responsable dans l’exercice de leurs fonctions de contrôle démocratique des forces de défense et de sécurité</t>
  </si>
  <si>
    <t>Activite 3.3.1:</t>
  </si>
  <si>
    <t>Une stratégie nationale de communication pour le développement pour la promotion de la paix est élaborée</t>
  </si>
  <si>
    <t>Activite 3.3.2:</t>
  </si>
  <si>
    <t>Formation des OSC et médias (en lien avec le volet médias1 du
Projet 1 soutenu dans le cadre de la Bonne Gouvernance)</t>
  </si>
  <si>
    <t>Activite 3.3.3:</t>
  </si>
  <si>
    <t>Capacités des OSC de jeunes pour le plaidoyer renforcées</t>
  </si>
  <si>
    <t>TOTAL $ pour Resultat 3:</t>
  </si>
  <si>
    <t>Resultat 4: La confiance entre les FDS et la population la plus vulnérable est renforcée, à travers une approche de sécurité communautaire adéquate par les FDS aux préoccupations de la population dans les zones pilotes, y compris des groupes les plus vulnérables.</t>
  </si>
  <si>
    <t>Produit 4.1:</t>
  </si>
  <si>
    <t>Un modèle de sécurité communautaire inclusive et sensible au genre est élaboré, testé et réajusté</t>
  </si>
  <si>
    <t>Activite 4.1.1:</t>
  </si>
  <si>
    <t>Organisations de sessions de dialogue entre les représentants des FDS, des autorités locales et de la société civile (en particulier les organisations de femmes et de jeunes).</t>
  </si>
  <si>
    <t>Activite 4.1.2:</t>
  </si>
  <si>
    <t>Développement d’un modèle de plan de sécurité communautaire</t>
  </si>
  <si>
    <t>Activite 4.1.3:</t>
  </si>
  <si>
    <t>Mise en œuvre conjointe par les corps de sécurité et les communautés des plans de sécurité communautaires</t>
  </si>
  <si>
    <t>Activité 4.1.4:</t>
  </si>
  <si>
    <t>Dotation d’équipement</t>
  </si>
  <si>
    <t>Produit 4.2:</t>
  </si>
  <si>
    <t>La réponse des FDS aux cas de violence basée sur le genre est améliorée en prise en charge et traitement des dossiers</t>
  </si>
  <si>
    <t>Activite 4.2.1:</t>
  </si>
  <si>
    <t>Réactualisation des procédures de prise en compte des victimes de VBG (en lien avec l’objectif 1 de ce projet, sur l’identification et développement de politiques et stratégies)</t>
  </si>
  <si>
    <t>Activite 4.2.2:</t>
  </si>
  <si>
    <t>Vulgarisation des nouvelles procédures opérationnelles standards de prise charge des cas de violences basées</t>
  </si>
  <si>
    <t>Activite 4.2.3:</t>
  </si>
  <si>
    <t>Appui à la fourniture de services de prise en charge des cas de
violences basées sur le genre</t>
  </si>
  <si>
    <t>Activite 4.2.4:</t>
  </si>
  <si>
    <t>Mener une étude sur les violences faites aux femmes lors des raids de dahalos</t>
  </si>
  <si>
    <t>TOTAL $ pour Resultat 4:</t>
  </si>
  <si>
    <t>Cout de personnel du projet si pas inclus dans les activites si-dessus</t>
  </si>
  <si>
    <t>Couts operationnels si pas inclus dans les activites si-dessus</t>
  </si>
  <si>
    <t>Budget S&amp;E du projet</t>
  </si>
  <si>
    <t>SOUS TOTAL DU BUDGET DE PROJET: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</si>
  <si>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</si>
  <si>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</si>
  <si>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</si>
  <si>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</si>
  <si>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</si>
  <si>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</si>
  <si>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</si>
  <si>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</si>
  <si>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</si>
  <si>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</si>
  <si>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</si>
  <si>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</si>
  <si>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</si>
  <si>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</si>
  <si>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>8. Coûts indirects*</t>
  </si>
  <si>
    <t>TOTAL</t>
  </si>
  <si>
    <t>17 250 USD selon ProDoc + 17 500 USD approuvés en Comité de Projet du 31 jan 2018 (enlevés du budget pour personnel)</t>
  </si>
  <si>
    <t>PNUD</t>
  </si>
  <si>
    <t>OIM</t>
  </si>
  <si>
    <t>UNICEF</t>
  </si>
  <si>
    <t>OHCHR</t>
  </si>
  <si>
    <t>UNFPA</t>
  </si>
  <si>
    <t>Niveau de depense/ engagement actuel en USD (a remplir au moment des rapports de projet) PNUD</t>
  </si>
  <si>
    <t>Niveau de depense/ engagement actuel en USD (a remplir au moment des rapports de projet) OIM</t>
  </si>
  <si>
    <t>Niveau de depense/ engagement actuel en USD (a remplir au moment des rapports de projet) UNFPA</t>
  </si>
  <si>
    <t xml:space="preserve">Niveau de depense TOTAL/ engagement actuel en USD (a remplir au moment des rapports de projet) </t>
  </si>
  <si>
    <t>Pour le PNUD : 13 500 USD selon ProDoc + 11 500 USD approuvés en Comité de Projet du 31 jan 2018 (enlevés du budget pour personnel)</t>
  </si>
  <si>
    <r>
      <t>PNUD:</t>
    </r>
    <r>
      <rPr>
        <sz val="11"/>
        <color rgb="FF000000"/>
        <rFont val="Calibri"/>
        <family val="2"/>
      </rPr>
      <t xml:space="preserve"> 50 300 USD selon ProDoc + 20 000 USD approuvés en Comité de Projet du 31 jan 2018 (enlevés du budget pour personnel)</t>
    </r>
  </si>
  <si>
    <t>Pour le PNUD : 344 942 USD selon ProDoc - 49 000 USD approuvés en Comité de Projet du 31 jan 2018 (alloué à différentes activités)</t>
  </si>
  <si>
    <t>Niveau de depenses/ engagements du budget jusqu'a present en % PNUD</t>
  </si>
  <si>
    <t>Niveau de depenses/ engagements du budget jusqu'a present en % OIM</t>
  </si>
  <si>
    <t>Niveau de depenses/ engagements du budget jusqu'a present en % UNICEF</t>
  </si>
  <si>
    <t>Niveau de depense/ engagement actuel en USD (a remplir au moment des rapports de projet)  UNICEF</t>
  </si>
  <si>
    <t>Niveau de depense/ engagement actuel en USD (a remplir au moment des rapports de projet)  OHCHR</t>
  </si>
  <si>
    <t>Niveau de depenses/ engagements du budget jusqu'a present en % OHCHR</t>
  </si>
  <si>
    <t>Niveau de depenses/ engagements du budget jusqu'a present en % UNFPA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</si>
</sst>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3B3B3"/>
        <bgColor rgb="FFBFBFBF"/>
      </patternFill>
    </fill>
    <fill>
      <patternFill patternType="solid">
        <fgColor rgb="FFBFBFBF"/>
        <bgColor rgb="FFB3B3B3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3B3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1" fillId="0" borderId="4" xfId="1" applyBorder="1" applyAlignment="1">
      <alignment horizontal="right" vertical="center" wrapText="1"/>
    </xf>
    <xf numFmtId="43" fontId="1" fillId="0" borderId="5" xfId="1" applyBorder="1" applyAlignment="1">
      <alignment horizontal="right"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3" borderId="2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0" fontId="0" fillId="5" borderId="0" xfId="0" applyFill="1"/>
    <xf numFmtId="43" fontId="0" fillId="0" borderId="0" xfId="0" applyNumberFormat="1"/>
    <xf numFmtId="0" fontId="4" fillId="6" borderId="2" xfId="0" applyFont="1" applyFill="1" applyBorder="1" applyAlignment="1">
      <alignment horizontal="center" vertical="center" wrapText="1"/>
    </xf>
    <xf numFmtId="43" fontId="1" fillId="0" borderId="1" xfId="1" applyBorder="1" applyAlignment="1">
      <alignment horizontal="right" vertical="center" wrapText="1"/>
    </xf>
    <xf numFmtId="43" fontId="1" fillId="0" borderId="3" xfId="1" applyBorder="1" applyAlignment="1">
      <alignment horizontal="center" vertical="center" wrapText="1"/>
    </xf>
    <xf numFmtId="43" fontId="1" fillId="0" borderId="3" xfId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43" fontId="14" fillId="5" borderId="0" xfId="1" applyFont="1" applyFill="1"/>
    <xf numFmtId="0" fontId="15" fillId="5" borderId="0" xfId="0" applyFont="1" applyFill="1"/>
    <xf numFmtId="43" fontId="16" fillId="0" borderId="0" xfId="1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5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3" fontId="19" fillId="5" borderId="4" xfId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vertical="center" wrapText="1"/>
    </xf>
    <xf numFmtId="43" fontId="20" fillId="0" borderId="4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0" fontId="21" fillId="0" borderId="4" xfId="0" applyNumberFormat="1" applyFont="1" applyBorder="1" applyAlignment="1">
      <alignment horizontal="left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43" fontId="20" fillId="5" borderId="4" xfId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0" fontId="15" fillId="5" borderId="4" xfId="0" applyNumberFormat="1" applyFont="1" applyFill="1" applyBorder="1" applyAlignment="1">
      <alignment vertical="center" wrapText="1"/>
    </xf>
    <xf numFmtId="10" fontId="15" fillId="0" borderId="4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43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3" fontId="20" fillId="5" borderId="1" xfId="1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43" fontId="19" fillId="5" borderId="1" xfId="1" applyFont="1" applyFill="1" applyBorder="1" applyAlignment="1">
      <alignment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43" fontId="19" fillId="5" borderId="4" xfId="1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9" fontId="20" fillId="0" borderId="1" xfId="2" applyFont="1" applyBorder="1"/>
    <xf numFmtId="10" fontId="15" fillId="0" borderId="1" xfId="0" applyNumberFormat="1" applyFont="1" applyBorder="1" applyAlignment="1">
      <alignment horizontal="left" vertical="center" wrapText="1"/>
    </xf>
    <xf numFmtId="43" fontId="7" fillId="7" borderId="4" xfId="1" applyFont="1" applyFill="1" applyBorder="1" applyAlignment="1">
      <alignment horizontal="right" vertical="center" wrapText="1"/>
    </xf>
    <xf numFmtId="43" fontId="11" fillId="8" borderId="6" xfId="0" applyNumberFormat="1" applyFont="1" applyFill="1" applyBorder="1" applyAlignment="1">
      <alignment horizontal="center" vertical="center" wrapText="1"/>
    </xf>
    <xf numFmtId="164" fontId="11" fillId="8" borderId="4" xfId="1" applyNumberFormat="1" applyFont="1" applyFill="1" applyBorder="1" applyAlignment="1">
      <alignment horizontal="right" vertical="center" wrapText="1"/>
    </xf>
    <xf numFmtId="43" fontId="7" fillId="7" borderId="5" xfId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3" fontId="1" fillId="0" borderId="4" xfId="1" applyBorder="1" applyAlignment="1">
      <alignment horizontal="center" vertical="center" wrapText="1"/>
    </xf>
    <xf numFmtId="43" fontId="1" fillId="0" borderId="0" xfId="1" applyNumberFormat="1"/>
    <xf numFmtId="43" fontId="1" fillId="0" borderId="4" xfId="1" applyNumberFormat="1" applyBorder="1" applyAlignment="1">
      <alignment horizontal="center" vertical="center" wrapText="1"/>
    </xf>
    <xf numFmtId="43" fontId="1" fillId="0" borderId="1" xfId="1" applyNumberFormat="1" applyBorder="1" applyAlignment="1">
      <alignment horizontal="center" vertical="center" wrapText="1"/>
    </xf>
    <xf numFmtId="43" fontId="7" fillId="0" borderId="0" xfId="1" applyNumberFormat="1" applyFont="1"/>
    <xf numFmtId="43" fontId="7" fillId="0" borderId="2" xfId="1" applyNumberFormat="1" applyFont="1" applyBorder="1" applyAlignment="1">
      <alignment vertical="center" wrapText="1"/>
    </xf>
    <xf numFmtId="43" fontId="7" fillId="0" borderId="4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0" xfId="1" applyNumberFormat="1" applyFont="1" applyBorder="1"/>
    <xf numFmtId="43" fontId="20" fillId="5" borderId="2" xfId="1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9" fillId="5" borderId="4" xfId="1" applyNumberFormat="1" applyFont="1" applyFill="1" applyBorder="1" applyAlignment="1">
      <alignment horizontal="center" vertical="center" wrapText="1"/>
    </xf>
    <xf numFmtId="43" fontId="1" fillId="0" borderId="1" xfId="1" applyNumberFormat="1" applyFont="1" applyBorder="1" applyAlignment="1">
      <alignment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43" fontId="7" fillId="7" borderId="3" xfId="1" applyFont="1" applyFill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43" fontId="1" fillId="0" borderId="4" xfId="1" applyNumberFormat="1" applyFont="1" applyBorder="1" applyAlignment="1">
      <alignment horizontal="center" vertical="center" wrapText="1"/>
    </xf>
    <xf numFmtId="43" fontId="7" fillId="5" borderId="1" xfId="1" applyNumberFormat="1" applyFont="1" applyFill="1" applyBorder="1" applyAlignment="1">
      <alignment vertical="center" wrapText="1"/>
    </xf>
    <xf numFmtId="43" fontId="7" fillId="5" borderId="4" xfId="1" applyNumberFormat="1" applyFont="1" applyFill="1" applyBorder="1" applyAlignment="1">
      <alignment horizontal="center" vertical="center" wrapText="1"/>
    </xf>
    <xf numFmtId="9" fontId="1" fillId="0" borderId="0" xfId="2" applyFont="1"/>
    <xf numFmtId="0" fontId="15" fillId="0" borderId="0" xfId="0" applyFont="1" applyBorder="1"/>
    <xf numFmtId="9" fontId="1" fillId="0" borderId="0" xfId="2" applyFont="1" applyBorder="1"/>
    <xf numFmtId="43" fontId="19" fillId="5" borderId="0" xfId="1" applyFont="1" applyFill="1" applyBorder="1"/>
    <xf numFmtId="9" fontId="19" fillId="5" borderId="0" xfId="2" applyFont="1" applyFill="1" applyBorder="1"/>
    <xf numFmtId="0" fontId="15" fillId="5" borderId="0" xfId="0" applyFont="1" applyFill="1" applyBorder="1"/>
    <xf numFmtId="43" fontId="20" fillId="5" borderId="2" xfId="1" applyFont="1" applyFill="1" applyBorder="1" applyAlignment="1">
      <alignment horizontal="center" vertical="center" wrapText="1"/>
    </xf>
    <xf numFmtId="43" fontId="20" fillId="0" borderId="2" xfId="1" applyFont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tabSelected="1" view="pageBreakPreview" topLeftCell="J1" zoomScale="70" zoomScaleNormal="100" zoomScaleSheetLayoutView="70" zoomScalePageLayoutView="80" workbookViewId="0">
      <pane ySplit="7" topLeftCell="A68" activePane="bottomLeft" state="frozen"/>
      <selection pane="bottomLeft" activeCell="R77" sqref="R77"/>
    </sheetView>
  </sheetViews>
  <sheetFormatPr baseColWidth="10" defaultColWidth="8.88671875" defaultRowHeight="14.4" x14ac:dyDescent="0.3"/>
  <cols>
    <col min="1" max="1" width="19.33203125" style="25" customWidth="1"/>
    <col min="2" max="2" width="46.88671875" style="25" customWidth="1"/>
    <col min="3" max="3" width="19.109375" style="66" customWidth="1"/>
    <col min="4" max="4" width="16.44140625" style="63" customWidth="1"/>
    <col min="5" max="5" width="16.44140625" style="66" customWidth="1"/>
    <col min="6" max="11" width="17.5546875" style="22" customWidth="1"/>
    <col min="12" max="12" width="14.88671875" style="22" customWidth="1"/>
    <col min="13" max="17" width="17.5546875" style="22" customWidth="1"/>
    <col min="18" max="18" width="15.88671875" style="23" customWidth="1"/>
    <col min="19" max="19" width="19.6640625" style="24" customWidth="1"/>
    <col min="20" max="20" width="22" style="25" customWidth="1"/>
    <col min="21" max="21" width="22.6640625" style="25"/>
    <col min="22" max="24" width="28.6640625" style="25"/>
    <col min="25" max="25" width="34.109375" style="25"/>
    <col min="26" max="1035" width="8.5546875" style="25"/>
    <col min="1036" max="16384" width="8.88671875" style="25"/>
  </cols>
  <sheetData>
    <row r="1" spans="1:20" ht="21" x14ac:dyDescent="0.4">
      <c r="A1" s="20" t="s">
        <v>0</v>
      </c>
      <c r="B1" s="21"/>
    </row>
    <row r="2" spans="1:20" ht="6" customHeight="1" x14ac:dyDescent="0.3">
      <c r="A2" s="26"/>
      <c r="B2" s="26"/>
    </row>
    <row r="3" spans="1:20" ht="15.6" x14ac:dyDescent="0.3">
      <c r="A3" s="26" t="s">
        <v>1</v>
      </c>
      <c r="B3" s="26"/>
    </row>
    <row r="4" spans="1:20" ht="6.75" customHeight="1" x14ac:dyDescent="0.3"/>
    <row r="5" spans="1:20" ht="15.6" x14ac:dyDescent="0.3">
      <c r="A5" s="26" t="s">
        <v>2</v>
      </c>
    </row>
    <row r="6" spans="1:20" ht="8.25" customHeight="1" thickBot="1" x14ac:dyDescent="0.35"/>
    <row r="7" spans="1:20" s="27" customFormat="1" ht="121.2" customHeight="1" thickBot="1" x14ac:dyDescent="0.35">
      <c r="A7" s="46" t="s">
        <v>3</v>
      </c>
      <c r="B7" s="44" t="s">
        <v>4</v>
      </c>
      <c r="C7" s="67" t="s">
        <v>5</v>
      </c>
      <c r="D7" s="67" t="s">
        <v>154</v>
      </c>
      <c r="E7" s="67" t="s">
        <v>161</v>
      </c>
      <c r="F7" s="72" t="s">
        <v>6</v>
      </c>
      <c r="G7" s="72" t="s">
        <v>155</v>
      </c>
      <c r="H7" s="72" t="s">
        <v>162</v>
      </c>
      <c r="I7" s="72" t="s">
        <v>7</v>
      </c>
      <c r="J7" s="72" t="s">
        <v>164</v>
      </c>
      <c r="K7" s="72" t="s">
        <v>163</v>
      </c>
      <c r="L7" s="72" t="s">
        <v>8</v>
      </c>
      <c r="M7" s="72" t="s">
        <v>165</v>
      </c>
      <c r="N7" s="72" t="s">
        <v>166</v>
      </c>
      <c r="O7" s="72" t="s">
        <v>9</v>
      </c>
      <c r="P7" s="72" t="s">
        <v>156</v>
      </c>
      <c r="Q7" s="72" t="s">
        <v>167</v>
      </c>
      <c r="R7" s="73" t="s">
        <v>10</v>
      </c>
      <c r="S7" s="44" t="s">
        <v>157</v>
      </c>
      <c r="T7" s="44" t="s">
        <v>11</v>
      </c>
    </row>
    <row r="8" spans="1:20" s="59" customFormat="1" ht="21.6" customHeight="1" thickBot="1" x14ac:dyDescent="0.35">
      <c r="A8" s="60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s="27" customFormat="1" ht="73.8" customHeight="1" thickBot="1" x14ac:dyDescent="0.35">
      <c r="A9" s="29" t="s">
        <v>13</v>
      </c>
      <c r="B9" s="30" t="s">
        <v>14</v>
      </c>
      <c r="C9" s="68">
        <f>SUM(C10+C11)</f>
        <v>96300</v>
      </c>
      <c r="D9" s="68">
        <f>SUM(D10+D11)</f>
        <v>50976.69</v>
      </c>
      <c r="E9" s="68">
        <f>(D9/C9)*100</f>
        <v>52.935295950155769</v>
      </c>
      <c r="F9" s="39"/>
      <c r="G9" s="39"/>
      <c r="H9" s="39"/>
      <c r="I9" s="39">
        <f t="shared" ref="F9:O9" si="0">I10+I11</f>
        <v>0</v>
      </c>
      <c r="J9" s="39"/>
      <c r="K9" s="39"/>
      <c r="L9" s="39">
        <f t="shared" si="0"/>
        <v>0</v>
      </c>
      <c r="M9" s="39"/>
      <c r="N9" s="39"/>
      <c r="O9" s="39">
        <f t="shared" si="0"/>
        <v>0</v>
      </c>
      <c r="P9" s="39"/>
      <c r="Q9" s="39"/>
      <c r="R9" s="40"/>
      <c r="S9" s="33">
        <f>SUM(D9+G9+J9+M9+P9)</f>
        <v>50976.69</v>
      </c>
      <c r="T9" s="34"/>
    </row>
    <row r="10" spans="1:20" ht="91.8" customHeight="1" thickBot="1" x14ac:dyDescent="0.35">
      <c r="A10" s="35" t="s">
        <v>15</v>
      </c>
      <c r="B10" s="36" t="s">
        <v>16</v>
      </c>
      <c r="C10" s="79">
        <f>50300+20000</f>
        <v>70300</v>
      </c>
      <c r="D10" s="64">
        <f>32323.62+545.28+5627.87</f>
        <v>38496.770000000004</v>
      </c>
      <c r="E10" s="68">
        <f>(D10/C10)*100</f>
        <v>54.760697012802282</v>
      </c>
      <c r="F10" s="31">
        <v>0</v>
      </c>
      <c r="G10" s="31"/>
      <c r="H10" s="31"/>
      <c r="I10" s="31">
        <v>0</v>
      </c>
      <c r="J10" s="31"/>
      <c r="K10" s="31"/>
      <c r="L10" s="31">
        <v>0</v>
      </c>
      <c r="M10" s="31"/>
      <c r="N10" s="31"/>
      <c r="O10" s="31">
        <v>0</v>
      </c>
      <c r="P10" s="31"/>
      <c r="Q10" s="31"/>
      <c r="R10" s="32"/>
      <c r="S10" s="33">
        <f t="shared" ref="S10:S73" si="1">SUM(D10+G10+J10+M10+P10)</f>
        <v>38496.770000000004</v>
      </c>
      <c r="T10" s="37" t="s">
        <v>159</v>
      </c>
    </row>
    <row r="11" spans="1:20" ht="29.4" thickBot="1" x14ac:dyDescent="0.35">
      <c r="A11" s="35" t="s">
        <v>17</v>
      </c>
      <c r="B11" s="36" t="s">
        <v>18</v>
      </c>
      <c r="C11" s="79">
        <v>26000</v>
      </c>
      <c r="D11" s="64">
        <f>3201.79+3078.55+199.58+6000</f>
        <v>12479.92</v>
      </c>
      <c r="E11" s="68">
        <f>(D11/C11)*100</f>
        <v>47.999692307692307</v>
      </c>
      <c r="F11" s="31">
        <v>0</v>
      </c>
      <c r="G11" s="31"/>
      <c r="H11" s="31"/>
      <c r="I11" s="31">
        <v>0</v>
      </c>
      <c r="J11" s="31"/>
      <c r="K11" s="31"/>
      <c r="L11" s="31">
        <v>0</v>
      </c>
      <c r="M11" s="31"/>
      <c r="N11" s="31"/>
      <c r="O11" s="31">
        <v>0</v>
      </c>
      <c r="P11" s="31"/>
      <c r="Q11" s="31"/>
      <c r="R11" s="32"/>
      <c r="S11" s="33">
        <f t="shared" si="1"/>
        <v>12479.92</v>
      </c>
      <c r="T11" s="38"/>
    </row>
    <row r="12" spans="1:20" s="27" customFormat="1" ht="70.8" customHeight="1" thickBot="1" x14ac:dyDescent="0.35">
      <c r="A12" s="29" t="s">
        <v>19</v>
      </c>
      <c r="B12" s="30" t="s">
        <v>20</v>
      </c>
      <c r="C12" s="68">
        <f>SUM(C13+C14+C15+C16+C17+C18+C19)</f>
        <v>272300</v>
      </c>
      <c r="D12" s="68">
        <f>SUM(D13+D14+D15+D16+D17+D18+D19)</f>
        <v>225670.09</v>
      </c>
      <c r="E12" s="68">
        <f>(D12/C12)*100</f>
        <v>82.875538009548293</v>
      </c>
      <c r="F12" s="39">
        <f>SUM(F14)</f>
        <v>155535</v>
      </c>
      <c r="G12" s="39">
        <f>SUM(G14)</f>
        <v>96531</v>
      </c>
      <c r="H12" s="39">
        <f>(G12/F12)*100</f>
        <v>62.063844150834214</v>
      </c>
      <c r="I12" s="39">
        <f t="shared" ref="F12:O12" si="2">I13+I14+I15+I16+I17+I18+I19</f>
        <v>0</v>
      </c>
      <c r="J12" s="39"/>
      <c r="K12" s="39"/>
      <c r="L12" s="39">
        <f t="shared" si="2"/>
        <v>10750</v>
      </c>
      <c r="M12" s="39">
        <f t="shared" si="2"/>
        <v>4441</v>
      </c>
      <c r="N12" s="39">
        <f t="shared" ref="N12:N17" si="3">(M12/L12)*100</f>
        <v>41.311627906976746</v>
      </c>
      <c r="O12" s="39">
        <f t="shared" si="2"/>
        <v>0</v>
      </c>
      <c r="P12" s="39"/>
      <c r="Q12" s="39"/>
      <c r="R12" s="40"/>
      <c r="S12" s="33">
        <f t="shared" si="1"/>
        <v>326642.08999999997</v>
      </c>
      <c r="T12" s="34"/>
    </row>
    <row r="13" spans="1:20" ht="15" thickBot="1" x14ac:dyDescent="0.35">
      <c r="A13" s="35" t="s">
        <v>21</v>
      </c>
      <c r="B13" s="36" t="s">
        <v>22</v>
      </c>
      <c r="C13" s="79">
        <v>48500</v>
      </c>
      <c r="D13" s="64">
        <f>32867.03</f>
        <v>32867.03</v>
      </c>
      <c r="E13" s="68">
        <f>(D13/C13)*100</f>
        <v>67.767072164948445</v>
      </c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1"/>
      <c r="N13" s="31"/>
      <c r="O13" s="31">
        <v>0</v>
      </c>
      <c r="P13" s="31"/>
      <c r="Q13" s="31"/>
      <c r="R13" s="32"/>
      <c r="S13" s="33">
        <f t="shared" si="1"/>
        <v>32867.03</v>
      </c>
      <c r="T13" s="38"/>
    </row>
    <row r="14" spans="1:20" ht="29.4" thickBot="1" x14ac:dyDescent="0.35">
      <c r="A14" s="35" t="s">
        <v>23</v>
      </c>
      <c r="B14" s="36" t="s">
        <v>24</v>
      </c>
      <c r="C14" s="79">
        <v>0</v>
      </c>
      <c r="D14" s="62">
        <v>0</v>
      </c>
      <c r="E14" s="68"/>
      <c r="F14" s="31">
        <v>155535</v>
      </c>
      <c r="G14" s="31">
        <v>96531</v>
      </c>
      <c r="H14" s="31">
        <f>(G14/F14)*100</f>
        <v>62.063844150834214</v>
      </c>
      <c r="I14" s="31">
        <v>0</v>
      </c>
      <c r="J14" s="31"/>
      <c r="K14" s="31"/>
      <c r="L14" s="31">
        <v>0</v>
      </c>
      <c r="M14" s="31"/>
      <c r="N14" s="31"/>
      <c r="O14" s="31">
        <v>0</v>
      </c>
      <c r="P14" s="31"/>
      <c r="Q14" s="31"/>
      <c r="R14" s="32"/>
      <c r="S14" s="33">
        <f t="shared" si="1"/>
        <v>96531</v>
      </c>
      <c r="T14" s="38"/>
    </row>
    <row r="15" spans="1:20" ht="43.8" thickBot="1" x14ac:dyDescent="0.35">
      <c r="A15" s="35" t="s">
        <v>25</v>
      </c>
      <c r="B15" s="36" t="s">
        <v>26</v>
      </c>
      <c r="C15" s="79">
        <v>66400</v>
      </c>
      <c r="D15" s="64">
        <f>28659.81+42427</f>
        <v>71086.81</v>
      </c>
      <c r="E15" s="68">
        <f>(D15/C15)*100</f>
        <v>107.05844879518071</v>
      </c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1"/>
      <c r="N15" s="31"/>
      <c r="O15" s="31">
        <v>0</v>
      </c>
      <c r="P15" s="31"/>
      <c r="Q15" s="31"/>
      <c r="R15" s="32"/>
      <c r="S15" s="33">
        <f t="shared" si="1"/>
        <v>71086.81</v>
      </c>
      <c r="T15" s="38"/>
    </row>
    <row r="16" spans="1:20" ht="29.4" thickBot="1" x14ac:dyDescent="0.35">
      <c r="A16" s="35" t="s">
        <v>27</v>
      </c>
      <c r="B16" s="36" t="s">
        <v>28</v>
      </c>
      <c r="C16" s="79">
        <v>18000</v>
      </c>
      <c r="D16" s="64">
        <f>22002.4</f>
        <v>22002.400000000001</v>
      </c>
      <c r="E16" s="68">
        <f>(D16/C16)*100</f>
        <v>122.23555555555556</v>
      </c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1"/>
      <c r="N16" s="31"/>
      <c r="O16" s="31">
        <v>0</v>
      </c>
      <c r="P16" s="31"/>
      <c r="Q16" s="31"/>
      <c r="R16" s="32"/>
      <c r="S16" s="33">
        <f t="shared" si="1"/>
        <v>22002.400000000001</v>
      </c>
      <c r="T16" s="38"/>
    </row>
    <row r="17" spans="1:20" ht="29.4" thickBot="1" x14ac:dyDescent="0.35">
      <c r="A17" s="35" t="s">
        <v>29</v>
      </c>
      <c r="B17" s="36" t="s">
        <v>30</v>
      </c>
      <c r="C17" s="79">
        <v>44900</v>
      </c>
      <c r="D17" s="64">
        <f>15135.84+21385.2</f>
        <v>36521.040000000001</v>
      </c>
      <c r="E17" s="68">
        <f>(D17/C17)*100</f>
        <v>81.338619153674841</v>
      </c>
      <c r="F17" s="31">
        <v>0</v>
      </c>
      <c r="G17" s="31"/>
      <c r="H17" s="31"/>
      <c r="I17" s="31">
        <v>0</v>
      </c>
      <c r="J17" s="31"/>
      <c r="K17" s="31"/>
      <c r="L17" s="31">
        <v>0</v>
      </c>
      <c r="M17" s="31"/>
      <c r="N17" s="31"/>
      <c r="O17" s="31">
        <v>0</v>
      </c>
      <c r="P17" s="31"/>
      <c r="Q17" s="31"/>
      <c r="R17" s="32"/>
      <c r="S17" s="33">
        <f t="shared" si="1"/>
        <v>36521.040000000001</v>
      </c>
      <c r="T17" s="38"/>
    </row>
    <row r="18" spans="1:20" ht="15" thickBot="1" x14ac:dyDescent="0.35">
      <c r="A18" s="35" t="s">
        <v>31</v>
      </c>
      <c r="B18" s="36" t="s">
        <v>32</v>
      </c>
      <c r="C18" s="79">
        <v>42750</v>
      </c>
      <c r="D18" s="64">
        <f>19757.81+7500</f>
        <v>27257.81</v>
      </c>
      <c r="E18" s="68">
        <f t="shared" ref="E18:E23" si="4">(D18/C18)*100</f>
        <v>63.760959064327494</v>
      </c>
      <c r="F18" s="31">
        <v>0</v>
      </c>
      <c r="G18" s="31"/>
      <c r="H18" s="31"/>
      <c r="I18" s="31">
        <v>0</v>
      </c>
      <c r="J18" s="31"/>
      <c r="K18" s="31"/>
      <c r="L18" s="31">
        <v>10750</v>
      </c>
      <c r="M18" s="31">
        <v>4441</v>
      </c>
      <c r="N18" s="31">
        <f>(M18/L18)*100</f>
        <v>41.311627906976746</v>
      </c>
      <c r="O18" s="31">
        <v>0</v>
      </c>
      <c r="P18" s="31"/>
      <c r="Q18" s="31"/>
      <c r="R18" s="32"/>
      <c r="S18" s="33">
        <f t="shared" si="1"/>
        <v>31698.81</v>
      </c>
      <c r="T18" s="38"/>
    </row>
    <row r="19" spans="1:20" ht="29.4" thickBot="1" x14ac:dyDescent="0.35">
      <c r="A19" s="35" t="s">
        <v>33</v>
      </c>
      <c r="B19" s="36" t="s">
        <v>34</v>
      </c>
      <c r="C19" s="79">
        <v>51750</v>
      </c>
      <c r="D19" s="64">
        <f>35935</f>
        <v>35935</v>
      </c>
      <c r="E19" s="68">
        <f t="shared" si="4"/>
        <v>69.439613526570042</v>
      </c>
      <c r="F19" s="31">
        <v>0</v>
      </c>
      <c r="G19" s="31"/>
      <c r="H19" s="31"/>
      <c r="I19" s="31">
        <v>0</v>
      </c>
      <c r="J19" s="31"/>
      <c r="K19" s="31"/>
      <c r="L19" s="31">
        <v>0</v>
      </c>
      <c r="M19" s="31"/>
      <c r="N19" s="31"/>
      <c r="O19" s="31">
        <v>0</v>
      </c>
      <c r="P19" s="31"/>
      <c r="Q19" s="31"/>
      <c r="R19" s="32"/>
      <c r="S19" s="33">
        <f t="shared" si="1"/>
        <v>35935</v>
      </c>
      <c r="T19" s="38"/>
    </row>
    <row r="20" spans="1:20" s="27" customFormat="1" ht="43.8" thickBot="1" x14ac:dyDescent="0.35">
      <c r="A20" s="29" t="s">
        <v>35</v>
      </c>
      <c r="B20" s="30" t="s">
        <v>36</v>
      </c>
      <c r="C20" s="81">
        <f>SUM(C21:C23)</f>
        <v>123400</v>
      </c>
      <c r="D20" s="68">
        <f>SUM(D21:D23)</f>
        <v>89322.31</v>
      </c>
      <c r="E20" s="68">
        <f t="shared" si="4"/>
        <v>72.38436790923825</v>
      </c>
      <c r="F20" s="39">
        <f t="shared" ref="F20:O20" si="5">F21+F22+F23</f>
        <v>0</v>
      </c>
      <c r="G20" s="39"/>
      <c r="H20" s="31"/>
      <c r="I20" s="39">
        <f t="shared" si="5"/>
        <v>0</v>
      </c>
      <c r="J20" s="39"/>
      <c r="K20" s="39"/>
      <c r="L20" s="39">
        <f t="shared" si="5"/>
        <v>0</v>
      </c>
      <c r="M20" s="39"/>
      <c r="N20" s="31"/>
      <c r="O20" s="39">
        <f t="shared" si="5"/>
        <v>0</v>
      </c>
      <c r="P20" s="39"/>
      <c r="Q20" s="39"/>
      <c r="R20" s="40"/>
      <c r="S20" s="33">
        <f t="shared" si="1"/>
        <v>89322.31</v>
      </c>
      <c r="T20" s="41"/>
    </row>
    <row r="21" spans="1:20" ht="15" thickBot="1" x14ac:dyDescent="0.35">
      <c r="A21" s="35" t="s">
        <v>37</v>
      </c>
      <c r="B21" s="36" t="s">
        <v>38</v>
      </c>
      <c r="C21" s="79">
        <v>28000</v>
      </c>
      <c r="D21" s="64">
        <f>5346.67+33925.64+9762.26</f>
        <v>49034.57</v>
      </c>
      <c r="E21" s="68">
        <f t="shared" si="4"/>
        <v>175.12346428571428</v>
      </c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1"/>
      <c r="N21" s="31"/>
      <c r="O21" s="31">
        <v>0</v>
      </c>
      <c r="P21" s="31"/>
      <c r="Q21" s="31"/>
      <c r="R21" s="42"/>
      <c r="S21" s="33">
        <f t="shared" si="1"/>
        <v>49034.57</v>
      </c>
      <c r="T21" s="43"/>
    </row>
    <row r="22" spans="1:20" ht="29.4" thickBot="1" x14ac:dyDescent="0.35">
      <c r="A22" s="35" t="s">
        <v>39</v>
      </c>
      <c r="B22" s="36" t="s">
        <v>40</v>
      </c>
      <c r="C22" s="79">
        <v>25500</v>
      </c>
      <c r="D22" s="64">
        <f>10690.85+10634.58+60.24+1069.93+1508.8+4989.62+908.72</f>
        <v>29862.74</v>
      </c>
      <c r="E22" s="68">
        <f t="shared" si="4"/>
        <v>117.10878431372549</v>
      </c>
      <c r="F22" s="31">
        <v>0</v>
      </c>
      <c r="G22" s="31"/>
      <c r="H22" s="31"/>
      <c r="I22" s="31">
        <v>0</v>
      </c>
      <c r="J22" s="31"/>
      <c r="K22" s="31"/>
      <c r="L22" s="31">
        <v>0</v>
      </c>
      <c r="M22" s="31"/>
      <c r="N22" s="31"/>
      <c r="O22" s="31">
        <v>0</v>
      </c>
      <c r="P22" s="31"/>
      <c r="Q22" s="31"/>
      <c r="R22" s="42"/>
      <c r="S22" s="33">
        <f t="shared" si="1"/>
        <v>29862.74</v>
      </c>
      <c r="T22" s="38"/>
    </row>
    <row r="23" spans="1:20" ht="43.8" thickBot="1" x14ac:dyDescent="0.35">
      <c r="A23" s="35" t="s">
        <v>41</v>
      </c>
      <c r="B23" s="36" t="s">
        <v>42</v>
      </c>
      <c r="C23" s="79">
        <v>69900</v>
      </c>
      <c r="D23" s="64">
        <f>20850/2</f>
        <v>10425</v>
      </c>
      <c r="E23" s="68">
        <f t="shared" si="4"/>
        <v>14.914163090128755</v>
      </c>
      <c r="F23" s="31">
        <v>0</v>
      </c>
      <c r="G23" s="31"/>
      <c r="H23" s="31"/>
      <c r="I23" s="31">
        <v>0</v>
      </c>
      <c r="J23" s="31"/>
      <c r="K23" s="31"/>
      <c r="L23" s="31">
        <v>0</v>
      </c>
      <c r="M23" s="31"/>
      <c r="N23" s="31"/>
      <c r="O23" s="31">
        <v>0</v>
      </c>
      <c r="P23" s="31"/>
      <c r="Q23" s="31"/>
      <c r="R23" s="42"/>
      <c r="S23" s="33">
        <f t="shared" si="1"/>
        <v>10425</v>
      </c>
      <c r="T23" s="38"/>
    </row>
    <row r="24" spans="1:20" ht="15.6" customHeight="1" thickBot="1" x14ac:dyDescent="0.35">
      <c r="A24" s="60" t="s">
        <v>43</v>
      </c>
      <c r="B24" s="61"/>
      <c r="C24" s="69">
        <f>SUM(C20+C12+C9)</f>
        <v>492000</v>
      </c>
      <c r="D24" s="69">
        <f>SUM(D20+D12+D9)</f>
        <v>365969.09</v>
      </c>
      <c r="E24" s="68">
        <f>(D24/C24)*100</f>
        <v>74.383961382113824</v>
      </c>
      <c r="F24" s="45">
        <f>SUM(F12)</f>
        <v>155535</v>
      </c>
      <c r="G24" s="45">
        <f>SUM(G12)</f>
        <v>96531</v>
      </c>
      <c r="H24" s="39">
        <f t="shared" ref="H15:H24" si="6">(G24/F24)*100</f>
        <v>62.063844150834214</v>
      </c>
      <c r="I24" s="45">
        <f t="shared" ref="F24:T24" si="7">I9+I12+I20</f>
        <v>0</v>
      </c>
      <c r="J24" s="45"/>
      <c r="K24" s="45"/>
      <c r="L24" s="45">
        <f t="shared" si="7"/>
        <v>10750</v>
      </c>
      <c r="M24" s="45">
        <f t="shared" si="7"/>
        <v>4441</v>
      </c>
      <c r="N24" s="39">
        <f t="shared" ref="N19:N24" si="8">(M24/L24)*100</f>
        <v>41.311627906976746</v>
      </c>
      <c r="O24" s="45">
        <f t="shared" si="7"/>
        <v>0</v>
      </c>
      <c r="P24" s="45"/>
      <c r="Q24" s="45"/>
      <c r="R24" s="45">
        <f t="shared" si="7"/>
        <v>0</v>
      </c>
      <c r="S24" s="33">
        <f>SUM(D24+G24+J24+M24+P24)</f>
        <v>466941.09</v>
      </c>
      <c r="T24" s="45">
        <f t="shared" si="7"/>
        <v>0</v>
      </c>
    </row>
    <row r="25" spans="1:20" ht="15.6" customHeight="1" thickBot="1" x14ac:dyDescent="0.35">
      <c r="A25" s="59" t="s">
        <v>44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27" customFormat="1" ht="43.8" thickBot="1" x14ac:dyDescent="0.35">
      <c r="A26" s="29" t="s">
        <v>45</v>
      </c>
      <c r="B26" s="30" t="s">
        <v>46</v>
      </c>
      <c r="C26" s="68"/>
      <c r="D26" s="64">
        <f>D27+D28+D29+D30</f>
        <v>0</v>
      </c>
      <c r="E26" s="68"/>
      <c r="F26" s="39">
        <f t="shared" ref="F26:O26" si="9">F27+F28+F29+F30</f>
        <v>0</v>
      </c>
      <c r="G26" s="39"/>
      <c r="H26" s="39"/>
      <c r="I26" s="39">
        <f>SUM(I27:I30)</f>
        <v>120157</v>
      </c>
      <c r="J26" s="39">
        <f>SUM(J27:J30)</f>
        <v>119096.05</v>
      </c>
      <c r="K26" s="39">
        <f>(J26/I26)*100</f>
        <v>99.117030218797069</v>
      </c>
      <c r="L26" s="39">
        <f t="shared" si="9"/>
        <v>85464</v>
      </c>
      <c r="M26" s="39">
        <f t="shared" si="9"/>
        <v>133202</v>
      </c>
      <c r="N26" s="39">
        <f>(M26/L26)*100</f>
        <v>155.85743704951793</v>
      </c>
      <c r="O26" s="39">
        <f t="shared" si="9"/>
        <v>0</v>
      </c>
      <c r="P26" s="39"/>
      <c r="Q26" s="39"/>
      <c r="R26" s="40"/>
      <c r="S26" s="33">
        <f t="shared" si="1"/>
        <v>252298.05</v>
      </c>
      <c r="T26" s="41"/>
    </row>
    <row r="27" spans="1:20" ht="29.4" thickBot="1" x14ac:dyDescent="0.35">
      <c r="A27" s="35" t="s">
        <v>47</v>
      </c>
      <c r="B27" s="36" t="s">
        <v>48</v>
      </c>
      <c r="C27" s="68">
        <v>0</v>
      </c>
      <c r="D27" s="64"/>
      <c r="E27" s="68"/>
      <c r="F27" s="31">
        <v>0</v>
      </c>
      <c r="G27" s="31"/>
      <c r="H27" s="31"/>
      <c r="I27" s="31">
        <v>18900.5</v>
      </c>
      <c r="J27" s="31">
        <v>18370.02</v>
      </c>
      <c r="K27" s="31">
        <f>(J27/I27)*100</f>
        <v>97.193301764503587</v>
      </c>
      <c r="L27" s="31">
        <v>2625</v>
      </c>
      <c r="M27" s="31">
        <v>2625</v>
      </c>
      <c r="N27" s="31">
        <f>(M27/L27)*100</f>
        <v>100</v>
      </c>
      <c r="O27" s="31">
        <v>0</v>
      </c>
      <c r="P27" s="31"/>
      <c r="Q27" s="31"/>
      <c r="R27" s="32"/>
      <c r="S27" s="33">
        <f t="shared" si="1"/>
        <v>20995.02</v>
      </c>
      <c r="T27" s="38"/>
    </row>
    <row r="28" spans="1:20" ht="58.2" thickBot="1" x14ac:dyDescent="0.35">
      <c r="A28" s="35" t="s">
        <v>49</v>
      </c>
      <c r="B28" s="36" t="s">
        <v>50</v>
      </c>
      <c r="C28" s="68">
        <v>0</v>
      </c>
      <c r="D28" s="64"/>
      <c r="E28" s="68"/>
      <c r="F28" s="31">
        <v>0</v>
      </c>
      <c r="G28" s="31"/>
      <c r="H28" s="31"/>
      <c r="I28" s="31">
        <v>18900.5</v>
      </c>
      <c r="J28" s="31">
        <v>18370.03</v>
      </c>
      <c r="K28" s="31">
        <f t="shared" ref="K28:K43" si="10">(J28/I28)*100</f>
        <v>97.19335467315679</v>
      </c>
      <c r="L28" s="31">
        <v>31003</v>
      </c>
      <c r="M28" s="31">
        <v>31003</v>
      </c>
      <c r="N28" s="31">
        <f t="shared" ref="N28:N30" si="11">(M28/L28)*100</f>
        <v>100</v>
      </c>
      <c r="O28" s="31">
        <v>0</v>
      </c>
      <c r="P28" s="31"/>
      <c r="Q28" s="31"/>
      <c r="R28" s="32"/>
      <c r="S28" s="33">
        <f t="shared" si="1"/>
        <v>49373.03</v>
      </c>
      <c r="T28" s="38"/>
    </row>
    <row r="29" spans="1:20" ht="43.8" thickBot="1" x14ac:dyDescent="0.35">
      <c r="A29" s="35" t="s">
        <v>51</v>
      </c>
      <c r="B29" s="36" t="s">
        <v>52</v>
      </c>
      <c r="C29" s="68">
        <v>0</v>
      </c>
      <c r="D29" s="64"/>
      <c r="E29" s="68"/>
      <c r="F29" s="31">
        <v>0</v>
      </c>
      <c r="G29" s="31"/>
      <c r="H29" s="31"/>
      <c r="I29" s="31">
        <v>82356</v>
      </c>
      <c r="J29" s="31">
        <v>82356</v>
      </c>
      <c r="K29" s="31">
        <f t="shared" si="10"/>
        <v>100</v>
      </c>
      <c r="L29" s="31">
        <v>42461</v>
      </c>
      <c r="M29" s="31">
        <v>80000</v>
      </c>
      <c r="N29" s="31">
        <f t="shared" si="11"/>
        <v>188.40818633569629</v>
      </c>
      <c r="O29" s="31">
        <v>0</v>
      </c>
      <c r="P29" s="31"/>
      <c r="Q29" s="31"/>
      <c r="R29" s="32"/>
      <c r="S29" s="33">
        <f t="shared" si="1"/>
        <v>162356</v>
      </c>
      <c r="T29" s="38"/>
    </row>
    <row r="30" spans="1:20" ht="43.8" thickBot="1" x14ac:dyDescent="0.35">
      <c r="A30" s="35" t="s">
        <v>53</v>
      </c>
      <c r="B30" s="36" t="s">
        <v>54</v>
      </c>
      <c r="C30" s="68">
        <v>0</v>
      </c>
      <c r="D30" s="64"/>
      <c r="E30" s="68"/>
      <c r="F30" s="31">
        <v>0</v>
      </c>
      <c r="G30" s="31"/>
      <c r="H30" s="31"/>
      <c r="I30" s="31">
        <v>0</v>
      </c>
      <c r="J30" s="31"/>
      <c r="K30" s="31"/>
      <c r="L30" s="31">
        <v>9375</v>
      </c>
      <c r="M30" s="31">
        <v>19574</v>
      </c>
      <c r="N30" s="31">
        <f t="shared" si="11"/>
        <v>208.7893333333333</v>
      </c>
      <c r="O30" s="31">
        <v>0</v>
      </c>
      <c r="P30" s="31"/>
      <c r="Q30" s="31"/>
      <c r="R30" s="32"/>
      <c r="S30" s="33">
        <f t="shared" si="1"/>
        <v>19574</v>
      </c>
      <c r="T30" s="38"/>
    </row>
    <row r="31" spans="1:20" s="27" customFormat="1" ht="44.4" customHeight="1" thickBot="1" x14ac:dyDescent="0.35">
      <c r="A31" s="29" t="s">
        <v>55</v>
      </c>
      <c r="B31" s="30" t="s">
        <v>56</v>
      </c>
      <c r="C31" s="68">
        <f>SUM(C32:C33)</f>
        <v>58250</v>
      </c>
      <c r="D31" s="68">
        <f>SUM(D32:D33)</f>
        <v>49870.07</v>
      </c>
      <c r="E31" s="68">
        <f t="shared" ref="E27:E43" si="12">(D31/C31)*100</f>
        <v>85.613854077253222</v>
      </c>
      <c r="F31" s="39">
        <f t="shared" ref="F31:O31" si="13">F32+F33</f>
        <v>0</v>
      </c>
      <c r="G31" s="39"/>
      <c r="H31" s="39"/>
      <c r="I31" s="39">
        <f t="shared" si="13"/>
        <v>0</v>
      </c>
      <c r="J31" s="39"/>
      <c r="K31" s="31"/>
      <c r="L31" s="39">
        <f t="shared" si="13"/>
        <v>0</v>
      </c>
      <c r="M31" s="39"/>
      <c r="N31" s="39"/>
      <c r="O31" s="39">
        <f t="shared" si="13"/>
        <v>0</v>
      </c>
      <c r="P31" s="39"/>
      <c r="Q31" s="39"/>
      <c r="R31" s="40"/>
      <c r="S31" s="33">
        <f t="shared" si="1"/>
        <v>49870.07</v>
      </c>
      <c r="T31" s="41"/>
    </row>
    <row r="32" spans="1:20" ht="15" thickBot="1" x14ac:dyDescent="0.35">
      <c r="A32" s="35" t="s">
        <v>57</v>
      </c>
      <c r="B32" s="36" t="s">
        <v>58</v>
      </c>
      <c r="C32" s="79">
        <v>23500</v>
      </c>
      <c r="D32" s="64">
        <f>868.62+14453.17+25548.39</f>
        <v>40870.18</v>
      </c>
      <c r="E32" s="68">
        <f t="shared" si="12"/>
        <v>173.91565957446809</v>
      </c>
      <c r="F32" s="31">
        <v>0</v>
      </c>
      <c r="G32" s="31"/>
      <c r="H32" s="31"/>
      <c r="I32" s="31">
        <v>0</v>
      </c>
      <c r="J32" s="31"/>
      <c r="K32" s="31"/>
      <c r="L32" s="31"/>
      <c r="M32" s="31"/>
      <c r="N32" s="31"/>
      <c r="O32" s="31">
        <v>0</v>
      </c>
      <c r="P32" s="31"/>
      <c r="Q32" s="31"/>
      <c r="R32" s="32"/>
      <c r="S32" s="33">
        <f t="shared" si="1"/>
        <v>40870.18</v>
      </c>
      <c r="T32" s="38"/>
    </row>
    <row r="33" spans="1:20" ht="24" customHeight="1" thickBot="1" x14ac:dyDescent="0.35">
      <c r="A33" s="35" t="s">
        <v>59</v>
      </c>
      <c r="B33" s="36" t="s">
        <v>60</v>
      </c>
      <c r="C33" s="79">
        <f>17250+17500</f>
        <v>34750</v>
      </c>
      <c r="D33" s="64">
        <f>8999.89</f>
        <v>8999.89</v>
      </c>
      <c r="E33" s="68">
        <f t="shared" si="12"/>
        <v>25.898964028776977</v>
      </c>
      <c r="F33" s="31">
        <v>0</v>
      </c>
      <c r="G33" s="31"/>
      <c r="H33" s="31"/>
      <c r="I33" s="31">
        <v>0</v>
      </c>
      <c r="J33" s="31"/>
      <c r="K33" s="31"/>
      <c r="L33" s="31"/>
      <c r="M33" s="31"/>
      <c r="N33" s="31"/>
      <c r="O33" s="31">
        <v>0</v>
      </c>
      <c r="P33" s="31"/>
      <c r="Q33" s="31"/>
      <c r="R33" s="32"/>
      <c r="S33" s="33">
        <f t="shared" si="1"/>
        <v>8999.89</v>
      </c>
      <c r="T33" s="43" t="s">
        <v>148</v>
      </c>
    </row>
    <row r="34" spans="1:20" s="27" customFormat="1" ht="28.8" customHeight="1" thickBot="1" x14ac:dyDescent="0.35">
      <c r="A34" s="29" t="s">
        <v>61</v>
      </c>
      <c r="B34" s="30" t="s">
        <v>62</v>
      </c>
      <c r="C34" s="68">
        <f>C35+C36+C37</f>
        <v>0</v>
      </c>
      <c r="D34" s="68">
        <f>D35+D36+D37</f>
        <v>0</v>
      </c>
      <c r="E34" s="68"/>
      <c r="F34" s="39">
        <f>F35+F36+F37</f>
        <v>250150</v>
      </c>
      <c r="G34" s="39">
        <f>SUM(G35:G37)</f>
        <v>150680.64000000001</v>
      </c>
      <c r="H34" s="31">
        <f>(G34/F34)*100</f>
        <v>60.236114331401168</v>
      </c>
      <c r="I34" s="39">
        <f t="shared" ref="I34:O34" si="14">I35+I36+I37</f>
        <v>0</v>
      </c>
      <c r="J34" s="39"/>
      <c r="K34" s="31"/>
      <c r="L34" s="39">
        <f t="shared" si="14"/>
        <v>0</v>
      </c>
      <c r="M34" s="39"/>
      <c r="N34" s="39"/>
      <c r="O34" s="39">
        <f t="shared" si="14"/>
        <v>0</v>
      </c>
      <c r="P34" s="39"/>
      <c r="Q34" s="39"/>
      <c r="R34" s="40"/>
      <c r="S34" s="33">
        <f t="shared" si="1"/>
        <v>150680.64000000001</v>
      </c>
      <c r="T34" s="41"/>
    </row>
    <row r="35" spans="1:20" ht="43.8" thickBot="1" x14ac:dyDescent="0.35">
      <c r="A35" s="35" t="s">
        <v>63</v>
      </c>
      <c r="B35" s="36" t="s">
        <v>64</v>
      </c>
      <c r="C35" s="68">
        <v>0</v>
      </c>
      <c r="D35" s="64"/>
      <c r="E35" s="68"/>
      <c r="F35" s="31">
        <v>25711</v>
      </c>
      <c r="G35" s="31">
        <v>25122.11</v>
      </c>
      <c r="H35" s="31">
        <f>(G35/F35)*100</f>
        <v>97.709579557387897</v>
      </c>
      <c r="I35" s="31">
        <v>0</v>
      </c>
      <c r="J35" s="31"/>
      <c r="K35" s="31"/>
      <c r="L35" s="31"/>
      <c r="M35" s="31"/>
      <c r="N35" s="31"/>
      <c r="O35" s="31">
        <v>0</v>
      </c>
      <c r="P35" s="31"/>
      <c r="Q35" s="31"/>
      <c r="R35" s="32"/>
      <c r="S35" s="33">
        <f t="shared" si="1"/>
        <v>25122.11</v>
      </c>
      <c r="T35" s="38"/>
    </row>
    <row r="36" spans="1:20" ht="74.400000000000006" customHeight="1" thickBot="1" x14ac:dyDescent="0.35">
      <c r="A36" s="35" t="s">
        <v>65</v>
      </c>
      <c r="B36" s="36" t="s">
        <v>66</v>
      </c>
      <c r="C36" s="68">
        <v>0</v>
      </c>
      <c r="D36" s="64"/>
      <c r="E36" s="68"/>
      <c r="F36" s="31">
        <v>191900</v>
      </c>
      <c r="G36" s="31">
        <v>124098.53</v>
      </c>
      <c r="H36" s="31">
        <f>(G36/F36)*100</f>
        <v>64.668332464825426</v>
      </c>
      <c r="I36" s="31">
        <v>0</v>
      </c>
      <c r="J36" s="31"/>
      <c r="K36" s="31"/>
      <c r="L36" s="31">
        <v>0</v>
      </c>
      <c r="M36" s="31"/>
      <c r="N36" s="31"/>
      <c r="O36" s="31">
        <v>0</v>
      </c>
      <c r="P36" s="31"/>
      <c r="Q36" s="31"/>
      <c r="R36" s="32"/>
      <c r="S36" s="33">
        <f t="shared" si="1"/>
        <v>124098.53</v>
      </c>
      <c r="T36" s="38"/>
    </row>
    <row r="37" spans="1:20" ht="58.2" thickBot="1" x14ac:dyDescent="0.35">
      <c r="A37" s="35" t="s">
        <v>67</v>
      </c>
      <c r="B37" s="36" t="s">
        <v>68</v>
      </c>
      <c r="C37" s="68">
        <v>0</v>
      </c>
      <c r="D37" s="64"/>
      <c r="E37" s="68"/>
      <c r="F37" s="31">
        <v>32539</v>
      </c>
      <c r="G37" s="31">
        <v>1460</v>
      </c>
      <c r="H37" s="31">
        <f>(G37/F37)*100</f>
        <v>4.4869233842465963</v>
      </c>
      <c r="I37" s="31">
        <v>0</v>
      </c>
      <c r="J37" s="31"/>
      <c r="K37" s="31"/>
      <c r="L37" s="31">
        <v>0</v>
      </c>
      <c r="M37" s="31"/>
      <c r="N37" s="31"/>
      <c r="O37" s="31">
        <v>0</v>
      </c>
      <c r="P37" s="31"/>
      <c r="Q37" s="31"/>
      <c r="R37" s="32"/>
      <c r="S37" s="33">
        <f t="shared" si="1"/>
        <v>1460</v>
      </c>
      <c r="T37" s="38"/>
    </row>
    <row r="38" spans="1:20" s="27" customFormat="1" ht="31.8" customHeight="1" thickBot="1" x14ac:dyDescent="0.35">
      <c r="A38" s="29" t="s">
        <v>69</v>
      </c>
      <c r="B38" s="30" t="s">
        <v>70</v>
      </c>
      <c r="C38" s="68">
        <f>SUM(C39:C42)</f>
        <v>284900</v>
      </c>
      <c r="D38" s="68">
        <f>SUM(D39:D42)</f>
        <v>117121.2</v>
      </c>
      <c r="E38" s="68">
        <f t="shared" si="12"/>
        <v>41.109582309582308</v>
      </c>
      <c r="F38" s="39">
        <f t="shared" ref="F38:O38" si="15">F39+F40+F41+F42</f>
        <v>0</v>
      </c>
      <c r="G38" s="39"/>
      <c r="H38" s="31"/>
      <c r="I38" s="39">
        <f t="shared" si="15"/>
        <v>0</v>
      </c>
      <c r="J38" s="39"/>
      <c r="K38" s="31"/>
      <c r="L38" s="39">
        <f t="shared" si="15"/>
        <v>0</v>
      </c>
      <c r="M38" s="39"/>
      <c r="N38" s="39"/>
      <c r="O38" s="39">
        <f t="shared" si="15"/>
        <v>0</v>
      </c>
      <c r="P38" s="39"/>
      <c r="Q38" s="39"/>
      <c r="R38" s="40"/>
      <c r="S38" s="33">
        <f t="shared" si="1"/>
        <v>117121.2</v>
      </c>
      <c r="T38" s="41"/>
    </row>
    <row r="39" spans="1:20" ht="58.2" thickBot="1" x14ac:dyDescent="0.35">
      <c r="A39" s="35" t="s">
        <v>71</v>
      </c>
      <c r="B39" s="36" t="s">
        <v>72</v>
      </c>
      <c r="C39" s="79">
        <v>28500</v>
      </c>
      <c r="D39" s="64">
        <f>47276.25+20365.37</f>
        <v>67641.62</v>
      </c>
      <c r="E39" s="68">
        <f t="shared" si="12"/>
        <v>237.33901754385963</v>
      </c>
      <c r="F39" s="31">
        <v>0</v>
      </c>
      <c r="G39" s="31"/>
      <c r="H39" s="31"/>
      <c r="I39" s="31">
        <v>0</v>
      </c>
      <c r="J39" s="31"/>
      <c r="K39" s="31"/>
      <c r="L39" s="31">
        <v>0</v>
      </c>
      <c r="M39" s="31"/>
      <c r="N39" s="31"/>
      <c r="O39" s="31">
        <v>0</v>
      </c>
      <c r="P39" s="31"/>
      <c r="Q39" s="31"/>
      <c r="R39" s="32"/>
      <c r="S39" s="33">
        <f t="shared" si="1"/>
        <v>67641.62</v>
      </c>
      <c r="T39" s="38"/>
    </row>
    <row r="40" spans="1:20" ht="29.4" thickBot="1" x14ac:dyDescent="0.35">
      <c r="A40" s="35" t="s">
        <v>73</v>
      </c>
      <c r="B40" s="36" t="s">
        <v>74</v>
      </c>
      <c r="C40" s="79">
        <v>43500</v>
      </c>
      <c r="D40" s="64">
        <v>0</v>
      </c>
      <c r="E40" s="68">
        <f t="shared" si="12"/>
        <v>0</v>
      </c>
      <c r="F40" s="31">
        <v>0</v>
      </c>
      <c r="G40" s="31"/>
      <c r="H40" s="31"/>
      <c r="I40" s="31">
        <v>0</v>
      </c>
      <c r="J40" s="31"/>
      <c r="K40" s="31"/>
      <c r="L40" s="31">
        <v>0</v>
      </c>
      <c r="M40" s="31"/>
      <c r="N40" s="31"/>
      <c r="O40" s="31">
        <v>0</v>
      </c>
      <c r="P40" s="31"/>
      <c r="Q40" s="31"/>
      <c r="R40" s="32"/>
      <c r="S40" s="33">
        <f t="shared" si="1"/>
        <v>0</v>
      </c>
      <c r="T40" s="38"/>
    </row>
    <row r="41" spans="1:20" ht="29.4" thickBot="1" x14ac:dyDescent="0.35">
      <c r="A41" s="35" t="s">
        <v>75</v>
      </c>
      <c r="B41" s="36" t="s">
        <v>76</v>
      </c>
      <c r="C41" s="79">
        <v>48200</v>
      </c>
      <c r="D41" s="64">
        <v>0</v>
      </c>
      <c r="E41" s="68">
        <f t="shared" si="12"/>
        <v>0</v>
      </c>
      <c r="F41" s="31">
        <v>0</v>
      </c>
      <c r="G41" s="31"/>
      <c r="H41" s="31"/>
      <c r="I41" s="31">
        <v>0</v>
      </c>
      <c r="J41" s="31"/>
      <c r="K41" s="31"/>
      <c r="L41" s="31">
        <v>0</v>
      </c>
      <c r="M41" s="31"/>
      <c r="N41" s="31"/>
      <c r="O41" s="31">
        <v>0</v>
      </c>
      <c r="P41" s="31"/>
      <c r="Q41" s="31"/>
      <c r="R41" s="32"/>
      <c r="S41" s="33">
        <f t="shared" si="1"/>
        <v>0</v>
      </c>
      <c r="T41" s="38"/>
    </row>
    <row r="42" spans="1:20" ht="61.8" customHeight="1" thickBot="1" x14ac:dyDescent="0.35">
      <c r="A42" s="35" t="s">
        <v>77</v>
      </c>
      <c r="B42" s="36" t="s">
        <v>78</v>
      </c>
      <c r="C42" s="79">
        <v>164700</v>
      </c>
      <c r="D42" s="64">
        <f>49019.68+459.9</f>
        <v>49479.58</v>
      </c>
      <c r="E42" s="68">
        <f t="shared" si="12"/>
        <v>30.042246508803888</v>
      </c>
      <c r="F42" s="31">
        <v>0</v>
      </c>
      <c r="G42" s="31"/>
      <c r="H42" s="31"/>
      <c r="I42" s="31">
        <v>0</v>
      </c>
      <c r="J42" s="31"/>
      <c r="K42" s="31"/>
      <c r="L42" s="31">
        <v>0</v>
      </c>
      <c r="M42" s="31"/>
      <c r="N42" s="31"/>
      <c r="O42" s="31">
        <v>0</v>
      </c>
      <c r="P42" s="31"/>
      <c r="Q42" s="31"/>
      <c r="R42" s="32"/>
      <c r="S42" s="33">
        <f t="shared" si="1"/>
        <v>49479.58</v>
      </c>
      <c r="T42" s="38"/>
    </row>
    <row r="43" spans="1:20" ht="16.5" customHeight="1" thickBot="1" x14ac:dyDescent="0.35">
      <c r="A43" s="60" t="s">
        <v>79</v>
      </c>
      <c r="B43" s="61"/>
      <c r="C43" s="69">
        <f>SUM(C38+C31)</f>
        <v>343150</v>
      </c>
      <c r="D43" s="69">
        <f>SUM(D38+D31)</f>
        <v>166991.26999999999</v>
      </c>
      <c r="E43" s="68">
        <f t="shared" si="12"/>
        <v>48.664219728981486</v>
      </c>
      <c r="F43" s="45">
        <f>SUM(F34)</f>
        <v>250150</v>
      </c>
      <c r="G43" s="45">
        <f>SUM(G34)</f>
        <v>150680.64000000001</v>
      </c>
      <c r="H43" s="31">
        <f t="shared" ref="H38:H43" si="16">(G43/F43)*100</f>
        <v>60.236114331401168</v>
      </c>
      <c r="I43" s="45">
        <f>SUM(I26)</f>
        <v>120157</v>
      </c>
      <c r="J43" s="45">
        <f>SUM(J26)</f>
        <v>119096.05</v>
      </c>
      <c r="K43" s="31">
        <f t="shared" si="10"/>
        <v>99.117030218797069</v>
      </c>
      <c r="L43" s="45">
        <f t="shared" ref="F43:S43" si="17">L26+L31+L34+L38</f>
        <v>85464</v>
      </c>
      <c r="M43" s="45">
        <f t="shared" si="17"/>
        <v>133202</v>
      </c>
      <c r="N43" s="45">
        <f>(M43/L43)*100</f>
        <v>155.85743704951793</v>
      </c>
      <c r="O43" s="45">
        <f t="shared" si="17"/>
        <v>0</v>
      </c>
      <c r="P43" s="45"/>
      <c r="Q43" s="45"/>
      <c r="R43" s="45">
        <f t="shared" si="17"/>
        <v>0</v>
      </c>
      <c r="S43" s="33">
        <f t="shared" si="1"/>
        <v>569969.96</v>
      </c>
      <c r="T43" s="46"/>
    </row>
    <row r="44" spans="1:20" ht="15.6" customHeight="1" thickBot="1" x14ac:dyDescent="0.35">
      <c r="A44" s="59" t="s">
        <v>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33"/>
      <c r="T44" s="38"/>
    </row>
    <row r="45" spans="1:20" s="27" customFormat="1" ht="47.4" customHeight="1" thickBot="1" x14ac:dyDescent="0.35">
      <c r="A45" s="29" t="s">
        <v>81</v>
      </c>
      <c r="B45" s="30" t="s">
        <v>82</v>
      </c>
      <c r="C45" s="68">
        <f>SUM(C46:C49)</f>
        <v>91300</v>
      </c>
      <c r="D45" s="68">
        <f>SUM(D46:D49)</f>
        <v>15617.86</v>
      </c>
      <c r="E45" s="68">
        <f>(D45/C45)*100</f>
        <v>17.106089813800658</v>
      </c>
      <c r="F45" s="39">
        <f t="shared" ref="F45:O45" si="18">F46+F47+F48+F49</f>
        <v>0</v>
      </c>
      <c r="G45" s="39"/>
      <c r="H45" s="39"/>
      <c r="I45" s="39">
        <f t="shared" si="18"/>
        <v>0</v>
      </c>
      <c r="J45" s="39"/>
      <c r="K45" s="39"/>
      <c r="L45" s="39">
        <f t="shared" si="18"/>
        <v>16075</v>
      </c>
      <c r="M45" s="39">
        <f t="shared" si="18"/>
        <v>8882</v>
      </c>
      <c r="N45" s="31">
        <f>(M45/L45)*100</f>
        <v>55.253499222395021</v>
      </c>
      <c r="O45" s="39">
        <f t="shared" si="18"/>
        <v>0</v>
      </c>
      <c r="P45" s="39"/>
      <c r="Q45" s="39"/>
      <c r="R45" s="40"/>
      <c r="S45" s="33">
        <f t="shared" si="1"/>
        <v>24499.86</v>
      </c>
      <c r="T45" s="41"/>
    </row>
    <row r="46" spans="1:20" ht="15" thickBot="1" x14ac:dyDescent="0.35">
      <c r="A46" s="35" t="s">
        <v>83</v>
      </c>
      <c r="B46" s="36" t="s">
        <v>84</v>
      </c>
      <c r="C46" s="68">
        <v>0</v>
      </c>
      <c r="D46" s="64"/>
      <c r="E46" s="68"/>
      <c r="F46" s="31">
        <v>0</v>
      </c>
      <c r="G46" s="31"/>
      <c r="H46" s="31"/>
      <c r="I46" s="31">
        <v>0</v>
      </c>
      <c r="J46" s="31"/>
      <c r="K46" s="31"/>
      <c r="L46" s="31">
        <v>8975</v>
      </c>
      <c r="M46" s="31">
        <v>4441</v>
      </c>
      <c r="N46" s="31">
        <f>(M46/L46)*100</f>
        <v>49.48189415041783</v>
      </c>
      <c r="O46" s="31">
        <v>0</v>
      </c>
      <c r="P46" s="31"/>
      <c r="Q46" s="31"/>
      <c r="R46" s="32"/>
      <c r="S46" s="33">
        <f t="shared" si="1"/>
        <v>4441</v>
      </c>
      <c r="T46" s="38"/>
    </row>
    <row r="47" spans="1:20" ht="15" thickBot="1" x14ac:dyDescent="0.35">
      <c r="A47" s="35" t="s">
        <v>85</v>
      </c>
      <c r="B47" s="36" t="s">
        <v>86</v>
      </c>
      <c r="C47" s="79">
        <v>27800</v>
      </c>
      <c r="D47" s="64">
        <f>15617.86</f>
        <v>15617.86</v>
      </c>
      <c r="E47" s="68">
        <f t="shared" ref="E46:E57" si="19">(D47/C47)*100</f>
        <v>56.179352517985613</v>
      </c>
      <c r="F47" s="31">
        <v>0</v>
      </c>
      <c r="G47" s="31"/>
      <c r="H47" s="31"/>
      <c r="I47" s="31">
        <v>0</v>
      </c>
      <c r="J47" s="31"/>
      <c r="K47" s="31"/>
      <c r="L47" s="31">
        <v>0</v>
      </c>
      <c r="M47" s="31"/>
      <c r="N47" s="74"/>
      <c r="O47" s="31">
        <v>0</v>
      </c>
      <c r="P47" s="31"/>
      <c r="Q47" s="31"/>
      <c r="R47" s="32"/>
      <c r="S47" s="33">
        <f t="shared" si="1"/>
        <v>15617.86</v>
      </c>
      <c r="T47" s="38"/>
    </row>
    <row r="48" spans="1:20" ht="29.4" thickBot="1" x14ac:dyDescent="0.35">
      <c r="A48" s="35" t="s">
        <v>87</v>
      </c>
      <c r="B48" s="36" t="s">
        <v>88</v>
      </c>
      <c r="C48" s="68">
        <v>0</v>
      </c>
      <c r="D48" s="64"/>
      <c r="E48" s="68"/>
      <c r="F48" s="31">
        <v>0</v>
      </c>
      <c r="G48" s="31"/>
      <c r="H48" s="31"/>
      <c r="I48" s="31">
        <v>0</v>
      </c>
      <c r="J48" s="31"/>
      <c r="K48" s="31"/>
      <c r="L48" s="31">
        <v>7100</v>
      </c>
      <c r="M48" s="31">
        <v>4441</v>
      </c>
      <c r="N48" s="31">
        <f t="shared" ref="N47:N48" si="20">(M48/L48)*100</f>
        <v>62.549295774647881</v>
      </c>
      <c r="O48" s="31">
        <v>0</v>
      </c>
      <c r="P48" s="31"/>
      <c r="Q48" s="31"/>
      <c r="R48" s="32"/>
      <c r="S48" s="33">
        <f t="shared" si="1"/>
        <v>4441</v>
      </c>
      <c r="T48" s="38"/>
    </row>
    <row r="49" spans="1:20" ht="29.4" customHeight="1" thickBot="1" x14ac:dyDescent="0.35">
      <c r="A49" s="35" t="s">
        <v>89</v>
      </c>
      <c r="B49" s="36" t="s">
        <v>90</v>
      </c>
      <c r="C49" s="79">
        <v>63500</v>
      </c>
      <c r="D49" s="64">
        <v>0</v>
      </c>
      <c r="E49" s="68">
        <f t="shared" si="19"/>
        <v>0</v>
      </c>
      <c r="F49" s="31">
        <v>0</v>
      </c>
      <c r="G49" s="31"/>
      <c r="H49" s="31"/>
      <c r="I49" s="31">
        <v>0</v>
      </c>
      <c r="J49" s="31"/>
      <c r="K49" s="31"/>
      <c r="L49" s="31">
        <v>0</v>
      </c>
      <c r="M49" s="31"/>
      <c r="N49" s="31"/>
      <c r="O49" s="31">
        <v>0</v>
      </c>
      <c r="P49" s="31"/>
      <c r="Q49" s="31"/>
      <c r="R49" s="32"/>
      <c r="S49" s="33">
        <f t="shared" si="1"/>
        <v>0</v>
      </c>
      <c r="T49" s="38"/>
    </row>
    <row r="50" spans="1:20" s="27" customFormat="1" ht="60.6" customHeight="1" thickBot="1" x14ac:dyDescent="0.35">
      <c r="A50" s="29" t="s">
        <v>91</v>
      </c>
      <c r="B50" s="30" t="s">
        <v>92</v>
      </c>
      <c r="C50" s="68">
        <f>C51+C52</f>
        <v>25000</v>
      </c>
      <c r="D50" s="68">
        <f>D51+D52</f>
        <v>22070.670000000002</v>
      </c>
      <c r="E50" s="68">
        <f t="shared" si="19"/>
        <v>88.282679999999999</v>
      </c>
      <c r="F50" s="39">
        <f t="shared" ref="F50:O50" si="21">F51+F52</f>
        <v>0</v>
      </c>
      <c r="G50" s="39"/>
      <c r="H50" s="39"/>
      <c r="I50" s="39">
        <f t="shared" si="21"/>
        <v>0</v>
      </c>
      <c r="J50" s="39"/>
      <c r="K50" s="39"/>
      <c r="L50" s="39">
        <f t="shared" si="21"/>
        <v>32450</v>
      </c>
      <c r="M50" s="39">
        <f t="shared" si="21"/>
        <v>13894</v>
      </c>
      <c r="N50" s="31">
        <f t="shared" ref="N50:N51" si="22">(M50/L50)*100</f>
        <v>42.816640986132512</v>
      </c>
      <c r="O50" s="39">
        <f t="shared" si="21"/>
        <v>0</v>
      </c>
      <c r="P50" s="39"/>
      <c r="Q50" s="39"/>
      <c r="R50" s="40"/>
      <c r="S50" s="33">
        <f t="shared" si="1"/>
        <v>35964.67</v>
      </c>
      <c r="T50" s="41"/>
    </row>
    <row r="51" spans="1:20" ht="47.4" customHeight="1" thickBot="1" x14ac:dyDescent="0.35">
      <c r="A51" s="35" t="s">
        <v>93</v>
      </c>
      <c r="B51" s="36" t="s">
        <v>94</v>
      </c>
      <c r="C51" s="79">
        <f>13500+11500</f>
        <v>25000</v>
      </c>
      <c r="D51" s="64">
        <f>3418.43+18652.24</f>
        <v>22070.670000000002</v>
      </c>
      <c r="E51" s="68">
        <f t="shared" si="19"/>
        <v>88.282679999999999</v>
      </c>
      <c r="F51" s="31">
        <v>0</v>
      </c>
      <c r="G51" s="31"/>
      <c r="H51" s="31"/>
      <c r="I51" s="31">
        <v>0</v>
      </c>
      <c r="J51" s="31"/>
      <c r="K51" s="31"/>
      <c r="L51" s="31">
        <v>0</v>
      </c>
      <c r="M51" s="31"/>
      <c r="N51" s="31"/>
      <c r="O51" s="31">
        <v>0</v>
      </c>
      <c r="P51" s="31"/>
      <c r="Q51" s="31"/>
      <c r="R51" s="32"/>
      <c r="S51" s="33">
        <f t="shared" si="1"/>
        <v>22070.670000000002</v>
      </c>
      <c r="T51" s="43" t="s">
        <v>158</v>
      </c>
    </row>
    <row r="52" spans="1:20" ht="30" customHeight="1" thickBot="1" x14ac:dyDescent="0.35">
      <c r="A52" s="35" t="s">
        <v>95</v>
      </c>
      <c r="B52" s="36" t="s">
        <v>96</v>
      </c>
      <c r="C52" s="68">
        <v>0</v>
      </c>
      <c r="D52" s="64"/>
      <c r="E52" s="68"/>
      <c r="F52" s="31">
        <v>0</v>
      </c>
      <c r="G52" s="31"/>
      <c r="H52" s="31"/>
      <c r="I52" s="31">
        <v>0</v>
      </c>
      <c r="J52" s="31"/>
      <c r="K52" s="31"/>
      <c r="L52" s="31">
        <v>32450</v>
      </c>
      <c r="M52" s="31">
        <v>13894</v>
      </c>
      <c r="N52" s="31">
        <f>(M52/L52)*100</f>
        <v>42.816640986132512</v>
      </c>
      <c r="O52" s="31">
        <v>0</v>
      </c>
      <c r="P52" s="31"/>
      <c r="Q52" s="31"/>
      <c r="R52" s="32"/>
      <c r="S52" s="33">
        <f t="shared" si="1"/>
        <v>13894</v>
      </c>
      <c r="T52" s="38"/>
    </row>
    <row r="53" spans="1:20" s="27" customFormat="1" ht="59.4" customHeight="1" thickBot="1" x14ac:dyDescent="0.35">
      <c r="A53" s="29" t="s">
        <v>97</v>
      </c>
      <c r="B53" s="30" t="s">
        <v>98</v>
      </c>
      <c r="C53" s="68">
        <f>C54+C55+C56</f>
        <v>27650</v>
      </c>
      <c r="D53" s="64">
        <f t="shared" ref="D53" si="23">D54+D55+D56</f>
        <v>0</v>
      </c>
      <c r="E53" s="68">
        <f t="shared" si="19"/>
        <v>0</v>
      </c>
      <c r="F53" s="39">
        <f t="shared" ref="F53:O53" si="24">F54+F55+F56</f>
        <v>0</v>
      </c>
      <c r="G53" s="39"/>
      <c r="H53" s="39"/>
      <c r="I53" s="39">
        <f t="shared" si="24"/>
        <v>84294</v>
      </c>
      <c r="J53" s="39">
        <v>83973.2</v>
      </c>
      <c r="K53" s="39">
        <f>(J53/I53)*100</f>
        <v>99.61942724274563</v>
      </c>
      <c r="L53" s="39">
        <f t="shared" si="24"/>
        <v>63919</v>
      </c>
      <c r="M53" s="39">
        <f t="shared" si="24"/>
        <v>37287</v>
      </c>
      <c r="N53" s="31">
        <f t="shared" ref="N53:N57" si="25">(M53/L53)*100</f>
        <v>58.334767440041304</v>
      </c>
      <c r="O53" s="39">
        <f t="shared" si="24"/>
        <v>0</v>
      </c>
      <c r="P53" s="39"/>
      <c r="Q53" s="39"/>
      <c r="R53" s="39">
        <f t="shared" ref="R53" si="26">R54+R55+R56</f>
        <v>0</v>
      </c>
      <c r="S53" s="33">
        <f t="shared" si="1"/>
        <v>121260.2</v>
      </c>
      <c r="T53" s="41"/>
    </row>
    <row r="54" spans="1:20" ht="42.6" customHeight="1" thickBot="1" x14ac:dyDescent="0.35">
      <c r="A54" s="35" t="s">
        <v>99</v>
      </c>
      <c r="B54" s="36" t="s">
        <v>100</v>
      </c>
      <c r="C54" s="68">
        <v>0</v>
      </c>
      <c r="D54" s="64"/>
      <c r="E54" s="68"/>
      <c r="F54" s="31">
        <v>0</v>
      </c>
      <c r="G54" s="31"/>
      <c r="H54" s="31"/>
      <c r="I54" s="31">
        <v>84294</v>
      </c>
      <c r="J54" s="31">
        <v>83973.2</v>
      </c>
      <c r="K54" s="39">
        <f>(J54/I54)*100</f>
        <v>99.61942724274563</v>
      </c>
      <c r="L54" s="31">
        <v>0</v>
      </c>
      <c r="M54" s="31"/>
      <c r="N54" s="31"/>
      <c r="O54" s="31">
        <v>0</v>
      </c>
      <c r="P54" s="31"/>
      <c r="Q54" s="31"/>
      <c r="R54" s="32"/>
      <c r="S54" s="33">
        <f t="shared" si="1"/>
        <v>83973.2</v>
      </c>
      <c r="T54" s="38"/>
    </row>
    <row r="55" spans="1:20" ht="58.2" thickBot="1" x14ac:dyDescent="0.35">
      <c r="A55" s="35" t="s">
        <v>101</v>
      </c>
      <c r="B55" s="36" t="s">
        <v>102</v>
      </c>
      <c r="C55" s="68">
        <v>0</v>
      </c>
      <c r="D55" s="64"/>
      <c r="E55" s="68"/>
      <c r="F55" s="31">
        <v>0</v>
      </c>
      <c r="G55" s="31"/>
      <c r="H55" s="31"/>
      <c r="I55" s="31">
        <v>0</v>
      </c>
      <c r="J55" s="31"/>
      <c r="K55" s="39"/>
      <c r="L55" s="31">
        <v>63919</v>
      </c>
      <c r="M55" s="31">
        <v>37287</v>
      </c>
      <c r="N55" s="31">
        <f t="shared" si="25"/>
        <v>58.334767440041304</v>
      </c>
      <c r="O55" s="31">
        <v>0</v>
      </c>
      <c r="P55" s="31"/>
      <c r="Q55" s="31"/>
      <c r="R55" s="32"/>
      <c r="S55" s="33">
        <f t="shared" si="1"/>
        <v>37287</v>
      </c>
      <c r="T55" s="38"/>
    </row>
    <row r="56" spans="1:20" ht="29.4" thickBot="1" x14ac:dyDescent="0.35">
      <c r="A56" s="35" t="s">
        <v>103</v>
      </c>
      <c r="B56" s="36" t="s">
        <v>104</v>
      </c>
      <c r="C56" s="79">
        <v>27650</v>
      </c>
      <c r="D56" s="64"/>
      <c r="E56" s="68">
        <f t="shared" si="19"/>
        <v>0</v>
      </c>
      <c r="F56" s="31">
        <v>0</v>
      </c>
      <c r="G56" s="31"/>
      <c r="H56" s="31"/>
      <c r="I56" s="31">
        <v>0</v>
      </c>
      <c r="J56" s="31"/>
      <c r="K56" s="39"/>
      <c r="L56" s="31">
        <v>0</v>
      </c>
      <c r="M56" s="31"/>
      <c r="N56" s="31"/>
      <c r="O56" s="31">
        <v>0</v>
      </c>
      <c r="P56" s="31"/>
      <c r="Q56" s="31"/>
      <c r="R56" s="32"/>
      <c r="S56" s="33">
        <f t="shared" si="1"/>
        <v>0</v>
      </c>
      <c r="T56" s="38"/>
    </row>
    <row r="57" spans="1:20" ht="16.5" customHeight="1" thickBot="1" x14ac:dyDescent="0.35">
      <c r="A57" s="60" t="s">
        <v>105</v>
      </c>
      <c r="B57" s="61"/>
      <c r="C57" s="69">
        <f>SUM(C53+C50+C45)</f>
        <v>143950</v>
      </c>
      <c r="D57" s="69">
        <f>SUM(D53+D50+D45)</f>
        <v>37688.53</v>
      </c>
      <c r="E57" s="68">
        <f t="shared" si="19"/>
        <v>26.181681139284475</v>
      </c>
      <c r="F57" s="45">
        <f t="shared" ref="F57:S57" si="27">F45+F50+F53</f>
        <v>0</v>
      </c>
      <c r="G57" s="45"/>
      <c r="H57" s="45"/>
      <c r="I57" s="45">
        <f t="shared" si="27"/>
        <v>84294</v>
      </c>
      <c r="J57" s="45">
        <f t="shared" si="27"/>
        <v>83973.2</v>
      </c>
      <c r="K57" s="39">
        <f t="shared" ref="K55:K57" si="28">(J57/I57)*100</f>
        <v>99.61942724274563</v>
      </c>
      <c r="L57" s="45">
        <f t="shared" si="27"/>
        <v>112444</v>
      </c>
      <c r="M57" s="45">
        <f t="shared" si="27"/>
        <v>60063</v>
      </c>
      <c r="N57" s="31">
        <f t="shared" si="25"/>
        <v>53.415922592579413</v>
      </c>
      <c r="O57" s="45">
        <f t="shared" si="27"/>
        <v>0</v>
      </c>
      <c r="P57" s="45"/>
      <c r="Q57" s="45"/>
      <c r="R57" s="45">
        <f t="shared" si="27"/>
        <v>0</v>
      </c>
      <c r="S57" s="33">
        <f t="shared" si="1"/>
        <v>181724.72999999998</v>
      </c>
      <c r="T57" s="46"/>
    </row>
    <row r="58" spans="1:20" ht="22.8" customHeight="1" thickBot="1" x14ac:dyDescent="0.35">
      <c r="A58" s="59" t="s">
        <v>106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0" s="27" customFormat="1" ht="29.4" thickBot="1" x14ac:dyDescent="0.35">
      <c r="A59" s="29" t="s">
        <v>107</v>
      </c>
      <c r="B59" s="30" t="s">
        <v>108</v>
      </c>
      <c r="C59" s="68">
        <f>C60+C61+C62+C63</f>
        <v>126800</v>
      </c>
      <c r="D59" s="68">
        <f>D60+D61+D62+D63</f>
        <v>2026.78</v>
      </c>
      <c r="E59" s="68">
        <f>(D59/C59)*100</f>
        <v>1.5984069400630914</v>
      </c>
      <c r="F59" s="39">
        <f>F60+F61+F62+F63</f>
        <v>0</v>
      </c>
      <c r="G59" s="39"/>
      <c r="H59" s="39"/>
      <c r="I59" s="39">
        <f>I60+I61+I62+I63</f>
        <v>0</v>
      </c>
      <c r="J59" s="39"/>
      <c r="K59" s="39"/>
      <c r="L59" s="39">
        <f>L60+L61+L62+L63</f>
        <v>0</v>
      </c>
      <c r="M59" s="39"/>
      <c r="N59" s="39"/>
      <c r="O59" s="39">
        <f>O60+O61+O62+O63</f>
        <v>0</v>
      </c>
      <c r="P59" s="39"/>
      <c r="Q59" s="39"/>
      <c r="R59" s="40"/>
      <c r="S59" s="33">
        <f t="shared" si="1"/>
        <v>2026.78</v>
      </c>
      <c r="T59" s="41"/>
    </row>
    <row r="60" spans="1:20" ht="64.2" customHeight="1" thickBot="1" x14ac:dyDescent="0.35">
      <c r="A60" s="35" t="s">
        <v>109</v>
      </c>
      <c r="B60" s="36" t="s">
        <v>110</v>
      </c>
      <c r="C60" s="79">
        <v>16000</v>
      </c>
      <c r="D60" s="64">
        <f>1706.61+320.17</f>
        <v>2026.78</v>
      </c>
      <c r="E60" s="68">
        <f t="shared" ref="E60:E68" si="29">(D60/C60)*100</f>
        <v>12.667375</v>
      </c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1"/>
      <c r="N60" s="31"/>
      <c r="O60" s="31">
        <v>0</v>
      </c>
      <c r="P60" s="31"/>
      <c r="Q60" s="31"/>
      <c r="R60" s="32"/>
      <c r="S60" s="33">
        <f t="shared" si="1"/>
        <v>2026.78</v>
      </c>
      <c r="T60" s="38"/>
    </row>
    <row r="61" spans="1:20" ht="29.4" thickBot="1" x14ac:dyDescent="0.35">
      <c r="A61" s="35" t="s">
        <v>111</v>
      </c>
      <c r="B61" s="36" t="s">
        <v>112</v>
      </c>
      <c r="C61" s="79">
        <v>25800</v>
      </c>
      <c r="D61" s="64"/>
      <c r="E61" s="68">
        <f t="shared" si="29"/>
        <v>0</v>
      </c>
      <c r="F61" s="31">
        <v>0</v>
      </c>
      <c r="G61" s="31"/>
      <c r="H61" s="31"/>
      <c r="I61" s="31">
        <v>0</v>
      </c>
      <c r="J61" s="31"/>
      <c r="K61" s="31"/>
      <c r="L61" s="31">
        <v>0</v>
      </c>
      <c r="M61" s="31"/>
      <c r="N61" s="31"/>
      <c r="O61" s="31">
        <v>0</v>
      </c>
      <c r="P61" s="31"/>
      <c r="Q61" s="31"/>
      <c r="R61" s="32"/>
      <c r="S61" s="33">
        <f t="shared" si="1"/>
        <v>0</v>
      </c>
      <c r="T61" s="38"/>
    </row>
    <row r="62" spans="1:20" ht="29.4" thickBot="1" x14ac:dyDescent="0.35">
      <c r="A62" s="35" t="s">
        <v>113</v>
      </c>
      <c r="B62" s="36" t="s">
        <v>114</v>
      </c>
      <c r="C62" s="79">
        <v>45000</v>
      </c>
      <c r="D62" s="64">
        <v>0</v>
      </c>
      <c r="E62" s="68">
        <f t="shared" si="29"/>
        <v>0</v>
      </c>
      <c r="F62" s="31">
        <v>0</v>
      </c>
      <c r="G62" s="31"/>
      <c r="H62" s="31"/>
      <c r="I62" s="31">
        <v>0</v>
      </c>
      <c r="J62" s="31"/>
      <c r="K62" s="31"/>
      <c r="L62" s="31">
        <v>0</v>
      </c>
      <c r="M62" s="31"/>
      <c r="N62" s="31"/>
      <c r="O62" s="31">
        <v>0</v>
      </c>
      <c r="P62" s="31"/>
      <c r="Q62" s="31"/>
      <c r="R62" s="32"/>
      <c r="S62" s="33">
        <f t="shared" si="1"/>
        <v>0</v>
      </c>
      <c r="T62" s="38"/>
    </row>
    <row r="63" spans="1:20" ht="15" thickBot="1" x14ac:dyDescent="0.35">
      <c r="A63" s="35" t="s">
        <v>115</v>
      </c>
      <c r="B63" s="36" t="s">
        <v>116</v>
      </c>
      <c r="C63" s="79">
        <v>40000</v>
      </c>
      <c r="D63" s="64">
        <v>0</v>
      </c>
      <c r="E63" s="68">
        <f t="shared" si="29"/>
        <v>0</v>
      </c>
      <c r="F63" s="31">
        <v>0</v>
      </c>
      <c r="G63" s="31"/>
      <c r="H63" s="31"/>
      <c r="I63" s="31">
        <v>0</v>
      </c>
      <c r="J63" s="31"/>
      <c r="K63" s="31"/>
      <c r="L63" s="31">
        <v>0</v>
      </c>
      <c r="M63" s="31"/>
      <c r="N63" s="31"/>
      <c r="O63" s="31">
        <v>0</v>
      </c>
      <c r="P63" s="31"/>
      <c r="Q63" s="31"/>
      <c r="R63" s="32"/>
      <c r="S63" s="33">
        <f t="shared" si="1"/>
        <v>0</v>
      </c>
      <c r="T63" s="38"/>
    </row>
    <row r="64" spans="1:20" s="27" customFormat="1" ht="45" customHeight="1" thickBot="1" x14ac:dyDescent="0.35">
      <c r="A64" s="29" t="s">
        <v>117</v>
      </c>
      <c r="B64" s="30" t="s">
        <v>118</v>
      </c>
      <c r="C64" s="68">
        <f>C65+C66+C67+C68</f>
        <v>0</v>
      </c>
      <c r="D64" s="64">
        <f>D65+D66+D67+D68</f>
        <v>0</v>
      </c>
      <c r="E64" s="68"/>
      <c r="F64" s="39">
        <f>F65+F66+F67+F68</f>
        <v>0</v>
      </c>
      <c r="G64" s="39"/>
      <c r="H64" s="39"/>
      <c r="I64" s="39">
        <f>I65+I66+I67+I68</f>
        <v>0</v>
      </c>
      <c r="J64" s="39"/>
      <c r="K64" s="39"/>
      <c r="L64" s="39">
        <f>L65+L66+L67+L68</f>
        <v>0</v>
      </c>
      <c r="M64" s="39"/>
      <c r="N64" s="39"/>
      <c r="O64" s="39">
        <f>O65+O66+O67+O68+O70+O74</f>
        <v>300000</v>
      </c>
      <c r="P64" s="39">
        <f>SUM(P65:P68)</f>
        <v>197993</v>
      </c>
      <c r="Q64" s="31">
        <f>(P64/O64)*100</f>
        <v>65.99766666666666</v>
      </c>
      <c r="R64" s="40"/>
      <c r="S64" s="33">
        <f t="shared" si="1"/>
        <v>197993</v>
      </c>
      <c r="T64" s="41"/>
    </row>
    <row r="65" spans="1:20" ht="64.8" customHeight="1" thickBot="1" x14ac:dyDescent="0.35">
      <c r="A65" s="35" t="s">
        <v>119</v>
      </c>
      <c r="B65" s="36" t="s">
        <v>120</v>
      </c>
      <c r="C65" s="68">
        <v>0</v>
      </c>
      <c r="D65" s="64"/>
      <c r="E65" s="68"/>
      <c r="F65" s="31">
        <v>0</v>
      </c>
      <c r="G65" s="31"/>
      <c r="H65" s="31"/>
      <c r="I65" s="31">
        <v>0</v>
      </c>
      <c r="J65" s="31"/>
      <c r="K65" s="31"/>
      <c r="L65" s="31">
        <v>0</v>
      </c>
      <c r="M65" s="31"/>
      <c r="N65" s="31"/>
      <c r="O65" s="31">
        <v>28500</v>
      </c>
      <c r="P65" s="31">
        <v>28500</v>
      </c>
      <c r="Q65" s="31">
        <f>(P65/O65)*100</f>
        <v>100</v>
      </c>
      <c r="R65" s="32"/>
      <c r="S65" s="33">
        <f t="shared" si="1"/>
        <v>28500</v>
      </c>
      <c r="T65" s="38"/>
    </row>
    <row r="66" spans="1:20" ht="29.4" thickBot="1" x14ac:dyDescent="0.35">
      <c r="A66" s="35" t="s">
        <v>121</v>
      </c>
      <c r="B66" s="36" t="s">
        <v>122</v>
      </c>
      <c r="C66" s="68">
        <v>0</v>
      </c>
      <c r="D66" s="64"/>
      <c r="E66" s="68"/>
      <c r="F66" s="31">
        <v>0</v>
      </c>
      <c r="G66" s="31"/>
      <c r="H66" s="31"/>
      <c r="I66" s="31">
        <v>0</v>
      </c>
      <c r="J66" s="31"/>
      <c r="K66" s="31"/>
      <c r="L66" s="31">
        <v>0</v>
      </c>
      <c r="M66" s="31"/>
      <c r="N66" s="31"/>
      <c r="O66" s="31">
        <v>54585</v>
      </c>
      <c r="P66" s="31">
        <v>53493</v>
      </c>
      <c r="Q66" s="31">
        <f t="shared" ref="Q66:Q75" si="30">(P66/O66)*100</f>
        <v>97.999450398461121</v>
      </c>
      <c r="R66" s="32"/>
      <c r="S66" s="33">
        <f t="shared" si="1"/>
        <v>53493</v>
      </c>
      <c r="T66" s="38"/>
    </row>
    <row r="67" spans="1:20" ht="43.8" thickBot="1" x14ac:dyDescent="0.35">
      <c r="A67" s="35" t="s">
        <v>123</v>
      </c>
      <c r="B67" s="36" t="s">
        <v>124</v>
      </c>
      <c r="C67" s="68">
        <v>0</v>
      </c>
      <c r="D67" s="64"/>
      <c r="E67" s="68"/>
      <c r="F67" s="31">
        <v>0</v>
      </c>
      <c r="G67" s="31"/>
      <c r="H67" s="31"/>
      <c r="I67" s="31">
        <v>0</v>
      </c>
      <c r="J67" s="31"/>
      <c r="K67" s="31"/>
      <c r="L67" s="31">
        <v>0</v>
      </c>
      <c r="M67" s="31"/>
      <c r="N67" s="31"/>
      <c r="O67" s="31">
        <v>76600</v>
      </c>
      <c r="P67" s="31">
        <v>66000</v>
      </c>
      <c r="Q67" s="31">
        <f t="shared" si="30"/>
        <v>86.161879895561356</v>
      </c>
      <c r="R67" s="32"/>
      <c r="S67" s="33">
        <f t="shared" si="1"/>
        <v>66000</v>
      </c>
      <c r="T67" s="38"/>
    </row>
    <row r="68" spans="1:20" ht="29.4" thickBot="1" x14ac:dyDescent="0.35">
      <c r="A68" s="35" t="s">
        <v>125</v>
      </c>
      <c r="B68" s="36" t="s">
        <v>126</v>
      </c>
      <c r="C68" s="68">
        <v>0</v>
      </c>
      <c r="D68" s="64"/>
      <c r="E68" s="68"/>
      <c r="F68" s="31">
        <v>0</v>
      </c>
      <c r="G68" s="31"/>
      <c r="H68" s="31"/>
      <c r="I68" s="31">
        <v>0</v>
      </c>
      <c r="J68" s="31"/>
      <c r="K68" s="31"/>
      <c r="L68" s="31">
        <v>0</v>
      </c>
      <c r="M68" s="31"/>
      <c r="N68" s="31"/>
      <c r="O68" s="31">
        <v>50000</v>
      </c>
      <c r="P68" s="31">
        <v>50000</v>
      </c>
      <c r="Q68" s="31">
        <f t="shared" si="30"/>
        <v>100</v>
      </c>
      <c r="R68" s="32"/>
      <c r="S68" s="33">
        <f t="shared" si="1"/>
        <v>50000</v>
      </c>
      <c r="T68" s="38"/>
    </row>
    <row r="69" spans="1:20" ht="16.5" customHeight="1" thickBot="1" x14ac:dyDescent="0.35">
      <c r="A69" s="60" t="s">
        <v>127</v>
      </c>
      <c r="B69" s="61"/>
      <c r="C69" s="69">
        <f>SUM(C59)</f>
        <v>126800</v>
      </c>
      <c r="D69" s="69">
        <f>SUM(D59)</f>
        <v>2026.78</v>
      </c>
      <c r="E69" s="70">
        <f>(D69/C69)*100</f>
        <v>1.5984069400630914</v>
      </c>
      <c r="F69" s="45">
        <f t="shared" ref="F69:S69" si="31">F59+F64</f>
        <v>0</v>
      </c>
      <c r="G69" s="45"/>
      <c r="H69" s="45"/>
      <c r="I69" s="45">
        <f t="shared" si="31"/>
        <v>0</v>
      </c>
      <c r="J69" s="45"/>
      <c r="K69" s="45"/>
      <c r="L69" s="45">
        <f t="shared" si="31"/>
        <v>0</v>
      </c>
      <c r="M69" s="45"/>
      <c r="N69" s="45"/>
      <c r="O69" s="45">
        <f t="shared" si="31"/>
        <v>300000</v>
      </c>
      <c r="P69" s="45">
        <f t="shared" si="31"/>
        <v>197993</v>
      </c>
      <c r="Q69" s="31">
        <f t="shared" si="30"/>
        <v>65.99766666666666</v>
      </c>
      <c r="R69" s="45">
        <f t="shared" si="31"/>
        <v>0</v>
      </c>
      <c r="S69" s="33">
        <f t="shared" si="1"/>
        <v>200019.78</v>
      </c>
      <c r="T69" s="46"/>
    </row>
    <row r="70" spans="1:20" ht="100.2" customHeight="1" thickBot="1" x14ac:dyDescent="0.35">
      <c r="A70" s="28" t="s">
        <v>128</v>
      </c>
      <c r="B70" s="28"/>
      <c r="C70" s="76">
        <f>332768-49000</f>
        <v>283768</v>
      </c>
      <c r="D70" s="65">
        <f>89207.67+83902.74+7828.59</f>
        <v>180939</v>
      </c>
      <c r="E70" s="70">
        <f>(D70/C70)*100</f>
        <v>63.763003580389608</v>
      </c>
      <c r="F70" s="49">
        <v>155063</v>
      </c>
      <c r="G70" s="49">
        <v>115198</v>
      </c>
      <c r="H70" s="49">
        <f>(G70/F70)*100</f>
        <v>74.291094587361258</v>
      </c>
      <c r="I70" s="49">
        <v>59400</v>
      </c>
      <c r="J70" s="49">
        <v>56455.41</v>
      </c>
      <c r="K70" s="49">
        <f>(J70/I70)*100</f>
        <v>95.042777777777786</v>
      </c>
      <c r="L70" s="49">
        <v>45974</v>
      </c>
      <c r="M70" s="49">
        <v>45974</v>
      </c>
      <c r="N70" s="49">
        <f>(M70/L70)*100</f>
        <v>100</v>
      </c>
      <c r="O70" s="49">
        <f>58415+8800+2100</f>
        <v>69315</v>
      </c>
      <c r="P70" s="49">
        <v>54000</v>
      </c>
      <c r="Q70" s="31">
        <f t="shared" si="30"/>
        <v>77.905215321359009</v>
      </c>
      <c r="R70" s="52"/>
      <c r="S70" s="33">
        <f t="shared" si="1"/>
        <v>452566.41000000003</v>
      </c>
      <c r="T70" s="54" t="s">
        <v>160</v>
      </c>
    </row>
    <row r="71" spans="1:20" ht="55.8" customHeight="1" thickBot="1" x14ac:dyDescent="0.35">
      <c r="A71" s="28" t="s">
        <v>129</v>
      </c>
      <c r="B71" s="46"/>
      <c r="C71" s="76">
        <v>12174</v>
      </c>
      <c r="D71" s="65">
        <f>36832.9+15333.38</f>
        <v>52166.28</v>
      </c>
      <c r="E71" s="70">
        <f t="shared" ref="E71:E75" si="32">(D71/C71)*100</f>
        <v>428.50566781665844</v>
      </c>
      <c r="F71" s="49">
        <v>0</v>
      </c>
      <c r="G71" s="49">
        <v>0</v>
      </c>
      <c r="H71" s="49"/>
      <c r="I71" s="49">
        <v>18574</v>
      </c>
      <c r="J71" s="49">
        <v>5029.01</v>
      </c>
      <c r="K71" s="49">
        <f t="shared" ref="K71:K74" si="33">(J71/I71)*100</f>
        <v>27.075535695057606</v>
      </c>
      <c r="L71" s="49">
        <v>27368</v>
      </c>
      <c r="M71" s="49">
        <v>22600</v>
      </c>
      <c r="N71" s="49">
        <f t="shared" ref="N71:N75" si="34">(M71/L71)*100</f>
        <v>82.578193510669394</v>
      </c>
      <c r="O71" s="49"/>
      <c r="P71" s="49"/>
      <c r="Q71" s="31"/>
      <c r="R71" s="48"/>
      <c r="S71" s="33">
        <f t="shared" si="1"/>
        <v>79795.290000000008</v>
      </c>
      <c r="T71" s="50"/>
    </row>
    <row r="72" spans="1:20" ht="19.8" customHeight="1" thickBot="1" x14ac:dyDescent="0.35">
      <c r="A72" s="35" t="s">
        <v>130</v>
      </c>
      <c r="B72" s="36"/>
      <c r="C72" s="68"/>
      <c r="D72" s="64"/>
      <c r="E72" s="70"/>
      <c r="F72" s="51"/>
      <c r="G72" s="51"/>
      <c r="H72" s="49"/>
      <c r="I72" s="51"/>
      <c r="J72" s="51"/>
      <c r="K72" s="49"/>
      <c r="L72" s="51"/>
      <c r="M72" s="51"/>
      <c r="N72" s="49"/>
      <c r="O72" s="51"/>
      <c r="P72" s="51"/>
      <c r="Q72" s="31"/>
      <c r="R72" s="32"/>
      <c r="S72" s="33">
        <f t="shared" si="1"/>
        <v>0</v>
      </c>
      <c r="T72" s="38"/>
    </row>
    <row r="73" spans="1:20" s="27" customFormat="1" ht="28.2" customHeight="1" thickBot="1" x14ac:dyDescent="0.35">
      <c r="A73" s="46" t="s">
        <v>131</v>
      </c>
      <c r="B73" s="46"/>
      <c r="C73" s="69">
        <f>SUM(C71+C70+C69+C57+C43+C24)</f>
        <v>1401842</v>
      </c>
      <c r="D73" s="69">
        <f>SUM(D71+D70+D69+D57+D43+D24)</f>
        <v>805780.95</v>
      </c>
      <c r="E73" s="70">
        <f t="shared" si="32"/>
        <v>57.480154682196705</v>
      </c>
      <c r="F73" s="47">
        <f t="shared" ref="F73:S73" si="35">F9+F12+F20+F26+F31+F34+F38+F45+F50+F53+F59+F64+F70+F71</f>
        <v>560748</v>
      </c>
      <c r="G73" s="47">
        <f>SUM(G70+G43+G24)</f>
        <v>362409.64</v>
      </c>
      <c r="H73" s="47">
        <f t="shared" ref="H71:H75" si="36">(G73/F73)*100</f>
        <v>64.629680355525124</v>
      </c>
      <c r="I73" s="47">
        <f t="shared" si="35"/>
        <v>282425</v>
      </c>
      <c r="J73" s="47">
        <f t="shared" si="35"/>
        <v>264553.67</v>
      </c>
      <c r="K73" s="47">
        <f t="shared" si="33"/>
        <v>93.672185535983004</v>
      </c>
      <c r="L73" s="47">
        <f t="shared" si="35"/>
        <v>282000</v>
      </c>
      <c r="M73" s="47">
        <f>SUM(M71+M70+M57+M43+M24)</f>
        <v>266280</v>
      </c>
      <c r="N73" s="49">
        <f t="shared" si="34"/>
        <v>94.425531914893611</v>
      </c>
      <c r="O73" s="47">
        <f t="shared" si="35"/>
        <v>369315</v>
      </c>
      <c r="P73" s="47">
        <f>SUM(P69:P71)</f>
        <v>251993</v>
      </c>
      <c r="Q73" s="31">
        <f t="shared" si="30"/>
        <v>68.232538618794251</v>
      </c>
      <c r="R73" s="47">
        <f t="shared" si="35"/>
        <v>0</v>
      </c>
      <c r="S73" s="33">
        <f t="shared" si="1"/>
        <v>1951017.2599999998</v>
      </c>
      <c r="T73" s="46"/>
    </row>
    <row r="74" spans="1:20" ht="21.6" customHeight="1" thickBot="1" x14ac:dyDescent="0.35">
      <c r="A74" s="28" t="s">
        <v>132</v>
      </c>
      <c r="B74" s="28"/>
      <c r="C74" s="75">
        <v>98118</v>
      </c>
      <c r="D74" s="65">
        <f>20538.17+17984.69</f>
        <v>38522.86</v>
      </c>
      <c r="E74" s="70">
        <f t="shared" si="32"/>
        <v>39.261766444485211</v>
      </c>
      <c r="F74" s="49">
        <v>39252</v>
      </c>
      <c r="G74" s="49">
        <v>23792</v>
      </c>
      <c r="H74" s="49">
        <f t="shared" si="36"/>
        <v>60.613471924997455</v>
      </c>
      <c r="I74" s="49">
        <v>19626</v>
      </c>
      <c r="J74" s="49">
        <v>18518.759999999998</v>
      </c>
      <c r="K74" s="49">
        <f t="shared" si="33"/>
        <v>94.358300214001815</v>
      </c>
      <c r="L74" s="49">
        <v>18000</v>
      </c>
      <c r="M74" s="49">
        <v>18000</v>
      </c>
      <c r="N74" s="49">
        <f t="shared" si="34"/>
        <v>100</v>
      </c>
      <c r="O74" s="49">
        <v>21000</v>
      </c>
      <c r="P74" s="49">
        <v>21000</v>
      </c>
      <c r="Q74" s="31">
        <f t="shared" si="30"/>
        <v>100</v>
      </c>
      <c r="R74" s="52"/>
      <c r="S74" s="33">
        <f t="shared" ref="S74:S75" si="37">SUM(D74+G74+J74+M74+P74)</f>
        <v>119833.62</v>
      </c>
      <c r="T74" s="28"/>
    </row>
    <row r="75" spans="1:20" s="27" customFormat="1" ht="32.4" customHeight="1" thickBot="1" x14ac:dyDescent="0.35">
      <c r="A75" s="46" t="s">
        <v>133</v>
      </c>
      <c r="B75" s="46"/>
      <c r="C75" s="80">
        <f>SUM(C73:C74)</f>
        <v>1499960</v>
      </c>
      <c r="D75" s="69">
        <f>SUM(D73:D74)</f>
        <v>844303.80999999994</v>
      </c>
      <c r="E75" s="70">
        <f t="shared" si="32"/>
        <v>56.288421691245091</v>
      </c>
      <c r="F75" s="47">
        <v>600000</v>
      </c>
      <c r="G75" s="47">
        <f>SUM(G73:G74)</f>
        <v>386201.64</v>
      </c>
      <c r="H75" s="47">
        <f t="shared" si="36"/>
        <v>64.36694</v>
      </c>
      <c r="I75" s="47">
        <v>300000</v>
      </c>
      <c r="J75" s="47">
        <f>SUM(J73:J74)</f>
        <v>283072.43</v>
      </c>
      <c r="K75" s="47">
        <f>(J75/I75)*100</f>
        <v>94.357476666666656</v>
      </c>
      <c r="L75" s="47">
        <v>300000</v>
      </c>
      <c r="M75" s="47">
        <f>SUM(M73:M74)</f>
        <v>284280</v>
      </c>
      <c r="N75" s="47">
        <f t="shared" si="34"/>
        <v>94.76</v>
      </c>
      <c r="O75" s="47">
        <v>300000</v>
      </c>
      <c r="P75" s="47">
        <f>SUM(P73:P74)</f>
        <v>272993</v>
      </c>
      <c r="Q75" s="88">
        <f t="shared" si="30"/>
        <v>90.99766666666666</v>
      </c>
      <c r="R75" s="48">
        <v>100</v>
      </c>
      <c r="S75" s="89">
        <f>SUM(D75+G75+J75+M75+P75)</f>
        <v>2070850.88</v>
      </c>
      <c r="T75" s="46"/>
    </row>
    <row r="76" spans="1:20" s="83" customFormat="1" ht="29.4" customHeight="1" thickBot="1" x14ac:dyDescent="0.35">
      <c r="C76" s="71"/>
      <c r="D76" s="84"/>
      <c r="E76" s="71"/>
      <c r="F76" s="85"/>
      <c r="G76" s="86"/>
      <c r="H76" s="85"/>
      <c r="I76" s="85"/>
      <c r="J76" s="86"/>
      <c r="K76" s="85"/>
      <c r="L76" s="85"/>
      <c r="M76" s="85"/>
      <c r="N76" s="85"/>
      <c r="O76" s="85"/>
      <c r="P76" s="85"/>
      <c r="Q76" s="85"/>
      <c r="R76" s="87"/>
      <c r="S76" s="53">
        <f>S75/3000000</f>
        <v>0.69028362666666665</v>
      </c>
    </row>
    <row r="77" spans="1:20" x14ac:dyDescent="0.3">
      <c r="D77" s="82"/>
    </row>
    <row r="81" ht="25.5" customHeight="1" x14ac:dyDescent="0.3"/>
  </sheetData>
  <mergeCells count="8">
    <mergeCell ref="A69:B69"/>
    <mergeCell ref="A8:XFD8"/>
    <mergeCell ref="A58:T58"/>
    <mergeCell ref="A25:T25"/>
    <mergeCell ref="A44:R44"/>
    <mergeCell ref="A24:B24"/>
    <mergeCell ref="A43:B43"/>
    <mergeCell ref="A57:B57"/>
  </mergeCells>
  <pageMargins left="0.25" right="0.25" top="0.75" bottom="0.75" header="0.3" footer="0.3"/>
  <pageSetup paperSize="9" scale="37" firstPageNumber="0" fitToHeight="0" orientation="landscape" r:id="rId1"/>
  <rowBreaks count="2" manualBreakCount="2">
    <brk id="43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view="pageBreakPreview" topLeftCell="A8" zoomScale="80" zoomScaleNormal="100" zoomScalePageLayoutView="80" workbookViewId="0">
      <selection activeCell="G15" sqref="G15"/>
    </sheetView>
  </sheetViews>
  <sheetFormatPr baseColWidth="10" defaultColWidth="8.88671875" defaultRowHeight="14.4" x14ac:dyDescent="0.3"/>
  <cols>
    <col min="1" max="1" width="23.33203125" customWidth="1"/>
    <col min="2" max="2" width="18.5546875" customWidth="1"/>
    <col min="3" max="3" width="19.6640625" customWidth="1"/>
    <col min="4" max="4" width="19.5546875" customWidth="1"/>
    <col min="5" max="5" width="17.88671875" style="11" customWidth="1"/>
    <col min="6" max="6" width="20.33203125" style="14" customWidth="1"/>
    <col min="7" max="7" width="18.5546875" customWidth="1"/>
    <col min="8" max="15" width="8.5546875"/>
    <col min="16" max="16" width="21.44140625" customWidth="1"/>
    <col min="17" max="1022" width="8.5546875"/>
  </cols>
  <sheetData>
    <row r="1" spans="1:16" ht="15.6" x14ac:dyDescent="0.3">
      <c r="A1" s="1" t="s">
        <v>134</v>
      </c>
      <c r="B1" s="1"/>
      <c r="C1" s="1"/>
      <c r="D1" s="1"/>
    </row>
    <row r="2" spans="1:16" x14ac:dyDescent="0.3">
      <c r="A2" s="2"/>
      <c r="B2" s="2"/>
      <c r="C2" s="2"/>
      <c r="D2" s="2"/>
    </row>
    <row r="3" spans="1:16" x14ac:dyDescent="0.3">
      <c r="A3" s="2" t="s">
        <v>135</v>
      </c>
      <c r="B3" s="2"/>
      <c r="C3" s="2"/>
      <c r="D3" s="2"/>
    </row>
    <row r="4" spans="1:16" ht="15" thickBot="1" x14ac:dyDescent="0.35"/>
    <row r="5" spans="1:16" ht="15" thickBot="1" x14ac:dyDescent="0.35">
      <c r="A5" s="3" t="s">
        <v>136</v>
      </c>
      <c r="B5" s="7" t="s">
        <v>149</v>
      </c>
      <c r="C5" s="7" t="s">
        <v>150</v>
      </c>
      <c r="D5" s="7" t="s">
        <v>151</v>
      </c>
      <c r="E5" s="12" t="s">
        <v>152</v>
      </c>
      <c r="F5" s="16" t="s">
        <v>153</v>
      </c>
      <c r="G5" s="3" t="s">
        <v>137</v>
      </c>
    </row>
    <row r="6" spans="1:16" ht="39" customHeight="1" thickBot="1" x14ac:dyDescent="0.35">
      <c r="A6" s="4" t="s">
        <v>138</v>
      </c>
      <c r="B6" s="8">
        <v>332768</v>
      </c>
      <c r="C6" s="10">
        <v>132853</v>
      </c>
      <c r="D6" s="17">
        <v>66600</v>
      </c>
      <c r="E6" s="13">
        <v>45974</v>
      </c>
      <c r="F6" s="9">
        <v>58415</v>
      </c>
      <c r="G6" s="8">
        <f>SUM(B6:F6)</f>
        <v>636610</v>
      </c>
    </row>
    <row r="7" spans="1:16" ht="64.2" customHeight="1" thickBot="1" x14ac:dyDescent="0.35">
      <c r="A7" s="5" t="s">
        <v>139</v>
      </c>
      <c r="B7" s="8">
        <v>55500</v>
      </c>
      <c r="C7" s="10">
        <v>32253</v>
      </c>
      <c r="D7" s="18">
        <v>0</v>
      </c>
      <c r="E7" s="13">
        <v>7468</v>
      </c>
      <c r="F7" s="9">
        <v>8800</v>
      </c>
      <c r="G7" s="8">
        <f t="shared" ref="G7:G15" si="0">SUM(B7:F7)</f>
        <v>104021</v>
      </c>
    </row>
    <row r="8" spans="1:16" ht="115.2" customHeight="1" thickBot="1" x14ac:dyDescent="0.35">
      <c r="A8" s="5" t="s">
        <v>140</v>
      </c>
      <c r="B8" s="8">
        <v>280690</v>
      </c>
      <c r="C8" s="10">
        <v>186000</v>
      </c>
      <c r="D8" s="19">
        <v>0</v>
      </c>
      <c r="E8" s="13">
        <v>2384</v>
      </c>
      <c r="F8" s="9">
        <v>2100</v>
      </c>
      <c r="G8" s="8">
        <f t="shared" si="0"/>
        <v>471174</v>
      </c>
    </row>
    <row r="9" spans="1:16" ht="51.75" customHeight="1" thickBot="1" x14ac:dyDescent="0.35">
      <c r="A9" s="5" t="s">
        <v>141</v>
      </c>
      <c r="B9" s="8">
        <v>711750</v>
      </c>
      <c r="C9" s="10">
        <v>114450</v>
      </c>
      <c r="D9" s="19">
        <v>6000</v>
      </c>
      <c r="E9" s="13">
        <v>91002</v>
      </c>
      <c r="F9" s="9">
        <v>22800</v>
      </c>
      <c r="G9" s="8">
        <f t="shared" si="0"/>
        <v>946002</v>
      </c>
    </row>
    <row r="10" spans="1:16" ht="15" thickBot="1" x14ac:dyDescent="0.35">
      <c r="A10" s="5" t="s">
        <v>142</v>
      </c>
      <c r="B10" s="8">
        <v>9000</v>
      </c>
      <c r="C10" s="10">
        <v>72982</v>
      </c>
      <c r="D10" s="19">
        <v>38924</v>
      </c>
      <c r="E10" s="13">
        <v>110188</v>
      </c>
      <c r="F10" s="9">
        <v>43485</v>
      </c>
      <c r="G10" s="8">
        <f t="shared" si="0"/>
        <v>274579</v>
      </c>
    </row>
    <row r="11" spans="1:16" ht="77.25" customHeight="1" thickBot="1" x14ac:dyDescent="0.35">
      <c r="A11" s="5" t="s">
        <v>143</v>
      </c>
      <c r="B11" s="8">
        <v>0</v>
      </c>
      <c r="C11" s="10">
        <v>0</v>
      </c>
      <c r="D11" s="19">
        <v>157476</v>
      </c>
      <c r="E11" s="13">
        <v>0</v>
      </c>
      <c r="F11" s="9">
        <v>62600</v>
      </c>
      <c r="G11" s="8">
        <f t="shared" si="0"/>
        <v>220076</v>
      </c>
      <c r="P11" s="15"/>
    </row>
    <row r="12" spans="1:16" ht="64.5" customHeight="1" thickBot="1" x14ac:dyDescent="0.35">
      <c r="A12" s="5" t="s">
        <v>144</v>
      </c>
      <c r="B12" s="8">
        <v>12174</v>
      </c>
      <c r="C12" s="10">
        <v>22210</v>
      </c>
      <c r="D12" s="19">
        <v>10000</v>
      </c>
      <c r="E12" s="13">
        <v>24984</v>
      </c>
      <c r="F12" s="9">
        <v>80800</v>
      </c>
      <c r="G12" s="8">
        <f t="shared" si="0"/>
        <v>150168</v>
      </c>
    </row>
    <row r="13" spans="1:16" ht="39" customHeight="1" thickBot="1" x14ac:dyDescent="0.35">
      <c r="A13" s="6" t="s">
        <v>145</v>
      </c>
      <c r="B13" s="55">
        <f>SUM(B6:B12)</f>
        <v>1401882</v>
      </c>
      <c r="C13" s="55">
        <f t="shared" ref="C13:G13" si="1">SUM(C6:C12)</f>
        <v>560748</v>
      </c>
      <c r="D13" s="55">
        <f t="shared" si="1"/>
        <v>279000</v>
      </c>
      <c r="E13" s="55">
        <f t="shared" si="1"/>
        <v>282000</v>
      </c>
      <c r="F13" s="55">
        <f t="shared" si="1"/>
        <v>279000</v>
      </c>
      <c r="G13" s="55">
        <f t="shared" si="1"/>
        <v>2802630</v>
      </c>
    </row>
    <row r="14" spans="1:16" ht="18.600000000000001" customHeight="1" thickBot="1" x14ac:dyDescent="0.35">
      <c r="A14" s="5" t="s">
        <v>146</v>
      </c>
      <c r="B14" s="8">
        <v>98118</v>
      </c>
      <c r="C14" s="10">
        <v>39252</v>
      </c>
      <c r="D14" s="19">
        <v>21000</v>
      </c>
      <c r="E14" s="13">
        <v>18000</v>
      </c>
      <c r="F14" s="9">
        <v>21000</v>
      </c>
      <c r="G14" s="8">
        <f t="shared" si="0"/>
        <v>197370</v>
      </c>
    </row>
    <row r="15" spans="1:16" s="2" customFormat="1" ht="20.399999999999999" customHeight="1" thickBot="1" x14ac:dyDescent="0.35">
      <c r="A15" s="6" t="s">
        <v>147</v>
      </c>
      <c r="B15" s="55">
        <f>B13+B14</f>
        <v>1500000</v>
      </c>
      <c r="C15" s="56">
        <f>C13+C14</f>
        <v>600000</v>
      </c>
      <c r="D15" s="77">
        <f>D13+D14</f>
        <v>300000</v>
      </c>
      <c r="E15" s="57">
        <f>+E13+E14</f>
        <v>300000</v>
      </c>
      <c r="F15" s="58">
        <f>+F13+F14</f>
        <v>300000</v>
      </c>
      <c r="G15" s="55">
        <f t="shared" si="0"/>
        <v>3000000</v>
      </c>
    </row>
  </sheetData>
  <pageMargins left="0.7" right="0.7" top="0.75" bottom="0.75" header="0.51180555555555496" footer="0.51180555555555496"/>
  <pageSetup paperSize="9" scale="63" firstPageNumber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ARSSAM</cp:lastModifiedBy>
  <cp:revision>0</cp:revision>
  <cp:lastPrinted>2018-11-13T12:53:51Z</cp:lastPrinted>
  <dcterms:created xsi:type="dcterms:W3CDTF">2017-11-15T21:17:43Z</dcterms:created>
  <dcterms:modified xsi:type="dcterms:W3CDTF">2018-11-13T15:18:29Z</dcterms:modified>
  <dc:language>en-GB</dc:language>
</cp:coreProperties>
</file>