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66925"/>
  <mc:AlternateContent xmlns:mc="http://schemas.openxmlformats.org/markup-compatibility/2006">
    <mc:Choice Requires="x15">
      <x15ac:absPath xmlns:x15ac="http://schemas.microsoft.com/office/spreadsheetml/2010/11/ac" url="https://undp-my.sharepoint.com/personal/marie_nardoux_undp_org/Documents/2-SIFAKA/13. SUIVI/PBF/RAPPORT/"/>
    </mc:Choice>
  </mc:AlternateContent>
  <xr:revisionPtr revIDLastSave="0" documentId="8_{C4072A85-B8EA-4DB7-9757-F044DA573249}" xr6:coauthVersionLast="41" xr6:coauthVersionMax="41" xr10:uidLastSave="{00000000-0000-0000-0000-000000000000}"/>
  <bookViews>
    <workbookView xWindow="-110" yWindow="-110" windowWidth="19420" windowHeight="10420" activeTab="1" xr2:uid="{00000000-000D-0000-FFFF-FFFF00000000}"/>
  </bookViews>
  <sheets>
    <sheet name="Sheet1" sheetId="1" r:id="rId1"/>
    <sheet name="Sheet2" sheetId="2"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13" i="2" l="1"/>
  <c r="H13" i="2"/>
  <c r="P10" i="2" l="1"/>
  <c r="P8" i="2"/>
  <c r="Q10" i="2"/>
  <c r="Q8" i="2"/>
  <c r="G17" i="2"/>
  <c r="L9" i="2" l="1"/>
  <c r="L10" i="2"/>
  <c r="L11" i="2"/>
  <c r="L12" i="2"/>
  <c r="L13" i="2"/>
  <c r="L14" i="2"/>
  <c r="L8" i="2"/>
  <c r="G9" i="2"/>
  <c r="G10" i="2"/>
  <c r="G11" i="2"/>
  <c r="G12" i="2"/>
  <c r="G13" i="2"/>
  <c r="G14" i="2"/>
  <c r="G15" i="2"/>
  <c r="G16" i="2"/>
  <c r="G8" i="2"/>
  <c r="D9" i="2"/>
  <c r="D10" i="2"/>
  <c r="D11" i="2"/>
  <c r="D12" i="2"/>
  <c r="D13" i="2"/>
  <c r="D14" i="2"/>
  <c r="D15" i="2"/>
  <c r="D16" i="2"/>
  <c r="D17" i="2"/>
  <c r="D8" i="2"/>
  <c r="M8" i="2"/>
  <c r="K8" i="2"/>
  <c r="K9" i="2"/>
  <c r="K10" i="2"/>
  <c r="K11" i="2"/>
  <c r="K12" i="2"/>
  <c r="H14" i="2"/>
  <c r="K14" i="2"/>
  <c r="I15" i="2"/>
  <c r="I16" i="2" s="1"/>
  <c r="I17" i="2" s="1"/>
  <c r="J15" i="2"/>
  <c r="Q11" i="2" l="1"/>
  <c r="P11" i="2"/>
  <c r="P12" i="2"/>
  <c r="Q12" i="2"/>
  <c r="P9" i="2"/>
  <c r="Q9" i="2"/>
  <c r="K15" i="2"/>
  <c r="P14" i="2"/>
  <c r="Q14" i="2"/>
  <c r="P13" i="2"/>
  <c r="Q13" i="2"/>
  <c r="J16" i="2"/>
  <c r="J17" i="2" s="1"/>
  <c r="H15" i="2"/>
  <c r="F15" i="2"/>
  <c r="F16" i="2" s="1"/>
  <c r="F17" i="2" s="1"/>
  <c r="E15" i="2"/>
  <c r="C15" i="2"/>
  <c r="B15" i="2"/>
  <c r="H16" i="2" l="1"/>
  <c r="L15" i="2"/>
  <c r="K16" i="2"/>
  <c r="K17" i="2" s="1"/>
  <c r="Q15" i="2"/>
  <c r="P15" i="2"/>
  <c r="C16" i="2"/>
  <c r="C17" i="2" s="1"/>
  <c r="B16" i="2"/>
  <c r="B17" i="2" s="1"/>
  <c r="E16" i="2"/>
  <c r="E17" i="2" s="1"/>
  <c r="H27" i="1"/>
  <c r="Q17" i="2" l="1"/>
  <c r="P17" i="2"/>
  <c r="H17" i="2"/>
  <c r="L17" i="2" s="1"/>
  <c r="L16" i="2"/>
  <c r="Q16" i="2"/>
  <c r="P16" i="2"/>
  <c r="H40" i="1"/>
  <c r="O14" i="2"/>
  <c r="O13" i="2"/>
  <c r="O12" i="2"/>
  <c r="O11" i="2"/>
  <c r="O9" i="2"/>
  <c r="M11" i="2"/>
  <c r="M10" i="2"/>
  <c r="M9" i="2"/>
  <c r="N14" i="2"/>
  <c r="N11" i="2"/>
  <c r="O8" i="2"/>
  <c r="M14" i="2"/>
  <c r="M13" i="2"/>
  <c r="H39" i="1" l="1"/>
  <c r="H17" i="1"/>
  <c r="H10" i="1"/>
  <c r="H35" i="1"/>
  <c r="H14" i="1" l="1"/>
  <c r="H21" i="1" s="1"/>
  <c r="H19" i="1" l="1"/>
  <c r="H18" i="1"/>
  <c r="H33" i="1" l="1"/>
  <c r="H29" i="1"/>
  <c r="H24" i="1"/>
  <c r="N15" i="2" l="1"/>
  <c r="N16" i="2" s="1"/>
  <c r="N17" i="2" s="1"/>
  <c r="H37" i="1"/>
  <c r="H42" i="1" s="1"/>
  <c r="M16" i="2"/>
  <c r="M15" i="2"/>
  <c r="O15" i="2"/>
  <c r="H44" i="1" l="1"/>
  <c r="H45" i="1" s="1"/>
  <c r="M17" i="2"/>
  <c r="O17" i="2"/>
  <c r="O16" i="2"/>
  <c r="E41" i="1"/>
  <c r="D41" i="1"/>
  <c r="E40" i="1"/>
  <c r="D40" i="1"/>
  <c r="C40" i="1" s="1"/>
  <c r="E39" i="1"/>
  <c r="D39" i="1"/>
  <c r="D35" i="1"/>
  <c r="C35" i="1" s="1"/>
  <c r="F33" i="1"/>
  <c r="E33" i="1"/>
  <c r="D29" i="1"/>
  <c r="C29" i="1" s="1"/>
  <c r="C31" i="1"/>
  <c r="C30" i="1"/>
  <c r="F29" i="1"/>
  <c r="E29" i="1"/>
  <c r="E37" i="1" s="1"/>
  <c r="D24" i="1"/>
  <c r="C26" i="1"/>
  <c r="C25" i="1"/>
  <c r="F24" i="1"/>
  <c r="F37" i="1" s="1"/>
  <c r="E24" i="1"/>
  <c r="F20" i="1"/>
  <c r="D20" i="1"/>
  <c r="D17" i="1" s="1"/>
  <c r="E19" i="1"/>
  <c r="C19" i="1"/>
  <c r="E18" i="1"/>
  <c r="C18" i="1" s="1"/>
  <c r="E16" i="1"/>
  <c r="C16" i="1" s="1"/>
  <c r="F15" i="1"/>
  <c r="F14" i="1" s="1"/>
  <c r="E15" i="1"/>
  <c r="D14" i="1"/>
  <c r="F12" i="1"/>
  <c r="F10" i="1" s="1"/>
  <c r="D12" i="1"/>
  <c r="D11" i="1"/>
  <c r="C11" i="1" s="1"/>
  <c r="E10" i="1"/>
  <c r="D10" i="1"/>
  <c r="C20" i="1" l="1"/>
  <c r="C39" i="1"/>
  <c r="E17" i="1"/>
  <c r="C12" i="1"/>
  <c r="E14" i="1"/>
  <c r="D21" i="1"/>
  <c r="C41" i="1"/>
  <c r="C10" i="1"/>
  <c r="C24" i="1"/>
  <c r="F17" i="1"/>
  <c r="F21" i="1" s="1"/>
  <c r="D33" i="1"/>
  <c r="C33" i="1" s="1"/>
  <c r="E21" i="1" l="1"/>
  <c r="E42" i="1" s="1"/>
  <c r="C14" i="1"/>
  <c r="C17" i="1"/>
  <c r="F42" i="1"/>
  <c r="C21" i="1"/>
  <c r="D37" i="1"/>
  <c r="E44" i="1"/>
  <c r="E45" i="1" s="1"/>
  <c r="C37" i="1" l="1"/>
  <c r="D42" i="1"/>
  <c r="F44" i="1"/>
  <c r="F45" i="1" s="1"/>
  <c r="C42" i="1" l="1"/>
  <c r="D44" i="1"/>
  <c r="D45" i="1" s="1"/>
  <c r="C45" i="1" s="1"/>
</calcChain>
</file>

<file path=xl/sharedStrings.xml><?xml version="1.0" encoding="utf-8"?>
<sst xmlns="http://schemas.openxmlformats.org/spreadsheetml/2006/main" count="110" uniqueCount="101">
  <si>
    <t xml:space="preserve"> </t>
  </si>
  <si>
    <t>CATEGORIES</t>
  </si>
  <si>
    <t>TOTAL</t>
  </si>
  <si>
    <t>Annexe D - Budget du projet PBF</t>
  </si>
  <si>
    <t>Note: S'il s'agit de revision de projet, veuillez inclure colonnes additionnelles pour montrer le changement.</t>
  </si>
  <si>
    <t>Tableau 1 - Budget du projet PBF par resultat, produit et activite</t>
  </si>
  <si>
    <t>Nombre de resultat/ produit</t>
  </si>
  <si>
    <t>Formulation du resultat/ produit/ activite</t>
  </si>
  <si>
    <t xml:space="preserve">Pourcentage du budget pour chaque produit ou activite reserve pour action directe sur le genre (cas echeant) </t>
  </si>
  <si>
    <t>Notes quelconque le cas echeant (.e.g sur types des entrants ou justification du budget)</t>
  </si>
  <si>
    <t>Produit 1.1:</t>
  </si>
  <si>
    <t>Produit 1.2:</t>
  </si>
  <si>
    <t>Produit 1.3:</t>
  </si>
  <si>
    <t>Produit 2.1:</t>
  </si>
  <si>
    <t>Produit 2.2:</t>
  </si>
  <si>
    <t>Produit 2.3:</t>
  </si>
  <si>
    <t>Activite 1.1.1:</t>
  </si>
  <si>
    <t>Activite 1.1.2:</t>
  </si>
  <si>
    <t>Activite 1.1.3:</t>
  </si>
  <si>
    <t>Activite 1.2.1:</t>
  </si>
  <si>
    <t>Activite 1.2.2:</t>
  </si>
  <si>
    <t>Activite 1.3.1:</t>
  </si>
  <si>
    <t>Activite 1.3.2:</t>
  </si>
  <si>
    <t>Activite 1.3.3:</t>
  </si>
  <si>
    <t>Activite 2.1.1:</t>
  </si>
  <si>
    <t>Activite 2.1.2:</t>
  </si>
  <si>
    <t>Activite 2.1.3:</t>
  </si>
  <si>
    <t>Activite 2.2.1:</t>
  </si>
  <si>
    <t>Activite 2.2.2:</t>
  </si>
  <si>
    <t>Activite 2.2.3:</t>
  </si>
  <si>
    <t>Activite 2.3.1:</t>
  </si>
  <si>
    <t>Activite 2.3.2:</t>
  </si>
  <si>
    <t>Activite 2.3.3:</t>
  </si>
  <si>
    <t>Cout de personnel du projet si pas inclus dans les activites si-dessus</t>
  </si>
  <si>
    <t>Couts operationnels si pas inclus dans les activites si-dessus</t>
  </si>
  <si>
    <t>Budget S&amp;E du projet</t>
  </si>
  <si>
    <t>Couts indirects (7%):</t>
  </si>
  <si>
    <t>BUDGET TOTAL DU PROJET:</t>
  </si>
  <si>
    <t>Note: S'il s'agit d'une revision budgetaire, veuillez inclure des colonnes additionnelles pour montrer les changements</t>
  </si>
  <si>
    <t xml:space="preserve"> TOTAL PROJET</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</si>
  <si>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</si>
  <si>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</si>
  <si>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</si>
  <si>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</si>
  <si>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</si>
  <si>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</si>
  <si>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</si>
  <si>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Sous-total</t>
  </si>
  <si>
    <t xml:space="preserve">8. Coûts indirects*  </t>
  </si>
  <si>
    <t>TOTAL $ pour Resultat 1:</t>
  </si>
  <si>
    <t>TOTAL $ pour Resultat 2:</t>
  </si>
  <si>
    <t>SOUS TOTAL DU BUDGET DE PROJET:</t>
  </si>
  <si>
    <t>Budget par agence recipiendiaire en USD - Veuillez ajouter une nouvelle colonne par agence recipiendiaire</t>
  </si>
  <si>
    <t>Niveau de depense/ engagement actuel en USD (a remplir au moment des rapports de projet)</t>
  </si>
  <si>
    <t>PNUD</t>
  </si>
  <si>
    <t>Resultat 1: Les jeunes hommes et les jeunes femmes, ont un meilleur accès à des informations fiables et professionnelles et à un espace pour se faire entendre, ce qui lui permet de mieux participer à la résolution pacifique des conflits et aux processus démocratiques et de développement</t>
  </si>
  <si>
    <t>La capacité technique de jeunes journalistes et techniciens de radio malgaches à produire des émissions répondant aux normes et adaptées aux besoins d’informations des jeunes et des acteurs d’appui à la promotion des jeunes est développée en tenant compte des règles professionnelles et déontologiques du journalisme et des médias.</t>
  </si>
  <si>
    <t>UNICEF</t>
  </si>
  <si>
    <t>HCDH</t>
  </si>
  <si>
    <t xml:space="preserve">Constituer l’équipe de production et du projet </t>
  </si>
  <si>
    <t>Former les journalistes, animateurs, coalition des radios et correspondants régionaux sur les thématiques de développement, de normes et principes internationaux relatifs aux droits de l’homme</t>
  </si>
  <si>
    <t>Renforcer la capacité des journalistes, animateurs, correspondants régionaux et techniciens sur les aspects techniques et déontologiques des métiers de la radio</t>
  </si>
  <si>
    <t xml:space="preserve">Des contenus indépendants et variés d’information et de programmes éducatifs et ludiques  à effet catalytique pour les engagements en faveur de la consolidation de la paix sont produits par la radio Sifaka  </t>
  </si>
  <si>
    <t>Produire des programmes audios quotidiens factuels, équilibrés, impartiaux et professionnels sur les thématiques de développement et des droits humains intégrant la dimension genre dont des émissions interactives</t>
  </si>
  <si>
    <t>Assurer la diffusion des émissions produites par les jeunes</t>
  </si>
  <si>
    <t>Les capacités des associations de jeunes malgaches sont renforcées pour produire des émissions et faire remonter les préoccupations des jeunes dans les zones urbaines et rurales.</t>
  </si>
  <si>
    <t>Mettre en place des JRC au niveau de la radio Sifaka et des radios locales partenaires de l’UNICEF d’Androy (06 stations), Anosy (09 stations) et Melaky (05 stations)</t>
  </si>
  <si>
    <t>Opérationnaliser le système U-Report pour partager la perception des jeunes sur la consolidation de la paix et pour contribuer au suivi et à l’évaluation des émissions de la radio Sifaka et des JRC</t>
  </si>
  <si>
    <t>Renforcer la capacité des associations de jeunes dont les scouts, les jeunes reporters clubs, le pool de jeunes formateurs en droits de l’homme, etc. en matière de droits de l’homme et thématique de développement</t>
  </si>
  <si>
    <t>TOTAL $ pour Resultat 1/AGENCE</t>
  </si>
  <si>
    <t>Resultat 2: Le secteur médiatique malgache est renforcé dans sa capacité à diffuser des contenus contribuant à une coexistence pacifique, notamment en donnant une meilleure place aux jeunes.</t>
  </si>
  <si>
    <t>La nouvelle Radio Sifaka émet et diffuse quotidiennement à Antananarivo et ses environs, dans les principales grandes villes de Madagascar.</t>
  </si>
  <si>
    <t>Elaborer les documents techniques et cahiers de charge et branding de la nouvelle radio dont la charte éditoriale et un code déontologique qui régissent la production pour la radio Sifaka ainsi que la grille de programme de la radio</t>
  </si>
  <si>
    <t>Mener la démarche acquisition de la licence de diffusion de la radio Sifaka et octroi d’ondes FM</t>
  </si>
  <si>
    <t>Assurer l’acquisition des matériels et l’installation de la radio</t>
  </si>
  <si>
    <t>Activite 2.1.4:</t>
  </si>
  <si>
    <t xml:space="preserve">Assurer la mise en onde de la radio avec un système technique de diffusion sera installé, avec un émetteur FM à Antananarivo et dans 2 autres grandes villes, en fonction des autorisations obtenues.  </t>
  </si>
  <si>
    <t>Les programmes d’information et de dialogue produits par radio Sifaka sont diffusés par un réseau de médias malgaches partenaires dans tout le pays et sur le web</t>
  </si>
  <si>
    <t xml:space="preserve"> Tisser un partenariat avec les réseaux de médias dont les radios de la coalition de la paix pour la diffusion d’émissions ou d’une grille de programme de la radio Sifaka</t>
  </si>
  <si>
    <t xml:space="preserve"> Renforcer la capacité des parties prenantes sur la charte éditoriale et le code déontologique qui régissent la production pour la radio Sifaka</t>
  </si>
  <si>
    <t>Disséminer les émissions auprès des radios partenaires pour diffusion</t>
  </si>
  <si>
    <t xml:space="preserve">Les mesures sont prises pour assurer la mise en place, le fonctionnement et la durabilité de la radio Sifaka </t>
  </si>
  <si>
    <t>L’unité de gestion du projet est opérationnelle</t>
  </si>
  <si>
    <t xml:space="preserve"> Faire le marketing de la radio et des émissions produites dont la création et l’animation de site web et des pages réseaux sociaux de la Radio, coopération avec le Secteur Privé.</t>
  </si>
  <si>
    <t>TOTAL $ pour Resultat 2 et par AGENCE</t>
  </si>
  <si>
    <t>SOUS TOTAL ET PAR AGENCE</t>
  </si>
  <si>
    <t>Assurer la pérennisation de la radio</t>
  </si>
  <si>
    <t>Tableau 2 - Dépenses du budget de projet PBF par categorie de cout de l'ONU</t>
  </si>
  <si>
    <t>UNICEF (totalité)</t>
  </si>
  <si>
    <t>HCDH (totalité)</t>
  </si>
  <si>
    <t>Tranche 1 (70%)</t>
  </si>
  <si>
    <t>Tranche 2 (30%)</t>
  </si>
  <si>
    <t>Totalité</t>
  </si>
  <si>
    <t xml:space="preserve">Budget </t>
  </si>
  <si>
    <t>dépenses au 11 novembre 2019</t>
  </si>
  <si>
    <t>PNUD (sur budget total)</t>
  </si>
  <si>
    <t>PNUD (surtranche 1 70%)</t>
  </si>
  <si>
    <t>total</t>
  </si>
  <si>
    <t>taux d'exécution financière au 11 novembre 2019</t>
  </si>
  <si>
    <t xml:space="preserve"> TOTAL PROJET (tranche 1 PNUD)</t>
  </si>
  <si>
    <t>Total projet (toutes tranches PNUD)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</si>
</sst>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 _€_-;\-* #,##0.00\ _€_-;_-* &quot;-&quot;??\ _€_-;_-@_-"/>
    <numFmt numFmtId="164" formatCode="_(* #,##0_);_(* \(#,##0\);_(* &quot;-&quot;??_);_(@_)"/>
    <numFmt numFmtId="165" formatCode="_-* #,##0\ _€_-;\-* #,##0\ _€_-;_-* &quot;-&quot;??\ _€_-;_-@_-"/>
    <numFmt numFmtId="166" formatCode="_(* #,##0.00_);_(* \(#,##0.00\);_(* &quot;-&quot;??_);_(@_)"/>
  </numFmts>
  <fonts count="18" x14ac:knownFonts="1">
    <font>
      <sz val="11"/>
      <color theme="1"/>
      <name val="Calibri"/>
      <family val="2"/>
      <scheme val="minor"/>
    </font>
    <font>
      <sz val="12"/>
      <color theme="1"/>
      <name val="Times New Roman"/>
      <family val="1"/>
    </font>
    <font>
      <b/>
      <sz val="12"/>
      <color theme="1"/>
      <name val="Times New Roman"/>
      <family val="1"/>
    </font>
    <font>
      <b/>
      <sz val="12"/>
      <color theme="1"/>
      <name val="Calibri"/>
      <family val="2"/>
      <scheme val="minor"/>
    </font>
    <font>
      <b/>
      <sz val="10"/>
      <color theme="1"/>
      <name val="Calibri"/>
      <family val="2"/>
    </font>
    <font>
      <sz val="10"/>
      <color theme="1"/>
      <name val="Calibri"/>
      <family val="2"/>
    </font>
    <font>
      <b/>
      <sz val="11"/>
      <color theme="1"/>
      <name val="Calibri"/>
      <family val="2"/>
      <scheme val="minor"/>
    </font>
    <font>
      <b/>
      <sz val="14"/>
      <color theme="1"/>
      <name val="Calibri"/>
      <family val="2"/>
      <scheme val="minor"/>
    </font>
    <font>
      <b/>
      <sz val="16"/>
      <color theme="1"/>
      <name val="Calibri"/>
      <family val="2"/>
      <scheme val="minor"/>
    </font>
    <font>
      <sz val="10"/>
      <color theme="1"/>
      <name val="Times New Roman"/>
      <family val="1"/>
    </font>
    <font>
      <b/>
      <sz val="10"/>
      <color theme="1"/>
      <name val="Times New Roman"/>
      <family val="1"/>
    </font>
    <font>
      <sz val="11"/>
      <color theme="1"/>
      <name val="Calibri"/>
      <family val="2"/>
      <scheme val="minor"/>
    </font>
    <font>
      <b/>
      <sz val="11"/>
      <color theme="0"/>
      <name val="Calibri"/>
      <family val="2"/>
      <scheme val="minor"/>
    </font>
    <font>
      <b/>
      <i/>
      <sz val="11"/>
      <color theme="1"/>
      <name val="Calibri"/>
      <family val="2"/>
      <scheme val="minor"/>
    </font>
    <font>
      <sz val="11"/>
      <color rgb="FF000000"/>
      <name val="Calibri"/>
      <family val="2"/>
      <scheme val="minor"/>
    </font>
    <font>
      <sz val="11"/>
      <name val="Calibri"/>
      <family val="2"/>
      <scheme val="minor"/>
    </font>
    <font>
      <b/>
      <sz val="11"/>
      <color rgb="FFFF0000"/>
      <name val="Calibri"/>
      <family val="2"/>
      <scheme val="minor"/>
    </font>
    <font>
      <sz val="10"/>
      <name val="Arial"/>
      <family val="2"/>
    </font>
  </fonts>
  <fills count="13">
    <fill>
      <patternFill patternType="none"/>
    </fill>
    <fill>
      <patternFill patternType="gray125"/>
    </fill>
    <fill>
      <patternFill patternType="solid">
        <fgColor rgb="FFB3B3B3"/>
        <bgColor indexed="64"/>
      </patternFill>
    </fill>
    <fill>
      <patternFill patternType="solid">
        <fgColor rgb="FFD9D9D9"/>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5" tint="-0.249977111117893"/>
        <bgColor indexed="64"/>
      </patternFill>
    </fill>
    <fill>
      <patternFill patternType="solid">
        <fgColor theme="0" tint="-0.14999847407452621"/>
        <bgColor indexed="64"/>
      </patternFill>
    </fill>
    <fill>
      <patternFill patternType="solid">
        <fgColor rgb="FFBFBFBF"/>
        <bgColor indexed="64"/>
      </patternFill>
    </fill>
    <fill>
      <patternFill patternType="solid">
        <fgColor theme="0" tint="-0.249977111117893"/>
        <bgColor indexed="64"/>
      </patternFill>
    </fill>
    <fill>
      <patternFill patternType="solid">
        <fgColor theme="2" tint="-0.24997711111789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4">
    <xf numFmtId="0" fontId="0" fillId="0" borderId="0"/>
    <xf numFmtId="43" fontId="11" fillId="0" borderId="0" applyFont="0" applyFill="0" applyBorder="0" applyAlignment="0" applyProtection="0"/>
    <xf numFmtId="0" fontId="17" fillId="0" borderId="0"/>
    <xf numFmtId="9" fontId="11" fillId="0" borderId="0" applyFont="0" applyFill="0" applyBorder="0" applyAlignment="0" applyProtection="0"/>
  </cellStyleXfs>
  <cellXfs count="98">
    <xf numFmtId="0" fontId="0" fillId="0" borderId="0" xfId="0"/>
    <xf numFmtId="0" fontId="3" fillId="0" borderId="0" xfId="0" applyFont="1"/>
    <xf numFmtId="0" fontId="6" fillId="0" borderId="0" xfId="0" applyFont="1"/>
    <xf numFmtId="0" fontId="7" fillId="0" borderId="0" xfId="0" applyFont="1"/>
    <xf numFmtId="0" fontId="8" fillId="0" borderId="0" xfId="0" applyFont="1"/>
    <xf numFmtId="0" fontId="6" fillId="5" borderId="1" xfId="0" applyFont="1" applyFill="1" applyBorder="1" applyAlignment="1">
      <alignment vertical="center" wrapText="1"/>
    </xf>
    <xf numFmtId="0" fontId="0" fillId="0" borderId="1" xfId="0" applyFont="1" applyBorder="1" applyAlignment="1">
      <alignment vertical="center" wrapText="1"/>
    </xf>
    <xf numFmtId="0" fontId="0" fillId="0" borderId="0" xfId="0" applyFont="1" applyAlignment="1">
      <alignment wrapText="1"/>
    </xf>
    <xf numFmtId="0" fontId="13" fillId="0" borderId="1" xfId="0" applyFont="1" applyBorder="1" applyAlignment="1">
      <alignment horizontal="center" vertical="center" wrapText="1"/>
    </xf>
    <xf numFmtId="43" fontId="13" fillId="0" borderId="1" xfId="1" applyFont="1" applyBorder="1" applyAlignment="1">
      <alignment horizontal="center" vertical="center" wrapText="1"/>
    </xf>
    <xf numFmtId="43" fontId="13" fillId="6" borderId="1" xfId="1" applyFont="1" applyFill="1" applyBorder="1" applyAlignment="1">
      <alignment horizontal="center" vertical="center" wrapText="1"/>
    </xf>
    <xf numFmtId="0" fontId="13" fillId="0" borderId="0" xfId="0" applyFont="1" applyAlignment="1">
      <alignment horizontal="center" wrapText="1"/>
    </xf>
    <xf numFmtId="43" fontId="6" fillId="5" borderId="1" xfId="0" applyNumberFormat="1" applyFont="1" applyFill="1" applyBorder="1" applyAlignment="1">
      <alignment vertical="center" wrapText="1"/>
    </xf>
    <xf numFmtId="43" fontId="6" fillId="5" borderId="1" xfId="1" applyFont="1" applyFill="1" applyBorder="1" applyAlignment="1">
      <alignment vertical="center" wrapText="1"/>
    </xf>
    <xf numFmtId="43" fontId="6" fillId="6" borderId="1" xfId="1" applyFont="1" applyFill="1" applyBorder="1" applyAlignment="1">
      <alignment vertical="center" wrapText="1"/>
    </xf>
    <xf numFmtId="0" fontId="6" fillId="0" borderId="0" xfId="0" applyFont="1" applyAlignment="1">
      <alignment wrapText="1"/>
    </xf>
    <xf numFmtId="0" fontId="14" fillId="0" borderId="1" xfId="0" applyFont="1" applyBorder="1" applyAlignment="1">
      <alignment wrapText="1"/>
    </xf>
    <xf numFmtId="43" fontId="0" fillId="0" borderId="1" xfId="0" applyNumberFormat="1" applyFont="1" applyFill="1" applyBorder="1" applyAlignment="1">
      <alignment vertical="center" wrapText="1"/>
    </xf>
    <xf numFmtId="43" fontId="14" fillId="0" borderId="1" xfId="1" applyFont="1" applyBorder="1" applyAlignment="1">
      <alignment wrapText="1"/>
    </xf>
    <xf numFmtId="43" fontId="14" fillId="6" borderId="1" xfId="1" applyFont="1" applyFill="1" applyBorder="1" applyAlignment="1">
      <alignment horizontal="center" vertical="center" wrapText="1"/>
    </xf>
    <xf numFmtId="9" fontId="0" fillId="0" borderId="1" xfId="0" applyNumberFormat="1" applyFont="1" applyBorder="1" applyAlignment="1">
      <alignment vertical="center" wrapText="1"/>
    </xf>
    <xf numFmtId="0" fontId="14" fillId="0" borderId="1" xfId="0" applyFont="1" applyBorder="1" applyAlignment="1">
      <alignment vertical="center" wrapText="1"/>
    </xf>
    <xf numFmtId="43" fontId="14" fillId="0" borderId="1" xfId="1" applyFont="1" applyBorder="1" applyAlignment="1">
      <alignment horizontal="left" vertical="center" wrapText="1" indent="1"/>
    </xf>
    <xf numFmtId="43" fontId="0" fillId="0" borderId="1" xfId="1" applyFont="1" applyBorder="1" applyAlignment="1">
      <alignment vertical="center" wrapText="1"/>
    </xf>
    <xf numFmtId="43" fontId="0" fillId="6" borderId="1" xfId="1" applyFont="1" applyFill="1" applyBorder="1" applyAlignment="1">
      <alignment horizontal="center" vertical="center" wrapText="1"/>
    </xf>
    <xf numFmtId="0" fontId="6" fillId="4" borderId="0" xfId="0" applyFont="1" applyFill="1" applyAlignment="1">
      <alignment wrapText="1"/>
    </xf>
    <xf numFmtId="0" fontId="15" fillId="0" borderId="1" xfId="0" applyFont="1" applyBorder="1" applyAlignment="1">
      <alignment vertical="center" wrapText="1"/>
    </xf>
    <xf numFmtId="0" fontId="6" fillId="7" borderId="1" xfId="0" applyFont="1" applyFill="1" applyBorder="1" applyAlignment="1">
      <alignment vertical="center" wrapText="1"/>
    </xf>
    <xf numFmtId="43" fontId="6" fillId="7" borderId="1" xfId="0" applyNumberFormat="1" applyFont="1" applyFill="1" applyBorder="1" applyAlignment="1">
      <alignment vertical="center" wrapText="1"/>
    </xf>
    <xf numFmtId="43" fontId="6" fillId="7" borderId="1" xfId="1" applyFont="1" applyFill="1" applyBorder="1" applyAlignment="1">
      <alignment vertical="center" wrapText="1"/>
    </xf>
    <xf numFmtId="0" fontId="6" fillId="7" borderId="0" xfId="0" applyFont="1" applyFill="1" applyAlignment="1">
      <alignment wrapText="1"/>
    </xf>
    <xf numFmtId="0" fontId="14" fillId="0" borderId="1" xfId="0" applyFont="1" applyBorder="1" applyAlignment="1">
      <alignment horizontal="justify" vertical="center"/>
    </xf>
    <xf numFmtId="43" fontId="0" fillId="6" borderId="0" xfId="1" applyFont="1" applyFill="1" applyAlignment="1">
      <alignment horizontal="center" vertical="center" wrapText="1"/>
    </xf>
    <xf numFmtId="43" fontId="0" fillId="0" borderId="1" xfId="1" applyFont="1" applyFill="1" applyBorder="1" applyAlignment="1">
      <alignment vertical="center" wrapText="1"/>
    </xf>
    <xf numFmtId="43" fontId="0" fillId="7" borderId="1" xfId="0" applyNumberFormat="1" applyFont="1" applyFill="1" applyBorder="1" applyAlignment="1">
      <alignment vertical="center" wrapText="1"/>
    </xf>
    <xf numFmtId="0" fontId="0" fillId="7" borderId="0" xfId="0" applyFont="1" applyFill="1" applyAlignment="1">
      <alignment wrapText="1"/>
    </xf>
    <xf numFmtId="0" fontId="6" fillId="0" borderId="1" xfId="0" applyFont="1" applyBorder="1" applyAlignment="1">
      <alignment vertical="center" wrapText="1"/>
    </xf>
    <xf numFmtId="43" fontId="0" fillId="0" borderId="1" xfId="0" applyNumberFormat="1" applyFont="1" applyBorder="1" applyAlignment="1">
      <alignment vertical="center" wrapText="1"/>
    </xf>
    <xf numFmtId="43" fontId="6" fillId="0" borderId="1" xfId="1" applyFont="1" applyBorder="1" applyAlignment="1">
      <alignment vertical="center" wrapText="1"/>
    </xf>
    <xf numFmtId="43" fontId="6" fillId="0" borderId="1" xfId="1" applyFont="1" applyFill="1" applyBorder="1" applyAlignment="1">
      <alignment vertical="center" wrapText="1"/>
    </xf>
    <xf numFmtId="43" fontId="0" fillId="0" borderId="1" xfId="1" applyFont="1" applyBorder="1" applyAlignment="1">
      <alignment wrapText="1"/>
    </xf>
    <xf numFmtId="0" fontId="16" fillId="0" borderId="1" xfId="0" applyFont="1" applyBorder="1" applyAlignment="1">
      <alignment vertical="center" wrapText="1"/>
    </xf>
    <xf numFmtId="43" fontId="16" fillId="0" borderId="1" xfId="0" applyNumberFormat="1" applyFont="1" applyBorder="1" applyAlignment="1">
      <alignment vertical="center" wrapText="1"/>
    </xf>
    <xf numFmtId="43" fontId="16" fillId="0" borderId="1" xfId="1" applyFont="1" applyBorder="1" applyAlignment="1">
      <alignment vertical="center" wrapText="1"/>
    </xf>
    <xf numFmtId="0" fontId="16" fillId="0" borderId="0" xfId="0" applyFont="1" applyAlignment="1">
      <alignment wrapText="1"/>
    </xf>
    <xf numFmtId="0" fontId="0" fillId="0" borderId="1" xfId="0" applyFont="1" applyFill="1" applyBorder="1" applyAlignment="1">
      <alignment vertical="center" wrapText="1"/>
    </xf>
    <xf numFmtId="43" fontId="0" fillId="6" borderId="1" xfId="0" applyNumberFormat="1" applyFont="1" applyFill="1" applyBorder="1" applyAlignment="1">
      <alignment vertical="center" wrapText="1"/>
    </xf>
    <xf numFmtId="0" fontId="0" fillId="0" borderId="0" xfId="0" applyFont="1" applyFill="1" applyAlignment="1">
      <alignment wrapText="1"/>
    </xf>
    <xf numFmtId="0" fontId="12" fillId="8" borderId="2" xfId="0" applyFont="1" applyFill="1" applyBorder="1" applyAlignment="1">
      <alignment vertical="center" wrapText="1"/>
    </xf>
    <xf numFmtId="43" fontId="6" fillId="0" borderId="2" xfId="0" applyNumberFormat="1" applyFont="1" applyBorder="1" applyAlignment="1">
      <alignment vertical="center" wrapText="1"/>
    </xf>
    <xf numFmtId="43" fontId="6" fillId="6" borderId="2" xfId="0" applyNumberFormat="1" applyFont="1" applyFill="1" applyBorder="1" applyAlignment="1">
      <alignment vertical="center" wrapText="1"/>
    </xf>
    <xf numFmtId="0" fontId="6" fillId="0" borderId="2" xfId="0" applyFont="1" applyBorder="1" applyAlignment="1">
      <alignment vertical="center" wrapText="1"/>
    </xf>
    <xf numFmtId="0" fontId="1" fillId="0" borderId="0" xfId="0" applyFont="1" applyBorder="1" applyAlignment="1">
      <alignment vertical="center" wrapText="1"/>
    </xf>
    <xf numFmtId="0" fontId="0" fillId="0" borderId="0" xfId="0" applyBorder="1"/>
    <xf numFmtId="0" fontId="2" fillId="0" borderId="0" xfId="0" applyFont="1" applyBorder="1" applyAlignment="1">
      <alignment vertical="center" wrapText="1"/>
    </xf>
    <xf numFmtId="164" fontId="0" fillId="0" borderId="0" xfId="0" applyNumberFormat="1"/>
    <xf numFmtId="4" fontId="0" fillId="0" borderId="1" xfId="0" applyNumberFormat="1" applyFont="1" applyBorder="1" applyAlignment="1">
      <alignment vertical="center" wrapText="1"/>
    </xf>
    <xf numFmtId="4" fontId="6" fillId="5" borderId="1" xfId="0" applyNumberFormat="1" applyFont="1" applyFill="1" applyBorder="1" applyAlignment="1">
      <alignment vertical="center" wrapText="1"/>
    </xf>
    <xf numFmtId="43" fontId="6" fillId="0" borderId="0" xfId="1" applyFont="1" applyFill="1" applyAlignment="1">
      <alignment horizontal="center" vertical="center" wrapText="1"/>
    </xf>
    <xf numFmtId="43" fontId="0" fillId="0" borderId="0" xfId="0" applyNumberFormat="1"/>
    <xf numFmtId="3" fontId="6" fillId="5" borderId="1" xfId="0" applyNumberFormat="1" applyFont="1" applyFill="1" applyBorder="1" applyAlignment="1">
      <alignment vertical="center" wrapText="1"/>
    </xf>
    <xf numFmtId="4" fontId="6" fillId="0" borderId="2" xfId="0" applyNumberFormat="1" applyFont="1" applyBorder="1" applyAlignment="1">
      <alignment vertical="center" wrapText="1"/>
    </xf>
    <xf numFmtId="4" fontId="0" fillId="6" borderId="1" xfId="0" applyNumberFormat="1" applyFont="1" applyFill="1" applyBorder="1" applyAlignment="1">
      <alignment vertical="center" wrapText="1"/>
    </xf>
    <xf numFmtId="3" fontId="0" fillId="6" borderId="1" xfId="0" applyNumberFormat="1" applyFont="1" applyFill="1" applyBorder="1" applyAlignment="1">
      <alignment vertical="center" wrapText="1"/>
    </xf>
    <xf numFmtId="0" fontId="0" fillId="6" borderId="1" xfId="0" applyFont="1" applyFill="1" applyBorder="1" applyAlignment="1">
      <alignment vertical="center" wrapText="1"/>
    </xf>
    <xf numFmtId="4" fontId="6" fillId="7" borderId="1" xfId="0" applyNumberFormat="1" applyFont="1" applyFill="1" applyBorder="1" applyAlignment="1">
      <alignment vertical="center" wrapText="1"/>
    </xf>
    <xf numFmtId="4" fontId="16" fillId="0" borderId="1" xfId="0" applyNumberFormat="1" applyFont="1" applyBorder="1" applyAlignment="1">
      <alignment vertical="center" wrapText="1"/>
    </xf>
    <xf numFmtId="4" fontId="0" fillId="0" borderId="0" xfId="0" applyNumberFormat="1" applyBorder="1"/>
    <xf numFmtId="3" fontId="6" fillId="6" borderId="1" xfId="0" applyNumberFormat="1" applyFont="1" applyFill="1" applyBorder="1" applyAlignment="1">
      <alignment vertical="center" wrapText="1"/>
    </xf>
    <xf numFmtId="0" fontId="4" fillId="2" borderId="1"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9" fillId="0" borderId="1" xfId="0" applyFont="1" applyBorder="1" applyAlignment="1">
      <alignment vertical="center" wrapText="1"/>
    </xf>
    <xf numFmtId="9" fontId="4" fillId="0" borderId="1" xfId="3" applyFont="1" applyBorder="1" applyAlignment="1">
      <alignment horizontal="right" vertical="center" wrapText="1"/>
    </xf>
    <xf numFmtId="9" fontId="5" fillId="0" borderId="1" xfId="3" applyFont="1" applyBorder="1" applyAlignment="1">
      <alignment horizontal="right" vertical="center" wrapText="1"/>
    </xf>
    <xf numFmtId="9" fontId="5" fillId="0" borderId="1" xfId="3" applyFont="1" applyFill="1" applyBorder="1" applyAlignment="1">
      <alignment horizontal="right" vertical="center" wrapText="1"/>
    </xf>
    <xf numFmtId="0" fontId="10" fillId="3" borderId="1" xfId="0" applyFont="1" applyFill="1" applyBorder="1" applyAlignment="1">
      <alignment vertical="center" wrapText="1"/>
    </xf>
    <xf numFmtId="9" fontId="5" fillId="9" borderId="1" xfId="3" applyFont="1" applyFill="1" applyBorder="1" applyAlignment="1">
      <alignment horizontal="right" vertical="center" wrapText="1"/>
    </xf>
    <xf numFmtId="9" fontId="4" fillId="9" borderId="1" xfId="3" applyFont="1" applyFill="1" applyBorder="1" applyAlignment="1">
      <alignment horizontal="right" vertical="center" wrapText="1"/>
    </xf>
    <xf numFmtId="165" fontId="12" fillId="8" borderId="2" xfId="0" applyNumberFormat="1" applyFont="1" applyFill="1" applyBorder="1" applyAlignment="1">
      <alignment vertical="center" wrapText="1"/>
    </xf>
    <xf numFmtId="166" fontId="4" fillId="9" borderId="1" xfId="0" applyNumberFormat="1" applyFont="1" applyFill="1" applyBorder="1" applyAlignment="1">
      <alignment horizontal="right" vertical="center" wrapText="1"/>
    </xf>
    <xf numFmtId="166" fontId="5" fillId="0" borderId="1" xfId="0" applyNumberFormat="1" applyFont="1" applyBorder="1" applyAlignment="1">
      <alignment horizontal="right" vertical="center" wrapText="1"/>
    </xf>
    <xf numFmtId="166" fontId="9" fillId="0" borderId="1" xfId="0" applyNumberFormat="1" applyFont="1" applyBorder="1" applyAlignment="1">
      <alignment vertical="center" wrapText="1"/>
    </xf>
    <xf numFmtId="166" fontId="4" fillId="0" borderId="1" xfId="0" applyNumberFormat="1" applyFont="1" applyBorder="1" applyAlignment="1">
      <alignment horizontal="right" vertical="center" wrapText="1"/>
    </xf>
    <xf numFmtId="166" fontId="5" fillId="0" borderId="1" xfId="0" applyNumberFormat="1" applyFont="1" applyFill="1" applyBorder="1" applyAlignment="1">
      <alignment horizontal="right" vertical="center" wrapText="1"/>
    </xf>
    <xf numFmtId="166" fontId="5" fillId="9" borderId="1" xfId="0" applyNumberFormat="1" applyFont="1" applyFill="1" applyBorder="1" applyAlignment="1">
      <alignment horizontal="right" vertical="center" wrapText="1"/>
    </xf>
    <xf numFmtId="166" fontId="5" fillId="3" borderId="1" xfId="0" applyNumberFormat="1" applyFont="1" applyFill="1" applyBorder="1" applyAlignment="1">
      <alignment horizontal="center" vertical="center" wrapText="1"/>
    </xf>
    <xf numFmtId="166" fontId="5" fillId="11" borderId="1" xfId="0" applyNumberFormat="1" applyFont="1" applyFill="1" applyBorder="1" applyAlignment="1">
      <alignment horizontal="center" vertical="center" wrapText="1"/>
    </xf>
    <xf numFmtId="166" fontId="5" fillId="0" borderId="1" xfId="0" applyNumberFormat="1" applyFont="1" applyBorder="1" applyAlignment="1">
      <alignment horizontal="center" vertical="center" wrapText="1"/>
    </xf>
    <xf numFmtId="0" fontId="2" fillId="0" borderId="0" xfId="0" applyFont="1" applyBorder="1" applyAlignment="1">
      <alignment vertical="center" wrapText="1"/>
    </xf>
    <xf numFmtId="43" fontId="0" fillId="0" borderId="1" xfId="1" applyFont="1" applyBorder="1" applyAlignment="1">
      <alignment vertical="center" wrapText="1"/>
    </xf>
    <xf numFmtId="43" fontId="0" fillId="0" borderId="1" xfId="1" applyFont="1" applyBorder="1" applyAlignment="1">
      <alignment wrapText="1"/>
    </xf>
    <xf numFmtId="0" fontId="6" fillId="4" borderId="1" xfId="0" applyFont="1" applyFill="1" applyBorder="1" applyAlignment="1">
      <alignment vertical="center" wrapText="1"/>
    </xf>
    <xf numFmtId="0" fontId="6" fillId="0" borderId="1" xfId="0" applyFont="1" applyBorder="1" applyAlignment="1">
      <alignment vertical="center" wrapText="1"/>
    </xf>
    <xf numFmtId="0" fontId="1" fillId="0" borderId="0" xfId="0" applyFont="1" applyBorder="1" applyAlignment="1">
      <alignment vertical="center" wrapText="1"/>
    </xf>
    <xf numFmtId="0" fontId="4" fillId="2" borderId="1" xfId="0" applyFont="1" applyFill="1" applyBorder="1" applyAlignment="1">
      <alignment horizontal="center" vertical="center" wrapText="1"/>
    </xf>
    <xf numFmtId="0" fontId="0" fillId="12" borderId="1" xfId="0" applyFill="1" applyBorder="1" applyAlignment="1">
      <alignment horizont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cellXfs>
  <cellStyles count="4">
    <cellStyle name="Milliers" xfId="1" builtinId="3"/>
    <cellStyle name="Normal" xfId="0" builtinId="0"/>
    <cellStyle name="Normal 24" xfId="2" xr:uid="{00000000-0005-0000-0000-000002000000}"/>
    <cellStyle name="Pourcentag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n/Documents/Marie/2-SIFAKA/4.%20DOC%20DE%20PROJET/1%20PRODOC/2%20BUDGET%20GYPI/GYPI%2025092018%20-%20Annex%20D%20FINAL%20D&#233;taill&#233;%20pour%20coordo%20proj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IL Budget Annexe D"/>
      <sheetName val="Tableau 2"/>
      <sheetName val="budgetHCDH"/>
      <sheetName val="budgetUNICEF"/>
      <sheetName val="BudgetPNUD"/>
      <sheetName val="BudgetFH"/>
      <sheetName val="Budget Agences"/>
    </sheetNames>
    <sheetDataSet>
      <sheetData sheetId="0" refreshError="1"/>
      <sheetData sheetId="1" refreshError="1"/>
      <sheetData sheetId="2" refreshError="1">
        <row r="16">
          <cell r="F16">
            <v>0</v>
          </cell>
        </row>
        <row r="19">
          <cell r="F19">
            <v>9235</v>
          </cell>
        </row>
        <row r="32">
          <cell r="F32">
            <v>0</v>
          </cell>
        </row>
        <row r="35">
          <cell r="F35">
            <v>13500</v>
          </cell>
        </row>
        <row r="59">
          <cell r="F59">
            <v>77416.5</v>
          </cell>
        </row>
      </sheetData>
      <sheetData sheetId="3" refreshError="1">
        <row r="3">
          <cell r="E3">
            <v>28760</v>
          </cell>
        </row>
        <row r="7">
          <cell r="E7">
            <v>7975</v>
          </cell>
        </row>
        <row r="8">
          <cell r="H8">
            <v>6000</v>
          </cell>
        </row>
        <row r="11">
          <cell r="E11">
            <v>7250</v>
          </cell>
        </row>
        <row r="12">
          <cell r="E12">
            <v>15000</v>
          </cell>
        </row>
        <row r="22">
          <cell r="E22">
            <v>15000</v>
          </cell>
        </row>
      </sheetData>
      <sheetData sheetId="4" refreshError="1"/>
      <sheetData sheetId="5" refreshError="1"/>
      <sheetData sheetId="6" refreshError="1">
        <row r="10">
          <cell r="G10">
            <v>232561.6</v>
          </cell>
        </row>
        <row r="11">
          <cell r="G11">
            <v>207861.6</v>
          </cell>
        </row>
        <row r="14">
          <cell r="D14">
            <v>0</v>
          </cell>
          <cell r="G14">
            <v>88040</v>
          </cell>
        </row>
        <row r="20">
          <cell r="E20">
            <v>52800</v>
          </cell>
        </row>
        <row r="36">
          <cell r="D36">
            <v>10000</v>
          </cell>
          <cell r="G36">
            <v>12447.2</v>
          </cell>
        </row>
        <row r="40">
          <cell r="D40">
            <v>126821.4</v>
          </cell>
        </row>
        <row r="41">
          <cell r="D41">
            <v>10450</v>
          </cell>
        </row>
        <row r="42">
          <cell r="D42">
            <v>17500</v>
          </cell>
          <cell r="G42">
            <v>46250</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5"/>
  <sheetViews>
    <sheetView view="pageBreakPreview" topLeftCell="E22" zoomScale="130" zoomScaleNormal="100" zoomScaleSheetLayoutView="130" workbookViewId="0">
      <selection activeCell="H35" sqref="H35"/>
    </sheetView>
  </sheetViews>
  <sheetFormatPr baseColWidth="10" defaultColWidth="9.1796875" defaultRowHeight="14.5" x14ac:dyDescent="0.35"/>
  <cols>
    <col min="1" max="1" width="24" customWidth="1"/>
    <col min="2" max="2" width="24.7265625" customWidth="1"/>
    <col min="3" max="3" width="25.54296875" customWidth="1"/>
    <col min="4" max="5" width="22.54296875" customWidth="1"/>
    <col min="6" max="6" width="20.81640625" customWidth="1"/>
    <col min="7" max="7" width="29.453125" customWidth="1"/>
    <col min="8" max="10" width="28.7265625" customWidth="1"/>
    <col min="11" max="11" width="34.1796875" customWidth="1"/>
  </cols>
  <sheetData>
    <row r="1" spans="1:9" ht="21" x14ac:dyDescent="0.5">
      <c r="A1" s="4" t="s">
        <v>3</v>
      </c>
      <c r="B1" s="3"/>
    </row>
    <row r="2" spans="1:9" ht="15.5" x14ac:dyDescent="0.35">
      <c r="A2" s="1"/>
      <c r="B2" s="1"/>
    </row>
    <row r="3" spans="1:9" ht="15.5" x14ac:dyDescent="0.35">
      <c r="A3" s="1" t="s">
        <v>4</v>
      </c>
      <c r="B3" s="1"/>
    </row>
    <row r="4" spans="1:9" x14ac:dyDescent="0.35">
      <c r="G4" s="59"/>
    </row>
    <row r="5" spans="1:9" ht="15.5" x14ac:dyDescent="0.35">
      <c r="A5" s="1" t="s">
        <v>5</v>
      </c>
    </row>
    <row r="7" spans="1:9" s="7" customFormat="1" ht="63" customHeight="1" x14ac:dyDescent="0.35">
      <c r="A7" s="6" t="s">
        <v>6</v>
      </c>
      <c r="B7" s="6" t="s">
        <v>7</v>
      </c>
      <c r="C7" s="6"/>
      <c r="D7" s="89" t="s">
        <v>52</v>
      </c>
      <c r="E7" s="90"/>
      <c r="F7" s="90"/>
      <c r="G7" s="6" t="s">
        <v>8</v>
      </c>
      <c r="H7" s="6" t="s">
        <v>53</v>
      </c>
      <c r="I7" s="6" t="s">
        <v>9</v>
      </c>
    </row>
    <row r="8" spans="1:9" s="11" customFormat="1" ht="35.15" customHeight="1" x14ac:dyDescent="0.35">
      <c r="A8" s="8"/>
      <c r="B8" s="8"/>
      <c r="C8" s="8" t="s">
        <v>2</v>
      </c>
      <c r="D8" s="9" t="s">
        <v>54</v>
      </c>
      <c r="E8" s="9" t="s">
        <v>57</v>
      </c>
      <c r="F8" s="10" t="s">
        <v>58</v>
      </c>
      <c r="G8" s="8"/>
      <c r="H8" s="8"/>
      <c r="I8" s="8"/>
    </row>
    <row r="9" spans="1:9" s="7" customFormat="1" ht="34" customHeight="1" x14ac:dyDescent="0.35">
      <c r="A9" s="91" t="s">
        <v>55</v>
      </c>
      <c r="B9" s="91"/>
      <c r="C9" s="91"/>
      <c r="D9" s="91"/>
      <c r="E9" s="91"/>
      <c r="F9" s="91"/>
      <c r="G9" s="91"/>
      <c r="H9" s="91"/>
      <c r="I9" s="91"/>
    </row>
    <row r="10" spans="1:9" s="15" customFormat="1" ht="203" x14ac:dyDescent="0.35">
      <c r="A10" s="5" t="s">
        <v>10</v>
      </c>
      <c r="B10" s="5" t="s">
        <v>56</v>
      </c>
      <c r="C10" s="12">
        <f t="shared" ref="C10:C21" si="0">SUM(D10:F10)</f>
        <v>241796.6</v>
      </c>
      <c r="D10" s="13">
        <f>'[1]Budget Agences'!G10</f>
        <v>232561.6</v>
      </c>
      <c r="E10" s="13">
        <f t="shared" ref="E10" si="1">SUM(E11:E13)</f>
        <v>0</v>
      </c>
      <c r="F10" s="13">
        <f>SUM(F11:F13)</f>
        <v>9235</v>
      </c>
      <c r="G10" s="5"/>
      <c r="H10" s="57">
        <f>H11+H12+H13</f>
        <v>172495.5</v>
      </c>
      <c r="I10" s="5"/>
    </row>
    <row r="11" spans="1:9" s="7" customFormat="1" ht="29" x14ac:dyDescent="0.35">
      <c r="A11" s="6" t="s">
        <v>16</v>
      </c>
      <c r="B11" s="16" t="s">
        <v>59</v>
      </c>
      <c r="C11" s="17">
        <f t="shared" si="0"/>
        <v>207861.6</v>
      </c>
      <c r="D11" s="18">
        <f>'[1]Budget Agences'!G11</f>
        <v>207861.6</v>
      </c>
      <c r="E11" s="18"/>
      <c r="F11" s="19"/>
      <c r="G11" s="20"/>
      <c r="H11" s="62">
        <v>138560.5</v>
      </c>
      <c r="I11" s="6"/>
    </row>
    <row r="12" spans="1:9" s="7" customFormat="1" ht="130.5" x14ac:dyDescent="0.35">
      <c r="A12" s="6" t="s">
        <v>17</v>
      </c>
      <c r="B12" s="21" t="s">
        <v>60</v>
      </c>
      <c r="C12" s="17">
        <f t="shared" si="0"/>
        <v>9235</v>
      </c>
      <c r="D12" s="22">
        <f>[1]budgetHCDH!F16</f>
        <v>0</v>
      </c>
      <c r="E12" s="22"/>
      <c r="F12" s="19">
        <f>[1]budgetHCDH!F19</f>
        <v>9235</v>
      </c>
      <c r="G12" s="20"/>
      <c r="H12" s="6">
        <v>9235</v>
      </c>
      <c r="I12" s="6"/>
    </row>
    <row r="13" spans="1:9" s="7" customFormat="1" ht="101.5" x14ac:dyDescent="0.35">
      <c r="A13" s="6" t="s">
        <v>18</v>
      </c>
      <c r="B13" s="6" t="s">
        <v>61</v>
      </c>
      <c r="C13" s="17">
        <v>24700</v>
      </c>
      <c r="D13" s="23">
        <v>24700</v>
      </c>
      <c r="E13" s="23"/>
      <c r="F13" s="24"/>
      <c r="G13" s="20"/>
      <c r="H13" s="62">
        <v>24700</v>
      </c>
      <c r="I13" s="6"/>
    </row>
    <row r="14" spans="1:9" s="15" customFormat="1" ht="116" x14ac:dyDescent="0.35">
      <c r="A14" s="5" t="s">
        <v>11</v>
      </c>
      <c r="B14" s="5" t="s">
        <v>62</v>
      </c>
      <c r="C14" s="12">
        <f t="shared" si="0"/>
        <v>180681.5</v>
      </c>
      <c r="D14" s="13">
        <f>'[1]Budget Agences'!G14+'[1]Budget Agences'!D14</f>
        <v>88040</v>
      </c>
      <c r="E14" s="13">
        <f>SUM(E15:E16)</f>
        <v>15225</v>
      </c>
      <c r="F14" s="13">
        <f>SUM(F15:F16)</f>
        <v>77416.5</v>
      </c>
      <c r="G14" s="5"/>
      <c r="H14" s="60">
        <f>H15+H16</f>
        <v>50000</v>
      </c>
      <c r="I14" s="5"/>
    </row>
    <row r="15" spans="1:9" s="7" customFormat="1" ht="130.5" x14ac:dyDescent="0.35">
      <c r="A15" s="6" t="s">
        <v>19</v>
      </c>
      <c r="B15" s="6" t="s">
        <v>63</v>
      </c>
      <c r="C15" s="17">
        <v>173431.5</v>
      </c>
      <c r="D15" s="23">
        <v>88040</v>
      </c>
      <c r="E15" s="23">
        <f>[1]budgetUNICEF!E7</f>
        <v>7975</v>
      </c>
      <c r="F15" s="24">
        <f>[1]budgetHCDH!F59</f>
        <v>77416.5</v>
      </c>
      <c r="G15" s="20"/>
      <c r="H15" s="63">
        <v>50000</v>
      </c>
      <c r="I15" s="6"/>
    </row>
    <row r="16" spans="1:9" s="7" customFormat="1" ht="43.5" x14ac:dyDescent="0.35">
      <c r="A16" s="6" t="s">
        <v>20</v>
      </c>
      <c r="B16" s="6" t="s">
        <v>64</v>
      </c>
      <c r="C16" s="17">
        <f t="shared" si="0"/>
        <v>7250</v>
      </c>
      <c r="D16" s="23"/>
      <c r="E16" s="23">
        <f>[1]budgetUNICEF!E11</f>
        <v>7250</v>
      </c>
      <c r="F16" s="24"/>
      <c r="G16" s="6"/>
      <c r="H16" s="6"/>
      <c r="I16" s="6"/>
    </row>
    <row r="17" spans="1:9" s="25" customFormat="1" ht="116" x14ac:dyDescent="0.35">
      <c r="A17" s="5" t="s">
        <v>12</v>
      </c>
      <c r="B17" s="5" t="s">
        <v>65</v>
      </c>
      <c r="C17" s="12">
        <f t="shared" si="0"/>
        <v>95060</v>
      </c>
      <c r="D17" s="13">
        <f>SUM(D18:D20)</f>
        <v>0</v>
      </c>
      <c r="E17" s="13">
        <f t="shared" ref="E17:F17" si="2">SUM(E18:E20)</f>
        <v>81560</v>
      </c>
      <c r="F17" s="13">
        <f t="shared" si="2"/>
        <v>13500</v>
      </c>
      <c r="G17" s="5"/>
      <c r="H17" s="57">
        <f>SUM(H18:H20)</f>
        <v>53488.770000000004</v>
      </c>
      <c r="I17" s="5"/>
    </row>
    <row r="18" spans="1:9" s="7" customFormat="1" ht="101.5" x14ac:dyDescent="0.35">
      <c r="A18" s="6" t="s">
        <v>21</v>
      </c>
      <c r="B18" s="6" t="s">
        <v>66</v>
      </c>
      <c r="C18" s="17">
        <f t="shared" si="0"/>
        <v>28760</v>
      </c>
      <c r="D18" s="23"/>
      <c r="E18" s="23">
        <f>[1]budgetUNICEF!E3</f>
        <v>28760</v>
      </c>
      <c r="F18" s="24"/>
      <c r="G18" s="6"/>
      <c r="H18" s="6">
        <f>17065</f>
        <v>17065</v>
      </c>
      <c r="I18" s="6"/>
    </row>
    <row r="19" spans="1:9" s="7" customFormat="1" ht="101.5" x14ac:dyDescent="0.35">
      <c r="A19" s="6" t="s">
        <v>22</v>
      </c>
      <c r="B19" s="26" t="s">
        <v>67</v>
      </c>
      <c r="C19" s="17">
        <f t="shared" si="0"/>
        <v>52800</v>
      </c>
      <c r="D19" s="23"/>
      <c r="E19" s="23">
        <f>'[1]Budget Agences'!E20</f>
        <v>52800</v>
      </c>
      <c r="F19" s="24"/>
      <c r="G19" s="6"/>
      <c r="H19" s="6">
        <f>29059</f>
        <v>29059</v>
      </c>
      <c r="I19" s="6"/>
    </row>
    <row r="20" spans="1:9" s="7" customFormat="1" ht="130.5" x14ac:dyDescent="0.35">
      <c r="A20" s="6" t="s">
        <v>23</v>
      </c>
      <c r="B20" s="6" t="s">
        <v>68</v>
      </c>
      <c r="C20" s="17">
        <f t="shared" si="0"/>
        <v>13500</v>
      </c>
      <c r="D20" s="23">
        <f>[1]budgetHCDH!F32</f>
        <v>0</v>
      </c>
      <c r="E20" s="23"/>
      <c r="F20" s="24">
        <f>[1]budgetHCDH!F35</f>
        <v>13500</v>
      </c>
      <c r="G20" s="6"/>
      <c r="H20" s="62">
        <v>7364.77</v>
      </c>
      <c r="I20" s="6"/>
    </row>
    <row r="21" spans="1:9" s="30" customFormat="1" ht="29" x14ac:dyDescent="0.35">
      <c r="A21" s="27" t="s">
        <v>69</v>
      </c>
      <c r="B21" s="27"/>
      <c r="C21" s="28">
        <f t="shared" si="0"/>
        <v>517538.1</v>
      </c>
      <c r="D21" s="29">
        <f>D10+D14+D17</f>
        <v>320601.59999999998</v>
      </c>
      <c r="E21" s="29">
        <f>E10+E14+E17</f>
        <v>96785</v>
      </c>
      <c r="F21" s="29">
        <f>F10+F14+F17</f>
        <v>100151.5</v>
      </c>
      <c r="G21" s="27"/>
      <c r="H21" s="65">
        <f>H17+H14+H10</f>
        <v>275984.27</v>
      </c>
      <c r="I21" s="27"/>
    </row>
    <row r="22" spans="1:9" s="7" customFormat="1" x14ac:dyDescent="0.35">
      <c r="A22" s="92" t="s">
        <v>49</v>
      </c>
      <c r="B22" s="92"/>
      <c r="C22" s="92"/>
      <c r="D22" s="92"/>
      <c r="E22" s="92"/>
      <c r="F22" s="92"/>
      <c r="G22" s="92"/>
      <c r="H22" s="92"/>
      <c r="I22" s="92"/>
    </row>
    <row r="23" spans="1:9" s="7" customFormat="1" x14ac:dyDescent="0.35">
      <c r="A23" s="91" t="s">
        <v>70</v>
      </c>
      <c r="B23" s="91"/>
      <c r="C23" s="91"/>
      <c r="D23" s="91"/>
      <c r="E23" s="91"/>
      <c r="F23" s="91"/>
      <c r="G23" s="91"/>
      <c r="H23" s="91"/>
      <c r="I23" s="91"/>
    </row>
    <row r="24" spans="1:9" s="15" customFormat="1" ht="101.5" x14ac:dyDescent="0.35">
      <c r="A24" s="5" t="s">
        <v>13</v>
      </c>
      <c r="B24" s="5" t="s">
        <v>71</v>
      </c>
      <c r="C24" s="12">
        <f t="shared" ref="C24:C37" si="3">SUM(D24:F24)</f>
        <v>220018.97999999998</v>
      </c>
      <c r="D24" s="13">
        <f>D27+D28</f>
        <v>220018.97999999998</v>
      </c>
      <c r="E24" s="13">
        <f t="shared" ref="E24:F24" si="4">SUM(E25:E28)</f>
        <v>0</v>
      </c>
      <c r="F24" s="13">
        <f t="shared" si="4"/>
        <v>0</v>
      </c>
      <c r="G24" s="5"/>
      <c r="H24" s="5">
        <f>H25+H26+H27+H28</f>
        <v>82511</v>
      </c>
      <c r="I24" s="5"/>
    </row>
    <row r="25" spans="1:9" s="7" customFormat="1" ht="130.5" x14ac:dyDescent="0.35">
      <c r="A25" s="6" t="s">
        <v>24</v>
      </c>
      <c r="B25" s="31" t="s">
        <v>72</v>
      </c>
      <c r="C25" s="17">
        <f t="shared" si="3"/>
        <v>0</v>
      </c>
      <c r="D25" s="23"/>
      <c r="E25" s="23"/>
      <c r="F25" s="24"/>
      <c r="G25" s="6"/>
      <c r="H25" s="6"/>
      <c r="I25" s="56"/>
    </row>
    <row r="26" spans="1:9" s="7" customFormat="1" ht="58" x14ac:dyDescent="0.35">
      <c r="A26" s="6" t="s">
        <v>25</v>
      </c>
      <c r="B26" s="6" t="s">
        <v>73</v>
      </c>
      <c r="C26" s="17">
        <f t="shared" si="3"/>
        <v>0</v>
      </c>
      <c r="D26" s="23"/>
      <c r="E26" s="23"/>
      <c r="F26" s="24"/>
      <c r="G26" s="6"/>
      <c r="H26" s="6"/>
      <c r="I26" s="6"/>
    </row>
    <row r="27" spans="1:9" s="7" customFormat="1" ht="101.25" customHeight="1" x14ac:dyDescent="0.35">
      <c r="A27" s="6" t="s">
        <v>26</v>
      </c>
      <c r="B27" s="6" t="s">
        <v>74</v>
      </c>
      <c r="C27" s="17">
        <v>134200</v>
      </c>
      <c r="D27" s="23">
        <v>134200</v>
      </c>
      <c r="E27" s="23"/>
      <c r="F27" s="24"/>
      <c r="G27" s="6"/>
      <c r="H27" s="64">
        <f>110000-14953.5-12535.5</f>
        <v>82511</v>
      </c>
      <c r="I27" s="56"/>
    </row>
    <row r="28" spans="1:9" s="7" customFormat="1" ht="116" x14ac:dyDescent="0.35">
      <c r="A28" s="6" t="s">
        <v>75</v>
      </c>
      <c r="B28" s="6" t="s">
        <v>76</v>
      </c>
      <c r="C28" s="17">
        <v>85818.98</v>
      </c>
      <c r="D28" s="23">
        <v>85818.98</v>
      </c>
      <c r="E28" s="23"/>
      <c r="F28" s="24"/>
      <c r="G28" s="6"/>
      <c r="H28" s="6">
        <v>0</v>
      </c>
      <c r="I28" s="6"/>
    </row>
    <row r="29" spans="1:9" s="15" customFormat="1" ht="101.5" x14ac:dyDescent="0.35">
      <c r="A29" s="5" t="s">
        <v>14</v>
      </c>
      <c r="B29" s="5" t="s">
        <v>77</v>
      </c>
      <c r="C29" s="12">
        <f t="shared" si="3"/>
        <v>62216.67</v>
      </c>
      <c r="D29" s="13">
        <f>SUM(D30:D32)</f>
        <v>62216.67</v>
      </c>
      <c r="E29" s="13">
        <f t="shared" ref="E29:F29" si="5">SUM(E30:E32)</f>
        <v>0</v>
      </c>
      <c r="F29" s="13">
        <f t="shared" si="5"/>
        <v>0</v>
      </c>
      <c r="G29" s="5"/>
      <c r="H29" s="57">
        <f>H30+H31+H32</f>
        <v>12535.5</v>
      </c>
      <c r="I29" s="5"/>
    </row>
    <row r="30" spans="1:9" s="7" customFormat="1" ht="101.5" x14ac:dyDescent="0.35">
      <c r="A30" s="6" t="s">
        <v>27</v>
      </c>
      <c r="B30" s="6" t="s">
        <v>78</v>
      </c>
      <c r="C30" s="17">
        <f t="shared" si="3"/>
        <v>0</v>
      </c>
      <c r="D30" s="23"/>
      <c r="E30" s="23"/>
      <c r="F30" s="24"/>
      <c r="G30" s="6"/>
      <c r="H30" s="6"/>
      <c r="I30" s="6"/>
    </row>
    <row r="31" spans="1:9" s="7" customFormat="1" ht="87" x14ac:dyDescent="0.35">
      <c r="A31" s="6" t="s">
        <v>28</v>
      </c>
      <c r="B31" s="6" t="s">
        <v>79</v>
      </c>
      <c r="C31" s="17">
        <f t="shared" si="3"/>
        <v>0</v>
      </c>
      <c r="D31" s="23"/>
      <c r="E31" s="23"/>
      <c r="F31" s="24"/>
      <c r="G31" s="6"/>
      <c r="H31" s="6"/>
      <c r="I31" s="6"/>
    </row>
    <row r="32" spans="1:9" s="7" customFormat="1" ht="43.5" x14ac:dyDescent="0.35">
      <c r="A32" s="6" t="s">
        <v>29</v>
      </c>
      <c r="B32" s="6" t="s">
        <v>80</v>
      </c>
      <c r="C32" s="17">
        <v>62216.67</v>
      </c>
      <c r="D32" s="23">
        <v>62216.67</v>
      </c>
      <c r="E32" s="23"/>
      <c r="F32" s="32"/>
      <c r="G32" s="6"/>
      <c r="H32" s="62">
        <v>12535.5</v>
      </c>
      <c r="I32" s="6"/>
    </row>
    <row r="33" spans="1:9" s="15" customFormat="1" ht="72.5" x14ac:dyDescent="0.35">
      <c r="A33" s="5" t="s">
        <v>15</v>
      </c>
      <c r="B33" s="5" t="s">
        <v>81</v>
      </c>
      <c r="C33" s="12">
        <f t="shared" si="3"/>
        <v>322417.2</v>
      </c>
      <c r="D33" s="13">
        <f>SUM(D34:D36)</f>
        <v>322417.2</v>
      </c>
      <c r="E33" s="13">
        <f>SUM(E34:E36)</f>
        <v>0</v>
      </c>
      <c r="F33" s="13">
        <f>SUM(F34:F36)</f>
        <v>0</v>
      </c>
      <c r="G33" s="5"/>
      <c r="H33" s="5">
        <f>H34+H35+H36</f>
        <v>115363.23</v>
      </c>
      <c r="I33" s="5"/>
    </row>
    <row r="34" spans="1:9" s="7" customFormat="1" ht="54.75" customHeight="1" x14ac:dyDescent="0.35">
      <c r="A34" s="6" t="s">
        <v>30</v>
      </c>
      <c r="B34" s="6" t="s">
        <v>82</v>
      </c>
      <c r="C34" s="17">
        <v>283390</v>
      </c>
      <c r="D34" s="33">
        <v>283390</v>
      </c>
      <c r="E34" s="23"/>
      <c r="F34" s="24"/>
      <c r="G34" s="6"/>
      <c r="H34" s="64">
        <v>110024.23</v>
      </c>
      <c r="I34" s="6"/>
    </row>
    <row r="35" spans="1:9" s="7" customFormat="1" ht="55" customHeight="1" x14ac:dyDescent="0.35">
      <c r="A35" s="6" t="s">
        <v>31</v>
      </c>
      <c r="B35" s="6" t="s">
        <v>83</v>
      </c>
      <c r="C35" s="17">
        <f t="shared" si="3"/>
        <v>22447.200000000001</v>
      </c>
      <c r="D35" s="33">
        <f>'[1]Budget Agences'!G36+'[1]Budget Agences'!D36</f>
        <v>22447.200000000001</v>
      </c>
      <c r="E35" s="23"/>
      <c r="F35" s="24"/>
      <c r="G35" s="6"/>
      <c r="H35" s="6">
        <f>179+160+5000</f>
        <v>5339</v>
      </c>
      <c r="I35" s="6"/>
    </row>
    <row r="36" spans="1:9" s="7" customFormat="1" ht="29" x14ac:dyDescent="0.35">
      <c r="A36" s="6" t="s">
        <v>32</v>
      </c>
      <c r="B36" s="6" t="s">
        <v>86</v>
      </c>
      <c r="C36" s="17">
        <v>16580</v>
      </c>
      <c r="D36" s="33">
        <v>16580</v>
      </c>
      <c r="E36" s="23"/>
      <c r="F36" s="24"/>
      <c r="G36" s="6"/>
      <c r="H36" s="6"/>
      <c r="I36" s="6"/>
    </row>
    <row r="37" spans="1:9" s="35" customFormat="1" ht="29" x14ac:dyDescent="0.35">
      <c r="A37" s="27" t="s">
        <v>84</v>
      </c>
      <c r="B37" s="27"/>
      <c r="C37" s="34">
        <f t="shared" si="3"/>
        <v>604652.85</v>
      </c>
      <c r="D37" s="29">
        <f>D24+D29+D33</f>
        <v>604652.85</v>
      </c>
      <c r="E37" s="29">
        <f>E24+E29+E33</f>
        <v>0</v>
      </c>
      <c r="F37" s="29">
        <f>F24+F29+F33</f>
        <v>0</v>
      </c>
      <c r="G37" s="27"/>
      <c r="H37" s="65">
        <f>H33+H29+H24</f>
        <v>210409.72999999998</v>
      </c>
      <c r="I37" s="27"/>
    </row>
    <row r="38" spans="1:9" s="7" customFormat="1" x14ac:dyDescent="0.35">
      <c r="A38" s="92" t="s">
        <v>50</v>
      </c>
      <c r="B38" s="92"/>
      <c r="C38" s="92"/>
      <c r="D38" s="92"/>
      <c r="E38" s="92"/>
      <c r="F38" s="92"/>
      <c r="G38" s="92"/>
      <c r="H38" s="92"/>
      <c r="I38" s="92"/>
    </row>
    <row r="39" spans="1:9" s="7" customFormat="1" ht="70.5" customHeight="1" x14ac:dyDescent="0.35">
      <c r="A39" s="6" t="s">
        <v>33</v>
      </c>
      <c r="B39" s="36"/>
      <c r="C39" s="37">
        <f>D39+E39+F39</f>
        <v>163916.54399999999</v>
      </c>
      <c r="D39" s="58">
        <f>'[1]Budget Agences'!D40</f>
        <v>126821.4</v>
      </c>
      <c r="E39" s="38">
        <f>[1]budgetUNICEF!E22</f>
        <v>15000</v>
      </c>
      <c r="F39" s="14">
        <v>22095.144</v>
      </c>
      <c r="G39" s="36"/>
      <c r="H39" s="68">
        <f>2944+49114</f>
        <v>52058</v>
      </c>
      <c r="I39" s="36"/>
    </row>
    <row r="40" spans="1:9" s="7" customFormat="1" ht="50.25" customHeight="1" x14ac:dyDescent="0.35">
      <c r="A40" s="6" t="s">
        <v>34</v>
      </c>
      <c r="B40" s="36"/>
      <c r="C40" s="37">
        <f>D40+E40+F40</f>
        <v>26900</v>
      </c>
      <c r="D40" s="39">
        <f>'[1]Budget Agences'!D41</f>
        <v>10450</v>
      </c>
      <c r="E40" s="40">
        <f>[1]budgetUNICEF!H8</f>
        <v>6000</v>
      </c>
      <c r="F40" s="14">
        <v>10450</v>
      </c>
      <c r="G40" s="36"/>
      <c r="H40" s="36">
        <f>1010+1421.32+2272</f>
        <v>4703.32</v>
      </c>
      <c r="I40" s="36"/>
    </row>
    <row r="41" spans="1:9" s="7" customFormat="1" ht="36" customHeight="1" x14ac:dyDescent="0.35">
      <c r="A41" s="6" t="s">
        <v>35</v>
      </c>
      <c r="B41" s="6" t="s">
        <v>0</v>
      </c>
      <c r="C41" s="37">
        <f t="shared" ref="C41" si="6">D41+E41+F41</f>
        <v>85950</v>
      </c>
      <c r="D41" s="33">
        <f>'[1]Budget Agences'!G42+'[1]Budget Agences'!D42</f>
        <v>63750</v>
      </c>
      <c r="E41" s="23">
        <f>[1]budgetUNICEF!E12</f>
        <v>15000</v>
      </c>
      <c r="F41" s="24">
        <v>7200</v>
      </c>
      <c r="G41" s="6"/>
      <c r="H41" s="6">
        <v>0</v>
      </c>
      <c r="I41" s="6"/>
    </row>
    <row r="42" spans="1:9" s="44" customFormat="1" ht="36" customHeight="1" x14ac:dyDescent="0.35">
      <c r="A42" s="41" t="s">
        <v>85</v>
      </c>
      <c r="B42" s="41"/>
      <c r="C42" s="42">
        <f>SUM(D42:F42)</f>
        <v>1398957.4939999999</v>
      </c>
      <c r="D42" s="43">
        <f>D21+D37+D40+D41+D39</f>
        <v>1126275.8499999999</v>
      </c>
      <c r="E42" s="43">
        <f>E21+E37+E40+E41+E39</f>
        <v>132785</v>
      </c>
      <c r="F42" s="14">
        <f>F21+F37+F40+F41+F39</f>
        <v>139896.644</v>
      </c>
      <c r="G42" s="41"/>
      <c r="H42" s="66">
        <f>H21+H37+H39+H40+H41</f>
        <v>543155.31999999995</v>
      </c>
      <c r="I42" s="41"/>
    </row>
    <row r="43" spans="1:9" s="7" customFormat="1" ht="15" customHeight="1" x14ac:dyDescent="0.35">
      <c r="A43" s="36" t="s">
        <v>51</v>
      </c>
      <c r="B43" s="36"/>
      <c r="C43" s="36"/>
      <c r="D43" s="36"/>
      <c r="E43" s="36"/>
      <c r="F43" s="36"/>
      <c r="G43" s="36"/>
      <c r="H43" s="36"/>
      <c r="I43" s="36"/>
    </row>
    <row r="44" spans="1:9" s="47" customFormat="1" x14ac:dyDescent="0.35">
      <c r="A44" s="45" t="s">
        <v>36</v>
      </c>
      <c r="B44" s="45"/>
      <c r="C44" s="45"/>
      <c r="D44" s="17">
        <f>D42*7%</f>
        <v>78839.309500000003</v>
      </c>
      <c r="E44" s="17">
        <f>E42*7%</f>
        <v>9294.9500000000007</v>
      </c>
      <c r="F44" s="46">
        <f>F42*7%</f>
        <v>9792.765080000001</v>
      </c>
      <c r="G44" s="45"/>
      <c r="H44" s="45">
        <f>H42*0.07</f>
        <v>38020.8724</v>
      </c>
      <c r="I44" s="45"/>
    </row>
    <row r="45" spans="1:9" s="7" customFormat="1" x14ac:dyDescent="0.35">
      <c r="A45" s="48" t="s">
        <v>37</v>
      </c>
      <c r="B45" s="48"/>
      <c r="C45" s="78">
        <f>D45+E45+F45</f>
        <v>1496884.5185799999</v>
      </c>
      <c r="D45" s="49">
        <f>D42+D44</f>
        <v>1205115.1594999998</v>
      </c>
      <c r="E45" s="49">
        <f>E42+E44</f>
        <v>142079.95000000001</v>
      </c>
      <c r="F45" s="50">
        <f>F42+F44</f>
        <v>149689.40908000001</v>
      </c>
      <c r="G45" s="51"/>
      <c r="H45" s="61">
        <f>H42+H44</f>
        <v>581176.19239999994</v>
      </c>
      <c r="I45" s="51"/>
    </row>
    <row r="46" spans="1:9" s="53" customFormat="1" ht="15.5" x14ac:dyDescent="0.35">
      <c r="A46" s="52"/>
      <c r="B46" s="52"/>
      <c r="C46" s="52"/>
      <c r="D46" s="52"/>
      <c r="E46" s="52"/>
      <c r="F46" s="52"/>
    </row>
    <row r="47" spans="1:9" s="53" customFormat="1" ht="15.5" x14ac:dyDescent="0.35">
      <c r="A47" s="52"/>
      <c r="B47" s="52"/>
      <c r="C47" s="52"/>
      <c r="D47" s="52"/>
      <c r="E47" s="52"/>
      <c r="F47" s="52"/>
    </row>
    <row r="48" spans="1:9" s="53" customFormat="1" ht="15.5" x14ac:dyDescent="0.35">
      <c r="A48" s="52"/>
      <c r="B48" s="52"/>
      <c r="C48" s="52"/>
      <c r="D48" s="52"/>
      <c r="E48" s="52"/>
      <c r="F48" s="52"/>
    </row>
    <row r="49" spans="1:8" s="53" customFormat="1" ht="15" x14ac:dyDescent="0.35">
      <c r="A49" s="88"/>
      <c r="B49" s="88"/>
      <c r="C49" s="88"/>
      <c r="D49" s="88"/>
      <c r="E49" s="88"/>
      <c r="F49" s="88"/>
    </row>
    <row r="50" spans="1:8" s="53" customFormat="1" ht="15" x14ac:dyDescent="0.35">
      <c r="A50" s="88"/>
      <c r="B50" s="88"/>
      <c r="C50" s="88"/>
      <c r="D50" s="88"/>
      <c r="E50" s="88"/>
      <c r="F50" s="88"/>
    </row>
    <row r="51" spans="1:8" s="53" customFormat="1" ht="15.5" x14ac:dyDescent="0.35">
      <c r="A51" s="54"/>
      <c r="B51" s="52"/>
      <c r="C51" s="52"/>
      <c r="D51" s="52"/>
      <c r="E51" s="52"/>
      <c r="F51" s="52"/>
    </row>
    <row r="52" spans="1:8" s="53" customFormat="1" ht="15.5" x14ac:dyDescent="0.35">
      <c r="A52" s="52"/>
      <c r="B52" s="52"/>
      <c r="C52" s="52"/>
      <c r="D52" s="52"/>
      <c r="E52" s="52"/>
      <c r="F52" s="52"/>
      <c r="H52" s="67"/>
    </row>
    <row r="53" spans="1:8" s="53" customFormat="1" ht="15.5" x14ac:dyDescent="0.35">
      <c r="A53" s="52"/>
      <c r="B53" s="52"/>
      <c r="C53" s="52"/>
      <c r="D53" s="52"/>
      <c r="E53" s="52"/>
      <c r="F53" s="52"/>
    </row>
    <row r="54" spans="1:8" s="53" customFormat="1" ht="15.5" x14ac:dyDescent="0.35">
      <c r="A54" s="52"/>
      <c r="B54" s="52"/>
      <c r="C54" s="52"/>
      <c r="D54" s="52"/>
      <c r="E54" s="52"/>
      <c r="F54" s="52"/>
    </row>
    <row r="55" spans="1:8" s="53" customFormat="1" ht="15.5" x14ac:dyDescent="0.35">
      <c r="A55" s="54"/>
      <c r="B55" s="52"/>
      <c r="C55" s="52"/>
      <c r="D55" s="52"/>
      <c r="E55" s="52"/>
      <c r="F55" s="52"/>
    </row>
    <row r="56" spans="1:8" s="53" customFormat="1" ht="15.5" x14ac:dyDescent="0.35">
      <c r="A56" s="52"/>
      <c r="B56" s="52"/>
      <c r="C56" s="52"/>
      <c r="D56" s="52"/>
      <c r="E56" s="52"/>
      <c r="F56" s="52"/>
    </row>
    <row r="57" spans="1:8" s="53" customFormat="1" ht="15.5" x14ac:dyDescent="0.35">
      <c r="A57" s="52"/>
      <c r="B57" s="52"/>
      <c r="C57" s="52"/>
      <c r="D57" s="52"/>
      <c r="E57" s="52"/>
      <c r="F57" s="52"/>
      <c r="G57" s="67"/>
    </row>
    <row r="58" spans="1:8" s="53" customFormat="1" ht="15.5" x14ac:dyDescent="0.35">
      <c r="A58" s="52"/>
      <c r="B58" s="52"/>
      <c r="C58" s="52"/>
      <c r="D58" s="52"/>
      <c r="E58" s="52"/>
      <c r="F58" s="52"/>
    </row>
    <row r="59" spans="1:8" s="53" customFormat="1" ht="15.5" x14ac:dyDescent="0.35">
      <c r="A59" s="54"/>
      <c r="B59" s="52"/>
      <c r="C59" s="52"/>
      <c r="D59" s="52"/>
      <c r="E59" s="52"/>
      <c r="F59" s="52"/>
    </row>
    <row r="60" spans="1:8" s="53" customFormat="1" ht="15.5" x14ac:dyDescent="0.35">
      <c r="A60" s="52"/>
      <c r="B60" s="52"/>
      <c r="C60" s="52"/>
      <c r="D60" s="52"/>
      <c r="E60" s="52"/>
      <c r="F60" s="52"/>
    </row>
    <row r="61" spans="1:8" s="53" customFormat="1" ht="15.5" x14ac:dyDescent="0.35">
      <c r="A61" s="52"/>
      <c r="B61" s="52"/>
      <c r="C61" s="52"/>
      <c r="D61" s="52"/>
      <c r="E61" s="52"/>
      <c r="F61" s="52"/>
    </row>
    <row r="62" spans="1:8" s="53" customFormat="1" ht="15.5" x14ac:dyDescent="0.35">
      <c r="A62" s="52"/>
      <c r="B62" s="52"/>
      <c r="C62" s="52"/>
      <c r="D62" s="52"/>
      <c r="E62" s="52"/>
      <c r="F62" s="52"/>
    </row>
    <row r="63" spans="1:8" s="53" customFormat="1" ht="15" x14ac:dyDescent="0.35">
      <c r="A63" s="88"/>
      <c r="B63" s="88"/>
      <c r="C63" s="88"/>
      <c r="D63" s="88"/>
      <c r="E63" s="88"/>
      <c r="F63" s="88"/>
    </row>
    <row r="64" spans="1:8" s="53" customFormat="1" ht="70.5" customHeight="1" x14ac:dyDescent="0.35">
      <c r="A64" s="52"/>
      <c r="B64" s="54"/>
      <c r="C64" s="54"/>
      <c r="D64" s="54"/>
      <c r="E64" s="54"/>
      <c r="F64" s="54"/>
    </row>
    <row r="65" spans="1:6" s="53" customFormat="1" ht="50.25" customHeight="1" x14ac:dyDescent="0.35">
      <c r="A65" s="52"/>
      <c r="B65" s="54"/>
      <c r="C65" s="54"/>
      <c r="D65" s="54"/>
      <c r="E65" s="54"/>
      <c r="F65" s="54"/>
    </row>
    <row r="66" spans="1:6" s="53" customFormat="1" ht="36" customHeight="1" x14ac:dyDescent="0.35">
      <c r="A66" s="52"/>
      <c r="B66" s="52"/>
      <c r="C66" s="52"/>
      <c r="D66" s="52"/>
      <c r="E66" s="52"/>
      <c r="F66" s="52"/>
    </row>
    <row r="67" spans="1:6" s="53" customFormat="1" ht="15" x14ac:dyDescent="0.35">
      <c r="A67" s="88"/>
      <c r="B67" s="88"/>
      <c r="C67" s="88"/>
      <c r="D67" s="88"/>
      <c r="E67" s="88"/>
      <c r="F67" s="88"/>
    </row>
    <row r="68" spans="1:6" s="53" customFormat="1" ht="15.5" x14ac:dyDescent="0.35">
      <c r="A68" s="93"/>
      <c r="B68" s="93"/>
      <c r="C68" s="93"/>
      <c r="D68" s="93"/>
      <c r="E68" s="93"/>
      <c r="F68" s="93"/>
    </row>
    <row r="69" spans="1:6" s="53" customFormat="1" ht="15" x14ac:dyDescent="0.35">
      <c r="A69" s="88"/>
      <c r="B69" s="88"/>
      <c r="C69" s="88"/>
      <c r="D69" s="88"/>
      <c r="E69" s="88"/>
      <c r="F69" s="88"/>
    </row>
    <row r="75" spans="1:6" ht="25.5" customHeight="1" x14ac:dyDescent="0.35"/>
  </sheetData>
  <mergeCells count="11">
    <mergeCell ref="A69:F69"/>
    <mergeCell ref="D7:F7"/>
    <mergeCell ref="A9:I9"/>
    <mergeCell ref="A22:I22"/>
    <mergeCell ref="A23:I23"/>
    <mergeCell ref="A38:I38"/>
    <mergeCell ref="A49:F49"/>
    <mergeCell ref="A50:F50"/>
    <mergeCell ref="A63:F63"/>
    <mergeCell ref="A67:F67"/>
    <mergeCell ref="A68:F68"/>
  </mergeCells>
  <pageMargins left="0.7" right="0.7" top="0.75" bottom="0.75" header="0.3" footer="0.3"/>
  <pageSetup scale="74" orientation="landscape" r:id="rId1"/>
  <rowBreaks count="2" manualBreakCount="2">
    <brk id="35" max="16383" man="1"/>
    <brk id="7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8"/>
  <sheetViews>
    <sheetView tabSelected="1" topLeftCell="C1" zoomScale="80" zoomScaleNormal="80" workbookViewId="0">
      <selection activeCell="M10" sqref="M10"/>
    </sheetView>
  </sheetViews>
  <sheetFormatPr baseColWidth="10" defaultColWidth="9.1796875" defaultRowHeight="14.5" x14ac:dyDescent="0.35"/>
  <cols>
    <col min="1" max="1" width="16.453125" customWidth="1"/>
    <col min="2" max="3" width="9.81640625" bestFit="1" customWidth="1"/>
    <col min="4" max="4" width="11.453125" customWidth="1"/>
    <col min="5" max="6" width="9.81640625" bestFit="1" customWidth="1"/>
    <col min="7" max="7" width="12.54296875" customWidth="1"/>
    <col min="8" max="8" width="15.54296875" customWidth="1"/>
    <col min="9" max="9" width="9.1796875" customWidth="1"/>
    <col min="10" max="10" width="13.453125" customWidth="1"/>
    <col min="11" max="11" width="10.54296875" customWidth="1"/>
    <col min="12" max="12" width="9.1796875" customWidth="1"/>
    <col min="13" max="13" width="10.26953125" customWidth="1"/>
    <col min="14" max="14" width="10.26953125" bestFit="1" customWidth="1"/>
    <col min="15" max="16" width="15" customWidth="1"/>
    <col min="17" max="17" width="17.54296875" customWidth="1"/>
    <col min="19" max="19" width="10.26953125" bestFit="1" customWidth="1"/>
    <col min="21" max="21" width="9.1796875" customWidth="1"/>
    <col min="26" max="26" width="13.1796875" customWidth="1"/>
  </cols>
  <sheetData>
    <row r="1" spans="1:17" ht="15.5" x14ac:dyDescent="0.35">
      <c r="H1" s="1" t="s">
        <v>87</v>
      </c>
      <c r="I1" s="1"/>
      <c r="J1" s="1"/>
    </row>
    <row r="2" spans="1:17" x14ac:dyDescent="0.35">
      <c r="H2" s="2"/>
      <c r="I2" s="2"/>
      <c r="J2" s="2"/>
    </row>
    <row r="3" spans="1:17" x14ac:dyDescent="0.35">
      <c r="H3" s="2" t="s">
        <v>38</v>
      </c>
      <c r="I3" s="2"/>
      <c r="J3" s="2"/>
    </row>
    <row r="5" spans="1:17" x14ac:dyDescent="0.35">
      <c r="B5" s="95" t="s">
        <v>93</v>
      </c>
      <c r="C5" s="95"/>
      <c r="D5" s="95"/>
      <c r="E5" s="95"/>
      <c r="F5" s="95"/>
      <c r="G5" s="95"/>
      <c r="H5" s="95" t="s">
        <v>94</v>
      </c>
      <c r="I5" s="95"/>
      <c r="J5" s="95"/>
      <c r="K5" s="95"/>
      <c r="L5" s="95" t="s">
        <v>98</v>
      </c>
      <c r="M5" s="95"/>
      <c r="N5" s="95"/>
      <c r="O5" s="95"/>
      <c r="P5" s="95"/>
      <c r="Q5" s="95"/>
    </row>
    <row r="6" spans="1:17" ht="26.25" customHeight="1" x14ac:dyDescent="0.35">
      <c r="A6" s="94" t="s">
        <v>1</v>
      </c>
      <c r="B6" s="94" t="s">
        <v>54</v>
      </c>
      <c r="C6" s="94"/>
      <c r="D6" s="94"/>
      <c r="E6" s="69" t="s">
        <v>57</v>
      </c>
      <c r="F6" s="69" t="s">
        <v>58</v>
      </c>
      <c r="G6" s="94" t="s">
        <v>39</v>
      </c>
      <c r="H6" s="94" t="s">
        <v>54</v>
      </c>
      <c r="I6" s="94" t="s">
        <v>57</v>
      </c>
      <c r="J6" s="94" t="s">
        <v>58</v>
      </c>
      <c r="K6" s="94" t="s">
        <v>39</v>
      </c>
      <c r="L6" s="94" t="s">
        <v>95</v>
      </c>
      <c r="M6" s="94" t="s">
        <v>96</v>
      </c>
      <c r="N6" s="94" t="s">
        <v>88</v>
      </c>
      <c r="O6" s="94" t="s">
        <v>89</v>
      </c>
      <c r="P6" s="96" t="s">
        <v>100</v>
      </c>
      <c r="Q6" s="94" t="s">
        <v>99</v>
      </c>
    </row>
    <row r="7" spans="1:17" ht="39" customHeight="1" x14ac:dyDescent="0.35">
      <c r="A7" s="94"/>
      <c r="B7" s="70" t="s">
        <v>90</v>
      </c>
      <c r="C7" s="70" t="s">
        <v>91</v>
      </c>
      <c r="D7" s="70" t="s">
        <v>97</v>
      </c>
      <c r="E7" s="70" t="s">
        <v>92</v>
      </c>
      <c r="F7" s="70" t="s">
        <v>92</v>
      </c>
      <c r="G7" s="94"/>
      <c r="H7" s="94"/>
      <c r="I7" s="94"/>
      <c r="J7" s="94"/>
      <c r="K7" s="94"/>
      <c r="L7" s="94"/>
      <c r="M7" s="94"/>
      <c r="N7" s="94"/>
      <c r="O7" s="94"/>
      <c r="P7" s="97"/>
      <c r="Q7" s="94"/>
    </row>
    <row r="8" spans="1:17" ht="64.5" customHeight="1" x14ac:dyDescent="0.35">
      <c r="A8" s="71" t="s">
        <v>40</v>
      </c>
      <c r="B8" s="80">
        <v>88774.98</v>
      </c>
      <c r="C8" s="80">
        <v>38046.42</v>
      </c>
      <c r="D8" s="80">
        <f>B8+C8</f>
        <v>126821.4</v>
      </c>
      <c r="E8" s="81">
        <v>30000</v>
      </c>
      <c r="F8" s="80">
        <v>29295.144</v>
      </c>
      <c r="G8" s="80">
        <f>D8+E8+F8</f>
        <v>186116.54399999999</v>
      </c>
      <c r="H8" s="80">
        <v>49114</v>
      </c>
      <c r="I8" s="80">
        <v>0</v>
      </c>
      <c r="J8" s="80">
        <v>2944</v>
      </c>
      <c r="K8" s="82">
        <f t="shared" ref="K8:K12" si="0">H8+I8+J8</f>
        <v>52058</v>
      </c>
      <c r="L8" s="72">
        <f>H8/D8</f>
        <v>0.38726902557454818</v>
      </c>
      <c r="M8" s="73">
        <f>H8/88775</f>
        <v>0.55324134046747397</v>
      </c>
      <c r="N8" s="73">
        <v>0</v>
      </c>
      <c r="O8" s="73">
        <f>J8/29295</f>
        <v>0.10049496501109405</v>
      </c>
      <c r="P8" s="73">
        <f>K8/G8</f>
        <v>0.27970646177483288</v>
      </c>
      <c r="Q8" s="72">
        <f>K8/(B8+E8+F8)</f>
        <v>0.35157666241975993</v>
      </c>
    </row>
    <row r="9" spans="1:17" ht="115.5" customHeight="1" x14ac:dyDescent="0.35">
      <c r="A9" s="71" t="s">
        <v>41</v>
      </c>
      <c r="B9" s="80">
        <v>2450</v>
      </c>
      <c r="C9" s="80">
        <v>1050</v>
      </c>
      <c r="D9" s="80">
        <f t="shared" ref="D9:D17" si="1">B9+C9</f>
        <v>3500</v>
      </c>
      <c r="E9" s="81">
        <v>4235</v>
      </c>
      <c r="F9" s="80">
        <v>11812.5</v>
      </c>
      <c r="G9" s="80">
        <f t="shared" ref="G9:G16" si="2">D9+E9+F9</f>
        <v>19547.5</v>
      </c>
      <c r="H9" s="80">
        <v>618</v>
      </c>
      <c r="I9" s="80">
        <v>0</v>
      </c>
      <c r="J9" s="80">
        <v>0</v>
      </c>
      <c r="K9" s="82">
        <f>H9+I10+J9</f>
        <v>618</v>
      </c>
      <c r="L9" s="72">
        <f t="shared" ref="L9:L17" si="3">H9/D9</f>
        <v>0.17657142857142857</v>
      </c>
      <c r="M9" s="73">
        <f>H9/2450</f>
        <v>0.2522448979591837</v>
      </c>
      <c r="N9" s="73">
        <v>0</v>
      </c>
      <c r="O9" s="73">
        <f>J9/11813</f>
        <v>0</v>
      </c>
      <c r="P9" s="73">
        <f t="shared" ref="P9:P17" si="4">K9/G9</f>
        <v>3.1615296073666713E-2</v>
      </c>
      <c r="Q9" s="72">
        <f t="shared" ref="Q9:Q17" si="5">K9/(B9+E9+F9)</f>
        <v>3.3409920259494526E-2</v>
      </c>
    </row>
    <row r="10" spans="1:17" ht="51.75" customHeight="1" x14ac:dyDescent="0.35">
      <c r="A10" s="71" t="s">
        <v>42</v>
      </c>
      <c r="B10" s="80">
        <v>2590</v>
      </c>
      <c r="C10" s="80">
        <v>1110</v>
      </c>
      <c r="D10" s="80">
        <f t="shared" si="1"/>
        <v>3700</v>
      </c>
      <c r="E10" s="81">
        <v>27100</v>
      </c>
      <c r="F10" s="80">
        <v>3700</v>
      </c>
      <c r="G10" s="80">
        <f t="shared" si="2"/>
        <v>34500</v>
      </c>
      <c r="H10" s="80">
        <v>2522</v>
      </c>
      <c r="I10" s="80">
        <v>0</v>
      </c>
      <c r="J10" s="80">
        <v>0</v>
      </c>
      <c r="K10" s="82">
        <f>H10+I10+J10</f>
        <v>2522</v>
      </c>
      <c r="L10" s="72">
        <f t="shared" si="3"/>
        <v>0.68162162162162165</v>
      </c>
      <c r="M10" s="73">
        <f>H10/2590</f>
        <v>0.97374517374517378</v>
      </c>
      <c r="N10" s="73">
        <v>0</v>
      </c>
      <c r="O10" s="73">
        <v>0</v>
      </c>
      <c r="P10" s="73">
        <f t="shared" si="4"/>
        <v>7.3101449275362315E-2</v>
      </c>
      <c r="Q10" s="72">
        <f t="shared" si="5"/>
        <v>7.5531596286313271E-2</v>
      </c>
    </row>
    <row r="11" spans="1:17" ht="26.25" customHeight="1" x14ac:dyDescent="0.35">
      <c r="A11" s="71" t="s">
        <v>43</v>
      </c>
      <c r="B11" s="80">
        <v>10150</v>
      </c>
      <c r="C11" s="80">
        <v>4350</v>
      </c>
      <c r="D11" s="80">
        <f t="shared" si="1"/>
        <v>14500</v>
      </c>
      <c r="E11" s="81">
        <v>54600</v>
      </c>
      <c r="F11" s="80">
        <v>65604</v>
      </c>
      <c r="G11" s="80">
        <f t="shared" si="2"/>
        <v>134704</v>
      </c>
      <c r="H11" s="80">
        <v>4873</v>
      </c>
      <c r="I11" s="80">
        <v>46124</v>
      </c>
      <c r="J11" s="80">
        <v>34919.120000000003</v>
      </c>
      <c r="K11" s="82">
        <f>H11+I11+J11</f>
        <v>85916.12</v>
      </c>
      <c r="L11" s="72">
        <f t="shared" si="3"/>
        <v>0.33606896551724136</v>
      </c>
      <c r="M11" s="73">
        <f>H11/10150</f>
        <v>0.48009852216748766</v>
      </c>
      <c r="N11" s="73">
        <f>I11/54600</f>
        <v>0.84476190476190471</v>
      </c>
      <c r="O11" s="73">
        <f>J11/45923</f>
        <v>0.76038412124643429</v>
      </c>
      <c r="P11" s="73">
        <f t="shared" si="4"/>
        <v>0.63781417032901766</v>
      </c>
      <c r="Q11" s="72">
        <f t="shared" si="5"/>
        <v>0.6590984549764487</v>
      </c>
    </row>
    <row r="12" spans="1:17" ht="77.25" customHeight="1" x14ac:dyDescent="0.35">
      <c r="A12" s="71" t="s">
        <v>44</v>
      </c>
      <c r="B12" s="80">
        <v>1526</v>
      </c>
      <c r="C12" s="80">
        <v>654</v>
      </c>
      <c r="D12" s="80">
        <f t="shared" si="1"/>
        <v>2180</v>
      </c>
      <c r="E12" s="81">
        <v>3600</v>
      </c>
      <c r="F12" s="80">
        <v>8000</v>
      </c>
      <c r="G12" s="80">
        <f t="shared" si="2"/>
        <v>13780</v>
      </c>
      <c r="H12" s="80">
        <v>0</v>
      </c>
      <c r="I12" s="80">
        <v>0</v>
      </c>
      <c r="J12" s="80">
        <v>0</v>
      </c>
      <c r="K12" s="82">
        <f t="shared" si="0"/>
        <v>0</v>
      </c>
      <c r="L12" s="72">
        <f t="shared" si="3"/>
        <v>0</v>
      </c>
      <c r="M12" s="73">
        <v>0</v>
      </c>
      <c r="N12" s="73">
        <v>0</v>
      </c>
      <c r="O12" s="73">
        <f>J12/8000</f>
        <v>0</v>
      </c>
      <c r="P12" s="73">
        <f t="shared" si="4"/>
        <v>0</v>
      </c>
      <c r="Q12" s="72">
        <f t="shared" si="5"/>
        <v>0</v>
      </c>
    </row>
    <row r="13" spans="1:17" ht="64.5" customHeight="1" x14ac:dyDescent="0.35">
      <c r="A13" s="71" t="s">
        <v>45</v>
      </c>
      <c r="B13" s="80">
        <v>675586.8</v>
      </c>
      <c r="C13" s="80">
        <v>289537.2</v>
      </c>
      <c r="D13" s="80">
        <f t="shared" si="1"/>
        <v>965124</v>
      </c>
      <c r="E13" s="81">
        <v>7250</v>
      </c>
      <c r="F13" s="80">
        <v>15985</v>
      </c>
      <c r="G13" s="80">
        <f t="shared" si="2"/>
        <v>988359</v>
      </c>
      <c r="H13" s="80">
        <f>359976+35860+1501</f>
        <v>397337</v>
      </c>
      <c r="I13" s="80">
        <v>0</v>
      </c>
      <c r="J13" s="80">
        <v>0</v>
      </c>
      <c r="K13" s="82">
        <f>H13+I13+J13</f>
        <v>397337</v>
      </c>
      <c r="L13" s="72">
        <f t="shared" si="3"/>
        <v>0.411695284750975</v>
      </c>
      <c r="M13" s="73">
        <f>H13/675587</f>
        <v>0.58813594696167926</v>
      </c>
      <c r="N13" s="73">
        <v>0</v>
      </c>
      <c r="O13" s="73">
        <f>J13/15985</f>
        <v>0</v>
      </c>
      <c r="P13" s="73">
        <f t="shared" si="4"/>
        <v>0.4020168784824138</v>
      </c>
      <c r="Q13" s="72">
        <f t="shared" si="5"/>
        <v>0.56858128924999185</v>
      </c>
    </row>
    <row r="14" spans="1:17" ht="39" customHeight="1" x14ac:dyDescent="0.35">
      <c r="A14" s="71" t="s">
        <v>46</v>
      </c>
      <c r="B14" s="80">
        <v>7315</v>
      </c>
      <c r="C14" s="80">
        <v>3135</v>
      </c>
      <c r="D14" s="80">
        <f t="shared" si="1"/>
        <v>10450</v>
      </c>
      <c r="E14" s="81">
        <v>6000</v>
      </c>
      <c r="F14" s="80">
        <v>5500</v>
      </c>
      <c r="G14" s="80">
        <f t="shared" si="2"/>
        <v>21950</v>
      </c>
      <c r="H14" s="80">
        <f>2112+160</f>
        <v>2272</v>
      </c>
      <c r="I14" s="80">
        <v>1010</v>
      </c>
      <c r="J14" s="83">
        <v>1421.32</v>
      </c>
      <c r="K14" s="82">
        <f>H14+I14+J14</f>
        <v>4703.32</v>
      </c>
      <c r="L14" s="72">
        <f t="shared" si="3"/>
        <v>0.21741626794258373</v>
      </c>
      <c r="M14" s="73">
        <f>H14/7315</f>
        <v>0.31059466848940531</v>
      </c>
      <c r="N14" s="73">
        <f>I14/7250</f>
        <v>0.1393103448275862</v>
      </c>
      <c r="O14" s="74">
        <f>J14/5500</f>
        <v>0.2584218181818182</v>
      </c>
      <c r="P14" s="73">
        <f t="shared" si="4"/>
        <v>0.21427425968109337</v>
      </c>
      <c r="Q14" s="72">
        <f t="shared" si="5"/>
        <v>0.24997714589423331</v>
      </c>
    </row>
    <row r="15" spans="1:17" x14ac:dyDescent="0.35">
      <c r="A15" s="75" t="s">
        <v>47</v>
      </c>
      <c r="B15" s="84">
        <f>SUM(B8:B14)</f>
        <v>788392.78</v>
      </c>
      <c r="C15" s="84">
        <f>SUM(C8:C14)</f>
        <v>337882.62</v>
      </c>
      <c r="D15" s="80">
        <f t="shared" si="1"/>
        <v>1126275.3999999999</v>
      </c>
      <c r="E15" s="85">
        <f>SUM(E8:E14)</f>
        <v>132785</v>
      </c>
      <c r="F15" s="86">
        <f>SUM(F8:F14)</f>
        <v>139896.644</v>
      </c>
      <c r="G15" s="80">
        <f t="shared" si="2"/>
        <v>1398957.044</v>
      </c>
      <c r="H15" s="84">
        <f>H8+H9+H10+H11+H12+H13+H14</f>
        <v>456736</v>
      </c>
      <c r="I15" s="84">
        <f>SUM(I8:I14)</f>
        <v>47134</v>
      </c>
      <c r="J15" s="84">
        <f>SUM(J8:J14)</f>
        <v>39284.44</v>
      </c>
      <c r="K15" s="79">
        <f>SUM(K8:K14)</f>
        <v>543154.43999999994</v>
      </c>
      <c r="L15" s="72">
        <f t="shared" si="3"/>
        <v>0.40552781317961845</v>
      </c>
      <c r="M15" s="76">
        <f>H15/788393</f>
        <v>0.57932528573947262</v>
      </c>
      <c r="N15" s="76">
        <f>I15/132785</f>
        <v>0.35496479271001996</v>
      </c>
      <c r="O15" s="76">
        <f>J15/139897</f>
        <v>0.28080973859339375</v>
      </c>
      <c r="P15" s="73">
        <f t="shared" si="4"/>
        <v>0.38825669617915726</v>
      </c>
      <c r="Q15" s="72">
        <f t="shared" si="5"/>
        <v>0.51189099248329439</v>
      </c>
    </row>
    <row r="16" spans="1:17" ht="15.75" customHeight="1" x14ac:dyDescent="0.35">
      <c r="A16" s="71" t="s">
        <v>48</v>
      </c>
      <c r="B16" s="80">
        <f>B15*0.07</f>
        <v>55187.494600000005</v>
      </c>
      <c r="C16" s="80">
        <f>C15*0.07</f>
        <v>23651.7834</v>
      </c>
      <c r="D16" s="80">
        <f t="shared" si="1"/>
        <v>78839.278000000006</v>
      </c>
      <c r="E16" s="87">
        <f>E15*0.07</f>
        <v>9294.9500000000007</v>
      </c>
      <c r="F16" s="87">
        <f>F15*0.07</f>
        <v>9792.765080000001</v>
      </c>
      <c r="G16" s="80">
        <f t="shared" si="2"/>
        <v>97926.99308</v>
      </c>
      <c r="H16" s="80">
        <f>H15*0.07</f>
        <v>31971.520000000004</v>
      </c>
      <c r="I16" s="80">
        <f>I15*0.07</f>
        <v>3299.38</v>
      </c>
      <c r="J16" s="80">
        <f>J15*0.07</f>
        <v>2749.9108000000006</v>
      </c>
      <c r="K16" s="82">
        <f>K15*0.07</f>
        <v>38020.810799999999</v>
      </c>
      <c r="L16" s="72">
        <f t="shared" si="3"/>
        <v>0.40552781317961845</v>
      </c>
      <c r="M16" s="73">
        <f>H16/55187</f>
        <v>0.57933063946219221</v>
      </c>
      <c r="N16" s="73">
        <f>N15*0.07</f>
        <v>2.4847535489701398E-2</v>
      </c>
      <c r="O16" s="73">
        <f>J16/9793</f>
        <v>0.28080371694067197</v>
      </c>
      <c r="P16" s="73">
        <f t="shared" si="4"/>
        <v>0.38825669617915731</v>
      </c>
      <c r="Q16" s="72">
        <f t="shared" si="5"/>
        <v>0.5118909924832945</v>
      </c>
    </row>
    <row r="17" spans="1:17" x14ac:dyDescent="0.35">
      <c r="A17" s="75" t="s">
        <v>2</v>
      </c>
      <c r="B17" s="84">
        <f>B15+B16</f>
        <v>843580.2746</v>
      </c>
      <c r="C17" s="84">
        <f>C15+C16</f>
        <v>361534.40340000001</v>
      </c>
      <c r="D17" s="80">
        <f t="shared" si="1"/>
        <v>1205114.6780000001</v>
      </c>
      <c r="E17" s="85">
        <f>E15+E16</f>
        <v>142079.95000000001</v>
      </c>
      <c r="F17" s="86">
        <f>F15+F16</f>
        <v>149689.40908000001</v>
      </c>
      <c r="G17" s="80">
        <f>D17+E17+F17</f>
        <v>1496884.0370800002</v>
      </c>
      <c r="H17" s="79">
        <f>H15+H16</f>
        <v>488707.52</v>
      </c>
      <c r="I17" s="79">
        <f>I15+I16</f>
        <v>50433.38</v>
      </c>
      <c r="J17" s="79">
        <f>J15+J16</f>
        <v>42034.3508</v>
      </c>
      <c r="K17" s="79">
        <f>K15+K16</f>
        <v>581175.25079999992</v>
      </c>
      <c r="L17" s="72">
        <f t="shared" si="3"/>
        <v>0.40552781317961839</v>
      </c>
      <c r="M17" s="77">
        <f>H17/843580</f>
        <v>0.57932563597999009</v>
      </c>
      <c r="N17" s="77">
        <f>N15+N16</f>
        <v>0.37981232819972138</v>
      </c>
      <c r="O17" s="77">
        <f>J17/149689</f>
        <v>0.2808112205973719</v>
      </c>
      <c r="P17" s="73">
        <f t="shared" si="4"/>
        <v>0.3882566961791572</v>
      </c>
      <c r="Q17" s="72">
        <f t="shared" si="5"/>
        <v>0.51189099248329439</v>
      </c>
    </row>
    <row r="18" spans="1:17" x14ac:dyDescent="0.35">
      <c r="M18" s="55"/>
    </row>
  </sheetData>
  <mergeCells count="16">
    <mergeCell ref="N6:N7"/>
    <mergeCell ref="O6:O7"/>
    <mergeCell ref="Q6:Q7"/>
    <mergeCell ref="L6:L7"/>
    <mergeCell ref="H5:K5"/>
    <mergeCell ref="L5:Q5"/>
    <mergeCell ref="J6:J7"/>
    <mergeCell ref="K6:K7"/>
    <mergeCell ref="M6:M7"/>
    <mergeCell ref="P6:P7"/>
    <mergeCell ref="A6:A7"/>
    <mergeCell ref="G6:G7"/>
    <mergeCell ref="B5:G5"/>
    <mergeCell ref="H6:H7"/>
    <mergeCell ref="I6:I7"/>
    <mergeCell ref="B6:D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90A70FB3864C148A3B3689260E89F9D" ma:contentTypeVersion="11" ma:contentTypeDescription="Create a new document." ma:contentTypeScope="" ma:versionID="0ac854308dd1b5fabf70d9c628508b9f">
  <xsd:schema xmlns:xsd="http://www.w3.org/2001/XMLSchema" xmlns:xs="http://www.w3.org/2001/XMLSchema" xmlns:p="http://schemas.microsoft.com/office/2006/metadata/properties" xmlns:ns3="d15c7c35-91e9-474c-9186-3308dd64e93f" xmlns:ns4="42dca521-ea1d-480c-8d4d-1191d9c81025" targetNamespace="http://schemas.microsoft.com/office/2006/metadata/properties" ma:root="true" ma:fieldsID="6df4bf7e8d4fc311f881f31d77382ddf" ns3:_="" ns4:_="">
    <xsd:import namespace="d15c7c35-91e9-474c-9186-3308dd64e93f"/>
    <xsd:import namespace="42dca521-ea1d-480c-8d4d-1191d9c8102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5c7c35-91e9-474c-9186-3308dd64e9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dca521-ea1d-480c-8d4d-1191d9c8102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3C8E64F-FA84-4A8F-A647-F975F62661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5c7c35-91e9-474c-9186-3308dd64e93f"/>
    <ds:schemaRef ds:uri="42dca521-ea1d-480c-8d4d-1191d9c810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CAA0C96-D641-457C-A24F-FDDE89FC1D0C}">
  <ds:schemaRefs>
    <ds:schemaRef ds:uri="http://schemas.microsoft.com/sharepoint/v3/contenttype/forms"/>
  </ds:schemaRefs>
</ds:datastoreItem>
</file>

<file path=customXml/itemProps3.xml><?xml version="1.0" encoding="utf-8"?>
<ds:datastoreItem xmlns:ds="http://schemas.openxmlformats.org/officeDocument/2006/customXml" ds:itemID="{2415C16C-E091-445F-ACED-C389F0F0B476}">
  <ds:schemaRefs>
    <ds:schemaRef ds:uri="http://purl.org/dc/terms/"/>
    <ds:schemaRef ds:uri="42dca521-ea1d-480c-8d4d-1191d9c81025"/>
    <ds:schemaRef ds:uri="d15c7c35-91e9-474c-9186-3308dd64e93f"/>
    <ds:schemaRef ds:uri="http://schemas.microsoft.com/office/infopath/2007/PartnerControls"/>
    <ds:schemaRef ds:uri="http://www.w3.org/XML/1998/namespace"/>
    <ds:schemaRef ds:uri="http://schemas.microsoft.com/office/2006/metadata/properties"/>
    <ds:schemaRef ds:uri="http://schemas.microsoft.com/office/2006/documentManagement/types"/>
    <ds:schemaRef ds:uri="http://purl.org/dc/dcmitype/"/>
    <ds:schemaRef ds:uri="http://purl.org/dc/elements/1.1/"/>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Jelena Zelenovic</dc:creator>
  <cp:lastModifiedBy>Marie.Nardoux</cp:lastModifiedBy>
  <cp:lastPrinted>2017-12-11T22:51:21Z</cp:lastPrinted>
  <dcterms:created xsi:type="dcterms:W3CDTF">2017-11-15T21:17:43Z</dcterms:created>
  <dcterms:modified xsi:type="dcterms:W3CDTF">2019-11-15T06:08:13Z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0x010100E90A70FB3864C148A3B3689260E89F9D</vt:lpwstr>
  </property>
</Properties>
</file>