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bookViews>
    <workbookView xWindow="0" yWindow="0" windowWidth="0" windowHeight="0" activeTab="1"/>
  </bookViews>
  <sheets>
    <sheet name="Sheet1" sheetId="1" r:id="rId1"/>
    <sheet name="Sheet2" sheetId="2" r:id="rId2"/>
  </sheets>
  <definedNames/>
  <calcPr calcId="171027"/>
</workbook>
</file>

<file path=xl/comments2.xml><?xml version="1.0" encoding="utf-8"?>
<comments xmlns="http://schemas.openxmlformats.org/spreadsheetml/2006/main">
  <authors>
    <author>IOM Madagascar - Giacomo</author>
  </authors>
  <commentList>
    <comment ref="C7" authorId="0">
      <text>
        <r>
          <rPr>
            <b/>
            <sz val="9"/>
            <rFont val="Tahoma"/>
            <family val="2"/>
          </rPr>
          <t>IOM Madagascar - Giacomo:</t>
        </r>
        <r>
          <rPr>
            <sz val="9"/>
            <rFont val="Tahoma"/>
            <family val="2"/>
          </rPr>
          <t xml:space="preserve">
This amount is inferior to the one indicated in the January report. Budget belonging to the 1st budget line were wrongly chargerd on the 2nd budget line</t>
        </r>
      </text>
    </comment>
    <comment ref="C10" authorId="0">
      <text>
        <r>
          <rPr>
            <b/>
            <sz val="9"/>
            <rFont val="Tahoma"/>
            <family val="2"/>
          </rPr>
          <t>IOM Madagascar - Giacomo:</t>
        </r>
        <r>
          <rPr>
            <sz val="9"/>
            <rFont val="Tahoma"/>
            <family val="2"/>
          </rPr>
          <t xml:space="preserve">
This amount is inferior to the one indicated in the January report. Budget belonging to the 1st budget line were wrongly chargerd on the 5th budget line</t>
        </r>
      </text>
    </comment>
  </commentList>
</comments>
</file>

<file path=xl/sharedStrings.xml><?xml version="1.0" encoding="utf-8"?>
<sst xmlns="http://schemas.openxmlformats.org/spreadsheetml/2006/main" count="165" uniqueCount="165">
  <si>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</si>
  <si>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</si>
  <si>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</si>
  <si>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</si>
  <si>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</si>
  <si>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>Budget par agence recipiendiaire en USD: PNUD</t>
  </si>
  <si>
    <t>Budget par agence recipiendiaire en USD: OIM</t>
  </si>
  <si>
    <t>Budget par agence recipiendiaire en USD: UNICEF</t>
  </si>
  <si>
    <t>Budget par agence recipiendiaire en USD: OHCHR</t>
  </si>
  <si>
    <t>Budget par agence recipiendiaire en USD: UNFPA</t>
  </si>
  <si>
    <t>Pourcentage du budget pour chaque produit ou activite reserve pour action directe sur le genre (cas echeant)</t>
  </si>
  <si>
    <t>Notes quelconque le cas echeant (.e.g sur types des entrants ou justification du budget)</t>
  </si>
  <si>
    <t>Resultat 1: Une vision de la RSS est développée de manière participative, tournée vers la protection des biens et des personnes, et traduite dans des plans d’action inclusifs et réalistes</t>
  </si>
  <si>
    <t>Produit 1.1:</t>
  </si>
  <si>
    <t>Le processus de réforme du secteur de la sécurité dans sa globalité est soutenu techniquement et politiquement, ses enjeux sont compris par les acteurs politiques informés</t>
  </si>
  <si>
    <t>Activite 1.1.1:</t>
  </si>
  <si>
    <t>Appui au CTO-RSS (ou son successeur)</t>
  </si>
  <si>
    <t>Activite 1.1.2:</t>
  </si>
  <si>
    <t>Plaidoyer pour une appropriation efficace de la RSS par les Gouvernants</t>
  </si>
  <si>
    <t>Produit 1.2:</t>
  </si>
  <si>
    <t>Une vision nationale de la sécurité répondant aux réalités des défis sécuritaires sur le territoire malgache est développée et permet une planification et formulation stratégique pour chaque FDS</t>
  </si>
  <si>
    <t>Activite 1.2.1:</t>
  </si>
  <si>
    <t>Revoir les besoins de sécurité du pays</t>
  </si>
  <si>
    <t>Activite 1.2.2:</t>
  </si>
  <si>
    <t>Mener une analyse de la sécurité et de la gestion des frontières</t>
  </si>
  <si>
    <t>Activite 1.2.3:</t>
  </si>
  <si>
    <t>Evaluation et analyse de la législation nationale, des règles et des procédures pour la gestion des armes des FDS et des civils</t>
  </si>
  <si>
    <t>Activité 1.2.4:</t>
  </si>
  <si>
    <t>Harmonisation des textes relatifs à la sécurité communautaire</t>
  </si>
  <si>
    <t>Activité 1.2.5:</t>
  </si>
  <si>
    <t>Faciliter le développement d’une vision nationale de la sécurité</t>
  </si>
  <si>
    <t>Activité 1.2.6:</t>
  </si>
  <si>
    <t>Analyser le système de promotion/sa transparence</t>
  </si>
  <si>
    <t>Activité 1.2.7:</t>
  </si>
  <si>
    <t>Appuyer l’élaboration de plans d’action pour chaque FDS</t>
  </si>
  <si>
    <t>Produit 1.3:</t>
  </si>
  <si>
    <t>La participation et le rôle des femmes dans le secteur de la sécurité sont
Renforcés</t>
  </si>
  <si>
    <t>Activite 1.3.1:</t>
  </si>
  <si>
    <t>Appuyer la réforme des critères de recrutement</t>
  </si>
  <si>
    <t>Activite 1.3.2:</t>
  </si>
  <si>
    <t>Appuyer les associations professionnelles des femmes et les points focaux genre</t>
  </si>
  <si>
    <t>Activite 1.3.3:</t>
  </si>
  <si>
    <t>Développer des lignes directrices relatives aux infrastructures et
réhabiliter une infrastructure pilote</t>
  </si>
  <si>
    <t>TOTAL $ pour Résultat 1:</t>
  </si>
  <si>
    <t>Resultat 2: Les FDS accomplissent leur mandat de manière compétente et professionnelle, grâce au renforcement de leurs compétences et capacités</t>
  </si>
  <si>
    <t>Produit 2.1:</t>
  </si>
  <si>
    <t>Les éléments des FDS sont formés sur les questions d’éthique, déontologie, droits de l’homme, de la femme et des enfants</t>
  </si>
  <si>
    <t>Activite 2.1.1:</t>
  </si>
  <si>
    <t>Appui à la révision et mise à niveau des curricula et des manuels de formations (initiale et continue) des FDS</t>
  </si>
  <si>
    <t>Activite 2.1.2:</t>
  </si>
  <si>
    <t>Formation de deux « Pools de formateurs » pour les formations
initiales et continues sur les questions de Droits de l’Homme</t>
  </si>
  <si>
    <t>Activite 2.1.3:</t>
  </si>
  <si>
    <t>Formation de 14 promotions de FDS sur les questions de droits de
l’homme, et de 300 représentants des FDS en poste</t>
  </si>
  <si>
    <t>Activité 2.1.4:</t>
  </si>
  <si>
    <t>Traduction et vulgarisation du Code Pénal en langue malagasy et
production de manuels de formation</t>
  </si>
  <si>
    <t>Produit 2.2:</t>
  </si>
  <si>
    <t>Les FDS sont sensibilisés et formés sur l’attitude de Police de proximité, pour gérer et traiter avec les citoyens, y compris sur les questions de VBG</t>
  </si>
  <si>
    <t>Activite 2.2.1:</t>
  </si>
  <si>
    <t>Sensibilisation sur le concept de « police de proximité »</t>
  </si>
  <si>
    <t>Activite 2.2.2:</t>
  </si>
  <si>
    <t>Adapter les modules de formation pertinents</t>
  </si>
  <si>
    <t>Produit 2.3:</t>
  </si>
  <si>
    <t>La gestion intégrée des frontières est rendue possible</t>
  </si>
  <si>
    <t>Activite 2.3.1:</t>
  </si>
  <si>
    <t>Sensibilisation aux concepts clés de la gestion intégrée des frontières et mise à disposition des bonnes pratiques</t>
  </si>
  <si>
    <t>Activite 2.3.2:</t>
  </si>
  <si>
    <t>Mise à disposition des infrastructures, des équipements, matériels, et systèmes rendant possible la gestion intégrée de deux espaces frontières pilotes à
Madagascar</t>
  </si>
  <si>
    <t>Activite 2.3.3:</t>
  </si>
  <si>
    <t>Renforcement des capacités des personnels rendant possible la
gestion intégrée de deux espaces frontières pilotes à Madagascar</t>
  </si>
  <si>
    <t>Produit 2.4:</t>
  </si>
  <si>
    <t>Les FDS gèrent plus efficacement leurs stocks d’armes</t>
  </si>
  <si>
    <t>Activité 2.4.1:</t>
  </si>
  <si>
    <t>Formation des FDS responsables du contrôle et de la gestion des
stocks d’armes légères détenues par l’Etat (volet gestion)</t>
  </si>
  <si>
    <t>Activité 2.4.2:</t>
  </si>
  <si>
    <t>Renforcer les capacités des inspecteurs des stocks d’armes (volet contrôle interne)</t>
  </si>
  <si>
    <t>Activité 2.4.3:</t>
  </si>
  <si>
    <t>Mettre à jour les procédures de gestion de stocks d’armes des FDS</t>
  </si>
  <si>
    <t>Activité 2.4.4:</t>
  </si>
  <si>
    <t>Fournir les moyens techniques et les compétences pour un marquage et un enregistrement d’armes selon les standards internationaux (volet traçabilité
et marquage)</t>
  </si>
  <si>
    <t>TOTAL $ pour Resultat 2:</t>
  </si>
  <si>
    <t>Resultat 3: Les mécanismes de contrôle civil et institutionnel sont en place et fonctionnent</t>
  </si>
  <si>
    <t>Produit 3.1:</t>
  </si>
  <si>
    <t>Des mécanismes de contrôle internes aux FDS sont développés et appuyés pour le lancement de leur opérationnalisation</t>
  </si>
  <si>
    <t>Activite 3.1.1:</t>
  </si>
  <si>
    <t>Appuyer le CSED</t>
  </si>
  <si>
    <t>Activite 3.1.2:</t>
  </si>
  <si>
    <t>Evaluer la justice militaire</t>
  </si>
  <si>
    <t>Activite 3.1.3:</t>
  </si>
  <si>
    <t>Elaborer des codes de conduite et d’éthique, et leurs mécanismes</t>
  </si>
  <si>
    <t>Activité 3.1.4:</t>
  </si>
  <si>
    <t>Appuyer la conception d’un mécanisme de dénonciation d’abus</t>
  </si>
  <si>
    <t>Produit 3.2:</t>
  </si>
  <si>
    <t>Les institutions et mécanismes de contrôle étatiques jouent un rôle accru et responsable dans l’exercice de leurs fonctions de contrôle démocratique des forces de défense et de sécurité</t>
  </si>
  <si>
    <t>Activite 3.2.1:</t>
  </si>
  <si>
    <t>Renforcement des capacités des parlementaires et du personnel de l’Assemblée nationale et du Sénat sur la RSS</t>
  </si>
  <si>
    <t>Activite 3.2.2:</t>
  </si>
  <si>
    <t>Formation des membres de la Commission Nationale Indépendante des Droits de l’Homme</t>
  </si>
  <si>
    <t>Produit 3.3:</t>
  </si>
  <si>
    <t>Les mécanismes de contrôle civil jouent un rôle accru et responsable dans l’exercice de leurs fonctions de contrôle démocratique des forces de défense et de sécurité</t>
  </si>
  <si>
    <t>Activite 3.3.1:</t>
  </si>
  <si>
    <t>Une stratégie nationale de communication pour le développement pour la promotion de la paix est élaborée</t>
  </si>
  <si>
    <t>Activite 3.3.2:</t>
  </si>
  <si>
    <t>Formation des OSC et médias (en lien avec le volet médias1 du
Projet 1 soutenu dans le cadre de la Bonne Gouvernance)</t>
  </si>
  <si>
    <t>Activite 3.3.3:</t>
  </si>
  <si>
    <t>Capacités des OSC de jeunes pour le plaidoyer renforcées</t>
  </si>
  <si>
    <t>TOTAL $ pour Resultat 3:</t>
  </si>
  <si>
    <t>Resultat 4: La confiance entre les FDS et la population la plus vulnérable est renforcée, à travers une approche de sécurité communautaire adéquate par les FDS aux préoccupations de la population dans les zones pilotes, y compris des groupes les plus vulnérables.</t>
  </si>
  <si>
    <t>Produit 4.1:</t>
  </si>
  <si>
    <t>Un modèle de sécurité communautaire inclusive et sensible au genre est élaboré, testé et réajusté</t>
  </si>
  <si>
    <t>Activite 4.1.1:</t>
  </si>
  <si>
    <t>Organisations de sessions de dialogue entre les représentants des FDS, des autorités locales et de la société civile (en particulier les organisations de femmes et de jeunes).</t>
  </si>
  <si>
    <t>Activite 4.1.2:</t>
  </si>
  <si>
    <t>Développement d’un modèle de plan de sécurité communautaire</t>
  </si>
  <si>
    <t>Activite 4.1.3:</t>
  </si>
  <si>
    <t>Mise en œuvre conjointe par les corps de sécurité et les communautés des plans de sécurité communautaires</t>
  </si>
  <si>
    <t>Activité 4.1.4:</t>
  </si>
  <si>
    <t>Dotation d’équipement</t>
  </si>
  <si>
    <t>Produit 4.2:</t>
  </si>
  <si>
    <t>La réponse des FDS aux cas de violence basée sur le genre est améliorée en prise en charge et traitement des dossiers</t>
  </si>
  <si>
    <t>Activite 4.2.1:</t>
  </si>
  <si>
    <t>Réactualisation des procédures de prise en compte des victimes de VBG (en lien avec l’objectif 1 de ce projet, sur l’identification et développement de politiques et stratégies)</t>
  </si>
  <si>
    <t>Activite 4.2.2:</t>
  </si>
  <si>
    <t>Vulgarisation des nouvelles procédures opérationnelles standards de prise charge des cas de violences basées</t>
  </si>
  <si>
    <t>Activite 4.2.3:</t>
  </si>
  <si>
    <t>Appui à la fourniture de services de prise en charge des cas de
violences basées sur le genre</t>
  </si>
  <si>
    <t>Activite 4.2.4:</t>
  </si>
  <si>
    <t>Mener une étude sur les violences faites aux femmes lors des raids de dahalos</t>
  </si>
  <si>
    <t>TOTAL $ pour Resultat 4:</t>
  </si>
  <si>
    <t>Cout de personnel du projet si pas inclus dans les activites si-dessus</t>
  </si>
  <si>
    <t>Couts operationnels si pas inclus dans les activites si-dessus</t>
  </si>
  <si>
    <t>Budget S&amp;E du projet</t>
  </si>
  <si>
    <t>SOUS TOTAL DU BUDGET DE PROJET:</t>
  </si>
  <si>
    <t>Couts indirects (7%):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</si>
  <si>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</si>
  <si>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</si>
  <si>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</si>
  <si>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>CATEGORIES</t>
  </si>
  <si>
    <t>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</si>
  <si>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</si>
  <si>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</si>
  <si>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</si>
  <si>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</si>
  <si>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</si>
  <si>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</si>
  <si>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</si>
  <si>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</si>
  <si>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>8. Coûts indirects*</t>
  </si>
  <si>
    <t>TOTAL</t>
  </si>
  <si>
    <r>
      <t>PNUD:</t>
    </r>
    <r>
      <rPr>
        <sz val="12"/>
        <color rgb="FF000000"/>
        <rFont val="Times New Roman"/>
        <family val="1"/>
      </rPr>
      <t xml:space="preserve"> 50 300 USD selon ProDoc + 20 000 USD approuvés en Comité de Projet du 31 jan 2018 (enlevés du budget pour personnel)</t>
    </r>
  </si>
  <si>
    <t>28 000 USD selon ProDoc + 6 000 USD approuvés en Comité de Projet du 31 jan 2018 (enlevés du budget pour personnel)</t>
  </si>
  <si>
    <t>17 250 USD selon ProDoc + 17 500 USD approuvés en Comité de Projet du 31 jan 2018 (enlevés du budget pour personnel)</t>
  </si>
  <si>
    <t>PNUD</t>
  </si>
  <si>
    <t>OIM</t>
  </si>
  <si>
    <t>UNICEF</t>
  </si>
  <si>
    <t>OHCHR</t>
  </si>
  <si>
    <t>UNFPA</t>
  </si>
  <si>
    <t>Niveau de depense/ engagement actuel en USD (a remplir au moment des rapports de projet) PNUD</t>
  </si>
  <si>
    <t>Niveau de depense/ engagement actuel en USD (a remplir au moment des rapports de projet) OIM</t>
  </si>
  <si>
    <t>Niveau de depense/ engagement actuel en USD (a remplir au moment des rapports de projet) UNICEF</t>
  </si>
  <si>
    <t>Niveau de depense/ engagement actuel en USD (a remplir au moment des rapports de projet) OHCHR</t>
  </si>
  <si>
    <t>Niveau de depense/ engagement actuel en USD (a remplir au moment des rapports de projet) UNFPA</t>
  </si>
  <si>
    <t xml:space="preserve">Niveau de depense TOTAL/ engagement actuel en USD (a remplir au moment des rapports de projet) </t>
  </si>
  <si>
    <t>Pour le PNUD : 443 100 USD selon ProDoc - 49 000 USD approuvés en Comité de Projet du 31 jan 2018 (alloué à différentes activités)</t>
  </si>
  <si>
    <t>Pour le PNUD : 13 500 USD selon ProDoc + 11 500 USD approuvés en Comité de Projet du 31 jan 2018 (enlevés du budget pour personnel)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</si>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</sst>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9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10" fontId="11" fillId="0" borderId="4" xfId="0" applyNumberFormat="1" applyFont="1" applyBorder="1" applyAlignment="1">
      <alignment horizontal="left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left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3" fontId="1" fillId="0" borderId="4" xfId="20" applyBorder="1" applyAlignment="1">
      <alignment horizontal="right" vertical="center" wrapText="1"/>
    </xf>
    <xf numFmtId="43" fontId="1" fillId="0" borderId="5" xfId="20" applyBorder="1" applyAlignment="1">
      <alignment horizontal="right" vertical="center" wrapText="1"/>
    </xf>
    <xf numFmtId="43" fontId="12" fillId="0" borderId="0" xfId="20" applyFont="1"/>
    <xf numFmtId="43" fontId="12" fillId="0" borderId="4" xfId="20" applyFont="1" applyBorder="1" applyAlignment="1">
      <alignment horizontal="center" vertical="center" wrapText="1"/>
    </xf>
    <xf numFmtId="43" fontId="12" fillId="0" borderId="1" xfId="20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0" fontId="6" fillId="0" borderId="1" xfId="0" applyNumberFormat="1" applyFont="1" applyBorder="1" applyAlignment="1">
      <alignment horizontal="left" vertical="center" wrapText="1"/>
    </xf>
    <xf numFmtId="43" fontId="15" fillId="0" borderId="6" xfId="0" applyNumberFormat="1" applyFont="1" applyBorder="1" applyAlignment="1">
      <alignment horizontal="center" vertical="center" wrapText="1"/>
    </xf>
    <xf numFmtId="43" fontId="15" fillId="5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4" borderId="2" xfId="0" applyFont="1" applyFill="1" applyBorder="1" applyAlignment="1">
      <alignment horizontal="center" vertical="center" wrapText="1"/>
    </xf>
    <xf numFmtId="164" fontId="15" fillId="0" borderId="4" xfId="20" applyNumberFormat="1" applyFont="1" applyBorder="1" applyAlignment="1">
      <alignment horizontal="right" vertical="center" wrapText="1"/>
    </xf>
    <xf numFmtId="43" fontId="1" fillId="6" borderId="0" xfId="20" applyFill="1"/>
    <xf numFmtId="0" fontId="0" fillId="6" borderId="0" xfId="0" applyFill="1"/>
    <xf numFmtId="43" fontId="1" fillId="6" borderId="2" xfId="20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43" fontId="1" fillId="6" borderId="4" xfId="20" applyFill="1" applyBorder="1" applyAlignment="1">
      <alignment horizontal="center" vertical="center" wrapText="1"/>
    </xf>
    <xf numFmtId="0" fontId="5" fillId="6" borderId="4" xfId="0" applyFont="1" applyFill="1" applyBorder="1" applyAlignment="1">
      <alignment vertical="center" wrapText="1"/>
    </xf>
    <xf numFmtId="43" fontId="12" fillId="6" borderId="4" xfId="2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10" fontId="5" fillId="6" borderId="4" xfId="0" applyNumberFormat="1" applyFont="1" applyFill="1" applyBorder="1" applyAlignment="1">
      <alignment vertical="center" wrapText="1"/>
    </xf>
    <xf numFmtId="43" fontId="12" fillId="6" borderId="1" xfId="20" applyFont="1" applyFill="1" applyBorder="1" applyAlignment="1">
      <alignment horizontal="center" vertical="center" wrapText="1"/>
    </xf>
    <xf numFmtId="43" fontId="12" fillId="6" borderId="1" xfId="2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43" fontId="1" fillId="6" borderId="1" xfId="20" applyFill="1" applyBorder="1" applyAlignment="1">
      <alignment horizontal="center" vertical="center" wrapText="1"/>
    </xf>
    <xf numFmtId="43" fontId="1" fillId="6" borderId="1" xfId="20" applyFill="1" applyBorder="1" applyAlignment="1">
      <alignment vertical="center" wrapText="1"/>
    </xf>
    <xf numFmtId="43" fontId="1" fillId="6" borderId="4" xfId="20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43" fontId="0" fillId="0" borderId="0" xfId="0" applyNumberFormat="1"/>
    <xf numFmtId="9" fontId="12" fillId="0" borderId="1" xfId="21" applyFont="1" applyBorder="1"/>
    <xf numFmtId="9" fontId="12" fillId="6" borderId="1" xfId="21" applyFont="1" applyFill="1" applyBorder="1"/>
    <xf numFmtId="43" fontId="12" fillId="0" borderId="4" xfId="20" applyFont="1" applyBorder="1" applyAlignment="1">
      <alignment horizontal="right" vertical="center" wrapText="1"/>
    </xf>
    <xf numFmtId="43" fontId="17" fillId="5" borderId="6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43" fontId="12" fillId="0" borderId="5" xfId="20" applyFont="1" applyBorder="1" applyAlignment="1">
      <alignment horizontal="right" vertical="center" wrapText="1"/>
    </xf>
    <xf numFmtId="164" fontId="15" fillId="5" borderId="4" xfId="20" applyNumberFormat="1" applyFont="1" applyFill="1" applyBorder="1" applyAlignment="1">
      <alignment horizontal="right" vertical="center" wrapText="1"/>
    </xf>
    <xf numFmtId="164" fontId="17" fillId="5" borderId="4" xfId="20" applyNumberFormat="1" applyFont="1" applyFill="1" applyBorder="1" applyAlignment="1">
      <alignment horizontal="right" vertical="center" wrapText="1"/>
    </xf>
    <xf numFmtId="43" fontId="1" fillId="0" borderId="0" xfId="20" applyFill="1"/>
    <xf numFmtId="43" fontId="1" fillId="0" borderId="2" xfId="20" applyFill="1" applyBorder="1" applyAlignment="1">
      <alignment vertical="center" wrapText="1"/>
    </xf>
    <xf numFmtId="43" fontId="1" fillId="0" borderId="4" xfId="20" applyFill="1" applyBorder="1" applyAlignment="1">
      <alignment horizontal="center" vertical="center" wrapText="1"/>
    </xf>
    <xf numFmtId="43" fontId="12" fillId="0" borderId="4" xfId="20" applyFont="1" applyFill="1" applyBorder="1" applyAlignment="1">
      <alignment horizontal="center" vertical="center" wrapText="1"/>
    </xf>
    <xf numFmtId="43" fontId="1" fillId="0" borderId="1" xfId="20" applyFont="1" applyFill="1" applyBorder="1" applyAlignment="1">
      <alignment horizontal="center" vertical="center" wrapText="1"/>
    </xf>
    <xf numFmtId="43" fontId="1" fillId="0" borderId="1" xfId="20" applyFill="1" applyBorder="1" applyAlignment="1">
      <alignment horizontal="center" vertical="center" wrapText="1"/>
    </xf>
    <xf numFmtId="43" fontId="1" fillId="0" borderId="1" xfId="20" applyFill="1" applyBorder="1" applyAlignment="1">
      <alignment vertical="center" wrapText="1"/>
    </xf>
    <xf numFmtId="43" fontId="12" fillId="0" borderId="1" xfId="20" applyFont="1" applyFill="1" applyBorder="1" applyAlignment="1">
      <alignment vertical="center" wrapText="1"/>
    </xf>
    <xf numFmtId="43" fontId="1" fillId="0" borderId="1" xfId="20" applyBorder="1" applyAlignment="1">
      <alignment horizontal="right" vertical="center" wrapText="1"/>
    </xf>
    <xf numFmtId="43" fontId="1" fillId="0" borderId="3" xfId="20" applyBorder="1" applyAlignment="1">
      <alignment horizontal="center" vertical="center" wrapText="1"/>
    </xf>
    <xf numFmtId="43" fontId="1" fillId="0" borderId="3" xfId="20" applyBorder="1" applyAlignment="1">
      <alignment horizontal="right" vertical="center" wrapText="1"/>
    </xf>
    <xf numFmtId="43" fontId="12" fillId="0" borderId="1" xfId="20" applyFont="1" applyFill="1" applyBorder="1" applyAlignment="1">
      <alignment horizontal="center" vertical="center" wrapText="1"/>
    </xf>
    <xf numFmtId="9" fontId="12" fillId="0" borderId="2" xfId="21" applyFont="1" applyFill="1" applyBorder="1"/>
    <xf numFmtId="0" fontId="6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Pourcentag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view="pageBreakPreview" zoomScaleSheetLayoutView="100" zoomScalePageLayoutView="80" workbookViewId="0" topLeftCell="C1">
      <selection activeCell="Q8" sqref="Q8"/>
    </sheetView>
  </sheetViews>
  <sheetFormatPr defaultColWidth="8.8515625" defaultRowHeight="15"/>
  <cols>
    <col min="1" max="1" width="19.28125" style="0" customWidth="1"/>
    <col min="2" max="2" width="24.7109375" style="0" customWidth="1"/>
    <col min="3" max="3" width="19.140625" style="36" customWidth="1"/>
    <col min="4" max="4" width="14.421875" style="36" customWidth="1"/>
    <col min="5" max="5" width="13.7109375" style="36" customWidth="1"/>
    <col min="6" max="6" width="13.00390625" style="36" customWidth="1"/>
    <col min="7" max="7" width="14.28125" style="36" customWidth="1"/>
    <col min="8" max="8" width="15.8515625" style="37" customWidth="1"/>
    <col min="9" max="10" width="16.421875" style="36" customWidth="1"/>
    <col min="11" max="11" width="16.421875" style="61" customWidth="1"/>
    <col min="12" max="12" width="16.421875" style="36" customWidth="1"/>
    <col min="13" max="13" width="16.421875" style="61" customWidth="1"/>
    <col min="14" max="14" width="16.421875" style="24" customWidth="1"/>
    <col min="15" max="15" width="22.00390625" style="0" customWidth="1"/>
    <col min="16" max="16" width="22.7109375" style="0" customWidth="1"/>
    <col min="17" max="19" width="28.7109375" style="0" customWidth="1"/>
    <col min="20" max="20" width="34.140625" style="0" customWidth="1"/>
    <col min="21" max="1030" width="8.57421875" style="0" customWidth="1"/>
  </cols>
  <sheetData>
    <row r="1" spans="1:2" ht="21">
      <c r="A1" s="1" t="s">
        <v>0</v>
      </c>
      <c r="B1" s="2"/>
    </row>
    <row r="2" spans="1:2" ht="15.6">
      <c r="A2" s="3"/>
      <c r="B2" s="3"/>
    </row>
    <row r="3" spans="1:2" ht="15.6">
      <c r="A3" s="3" t="s">
        <v>1</v>
      </c>
      <c r="B3" s="3"/>
    </row>
    <row r="5" ht="15.6">
      <c r="A5" s="3" t="s">
        <v>2</v>
      </c>
    </row>
    <row r="6" ht="15" thickBot="1"/>
    <row r="7" spans="1:15" ht="138.75" customHeight="1" thickBot="1">
      <c r="A7" s="4" t="s">
        <v>3</v>
      </c>
      <c r="B7" s="5" t="s">
        <v>4</v>
      </c>
      <c r="C7" s="38" t="s">
        <v>5</v>
      </c>
      <c r="D7" s="38" t="s">
        <v>6</v>
      </c>
      <c r="E7" s="38" t="s">
        <v>7</v>
      </c>
      <c r="F7" s="38" t="s">
        <v>8</v>
      </c>
      <c r="G7" s="38" t="s">
        <v>9</v>
      </c>
      <c r="H7" s="39" t="s">
        <v>10</v>
      </c>
      <c r="I7" s="38" t="s">
        <v>156</v>
      </c>
      <c r="J7" s="38" t="s">
        <v>157</v>
      </c>
      <c r="K7" s="62" t="s">
        <v>158</v>
      </c>
      <c r="L7" s="38" t="s">
        <v>159</v>
      </c>
      <c r="M7" s="62" t="s">
        <v>160</v>
      </c>
      <c r="N7" s="28" t="s">
        <v>161</v>
      </c>
      <c r="O7" s="5" t="s">
        <v>11</v>
      </c>
    </row>
    <row r="8" spans="1:15" ht="15.6" customHeight="1" thickBot="1">
      <c r="A8" s="74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25.4" thickBot="1">
      <c r="A9" s="7" t="s">
        <v>13</v>
      </c>
      <c r="B9" s="8" t="s">
        <v>14</v>
      </c>
      <c r="C9" s="40">
        <f>C10+C11</f>
        <v>96300</v>
      </c>
      <c r="D9" s="40">
        <f aca="true" t="shared" si="0" ref="D9:G9">D10+D11</f>
        <v>0</v>
      </c>
      <c r="E9" s="40">
        <f t="shared" si="0"/>
        <v>0</v>
      </c>
      <c r="F9" s="40">
        <f t="shared" si="0"/>
        <v>0</v>
      </c>
      <c r="G9" s="40">
        <f t="shared" si="0"/>
        <v>0</v>
      </c>
      <c r="H9" s="41"/>
      <c r="I9" s="40">
        <f>I10+I11</f>
        <v>45586.89</v>
      </c>
      <c r="J9" s="40"/>
      <c r="K9" s="63"/>
      <c r="L9" s="40"/>
      <c r="M9" s="63"/>
      <c r="N9" s="25">
        <f aca="true" t="shared" si="1" ref="N9:N22">SUM(I9:M9)</f>
        <v>45586.89</v>
      </c>
      <c r="O9" s="9"/>
    </row>
    <row r="10" spans="1:15" ht="97.2" customHeight="1" thickBot="1">
      <c r="A10" s="11" t="s">
        <v>15</v>
      </c>
      <c r="B10" s="10" t="s">
        <v>16</v>
      </c>
      <c r="C10" s="40">
        <f>50300+20000</f>
        <v>70300</v>
      </c>
      <c r="D10" s="40">
        <v>0</v>
      </c>
      <c r="E10" s="40">
        <v>0</v>
      </c>
      <c r="F10" s="40">
        <v>0</v>
      </c>
      <c r="G10" s="40">
        <v>0</v>
      </c>
      <c r="H10" s="41"/>
      <c r="I10" s="40">
        <f>32323.62+168.51+11785.94/2</f>
        <v>38385.1</v>
      </c>
      <c r="J10" s="40"/>
      <c r="K10" s="63"/>
      <c r="L10" s="40"/>
      <c r="M10" s="63"/>
      <c r="N10" s="25">
        <f t="shared" si="1"/>
        <v>38385.1</v>
      </c>
      <c r="O10" s="17" t="s">
        <v>148</v>
      </c>
    </row>
    <row r="11" spans="1:15" ht="63" thickBot="1">
      <c r="A11" s="11" t="s">
        <v>17</v>
      </c>
      <c r="B11" s="10" t="s">
        <v>18</v>
      </c>
      <c r="C11" s="40">
        <v>26000</v>
      </c>
      <c r="D11" s="40">
        <v>0</v>
      </c>
      <c r="E11" s="40">
        <v>0</v>
      </c>
      <c r="F11" s="40">
        <v>0</v>
      </c>
      <c r="G11" s="40">
        <v>0</v>
      </c>
      <c r="H11" s="41"/>
      <c r="I11" s="40">
        <f>3201.79+8000/2</f>
        <v>7201.79</v>
      </c>
      <c r="J11" s="40"/>
      <c r="K11" s="63"/>
      <c r="L11" s="40"/>
      <c r="M11" s="63"/>
      <c r="N11" s="25">
        <f t="shared" si="1"/>
        <v>7201.79</v>
      </c>
      <c r="O11" s="18"/>
    </row>
    <row r="12" spans="1:15" s="12" customFormat="1" ht="141" thickBot="1">
      <c r="A12" s="7" t="s">
        <v>19</v>
      </c>
      <c r="B12" s="8" t="s">
        <v>20</v>
      </c>
      <c r="C12" s="42">
        <f>C13+C14+C15+C16+C17+C18+C19</f>
        <v>272300</v>
      </c>
      <c r="D12" s="42">
        <f aca="true" t="shared" si="2" ref="D12:G12">D13+D14+D15+D16+D17+D18+D19</f>
        <v>155535</v>
      </c>
      <c r="E12" s="42">
        <f t="shared" si="2"/>
        <v>0</v>
      </c>
      <c r="F12" s="42">
        <f t="shared" si="2"/>
        <v>10750</v>
      </c>
      <c r="G12" s="42">
        <f t="shared" si="2"/>
        <v>0</v>
      </c>
      <c r="H12" s="43"/>
      <c r="I12" s="42">
        <f>I13+I14+I15+I16+I17+I18+I19</f>
        <v>166513.02499999997</v>
      </c>
      <c r="J12" s="40">
        <v>96527</v>
      </c>
      <c r="K12" s="64"/>
      <c r="L12" s="42"/>
      <c r="M12" s="64"/>
      <c r="N12" s="25">
        <f t="shared" si="1"/>
        <v>263040.02499999997</v>
      </c>
      <c r="O12" s="9"/>
    </row>
    <row r="13" spans="1:15" ht="31.8" thickBot="1">
      <c r="A13" s="11" t="s">
        <v>21</v>
      </c>
      <c r="B13" s="10" t="s">
        <v>22</v>
      </c>
      <c r="C13" s="40">
        <v>48500</v>
      </c>
      <c r="D13" s="40">
        <v>0</v>
      </c>
      <c r="E13" s="40">
        <v>0</v>
      </c>
      <c r="F13" s="40">
        <v>0</v>
      </c>
      <c r="G13" s="40">
        <v>0</v>
      </c>
      <c r="H13" s="41"/>
      <c r="I13" s="40">
        <f>32867.03</f>
        <v>32867.03</v>
      </c>
      <c r="J13" s="40"/>
      <c r="K13" s="63"/>
      <c r="L13" s="40"/>
      <c r="M13" s="63"/>
      <c r="N13" s="25">
        <f t="shared" si="1"/>
        <v>32867.03</v>
      </c>
      <c r="O13" s="18"/>
    </row>
    <row r="14" spans="1:15" ht="47.4" thickBot="1">
      <c r="A14" s="11" t="s">
        <v>23</v>
      </c>
      <c r="B14" s="10" t="s">
        <v>24</v>
      </c>
      <c r="C14" s="40">
        <v>0</v>
      </c>
      <c r="D14" s="40">
        <v>155535</v>
      </c>
      <c r="E14" s="40">
        <v>0</v>
      </c>
      <c r="F14" s="40">
        <v>0</v>
      </c>
      <c r="G14" s="40">
        <v>0</v>
      </c>
      <c r="H14" s="41"/>
      <c r="I14" s="40"/>
      <c r="J14" s="40">
        <v>96527</v>
      </c>
      <c r="K14" s="63"/>
      <c r="L14" s="40"/>
      <c r="M14" s="63"/>
      <c r="N14" s="25">
        <f t="shared" si="1"/>
        <v>96527</v>
      </c>
      <c r="O14" s="18"/>
    </row>
    <row r="15" spans="1:15" ht="94.2" thickBot="1">
      <c r="A15" s="11" t="s">
        <v>25</v>
      </c>
      <c r="B15" s="10" t="s">
        <v>26</v>
      </c>
      <c r="C15" s="40">
        <v>66400</v>
      </c>
      <c r="D15" s="40">
        <v>0</v>
      </c>
      <c r="E15" s="40">
        <v>0</v>
      </c>
      <c r="F15" s="40">
        <v>0</v>
      </c>
      <c r="G15" s="40">
        <v>0</v>
      </c>
      <c r="H15" s="41"/>
      <c r="I15" s="40">
        <f>28059.81+42427</f>
        <v>70486.81</v>
      </c>
      <c r="J15" s="40"/>
      <c r="K15" s="63"/>
      <c r="L15" s="40"/>
      <c r="M15" s="63"/>
      <c r="N15" s="25">
        <f t="shared" si="1"/>
        <v>70486.81</v>
      </c>
      <c r="O15" s="18"/>
    </row>
    <row r="16" spans="1:15" ht="47.4" thickBot="1">
      <c r="A16" s="11" t="s">
        <v>27</v>
      </c>
      <c r="B16" s="10" t="s">
        <v>28</v>
      </c>
      <c r="C16" s="40">
        <v>18000</v>
      </c>
      <c r="D16" s="40">
        <v>0</v>
      </c>
      <c r="E16" s="40">
        <v>0</v>
      </c>
      <c r="F16" s="40">
        <v>0</v>
      </c>
      <c r="G16" s="40">
        <v>0</v>
      </c>
      <c r="H16" s="41"/>
      <c r="I16" s="40">
        <f>22002.4</f>
        <v>22002.4</v>
      </c>
      <c r="J16" s="40"/>
      <c r="K16" s="63"/>
      <c r="L16" s="40"/>
      <c r="M16" s="63"/>
      <c r="N16" s="25">
        <f t="shared" si="1"/>
        <v>22002.4</v>
      </c>
      <c r="O16" s="18"/>
    </row>
    <row r="17" spans="1:15" ht="63" thickBot="1">
      <c r="A17" s="11" t="s">
        <v>29</v>
      </c>
      <c r="B17" s="10" t="s">
        <v>30</v>
      </c>
      <c r="C17" s="40">
        <v>44900</v>
      </c>
      <c r="D17" s="40">
        <v>0</v>
      </c>
      <c r="E17" s="40">
        <v>0</v>
      </c>
      <c r="F17" s="40">
        <v>0</v>
      </c>
      <c r="G17" s="40">
        <v>0</v>
      </c>
      <c r="H17" s="41"/>
      <c r="I17" s="40">
        <f>337.02+13115.78</f>
        <v>13452.800000000001</v>
      </c>
      <c r="J17" s="40"/>
      <c r="K17" s="63"/>
      <c r="L17" s="40"/>
      <c r="M17" s="63"/>
      <c r="N17" s="25">
        <f t="shared" si="1"/>
        <v>13452.800000000001</v>
      </c>
      <c r="O17" s="18"/>
    </row>
    <row r="18" spans="1:15" ht="31.8" thickBot="1">
      <c r="A18" s="11" t="s">
        <v>31</v>
      </c>
      <c r="B18" s="10" t="s">
        <v>32</v>
      </c>
      <c r="C18" s="40">
        <v>42750</v>
      </c>
      <c r="D18" s="40">
        <v>0</v>
      </c>
      <c r="E18" s="40">
        <v>0</v>
      </c>
      <c r="F18" s="40">
        <v>10750</v>
      </c>
      <c r="G18" s="40">
        <v>0</v>
      </c>
      <c r="H18" s="41"/>
      <c r="I18" s="40">
        <f>4308+20850+5091.97/2</f>
        <v>27703.985</v>
      </c>
      <c r="J18" s="40"/>
      <c r="K18" s="63"/>
      <c r="L18" s="40"/>
      <c r="M18" s="63"/>
      <c r="N18" s="25">
        <f t="shared" si="1"/>
        <v>27703.985</v>
      </c>
      <c r="O18" s="18"/>
    </row>
    <row r="19" spans="1:15" ht="47.4" thickBot="1">
      <c r="A19" s="11" t="s">
        <v>33</v>
      </c>
      <c r="B19" s="10" t="s">
        <v>34</v>
      </c>
      <c r="C19" s="40">
        <v>51750</v>
      </c>
      <c r="D19" s="40">
        <v>0</v>
      </c>
      <c r="E19" s="40">
        <v>0</v>
      </c>
      <c r="F19" s="40">
        <v>0</v>
      </c>
      <c r="G19" s="40">
        <v>0</v>
      </c>
      <c r="H19" s="41"/>
      <c r="I19" s="40"/>
      <c r="J19" s="40"/>
      <c r="K19" s="63"/>
      <c r="L19" s="40"/>
      <c r="M19" s="63"/>
      <c r="N19" s="25">
        <f t="shared" si="1"/>
        <v>0</v>
      </c>
      <c r="O19" s="18"/>
    </row>
    <row r="20" spans="1:15" ht="78.6" thickBot="1">
      <c r="A20" s="7" t="s">
        <v>35</v>
      </c>
      <c r="B20" s="8" t="s">
        <v>36</v>
      </c>
      <c r="C20" s="40">
        <f>C21+C22+C23</f>
        <v>123400</v>
      </c>
      <c r="D20" s="40">
        <f aca="true" t="shared" si="3" ref="D20:G20">D21+D22+D23</f>
        <v>0</v>
      </c>
      <c r="E20" s="40">
        <f t="shared" si="3"/>
        <v>0</v>
      </c>
      <c r="F20" s="40">
        <f t="shared" si="3"/>
        <v>0</v>
      </c>
      <c r="G20" s="40">
        <f t="shared" si="3"/>
        <v>0</v>
      </c>
      <c r="H20" s="41"/>
      <c r="I20" s="40">
        <f>I21+I22+I23</f>
        <v>34605.09</v>
      </c>
      <c r="J20" s="40"/>
      <c r="K20" s="63"/>
      <c r="L20" s="40"/>
      <c r="M20" s="63"/>
      <c r="N20" s="25">
        <f t="shared" si="1"/>
        <v>34605.09</v>
      </c>
      <c r="O20" s="18"/>
    </row>
    <row r="21" spans="1:15" ht="94.2" thickBot="1">
      <c r="A21" s="11" t="s">
        <v>37</v>
      </c>
      <c r="B21" s="10" t="s">
        <v>38</v>
      </c>
      <c r="C21" s="40">
        <v>28000</v>
      </c>
      <c r="D21" s="40">
        <v>0</v>
      </c>
      <c r="E21" s="40">
        <v>0</v>
      </c>
      <c r="F21" s="40">
        <v>0</v>
      </c>
      <c r="G21" s="40">
        <v>0</v>
      </c>
      <c r="H21" s="44"/>
      <c r="I21" s="40">
        <f>4036.58+168.51+22000/2</f>
        <v>15205.09</v>
      </c>
      <c r="J21" s="40"/>
      <c r="K21" s="63"/>
      <c r="L21" s="40"/>
      <c r="M21" s="63"/>
      <c r="N21" s="25">
        <f t="shared" si="1"/>
        <v>15205.09</v>
      </c>
      <c r="O21" s="19" t="s">
        <v>149</v>
      </c>
    </row>
    <row r="22" spans="1:15" ht="63" thickBot="1">
      <c r="A22" s="11" t="s">
        <v>39</v>
      </c>
      <c r="B22" s="10" t="s">
        <v>40</v>
      </c>
      <c r="C22" s="40">
        <v>25500</v>
      </c>
      <c r="D22" s="40">
        <v>0</v>
      </c>
      <c r="E22" s="40">
        <v>0</v>
      </c>
      <c r="F22" s="40">
        <v>0</v>
      </c>
      <c r="G22" s="40">
        <v>0</v>
      </c>
      <c r="H22" s="44"/>
      <c r="I22" s="40">
        <f>17950/2</f>
        <v>8975</v>
      </c>
      <c r="J22" s="40"/>
      <c r="K22" s="63"/>
      <c r="L22" s="40"/>
      <c r="M22" s="63"/>
      <c r="N22" s="25">
        <f t="shared" si="1"/>
        <v>8975</v>
      </c>
      <c r="O22" s="18"/>
    </row>
    <row r="23" spans="1:15" ht="78.6" thickBot="1">
      <c r="A23" s="11" t="s">
        <v>41</v>
      </c>
      <c r="B23" s="10" t="s">
        <v>42</v>
      </c>
      <c r="C23" s="40">
        <v>69900</v>
      </c>
      <c r="D23" s="40">
        <v>0</v>
      </c>
      <c r="E23" s="40">
        <v>0</v>
      </c>
      <c r="F23" s="40">
        <v>0</v>
      </c>
      <c r="G23" s="40">
        <v>0</v>
      </c>
      <c r="H23" s="44"/>
      <c r="I23" s="40">
        <f>20850/2</f>
        <v>10425</v>
      </c>
      <c r="J23" s="40"/>
      <c r="K23" s="63"/>
      <c r="L23" s="40"/>
      <c r="M23" s="63"/>
      <c r="N23" s="25">
        <f>SUM(I23:M23)</f>
        <v>10425</v>
      </c>
      <c r="O23" s="18"/>
    </row>
    <row r="24" spans="1:15" ht="15.6" customHeight="1" thickBot="1">
      <c r="A24" s="74" t="s">
        <v>43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15" ht="15.6" customHeight="1" thickBot="1">
      <c r="A25" s="74" t="s">
        <v>44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5" s="12" customFormat="1" ht="94.2" thickBot="1">
      <c r="A26" s="7" t="s">
        <v>45</v>
      </c>
      <c r="B26" s="8" t="s">
        <v>46</v>
      </c>
      <c r="C26" s="42">
        <f>C27+C28+C29+C30</f>
        <v>0</v>
      </c>
      <c r="D26" s="42">
        <f aca="true" t="shared" si="4" ref="D26:G26">D27+D28+D29+D30</f>
        <v>0</v>
      </c>
      <c r="E26" s="42">
        <f t="shared" si="4"/>
        <v>118106</v>
      </c>
      <c r="F26" s="42">
        <f t="shared" si="4"/>
        <v>85464</v>
      </c>
      <c r="G26" s="42">
        <f t="shared" si="4"/>
        <v>0</v>
      </c>
      <c r="H26" s="43"/>
      <c r="I26" s="42">
        <f>I27+I28+I29+I30</f>
        <v>0</v>
      </c>
      <c r="J26" s="42">
        <f>J27+J28+J29+J30</f>
        <v>0</v>
      </c>
      <c r="K26" s="64">
        <f aca="true" t="shared" si="5" ref="K26">K27+K28+K29+K30</f>
        <v>111649.87</v>
      </c>
      <c r="L26" s="42">
        <f>L27+L28+L29+L30</f>
        <v>74792</v>
      </c>
      <c r="M26" s="64">
        <f>M27+M28+M29+M30</f>
        <v>0</v>
      </c>
      <c r="N26" s="25">
        <f aca="true" t="shared" si="6" ref="N26:N41">SUM(I26:M26)</f>
        <v>186441.87</v>
      </c>
      <c r="O26" s="27"/>
    </row>
    <row r="27" spans="1:15" ht="78.6" thickBot="1">
      <c r="A27" s="11" t="s">
        <v>47</v>
      </c>
      <c r="B27" s="10" t="s">
        <v>48</v>
      </c>
      <c r="C27" s="40">
        <v>0</v>
      </c>
      <c r="D27" s="40">
        <v>0</v>
      </c>
      <c r="E27" s="40">
        <v>17888</v>
      </c>
      <c r="F27" s="40">
        <v>2625</v>
      </c>
      <c r="G27" s="40">
        <v>0</v>
      </c>
      <c r="H27" s="41"/>
      <c r="I27" s="40"/>
      <c r="J27" s="40"/>
      <c r="K27" s="63">
        <v>14251.04</v>
      </c>
      <c r="L27" s="40">
        <v>1013</v>
      </c>
      <c r="M27" s="63"/>
      <c r="N27" s="25">
        <f t="shared" si="6"/>
        <v>15264.04</v>
      </c>
      <c r="O27" s="18"/>
    </row>
    <row r="28" spans="1:15" ht="94.2" thickBot="1">
      <c r="A28" s="11" t="s">
        <v>49</v>
      </c>
      <c r="B28" s="10" t="s">
        <v>50</v>
      </c>
      <c r="C28" s="40">
        <v>0</v>
      </c>
      <c r="D28" s="40">
        <v>0</v>
      </c>
      <c r="E28" s="40">
        <v>17862</v>
      </c>
      <c r="F28" s="40">
        <v>31003</v>
      </c>
      <c r="G28" s="40">
        <v>0</v>
      </c>
      <c r="H28" s="41"/>
      <c r="I28" s="40"/>
      <c r="J28" s="40"/>
      <c r="K28" s="63">
        <v>14251.04</v>
      </c>
      <c r="L28" s="40">
        <v>25554</v>
      </c>
      <c r="M28" s="63"/>
      <c r="N28" s="25">
        <f t="shared" si="6"/>
        <v>39805.04</v>
      </c>
      <c r="O28" s="18"/>
    </row>
    <row r="29" spans="1:15" ht="94.2" thickBot="1">
      <c r="A29" s="11" t="s">
        <v>51</v>
      </c>
      <c r="B29" s="10" t="s">
        <v>52</v>
      </c>
      <c r="C29" s="40">
        <v>0</v>
      </c>
      <c r="D29" s="40">
        <v>0</v>
      </c>
      <c r="E29" s="40">
        <v>82356</v>
      </c>
      <c r="F29" s="40">
        <v>42461</v>
      </c>
      <c r="G29" s="40">
        <v>0</v>
      </c>
      <c r="H29" s="41"/>
      <c r="I29" s="40"/>
      <c r="J29" s="40"/>
      <c r="K29" s="63">
        <v>83147.79</v>
      </c>
      <c r="L29" s="40">
        <v>37600</v>
      </c>
      <c r="M29" s="63"/>
      <c r="N29" s="25">
        <f t="shared" si="6"/>
        <v>120747.79</v>
      </c>
      <c r="O29" s="18"/>
    </row>
    <row r="30" spans="1:15" ht="94.2" thickBot="1">
      <c r="A30" s="11" t="s">
        <v>53</v>
      </c>
      <c r="B30" s="10" t="s">
        <v>54</v>
      </c>
      <c r="C30" s="40">
        <v>0</v>
      </c>
      <c r="D30" s="40">
        <v>0</v>
      </c>
      <c r="E30" s="40">
        <v>0</v>
      </c>
      <c r="F30" s="40">
        <v>9375</v>
      </c>
      <c r="G30" s="40">
        <v>0</v>
      </c>
      <c r="H30" s="41"/>
      <c r="I30" s="40"/>
      <c r="J30" s="40"/>
      <c r="K30" s="63"/>
      <c r="L30" s="40">
        <v>10625</v>
      </c>
      <c r="M30" s="63"/>
      <c r="N30" s="25">
        <f t="shared" si="6"/>
        <v>10625</v>
      </c>
      <c r="O30" s="18"/>
    </row>
    <row r="31" spans="1:15" s="12" customFormat="1" ht="109.8" thickBot="1">
      <c r="A31" s="7" t="s">
        <v>55</v>
      </c>
      <c r="B31" s="8" t="s">
        <v>56</v>
      </c>
      <c r="C31" s="42">
        <f>C32+C33</f>
        <v>58250</v>
      </c>
      <c r="D31" s="42">
        <f aca="true" t="shared" si="7" ref="D31:G31">D32+D33</f>
        <v>0</v>
      </c>
      <c r="E31" s="42">
        <f t="shared" si="7"/>
        <v>0</v>
      </c>
      <c r="F31" s="42">
        <f t="shared" si="7"/>
        <v>0</v>
      </c>
      <c r="G31" s="42">
        <f t="shared" si="7"/>
        <v>0</v>
      </c>
      <c r="H31" s="43"/>
      <c r="I31" s="42">
        <f>I32+I33</f>
        <v>37433.72</v>
      </c>
      <c r="J31" s="42"/>
      <c r="K31" s="64"/>
      <c r="L31" s="42"/>
      <c r="M31" s="64"/>
      <c r="N31" s="25">
        <f t="shared" si="6"/>
        <v>37433.72</v>
      </c>
      <c r="O31" s="27"/>
    </row>
    <row r="32" spans="1:15" ht="47.4" thickBot="1">
      <c r="A32" s="11" t="s">
        <v>57</v>
      </c>
      <c r="B32" s="10" t="s">
        <v>58</v>
      </c>
      <c r="C32" s="40">
        <v>23500</v>
      </c>
      <c r="D32" s="40">
        <v>0</v>
      </c>
      <c r="E32" s="40">
        <v>0</v>
      </c>
      <c r="F32" s="40"/>
      <c r="G32" s="40">
        <v>0</v>
      </c>
      <c r="H32" s="41"/>
      <c r="I32" s="40">
        <f>868.62+67.4+22500</f>
        <v>23436.02</v>
      </c>
      <c r="J32" s="40"/>
      <c r="K32" s="63"/>
      <c r="L32" s="40"/>
      <c r="M32" s="63"/>
      <c r="N32" s="25">
        <f t="shared" si="6"/>
        <v>23436.02</v>
      </c>
      <c r="O32" s="18"/>
    </row>
    <row r="33" spans="1:15" ht="94.2" thickBot="1">
      <c r="A33" s="11" t="s">
        <v>59</v>
      </c>
      <c r="B33" s="10" t="s">
        <v>60</v>
      </c>
      <c r="C33" s="40">
        <f>17250+17500</f>
        <v>34750</v>
      </c>
      <c r="D33" s="40">
        <v>0</v>
      </c>
      <c r="E33" s="40">
        <v>0</v>
      </c>
      <c r="F33" s="40"/>
      <c r="G33" s="40">
        <v>0</v>
      </c>
      <c r="H33" s="41"/>
      <c r="I33" s="40">
        <f>13997.7</f>
        <v>13997.7</v>
      </c>
      <c r="J33" s="40"/>
      <c r="K33" s="63"/>
      <c r="L33" s="40"/>
      <c r="M33" s="63"/>
      <c r="N33" s="25">
        <f t="shared" si="6"/>
        <v>13997.7</v>
      </c>
      <c r="O33" s="19" t="s">
        <v>150</v>
      </c>
    </row>
    <row r="34" spans="1:15" s="12" customFormat="1" ht="47.4" thickBot="1">
      <c r="A34" s="7" t="s">
        <v>61</v>
      </c>
      <c r="B34" s="8" t="s">
        <v>62</v>
      </c>
      <c r="C34" s="42">
        <f>C35+C36+C37</f>
        <v>0</v>
      </c>
      <c r="D34" s="40">
        <f>D35+D36+D37</f>
        <v>250150</v>
      </c>
      <c r="E34" s="42">
        <f aca="true" t="shared" si="8" ref="E34:G34">E35+E36+E37</f>
        <v>0</v>
      </c>
      <c r="F34" s="42">
        <f t="shared" si="8"/>
        <v>0</v>
      </c>
      <c r="G34" s="42">
        <f t="shared" si="8"/>
        <v>0</v>
      </c>
      <c r="H34" s="43"/>
      <c r="I34" s="42">
        <f>I35+I36+I37</f>
        <v>0</v>
      </c>
      <c r="J34" s="40">
        <f>J35+J36+J37</f>
        <v>216761</v>
      </c>
      <c r="K34" s="64">
        <f>K35+K36+K37</f>
        <v>0</v>
      </c>
      <c r="L34" s="42">
        <f>L35+L36+L37</f>
        <v>0</v>
      </c>
      <c r="M34" s="64">
        <f>M35+M36+M37</f>
        <v>0</v>
      </c>
      <c r="N34" s="25">
        <f t="shared" si="6"/>
        <v>216761</v>
      </c>
      <c r="O34" s="27"/>
    </row>
    <row r="35" spans="1:15" ht="94.2" thickBot="1">
      <c r="A35" s="11" t="s">
        <v>63</v>
      </c>
      <c r="B35" s="10" t="s">
        <v>64</v>
      </c>
      <c r="C35" s="40">
        <v>0</v>
      </c>
      <c r="D35" s="40">
        <v>25711</v>
      </c>
      <c r="E35" s="40">
        <v>0</v>
      </c>
      <c r="F35" s="40"/>
      <c r="G35" s="40">
        <v>0</v>
      </c>
      <c r="H35" s="41"/>
      <c r="I35" s="40"/>
      <c r="J35" s="40">
        <v>25122</v>
      </c>
      <c r="K35" s="63"/>
      <c r="L35" s="40"/>
      <c r="M35" s="63"/>
      <c r="N35" s="25">
        <f t="shared" si="6"/>
        <v>25122</v>
      </c>
      <c r="O35" s="18"/>
    </row>
    <row r="36" spans="1:15" ht="108.6" customHeight="1" thickBot="1">
      <c r="A36" s="11" t="s">
        <v>65</v>
      </c>
      <c r="B36" s="10" t="s">
        <v>66</v>
      </c>
      <c r="C36" s="40">
        <v>0</v>
      </c>
      <c r="D36" s="40">
        <v>191900</v>
      </c>
      <c r="E36" s="40">
        <v>0</v>
      </c>
      <c r="F36" s="40">
        <v>0</v>
      </c>
      <c r="G36" s="40">
        <v>0</v>
      </c>
      <c r="H36" s="41"/>
      <c r="I36" s="40"/>
      <c r="J36" s="40">
        <v>191639</v>
      </c>
      <c r="K36" s="63"/>
      <c r="L36" s="40"/>
      <c r="M36" s="63"/>
      <c r="N36" s="25">
        <f t="shared" si="6"/>
        <v>191639</v>
      </c>
      <c r="O36" s="18"/>
    </row>
    <row r="37" spans="1:15" ht="94.2" thickBot="1">
      <c r="A37" s="11" t="s">
        <v>67</v>
      </c>
      <c r="B37" s="10" t="s">
        <v>68</v>
      </c>
      <c r="C37" s="40">
        <v>0</v>
      </c>
      <c r="D37" s="40">
        <v>32539</v>
      </c>
      <c r="E37" s="40">
        <v>0</v>
      </c>
      <c r="F37" s="40">
        <v>0</v>
      </c>
      <c r="G37" s="40">
        <v>0</v>
      </c>
      <c r="H37" s="41"/>
      <c r="I37" s="40"/>
      <c r="J37" s="40"/>
      <c r="K37" s="63"/>
      <c r="L37" s="40"/>
      <c r="M37" s="63"/>
      <c r="N37" s="25">
        <f t="shared" si="6"/>
        <v>0</v>
      </c>
      <c r="O37" s="18"/>
    </row>
    <row r="38" spans="1:15" s="12" customFormat="1" ht="47.4" thickBot="1">
      <c r="A38" s="7" t="s">
        <v>69</v>
      </c>
      <c r="B38" s="8" t="s">
        <v>70</v>
      </c>
      <c r="C38" s="42">
        <f>C39+C40+C41+C42</f>
        <v>284900</v>
      </c>
      <c r="D38" s="42">
        <f aca="true" t="shared" si="9" ref="D38:G38">D39+D40+D41+D42</f>
        <v>0</v>
      </c>
      <c r="E38" s="42">
        <f t="shared" si="9"/>
        <v>0</v>
      </c>
      <c r="F38" s="42">
        <f t="shared" si="9"/>
        <v>0</v>
      </c>
      <c r="G38" s="42">
        <f t="shared" si="9"/>
        <v>0</v>
      </c>
      <c r="H38" s="43"/>
      <c r="I38" s="42">
        <f>I39+I40+I41+I42</f>
        <v>55172.45</v>
      </c>
      <c r="J38" s="42"/>
      <c r="K38" s="64"/>
      <c r="L38" s="42"/>
      <c r="M38" s="64"/>
      <c r="N38" s="25">
        <f t="shared" si="6"/>
        <v>55172.45</v>
      </c>
      <c r="O38" s="27"/>
    </row>
    <row r="39" spans="1:15" ht="94.2" thickBot="1">
      <c r="A39" s="11" t="s">
        <v>71</v>
      </c>
      <c r="B39" s="10" t="s">
        <v>72</v>
      </c>
      <c r="C39" s="40">
        <v>28500</v>
      </c>
      <c r="D39" s="40">
        <v>0</v>
      </c>
      <c r="E39" s="40">
        <v>0</v>
      </c>
      <c r="F39" s="40">
        <v>0</v>
      </c>
      <c r="G39" s="40">
        <v>0</v>
      </c>
      <c r="H39" s="41"/>
      <c r="I39" s="40">
        <f>252.77+11800/2</f>
        <v>6152.77</v>
      </c>
      <c r="J39" s="40"/>
      <c r="K39" s="63"/>
      <c r="L39" s="40"/>
      <c r="M39" s="63"/>
      <c r="N39" s="25">
        <f t="shared" si="6"/>
        <v>6152.77</v>
      </c>
      <c r="O39" s="18"/>
    </row>
    <row r="40" spans="1:15" ht="63" thickBot="1">
      <c r="A40" s="11" t="s">
        <v>73</v>
      </c>
      <c r="B40" s="10" t="s">
        <v>74</v>
      </c>
      <c r="C40" s="40">
        <v>43500</v>
      </c>
      <c r="D40" s="40">
        <v>0</v>
      </c>
      <c r="E40" s="40">
        <v>0</v>
      </c>
      <c r="F40" s="40">
        <v>0</v>
      </c>
      <c r="G40" s="40">
        <v>0</v>
      </c>
      <c r="H40" s="41"/>
      <c r="I40" s="40">
        <v>0</v>
      </c>
      <c r="J40" s="40">
        <v>0</v>
      </c>
      <c r="K40" s="63">
        <v>0</v>
      </c>
      <c r="L40" s="40">
        <v>0</v>
      </c>
      <c r="M40" s="63">
        <v>0</v>
      </c>
      <c r="N40" s="25">
        <f t="shared" si="6"/>
        <v>0</v>
      </c>
      <c r="O40" s="18"/>
    </row>
    <row r="41" spans="1:15" ht="47.4" thickBot="1">
      <c r="A41" s="11" t="s">
        <v>75</v>
      </c>
      <c r="B41" s="10" t="s">
        <v>76</v>
      </c>
      <c r="C41" s="40">
        <v>48200</v>
      </c>
      <c r="D41" s="40">
        <v>0</v>
      </c>
      <c r="E41" s="40">
        <v>0</v>
      </c>
      <c r="F41" s="40">
        <v>0</v>
      </c>
      <c r="G41" s="40">
        <v>0</v>
      </c>
      <c r="H41" s="41"/>
      <c r="I41" s="40">
        <v>0</v>
      </c>
      <c r="J41" s="40">
        <v>0</v>
      </c>
      <c r="K41" s="63">
        <v>0</v>
      </c>
      <c r="L41" s="40">
        <v>0</v>
      </c>
      <c r="M41" s="63">
        <v>0</v>
      </c>
      <c r="N41" s="25">
        <f t="shared" si="6"/>
        <v>0</v>
      </c>
      <c r="O41" s="18"/>
    </row>
    <row r="42" spans="1:15" ht="141" thickBot="1">
      <c r="A42" s="11" t="s">
        <v>77</v>
      </c>
      <c r="B42" s="10" t="s">
        <v>78</v>
      </c>
      <c r="C42" s="40">
        <v>164700</v>
      </c>
      <c r="D42" s="40">
        <v>0</v>
      </c>
      <c r="E42" s="40">
        <v>0</v>
      </c>
      <c r="F42" s="40">
        <v>0</v>
      </c>
      <c r="G42" s="40">
        <v>0</v>
      </c>
      <c r="H42" s="41"/>
      <c r="I42" s="40">
        <f>49019.68</f>
        <v>49019.68</v>
      </c>
      <c r="J42" s="40"/>
      <c r="K42" s="63"/>
      <c r="L42" s="40"/>
      <c r="M42" s="63"/>
      <c r="N42" s="25">
        <f>SUM(I42:M42)</f>
        <v>49019.68</v>
      </c>
      <c r="O42" s="18"/>
    </row>
    <row r="43" spans="1:15" ht="16.5" customHeight="1" thickBot="1">
      <c r="A43" s="74" t="s">
        <v>79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5.6" customHeight="1" thickBot="1">
      <c r="A44" s="74" t="s">
        <v>80</v>
      </c>
      <c r="B44" s="74"/>
      <c r="C44" s="74"/>
      <c r="D44" s="74"/>
      <c r="E44" s="74"/>
      <c r="F44" s="74"/>
      <c r="G44" s="74"/>
      <c r="H44" s="74"/>
      <c r="I44" s="40"/>
      <c r="J44" s="40"/>
      <c r="K44" s="63"/>
      <c r="L44" s="40"/>
      <c r="M44" s="63"/>
      <c r="N44" s="25">
        <f aca="true" t="shared" si="10" ref="N44:N55">SUM(I44:M44)</f>
        <v>0</v>
      </c>
      <c r="O44" s="18"/>
    </row>
    <row r="45" spans="1:15" s="12" customFormat="1" ht="94.2" thickBot="1">
      <c r="A45" s="7" t="s">
        <v>81</v>
      </c>
      <c r="B45" s="8" t="s">
        <v>82</v>
      </c>
      <c r="C45" s="42">
        <f>C46+C47+C48+C49</f>
        <v>91300</v>
      </c>
      <c r="D45" s="42">
        <f aca="true" t="shared" si="11" ref="D45:G45">D46+D47+D48+D49</f>
        <v>0</v>
      </c>
      <c r="E45" s="42">
        <f t="shared" si="11"/>
        <v>0</v>
      </c>
      <c r="F45" s="42">
        <f t="shared" si="11"/>
        <v>16075</v>
      </c>
      <c r="G45" s="42">
        <f t="shared" si="11"/>
        <v>0</v>
      </c>
      <c r="H45" s="43"/>
      <c r="I45" s="42">
        <f>I46+I47+I48+I49</f>
        <v>13635.6</v>
      </c>
      <c r="J45" s="42"/>
      <c r="K45" s="64"/>
      <c r="L45" s="42"/>
      <c r="M45" s="64"/>
      <c r="N45" s="25">
        <f t="shared" si="10"/>
        <v>13635.6</v>
      </c>
      <c r="O45" s="27"/>
    </row>
    <row r="46" spans="1:15" ht="16.2" thickBot="1">
      <c r="A46" s="11" t="s">
        <v>83</v>
      </c>
      <c r="B46" s="10" t="s">
        <v>84</v>
      </c>
      <c r="C46" s="40">
        <v>0</v>
      </c>
      <c r="D46" s="40">
        <v>0</v>
      </c>
      <c r="E46" s="40">
        <v>0</v>
      </c>
      <c r="F46" s="40">
        <v>8975</v>
      </c>
      <c r="G46" s="40">
        <v>0</v>
      </c>
      <c r="H46" s="41"/>
      <c r="I46" s="40"/>
      <c r="J46" s="40"/>
      <c r="K46" s="63"/>
      <c r="L46" s="40"/>
      <c r="M46" s="63"/>
      <c r="N46" s="25">
        <f t="shared" si="10"/>
        <v>0</v>
      </c>
      <c r="O46" s="18"/>
    </row>
    <row r="47" spans="1:15" ht="31.8" thickBot="1">
      <c r="A47" s="11" t="s">
        <v>85</v>
      </c>
      <c r="B47" s="10" t="s">
        <v>86</v>
      </c>
      <c r="C47" s="40">
        <v>27800</v>
      </c>
      <c r="D47" s="40">
        <v>0</v>
      </c>
      <c r="E47" s="40">
        <v>0</v>
      </c>
      <c r="F47" s="40">
        <v>0</v>
      </c>
      <c r="G47" s="40">
        <v>0</v>
      </c>
      <c r="H47" s="41"/>
      <c r="I47" s="40">
        <f>385.6+11000+4500/2</f>
        <v>13635.6</v>
      </c>
      <c r="J47" s="40"/>
      <c r="K47" s="63"/>
      <c r="L47" s="40"/>
      <c r="M47" s="63"/>
      <c r="N47" s="25">
        <f t="shared" si="10"/>
        <v>13635.6</v>
      </c>
      <c r="O47" s="18"/>
    </row>
    <row r="48" spans="1:15" ht="47.4" thickBot="1">
      <c r="A48" s="11" t="s">
        <v>87</v>
      </c>
      <c r="B48" s="10" t="s">
        <v>88</v>
      </c>
      <c r="C48" s="40">
        <v>0</v>
      </c>
      <c r="D48" s="40">
        <v>0</v>
      </c>
      <c r="E48" s="40">
        <v>0</v>
      </c>
      <c r="F48" s="40">
        <v>7100</v>
      </c>
      <c r="G48" s="40">
        <v>0</v>
      </c>
      <c r="H48" s="41"/>
      <c r="I48" s="40"/>
      <c r="J48" s="40"/>
      <c r="K48" s="63"/>
      <c r="L48" s="40"/>
      <c r="M48" s="63"/>
      <c r="N48" s="25">
        <f t="shared" si="10"/>
        <v>0</v>
      </c>
      <c r="O48" s="18"/>
    </row>
    <row r="49" spans="1:15" ht="47.4" thickBot="1">
      <c r="A49" s="11" t="s">
        <v>89</v>
      </c>
      <c r="B49" s="10" t="s">
        <v>90</v>
      </c>
      <c r="C49" s="40">
        <v>63500</v>
      </c>
      <c r="D49" s="40">
        <v>0</v>
      </c>
      <c r="E49" s="40">
        <v>0</v>
      </c>
      <c r="F49" s="40">
        <v>0</v>
      </c>
      <c r="G49" s="40">
        <v>0</v>
      </c>
      <c r="H49" s="41"/>
      <c r="I49" s="40">
        <v>0</v>
      </c>
      <c r="J49" s="40">
        <v>0</v>
      </c>
      <c r="K49" s="63">
        <v>0</v>
      </c>
      <c r="L49" s="40">
        <v>0</v>
      </c>
      <c r="M49" s="63">
        <v>0</v>
      </c>
      <c r="N49" s="25">
        <f t="shared" si="10"/>
        <v>0</v>
      </c>
      <c r="O49" s="18"/>
    </row>
    <row r="50" spans="1:15" ht="125.4" thickBot="1">
      <c r="A50" s="7" t="s">
        <v>91</v>
      </c>
      <c r="B50" s="8" t="s">
        <v>92</v>
      </c>
      <c r="C50" s="40">
        <f>C51+C52</f>
        <v>25000</v>
      </c>
      <c r="D50" s="40">
        <f aca="true" t="shared" si="12" ref="D50:G50">D51+D52</f>
        <v>0</v>
      </c>
      <c r="E50" s="40">
        <f t="shared" si="12"/>
        <v>0</v>
      </c>
      <c r="F50" s="40">
        <f t="shared" si="12"/>
        <v>32450</v>
      </c>
      <c r="G50" s="40">
        <f t="shared" si="12"/>
        <v>0</v>
      </c>
      <c r="H50" s="41"/>
      <c r="I50" s="40">
        <f>I51+I52</f>
        <v>18336.139999999996</v>
      </c>
      <c r="J50" s="40"/>
      <c r="K50" s="63"/>
      <c r="L50" s="40"/>
      <c r="M50" s="63"/>
      <c r="N50" s="25">
        <f t="shared" si="10"/>
        <v>18336.139999999996</v>
      </c>
      <c r="O50" s="18"/>
    </row>
    <row r="51" spans="1:15" ht="109.8" thickBot="1">
      <c r="A51" s="11" t="s">
        <v>93</v>
      </c>
      <c r="B51" s="10" t="s">
        <v>94</v>
      </c>
      <c r="C51" s="40">
        <f>13500+11500</f>
        <v>25000</v>
      </c>
      <c r="D51" s="40">
        <v>0</v>
      </c>
      <c r="E51" s="40">
        <v>0</v>
      </c>
      <c r="F51" s="40">
        <v>0</v>
      </c>
      <c r="G51" s="40">
        <v>0</v>
      </c>
      <c r="H51" s="41"/>
      <c r="I51" s="40">
        <f>14168.71+2358.99+1808.44</f>
        <v>18336.139999999996</v>
      </c>
      <c r="J51" s="40"/>
      <c r="K51" s="63"/>
      <c r="L51" s="40"/>
      <c r="M51" s="63"/>
      <c r="N51" s="25">
        <f t="shared" si="10"/>
        <v>18336.139999999996</v>
      </c>
      <c r="O51" s="19" t="s">
        <v>163</v>
      </c>
    </row>
    <row r="52" spans="1:15" ht="63" thickBot="1">
      <c r="A52" s="11" t="s">
        <v>95</v>
      </c>
      <c r="B52" s="10" t="s">
        <v>96</v>
      </c>
      <c r="C52" s="40">
        <v>0</v>
      </c>
      <c r="D52" s="40">
        <v>0</v>
      </c>
      <c r="E52" s="40">
        <v>0</v>
      </c>
      <c r="F52" s="40">
        <v>32450</v>
      </c>
      <c r="G52" s="40">
        <v>0</v>
      </c>
      <c r="H52" s="41"/>
      <c r="I52" s="40"/>
      <c r="J52" s="40"/>
      <c r="K52" s="63"/>
      <c r="L52" s="40"/>
      <c r="M52" s="63"/>
      <c r="N52" s="25">
        <f t="shared" si="10"/>
        <v>0</v>
      </c>
      <c r="O52" s="18"/>
    </row>
    <row r="53" spans="1:15" s="12" customFormat="1" ht="109.8" thickBot="1">
      <c r="A53" s="7" t="s">
        <v>97</v>
      </c>
      <c r="B53" s="8" t="s">
        <v>98</v>
      </c>
      <c r="C53" s="42">
        <f>C54+C55+C56</f>
        <v>27650</v>
      </c>
      <c r="D53" s="42">
        <f aca="true" t="shared" si="13" ref="D53:G53">D54+D55+D56</f>
        <v>0</v>
      </c>
      <c r="E53" s="42">
        <f t="shared" si="13"/>
        <v>84294</v>
      </c>
      <c r="F53" s="42">
        <f t="shared" si="13"/>
        <v>63919</v>
      </c>
      <c r="G53" s="42">
        <f t="shared" si="13"/>
        <v>0</v>
      </c>
      <c r="H53" s="42">
        <f aca="true" t="shared" si="14" ref="H53:K53">H54+H55+H56</f>
        <v>0</v>
      </c>
      <c r="I53" s="42">
        <f t="shared" si="14"/>
        <v>0</v>
      </c>
      <c r="J53" s="42">
        <f t="shared" si="14"/>
        <v>0</v>
      </c>
      <c r="K53" s="64">
        <f t="shared" si="14"/>
        <v>63744.34</v>
      </c>
      <c r="L53" s="42">
        <f>L54+L55+L56</f>
        <v>37287</v>
      </c>
      <c r="M53" s="64">
        <f>M54+M55+M56</f>
        <v>0</v>
      </c>
      <c r="N53" s="25">
        <f t="shared" si="10"/>
        <v>101031.34</v>
      </c>
      <c r="O53" s="27"/>
    </row>
    <row r="54" spans="1:15" ht="78.6" thickBot="1">
      <c r="A54" s="11" t="s">
        <v>99</v>
      </c>
      <c r="B54" s="10" t="s">
        <v>100</v>
      </c>
      <c r="C54" s="40">
        <v>0</v>
      </c>
      <c r="D54" s="40">
        <v>0</v>
      </c>
      <c r="E54" s="40">
        <v>84294</v>
      </c>
      <c r="F54" s="40">
        <v>0</v>
      </c>
      <c r="G54" s="40">
        <v>0</v>
      </c>
      <c r="H54" s="41"/>
      <c r="I54" s="40"/>
      <c r="J54" s="40"/>
      <c r="K54" s="63">
        <v>63744.34</v>
      </c>
      <c r="L54" s="40"/>
      <c r="M54" s="63"/>
      <c r="N54" s="25">
        <f t="shared" si="10"/>
        <v>63744.34</v>
      </c>
      <c r="O54" s="18"/>
    </row>
    <row r="55" spans="1:15" ht="94.2" thickBot="1">
      <c r="A55" s="11" t="s">
        <v>101</v>
      </c>
      <c r="B55" s="10" t="s">
        <v>102</v>
      </c>
      <c r="C55" s="40">
        <v>0</v>
      </c>
      <c r="D55" s="40">
        <v>0</v>
      </c>
      <c r="E55" s="40">
        <v>0</v>
      </c>
      <c r="F55" s="40">
        <v>63919</v>
      </c>
      <c r="G55" s="40">
        <v>0</v>
      </c>
      <c r="H55" s="41"/>
      <c r="I55" s="40"/>
      <c r="J55" s="40"/>
      <c r="K55" s="63"/>
      <c r="L55" s="40">
        <v>37287</v>
      </c>
      <c r="M55" s="63"/>
      <c r="N55" s="25">
        <f t="shared" si="10"/>
        <v>37287</v>
      </c>
      <c r="O55" s="18"/>
    </row>
    <row r="56" spans="1:15" ht="47.4" thickBot="1">
      <c r="A56" s="11" t="s">
        <v>103</v>
      </c>
      <c r="B56" s="10" t="s">
        <v>104</v>
      </c>
      <c r="C56" s="40">
        <v>27650</v>
      </c>
      <c r="D56" s="40">
        <v>0</v>
      </c>
      <c r="E56" s="40">
        <v>0</v>
      </c>
      <c r="F56" s="40">
        <v>0</v>
      </c>
      <c r="G56" s="40">
        <v>0</v>
      </c>
      <c r="H56" s="41"/>
      <c r="I56" s="40">
        <v>0</v>
      </c>
      <c r="J56" s="40">
        <v>0</v>
      </c>
      <c r="K56" s="63">
        <v>0</v>
      </c>
      <c r="L56" s="40">
        <v>0</v>
      </c>
      <c r="M56" s="63">
        <v>0</v>
      </c>
      <c r="N56" s="25">
        <f>SUM(I56:M56)</f>
        <v>0</v>
      </c>
      <c r="O56" s="18"/>
    </row>
    <row r="57" spans="1:15" ht="16.5" customHeight="1" thickBot="1">
      <c r="A57" s="74" t="s">
        <v>105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1:15" ht="29.85" customHeight="1" thickBot="1">
      <c r="A58" s="74" t="s">
        <v>106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1:15" s="12" customFormat="1" ht="63" thickBot="1">
      <c r="A59" s="7" t="s">
        <v>107</v>
      </c>
      <c r="B59" s="8" t="s">
        <v>108</v>
      </c>
      <c r="C59" s="42">
        <f>C60+C61+C62+C63</f>
        <v>126800</v>
      </c>
      <c r="D59" s="42">
        <f>D60+D61+D62+D63</f>
        <v>0</v>
      </c>
      <c r="E59" s="42">
        <f>E60+E61+E62+E63</f>
        <v>0</v>
      </c>
      <c r="F59" s="42">
        <f>F60+F61+F62+F63</f>
        <v>0</v>
      </c>
      <c r="G59" s="42">
        <f>G60+G61+G62+G63</f>
        <v>0</v>
      </c>
      <c r="H59" s="43"/>
      <c r="I59" s="42">
        <f>I60+I61+I62+I63</f>
        <v>8446.779999999999</v>
      </c>
      <c r="J59" s="42"/>
      <c r="K59" s="64"/>
      <c r="L59" s="42"/>
      <c r="M59" s="64"/>
      <c r="N59" s="25">
        <f aca="true" t="shared" si="15" ref="N59:N67">SUM(I59:M59)</f>
        <v>8446.779999999999</v>
      </c>
      <c r="O59" s="27"/>
    </row>
    <row r="60" spans="1:15" ht="125.4" thickBot="1">
      <c r="A60" s="11" t="s">
        <v>109</v>
      </c>
      <c r="B60" s="10" t="s">
        <v>110</v>
      </c>
      <c r="C60" s="40">
        <v>16000</v>
      </c>
      <c r="D60" s="40">
        <v>0</v>
      </c>
      <c r="E60" s="40">
        <v>0</v>
      </c>
      <c r="F60" s="40">
        <v>0</v>
      </c>
      <c r="G60" s="40">
        <v>0</v>
      </c>
      <c r="H60" s="41"/>
      <c r="I60" s="40">
        <f>1706.61+320.17+5500/2</f>
        <v>4776.78</v>
      </c>
      <c r="J60" s="40"/>
      <c r="K60" s="63"/>
      <c r="L60" s="40"/>
      <c r="M60" s="63"/>
      <c r="N60" s="25">
        <f t="shared" si="15"/>
        <v>4776.78</v>
      </c>
      <c r="O60" s="18"/>
    </row>
    <row r="61" spans="1:15" ht="47.4" thickBot="1">
      <c r="A61" s="11" t="s">
        <v>111</v>
      </c>
      <c r="B61" s="10" t="s">
        <v>112</v>
      </c>
      <c r="C61" s="40">
        <v>25800</v>
      </c>
      <c r="D61" s="40">
        <v>0</v>
      </c>
      <c r="E61" s="40">
        <v>0</v>
      </c>
      <c r="F61" s="40">
        <v>0</v>
      </c>
      <c r="G61" s="40">
        <v>0</v>
      </c>
      <c r="H61" s="41"/>
      <c r="I61" s="40">
        <f>7340/2</f>
        <v>3670</v>
      </c>
      <c r="J61" s="40"/>
      <c r="K61" s="63"/>
      <c r="L61" s="40"/>
      <c r="M61" s="63"/>
      <c r="N61" s="25">
        <f t="shared" si="15"/>
        <v>3670</v>
      </c>
      <c r="O61" s="18"/>
    </row>
    <row r="62" spans="1:15" ht="78.6" thickBot="1">
      <c r="A62" s="11" t="s">
        <v>113</v>
      </c>
      <c r="B62" s="10" t="s">
        <v>114</v>
      </c>
      <c r="C62" s="40">
        <v>45000</v>
      </c>
      <c r="D62" s="40">
        <v>0</v>
      </c>
      <c r="E62" s="40">
        <v>0</v>
      </c>
      <c r="F62" s="40">
        <v>0</v>
      </c>
      <c r="G62" s="40">
        <v>0</v>
      </c>
      <c r="H62" s="41"/>
      <c r="I62" s="40">
        <v>0</v>
      </c>
      <c r="J62" s="40">
        <v>0</v>
      </c>
      <c r="K62" s="63">
        <v>0</v>
      </c>
      <c r="L62" s="40">
        <v>0</v>
      </c>
      <c r="M62" s="63">
        <v>0</v>
      </c>
      <c r="N62" s="25">
        <f t="shared" si="15"/>
        <v>0</v>
      </c>
      <c r="O62" s="18"/>
    </row>
    <row r="63" spans="1:15" ht="16.2" thickBot="1">
      <c r="A63" s="11" t="s">
        <v>115</v>
      </c>
      <c r="B63" s="10" t="s">
        <v>116</v>
      </c>
      <c r="C63" s="40">
        <v>40000</v>
      </c>
      <c r="D63" s="40">
        <v>0</v>
      </c>
      <c r="E63" s="40">
        <v>0</v>
      </c>
      <c r="F63" s="40">
        <v>0</v>
      </c>
      <c r="G63" s="40">
        <v>0</v>
      </c>
      <c r="H63" s="41"/>
      <c r="I63" s="40">
        <v>0</v>
      </c>
      <c r="J63" s="40">
        <v>0</v>
      </c>
      <c r="K63" s="63">
        <v>0</v>
      </c>
      <c r="L63" s="40">
        <v>0</v>
      </c>
      <c r="M63" s="63">
        <v>0</v>
      </c>
      <c r="N63" s="25">
        <f t="shared" si="15"/>
        <v>0</v>
      </c>
      <c r="O63" s="18"/>
    </row>
    <row r="64" spans="1:15" s="12" customFormat="1" ht="81" customHeight="1" thickBot="1">
      <c r="A64" s="7" t="s">
        <v>117</v>
      </c>
      <c r="B64" s="8" t="s">
        <v>118</v>
      </c>
      <c r="C64" s="42">
        <f>C65+C66+C67+C68</f>
        <v>0</v>
      </c>
      <c r="D64" s="42">
        <f>D65+D66+D67+D68</f>
        <v>0</v>
      </c>
      <c r="E64" s="42">
        <f>E65+E66+E67+E68</f>
        <v>0</v>
      </c>
      <c r="F64" s="42">
        <f>F65+F66+F67+F68</f>
        <v>0</v>
      </c>
      <c r="G64" s="42">
        <f>G65+G66+G67+G68+G70+G74</f>
        <v>300000</v>
      </c>
      <c r="H64" s="43"/>
      <c r="I64" s="42">
        <f>I65+I66+I67+I68</f>
        <v>0</v>
      </c>
      <c r="J64" s="42">
        <f>J65+J66+J67+J68</f>
        <v>0</v>
      </c>
      <c r="K64" s="64">
        <f>K65+K66+K67+K68</f>
        <v>0</v>
      </c>
      <c r="L64" s="42">
        <f>L65+L66+L67+L68</f>
        <v>0</v>
      </c>
      <c r="M64" s="64">
        <f>M65+M66+M67+M68</f>
        <v>192979</v>
      </c>
      <c r="N64" s="25">
        <f t="shared" si="15"/>
        <v>192979</v>
      </c>
      <c r="O64" s="27"/>
    </row>
    <row r="65" spans="1:15" ht="125.4" thickBot="1">
      <c r="A65" s="11" t="s">
        <v>119</v>
      </c>
      <c r="B65" s="10" t="s">
        <v>120</v>
      </c>
      <c r="C65" s="40">
        <v>0</v>
      </c>
      <c r="D65" s="40">
        <v>0</v>
      </c>
      <c r="E65" s="40">
        <v>0</v>
      </c>
      <c r="F65" s="40">
        <v>0</v>
      </c>
      <c r="G65" s="40">
        <v>28500</v>
      </c>
      <c r="H65" s="41"/>
      <c r="I65" s="40"/>
      <c r="J65" s="40"/>
      <c r="K65" s="63"/>
      <c r="L65" s="40"/>
      <c r="M65" s="63">
        <v>28520</v>
      </c>
      <c r="N65" s="25">
        <f t="shared" si="15"/>
        <v>28520</v>
      </c>
      <c r="O65" s="18"/>
    </row>
    <row r="66" spans="1:15" ht="78.6" thickBot="1">
      <c r="A66" s="11" t="s">
        <v>121</v>
      </c>
      <c r="B66" s="10" t="s">
        <v>122</v>
      </c>
      <c r="C66" s="40">
        <v>0</v>
      </c>
      <c r="D66" s="40">
        <v>0</v>
      </c>
      <c r="E66" s="40">
        <v>0</v>
      </c>
      <c r="F66" s="40">
        <v>0</v>
      </c>
      <c r="G66" s="40">
        <v>54585</v>
      </c>
      <c r="H66" s="41"/>
      <c r="I66" s="40"/>
      <c r="J66" s="40"/>
      <c r="K66" s="63"/>
      <c r="L66" s="40"/>
      <c r="M66" s="63">
        <f>32946+9740</f>
        <v>42686</v>
      </c>
      <c r="N66" s="25">
        <f t="shared" si="15"/>
        <v>42686</v>
      </c>
      <c r="O66" s="18"/>
    </row>
    <row r="67" spans="1:15" ht="78.6" thickBot="1">
      <c r="A67" s="11" t="s">
        <v>123</v>
      </c>
      <c r="B67" s="10" t="s">
        <v>124</v>
      </c>
      <c r="C67" s="40">
        <v>0</v>
      </c>
      <c r="D67" s="40">
        <v>0</v>
      </c>
      <c r="E67" s="40">
        <v>0</v>
      </c>
      <c r="F67" s="40">
        <v>0</v>
      </c>
      <c r="G67" s="40">
        <v>76600</v>
      </c>
      <c r="H67" s="41"/>
      <c r="I67" s="40"/>
      <c r="J67" s="40"/>
      <c r="K67" s="63"/>
      <c r="L67" s="40"/>
      <c r="M67" s="63">
        <f>64200+10960</f>
        <v>75160</v>
      </c>
      <c r="N67" s="25">
        <f t="shared" si="15"/>
        <v>75160</v>
      </c>
      <c r="O67" s="18"/>
    </row>
    <row r="68" spans="1:15" ht="63" thickBot="1">
      <c r="A68" s="11" t="s">
        <v>125</v>
      </c>
      <c r="B68" s="10" t="s">
        <v>126</v>
      </c>
      <c r="C68" s="40">
        <v>0</v>
      </c>
      <c r="D68" s="40">
        <v>0</v>
      </c>
      <c r="E68" s="40">
        <v>0</v>
      </c>
      <c r="F68" s="40">
        <v>0</v>
      </c>
      <c r="G68" s="40">
        <v>50000</v>
      </c>
      <c r="H68" s="41"/>
      <c r="I68" s="40"/>
      <c r="J68" s="40"/>
      <c r="K68" s="63"/>
      <c r="L68" s="40"/>
      <c r="M68" s="63">
        <v>46613</v>
      </c>
      <c r="N68" s="25">
        <f>SUM(I68:M68)</f>
        <v>46613</v>
      </c>
      <c r="O68" s="18"/>
    </row>
    <row r="69" spans="1:15" ht="16.5" customHeight="1" thickBot="1">
      <c r="A69" s="74" t="s">
        <v>127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1:15" s="12" customFormat="1" ht="115.2" customHeight="1" thickBot="1">
      <c r="A70" s="29" t="s">
        <v>128</v>
      </c>
      <c r="B70" s="29"/>
      <c r="C70" s="45">
        <f>443100-49000</f>
        <v>394100</v>
      </c>
      <c r="D70" s="46">
        <v>155063</v>
      </c>
      <c r="E70" s="46"/>
      <c r="F70" s="46">
        <v>45974</v>
      </c>
      <c r="G70" s="46">
        <f>58415+8800+2100</f>
        <v>69315</v>
      </c>
      <c r="H70" s="47"/>
      <c r="I70" s="45">
        <f>145931.08+48663.07+4000+647.66+168.51+8107+8339.35</f>
        <v>215856.67</v>
      </c>
      <c r="J70" s="45">
        <v>132353</v>
      </c>
      <c r="K70" s="65">
        <v>56455.41</v>
      </c>
      <c r="L70" s="45">
        <v>43624</v>
      </c>
      <c r="M70" s="72"/>
      <c r="N70" s="26">
        <f aca="true" t="shared" si="16" ref="N70:N73">SUM(I70:M70)</f>
        <v>448289.0800000001</v>
      </c>
      <c r="O70" s="30" t="s">
        <v>162</v>
      </c>
    </row>
    <row r="71" spans="1:15" ht="50.25" customHeight="1" thickBot="1">
      <c r="A71" s="4" t="s">
        <v>129</v>
      </c>
      <c r="B71" s="6"/>
      <c r="C71" s="48"/>
      <c r="D71" s="49"/>
      <c r="E71" s="49"/>
      <c r="F71" s="49">
        <v>27368</v>
      </c>
      <c r="G71" s="49"/>
      <c r="H71" s="47"/>
      <c r="I71" s="48"/>
      <c r="J71" s="48"/>
      <c r="K71" s="66">
        <v>9207.015</v>
      </c>
      <c r="L71" s="48">
        <v>2063</v>
      </c>
      <c r="M71" s="66"/>
      <c r="N71" s="26">
        <f t="shared" si="16"/>
        <v>11270.015</v>
      </c>
      <c r="O71" s="20"/>
    </row>
    <row r="72" spans="1:15" ht="36" customHeight="1" thickBot="1">
      <c r="A72" s="11" t="s">
        <v>130</v>
      </c>
      <c r="B72" s="10"/>
      <c r="C72" s="40"/>
      <c r="D72" s="50"/>
      <c r="E72" s="50"/>
      <c r="F72" s="50"/>
      <c r="G72" s="50"/>
      <c r="H72" s="41"/>
      <c r="I72" s="40"/>
      <c r="J72" s="40"/>
      <c r="K72" s="63"/>
      <c r="L72" s="40"/>
      <c r="M72" s="63"/>
      <c r="N72" s="26">
        <f t="shared" si="16"/>
        <v>0</v>
      </c>
      <c r="O72" s="18"/>
    </row>
    <row r="73" spans="1:15" ht="33.6" customHeight="1" thickBot="1">
      <c r="A73" s="6" t="s">
        <v>131</v>
      </c>
      <c r="B73" s="6"/>
      <c r="C73" s="49">
        <f>C9+C12+C20+C26+C31+C34+C38+C45+C50+C53+C59+C64+C70</f>
        <v>1500000</v>
      </c>
      <c r="D73" s="49">
        <f aca="true" t="shared" si="17" ref="D73:G73">D9+D12+D20+D26+D31+D34+D38+D45+D50+D53+D59+D64+D70</f>
        <v>560748</v>
      </c>
      <c r="E73" s="49">
        <f t="shared" si="17"/>
        <v>202400</v>
      </c>
      <c r="F73" s="49">
        <f>F9+F12+F20+F26+F31+F34+F38+F45+F50+F53+F59+F64+F70+F71</f>
        <v>282000</v>
      </c>
      <c r="G73" s="49">
        <f t="shared" si="17"/>
        <v>369315</v>
      </c>
      <c r="H73" s="49">
        <f aca="true" t="shared" si="18" ref="H73">H9+H12+H20+H26+H31+H34+H38+H45+H50+H53+H59+H64+H70</f>
        <v>0</v>
      </c>
      <c r="I73" s="49">
        <f>SUM(I70+I64+I59+I53+I50+I45+I38+I31+I26+I20+I12+I9)</f>
        <v>595586.3649999999</v>
      </c>
      <c r="J73" s="49">
        <f>J70+J34+J12</f>
        <v>445641</v>
      </c>
      <c r="K73" s="67">
        <f>K9+K12+K20+K26+K31+K34+K38+K45+K50+K53+K59+K64+K70+K71+K72</f>
        <v>241056.635</v>
      </c>
      <c r="L73" s="49">
        <f>SUM(L70+L64+L59+L53+L50+L45+L38+L31+L26+L20+L12+L9+L71)</f>
        <v>157766</v>
      </c>
      <c r="M73" s="67">
        <f aca="true" t="shared" si="19" ref="M73">SUM(M70+M64+M59+M53+M50+M45+M38+M31+M26+M20+M12+M9)</f>
        <v>192979</v>
      </c>
      <c r="N73" s="26">
        <f t="shared" si="16"/>
        <v>1633029</v>
      </c>
      <c r="O73" s="6"/>
    </row>
    <row r="74" spans="1:15" ht="16.5" customHeight="1" thickBot="1">
      <c r="A74" s="4" t="s">
        <v>132</v>
      </c>
      <c r="B74" s="4"/>
      <c r="C74" s="49"/>
      <c r="D74" s="49">
        <v>39252</v>
      </c>
      <c r="E74" s="49"/>
      <c r="F74" s="49">
        <v>18000</v>
      </c>
      <c r="G74" s="49">
        <v>21000</v>
      </c>
      <c r="H74" s="51"/>
      <c r="I74" s="48">
        <f>20538.17+6575.97</f>
        <v>27114.14</v>
      </c>
      <c r="J74" s="48">
        <v>23792</v>
      </c>
      <c r="K74" s="66">
        <v>16374.42</v>
      </c>
      <c r="L74" s="48">
        <v>11044</v>
      </c>
      <c r="M74" s="66">
        <v>21000</v>
      </c>
      <c r="N74" s="26">
        <f>SUM(I74:M74)</f>
        <v>99324.56</v>
      </c>
      <c r="O74" s="4"/>
    </row>
    <row r="75" spans="1:15" ht="36" customHeight="1" thickBot="1">
      <c r="A75" s="6" t="s">
        <v>133</v>
      </c>
      <c r="B75" s="6"/>
      <c r="C75" s="49">
        <v>1500000</v>
      </c>
      <c r="D75" s="49">
        <v>600000</v>
      </c>
      <c r="E75" s="49">
        <v>300000</v>
      </c>
      <c r="F75" s="49">
        <v>300000</v>
      </c>
      <c r="G75" s="49">
        <v>300000</v>
      </c>
      <c r="H75" s="47"/>
      <c r="I75" s="45">
        <f>I73+I74</f>
        <v>622700.5049999999</v>
      </c>
      <c r="J75" s="45">
        <f>J73+J74</f>
        <v>469433</v>
      </c>
      <c r="K75" s="68">
        <f aca="true" t="shared" si="20" ref="K75">K73+K74</f>
        <v>257431.05500000002</v>
      </c>
      <c r="L75" s="45">
        <f aca="true" t="shared" si="21" ref="L75">SUM(L73:L74)</f>
        <v>168810</v>
      </c>
      <c r="M75" s="72">
        <f>SUM(M73:M74)</f>
        <v>213979</v>
      </c>
      <c r="N75" s="45">
        <f>SUM(N73:N74)</f>
        <v>1732353.56</v>
      </c>
      <c r="O75" s="6"/>
    </row>
    <row r="76" spans="9:14" ht="29.4" customHeight="1" thickBot="1">
      <c r="I76" s="54">
        <f>I75/C75</f>
        <v>0.4151336699999999</v>
      </c>
      <c r="J76" s="54">
        <f>J75/D75</f>
        <v>0.7823883333333334</v>
      </c>
      <c r="K76" s="54">
        <f>K75/E75</f>
        <v>0.8581035166666667</v>
      </c>
      <c r="L76" s="54">
        <f>L75/F75</f>
        <v>0.5627</v>
      </c>
      <c r="M76" s="73">
        <f>M75/G75</f>
        <v>0.7132633333333334</v>
      </c>
      <c r="N76" s="53">
        <f>N75/3000000</f>
        <v>0.5774511866666667</v>
      </c>
    </row>
    <row r="81" ht="25.5" customHeight="1">
      <c r="M81" s="61" t="s">
        <v>164</v>
      </c>
    </row>
  </sheetData>
  <mergeCells count="8">
    <mergeCell ref="A57:O57"/>
    <mergeCell ref="A58:O58"/>
    <mergeCell ref="A69:O69"/>
    <mergeCell ref="A8:O8"/>
    <mergeCell ref="A24:O24"/>
    <mergeCell ref="A25:O25"/>
    <mergeCell ref="A43:O43"/>
    <mergeCell ref="A44:H44"/>
  </mergeCells>
  <printOptions/>
  <pageMargins left="0.25" right="0.25" top="0.75" bottom="0.75" header="0.3" footer="0.3"/>
  <pageSetup fitToHeight="0" fitToWidth="1" horizontalDpi="600" verticalDpi="600" orientation="landscape" paperSize="9" scale="55" r:id="rId1"/>
  <rowBreaks count="2" manualBreakCount="2">
    <brk id="43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"/>
  <sheetViews>
    <sheetView tabSelected="1" view="pageBreakPreview" zoomScale="80" zoomScaleSheetLayoutView="80" zoomScalePageLayoutView="80" workbookViewId="0" topLeftCell="A7">
      <selection activeCell="H26" sqref="H26"/>
    </sheetView>
  </sheetViews>
  <sheetFormatPr defaultColWidth="8.8515625" defaultRowHeight="15"/>
  <cols>
    <col min="1" max="1" width="23.28125" style="0" customWidth="1"/>
    <col min="2" max="2" width="18.57421875" style="0" customWidth="1"/>
    <col min="3" max="3" width="19.7109375" style="0" customWidth="1"/>
    <col min="4" max="4" width="19.57421875" style="0" customWidth="1"/>
    <col min="5" max="5" width="17.8515625" style="33" customWidth="1"/>
    <col min="6" max="6" width="20.28125" style="37" customWidth="1"/>
    <col min="7" max="7" width="18.57421875" style="0" customWidth="1"/>
    <col min="8" max="15" width="8.57421875" style="0" customWidth="1"/>
    <col min="16" max="16" width="14.140625" style="0" bestFit="1" customWidth="1"/>
    <col min="17" max="1022" width="8.57421875" style="0" customWidth="1"/>
  </cols>
  <sheetData>
    <row r="1" spans="1:4" ht="15.6">
      <c r="A1" s="3" t="s">
        <v>134</v>
      </c>
      <c r="B1" s="3"/>
      <c r="C1" s="3"/>
      <c r="D1" s="3"/>
    </row>
    <row r="2" spans="1:4" ht="15">
      <c r="A2" s="12"/>
      <c r="B2" s="12"/>
      <c r="C2" s="12"/>
      <c r="D2" s="12"/>
    </row>
    <row r="3" spans="1:4" ht="15">
      <c r="A3" s="12" t="s">
        <v>135</v>
      </c>
      <c r="B3" s="12"/>
      <c r="C3" s="12"/>
      <c r="D3" s="12"/>
    </row>
    <row r="4" ht="15" thickBot="1"/>
    <row r="5" spans="1:7" ht="15" thickBot="1">
      <c r="A5" s="13" t="s">
        <v>136</v>
      </c>
      <c r="B5" s="21" t="s">
        <v>151</v>
      </c>
      <c r="C5" s="21" t="s">
        <v>152</v>
      </c>
      <c r="D5" s="21" t="s">
        <v>153</v>
      </c>
      <c r="E5" s="34" t="s">
        <v>154</v>
      </c>
      <c r="F5" s="57" t="s">
        <v>155</v>
      </c>
      <c r="G5" s="13" t="s">
        <v>137</v>
      </c>
    </row>
    <row r="6" spans="1:7" ht="39" customHeight="1" thickBot="1">
      <c r="A6" s="14" t="s">
        <v>138</v>
      </c>
      <c r="B6" s="22">
        <v>138058.8</v>
      </c>
      <c r="C6" s="31">
        <v>115198</v>
      </c>
      <c r="D6" s="69">
        <v>56456</v>
      </c>
      <c r="E6" s="35">
        <v>43624</v>
      </c>
      <c r="F6" s="23">
        <v>29313</v>
      </c>
      <c r="G6" s="22">
        <f>SUM(B6:F6)</f>
        <v>382649.8</v>
      </c>
    </row>
    <row r="7" spans="1:7" ht="64.2" customHeight="1" thickBot="1">
      <c r="A7" s="15" t="s">
        <v>139</v>
      </c>
      <c r="B7" s="22">
        <v>10252</v>
      </c>
      <c r="C7" s="31">
        <v>7135</v>
      </c>
      <c r="D7" s="70"/>
      <c r="E7" s="35">
        <v>2008.27</v>
      </c>
      <c r="F7" s="23">
        <v>4400</v>
      </c>
      <c r="G7" s="22">
        <f aca="true" t="shared" si="0" ref="G7:G15">SUM(B7:F7)</f>
        <v>23795.27</v>
      </c>
    </row>
    <row r="8" spans="1:7" ht="115.2" customHeight="1" thickBot="1">
      <c r="A8" s="15" t="s">
        <v>140</v>
      </c>
      <c r="B8" s="22">
        <v>66812</v>
      </c>
      <c r="C8" s="31">
        <v>186000</v>
      </c>
      <c r="D8" s="71"/>
      <c r="E8" s="35">
        <v>0</v>
      </c>
      <c r="F8" s="23">
        <v>2100</v>
      </c>
      <c r="G8" s="22">
        <f t="shared" si="0"/>
        <v>254912</v>
      </c>
    </row>
    <row r="9" spans="1:7" ht="51.75" customHeight="1" thickBot="1">
      <c r="A9" s="15" t="s">
        <v>141</v>
      </c>
      <c r="B9" s="22">
        <v>347062.42</v>
      </c>
      <c r="C9" s="31">
        <v>67298</v>
      </c>
      <c r="D9" s="71">
        <v>63613</v>
      </c>
      <c r="E9" s="35">
        <v>45375.44</v>
      </c>
      <c r="F9" s="23">
        <v>15000</v>
      </c>
      <c r="G9" s="22">
        <f t="shared" si="0"/>
        <v>538348.86</v>
      </c>
    </row>
    <row r="10" spans="1:7" ht="15" thickBot="1">
      <c r="A10" s="15" t="s">
        <v>142</v>
      </c>
      <c r="B10" s="22">
        <v>8818.55</v>
      </c>
      <c r="C10" s="31">
        <v>52866</v>
      </c>
      <c r="D10" s="71">
        <v>10894</v>
      </c>
      <c r="E10" s="35">
        <v>64695.56999999999</v>
      </c>
      <c r="F10" s="23">
        <v>30000</v>
      </c>
      <c r="G10" s="22">
        <f t="shared" si="0"/>
        <v>167274.12</v>
      </c>
    </row>
    <row r="11" spans="1:16" ht="77.25" customHeight="1" thickBot="1">
      <c r="A11" s="15" t="s">
        <v>143</v>
      </c>
      <c r="B11" s="22">
        <v>0</v>
      </c>
      <c r="C11" s="31">
        <v>0</v>
      </c>
      <c r="D11" s="71">
        <v>102510</v>
      </c>
      <c r="E11" s="35"/>
      <c r="F11" s="23">
        <f>50000+9740</f>
        <v>59740</v>
      </c>
      <c r="G11" s="22">
        <f t="shared" si="0"/>
        <v>162250</v>
      </c>
      <c r="P11" s="52">
        <f>SUM(B15+C15+D15+E15+193279)</f>
        <v>1711664.7292</v>
      </c>
    </row>
    <row r="12" spans="1:7" ht="64.5" customHeight="1" thickBot="1">
      <c r="A12" s="15" t="s">
        <v>144</v>
      </c>
      <c r="B12" s="22">
        <v>703</v>
      </c>
      <c r="C12" s="31">
        <v>17155</v>
      </c>
      <c r="D12" s="71">
        <v>7584</v>
      </c>
      <c r="E12" s="35">
        <v>2063.2799999999997</v>
      </c>
      <c r="F12" s="23">
        <f>41466+10960</f>
        <v>52426</v>
      </c>
      <c r="G12" s="22">
        <f t="shared" si="0"/>
        <v>79931.28</v>
      </c>
    </row>
    <row r="13" spans="1:7" ht="39" customHeight="1" thickBot="1">
      <c r="A13" s="16" t="s">
        <v>145</v>
      </c>
      <c r="B13" s="22">
        <v>571706.77</v>
      </c>
      <c r="C13" s="32">
        <f>SUM(C6:C12)</f>
        <v>445652</v>
      </c>
      <c r="D13" s="71">
        <f>SUM(D6:D12)</f>
        <v>241057</v>
      </c>
      <c r="E13" s="59">
        <f>SUM(E6:E12)</f>
        <v>157766.55999999997</v>
      </c>
      <c r="F13" s="23">
        <f>SUM(F6:F12)</f>
        <v>192979</v>
      </c>
      <c r="G13" s="22">
        <f t="shared" si="0"/>
        <v>1609161.33</v>
      </c>
    </row>
    <row r="14" spans="1:7" ht="18.6" customHeight="1" thickBot="1">
      <c r="A14" s="15" t="s">
        <v>146</v>
      </c>
      <c r="B14" s="22">
        <v>50993.74</v>
      </c>
      <c r="C14" s="31">
        <v>23792</v>
      </c>
      <c r="D14" s="71">
        <v>16374</v>
      </c>
      <c r="E14" s="35">
        <f>+E13*7%</f>
        <v>11043.659199999998</v>
      </c>
      <c r="F14" s="23">
        <v>21000</v>
      </c>
      <c r="G14" s="22">
        <f t="shared" si="0"/>
        <v>123203.39919999999</v>
      </c>
    </row>
    <row r="15" spans="1:7" ht="20.4" customHeight="1" thickBot="1">
      <c r="A15" s="16" t="s">
        <v>147</v>
      </c>
      <c r="B15" s="55">
        <v>622700.51</v>
      </c>
      <c r="C15" s="56">
        <f>C13+C14</f>
        <v>469444</v>
      </c>
      <c r="D15" s="71">
        <f>D13+D14</f>
        <v>257431</v>
      </c>
      <c r="E15" s="60">
        <f>+E13+E14</f>
        <v>168810.21919999996</v>
      </c>
      <c r="F15" s="58">
        <f>+F13+F14</f>
        <v>213979</v>
      </c>
      <c r="G15" s="55">
        <f t="shared" si="0"/>
        <v>1732364.7292</v>
      </c>
    </row>
  </sheetData>
  <printOptions/>
  <pageMargins left="0.7" right="0.7" top="0.75" bottom="0.75" header="0.511805555555555" footer="0.51180555555555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ARSSAM</cp:lastModifiedBy>
  <cp:lastPrinted>2018-06-07T07:53:28Z</cp:lastPrinted>
  <dcterms:created xsi:type="dcterms:W3CDTF">2017-11-15T21:17:43Z</dcterms:created>
  <dcterms:modified xsi:type="dcterms:W3CDTF">2018-06-11T07:20:13Z</dcterms:modified>
  <cp:category/>
  <cp:version/>
  <cp:contentType/>
  <cp:contentStatus/>
</cp:coreProperties>
</file>