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uwimbabazi\Desktop\Appo Docs\Rapport du projet\Rapport sem -Juin 2019\Rapport consolidé\"/>
    </mc:Choice>
  </mc:AlternateContent>
  <xr:revisionPtr revIDLastSave="0" documentId="13_ncr:1_{E16D0CAD-EF8B-46D3-9908-1C163A6FA6DF}" xr6:coauthVersionLast="41" xr6:coauthVersionMax="41" xr10:uidLastSave="{00000000-0000-0000-0000-000000000000}"/>
  <bookViews>
    <workbookView xWindow="-120" yWindow="-120" windowWidth="20730" windowHeight="11160" xr2:uid="{00000000-000D-0000-FFFF-FFFF00000000}"/>
  </bookViews>
  <sheets>
    <sheet name="Budget par produit" sheetId="3" r:id="rId1"/>
    <sheet name="Budget par catégorie" sheetId="5"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3" l="1"/>
  <c r="H45" i="3"/>
  <c r="H39" i="3"/>
  <c r="H37" i="3"/>
  <c r="H54" i="3"/>
  <c r="H28" i="3"/>
  <c r="H24" i="3"/>
  <c r="H20" i="3"/>
  <c r="H35" i="3"/>
  <c r="H58" i="3"/>
  <c r="H59" i="3"/>
  <c r="H60" i="3"/>
  <c r="C50" i="3"/>
  <c r="C45" i="3"/>
  <c r="C39" i="3"/>
  <c r="C37" i="3"/>
  <c r="C54" i="3"/>
  <c r="C28" i="3"/>
  <c r="C24" i="3"/>
  <c r="C20" i="3"/>
  <c r="C35" i="3"/>
  <c r="C58" i="3"/>
  <c r="C59" i="3"/>
  <c r="C60" i="3"/>
  <c r="C63" i="3"/>
  <c r="I50" i="3"/>
  <c r="I45" i="3"/>
  <c r="I39" i="3"/>
  <c r="I37" i="3"/>
  <c r="I54" i="3"/>
  <c r="I28" i="3"/>
  <c r="I35" i="3"/>
  <c r="I58" i="3"/>
  <c r="I59" i="3"/>
  <c r="I60" i="3"/>
  <c r="D50" i="3"/>
  <c r="D45" i="3"/>
  <c r="D39" i="3"/>
  <c r="D37" i="3"/>
  <c r="D54" i="3"/>
  <c r="D28" i="3"/>
  <c r="D24" i="3"/>
  <c r="D20" i="3"/>
  <c r="D35" i="3"/>
  <c r="D58" i="3"/>
  <c r="D59" i="3"/>
  <c r="D60" i="3"/>
  <c r="C64" i="3"/>
  <c r="J50" i="3"/>
  <c r="J45" i="3"/>
  <c r="J39" i="3"/>
  <c r="J37" i="3"/>
  <c r="J54" i="3"/>
  <c r="J28" i="3"/>
  <c r="J24" i="3"/>
  <c r="J20" i="3"/>
  <c r="J35" i="3"/>
  <c r="J58" i="3"/>
  <c r="J59" i="3"/>
  <c r="J60" i="3"/>
  <c r="E50" i="3"/>
  <c r="E45" i="3"/>
  <c r="E39" i="3"/>
  <c r="E37" i="3"/>
  <c r="E54" i="3"/>
  <c r="E28" i="3"/>
  <c r="E24" i="3"/>
  <c r="E20" i="3"/>
  <c r="E35" i="3"/>
  <c r="E58" i="3"/>
  <c r="E59" i="3"/>
  <c r="E60" i="3"/>
  <c r="C65" i="3"/>
  <c r="K50" i="3"/>
  <c r="K45" i="3"/>
  <c r="K39" i="3"/>
  <c r="K37" i="3"/>
  <c r="K54" i="3"/>
  <c r="K28" i="3"/>
  <c r="K24" i="3"/>
  <c r="K20" i="3"/>
  <c r="K35" i="3"/>
  <c r="K58" i="3"/>
  <c r="K59" i="3"/>
  <c r="K60" i="3"/>
  <c r="F50" i="3"/>
  <c r="F45" i="3"/>
  <c r="F39" i="3"/>
  <c r="F37" i="3"/>
  <c r="F54" i="3"/>
  <c r="F28" i="3"/>
  <c r="F24" i="3"/>
  <c r="F20" i="3"/>
  <c r="F35" i="3"/>
  <c r="F58" i="3"/>
  <c r="F59" i="3"/>
  <c r="F60" i="3"/>
  <c r="C66" i="3"/>
  <c r="C67" i="3"/>
  <c r="L30" i="3"/>
  <c r="L29" i="3"/>
  <c r="L31" i="3"/>
  <c r="L32" i="3"/>
  <c r="L28" i="3"/>
  <c r="G50" i="3"/>
  <c r="G45" i="3"/>
  <c r="G39" i="3"/>
  <c r="G37" i="3"/>
  <c r="G54" i="3"/>
  <c r="G24" i="3"/>
  <c r="G20" i="3"/>
  <c r="G35" i="3"/>
  <c r="L58" i="3"/>
  <c r="L59" i="3"/>
  <c r="L56" i="3"/>
  <c r="L57" i="3"/>
  <c r="L55" i="3"/>
  <c r="L38" i="3"/>
  <c r="L39" i="3"/>
  <c r="L40" i="3"/>
  <c r="L41" i="3"/>
  <c r="L42" i="3"/>
  <c r="L43" i="3"/>
  <c r="L44" i="3"/>
  <c r="L45" i="3"/>
  <c r="L46" i="3"/>
  <c r="L47" i="3"/>
  <c r="L48" i="3"/>
  <c r="L49" i="3"/>
  <c r="L50" i="3"/>
  <c r="L51" i="3"/>
  <c r="L52" i="3"/>
  <c r="L53" i="3"/>
  <c r="L37" i="3"/>
  <c r="L20" i="3"/>
  <c r="L24" i="3"/>
  <c r="L35" i="3"/>
  <c r="L21" i="3"/>
  <c r="L22" i="3"/>
  <c r="L23" i="3"/>
  <c r="L25" i="3"/>
  <c r="L26" i="3"/>
  <c r="L27" i="3"/>
  <c r="L34" i="3"/>
  <c r="G28" i="3"/>
  <c r="M54" i="3"/>
  <c r="M35" i="3"/>
  <c r="M58" i="3"/>
  <c r="M59" i="3"/>
  <c r="M60" i="3"/>
  <c r="L54" i="3"/>
  <c r="L60" i="3"/>
  <c r="J22" i="5"/>
  <c r="K22" i="5"/>
  <c r="H22" i="5"/>
  <c r="I22" i="5"/>
  <c r="G22" i="5"/>
  <c r="F22" i="5"/>
  <c r="D22" i="5"/>
  <c r="E22" i="5"/>
  <c r="B22" i="5"/>
  <c r="J21" i="5"/>
  <c r="K21" i="5"/>
  <c r="H21" i="5"/>
  <c r="I21" i="5"/>
  <c r="G21" i="5"/>
  <c r="F21" i="5"/>
  <c r="D21" i="5"/>
  <c r="E21" i="5"/>
  <c r="B21" i="5"/>
  <c r="J20" i="5"/>
  <c r="K20" i="5"/>
  <c r="H20" i="5"/>
  <c r="G20" i="5"/>
  <c r="F20" i="5"/>
  <c r="D20" i="5"/>
  <c r="B20" i="5"/>
  <c r="C20" i="5"/>
  <c r="J19" i="5"/>
  <c r="K19" i="5"/>
  <c r="H19" i="5"/>
  <c r="I19" i="5"/>
  <c r="G19" i="5"/>
  <c r="F19" i="5"/>
  <c r="D19" i="5"/>
  <c r="E19" i="5"/>
  <c r="B19" i="5"/>
  <c r="C19" i="5"/>
  <c r="B18" i="5"/>
  <c r="F18" i="5"/>
  <c r="O18" i="5"/>
  <c r="G18" i="5"/>
  <c r="D18" i="5"/>
  <c r="E18" i="5"/>
  <c r="C18" i="5"/>
  <c r="J17" i="5"/>
  <c r="K17" i="5"/>
  <c r="H17" i="5"/>
  <c r="I17" i="5"/>
  <c r="G17" i="5"/>
  <c r="F17" i="5"/>
  <c r="D17" i="5"/>
  <c r="E17" i="5"/>
  <c r="B17" i="5"/>
  <c r="O17" i="5"/>
  <c r="K16" i="5"/>
  <c r="J16" i="5"/>
  <c r="B16" i="5"/>
  <c r="F16" i="5"/>
  <c r="H16" i="5"/>
  <c r="O16" i="5"/>
  <c r="I16" i="5"/>
  <c r="H23" i="5"/>
  <c r="H24" i="5"/>
  <c r="G16" i="5"/>
  <c r="D16" i="5"/>
  <c r="C16" i="5"/>
  <c r="L20" i="5"/>
  <c r="O22" i="5"/>
  <c r="D23" i="5"/>
  <c r="C17" i="5"/>
  <c r="P17" i="5"/>
  <c r="Q17" i="5"/>
  <c r="L17" i="5"/>
  <c r="M17" i="5"/>
  <c r="N17" i="5"/>
  <c r="L19" i="5"/>
  <c r="P16" i="5"/>
  <c r="G23" i="5"/>
  <c r="G24" i="5"/>
  <c r="G25" i="5"/>
  <c r="O19" i="5"/>
  <c r="P19" i="5"/>
  <c r="Q19" i="5"/>
  <c r="O21" i="5"/>
  <c r="L18" i="5"/>
  <c r="O20" i="5"/>
  <c r="D24" i="5"/>
  <c r="D25" i="5"/>
  <c r="P18" i="5"/>
  <c r="Q18" i="5"/>
  <c r="Q16" i="5"/>
  <c r="K23" i="5"/>
  <c r="M18" i="5"/>
  <c r="N18" i="5"/>
  <c r="M19" i="5"/>
  <c r="N19" i="5"/>
  <c r="H25" i="5"/>
  <c r="L16" i="5"/>
  <c r="I20" i="5"/>
  <c r="P20" i="5"/>
  <c r="E16" i="5"/>
  <c r="E23" i="5"/>
  <c r="M16" i="5"/>
  <c r="B23" i="5"/>
  <c r="J23" i="5"/>
  <c r="C21" i="5"/>
  <c r="C22" i="5"/>
  <c r="C23" i="5"/>
  <c r="L21" i="5"/>
  <c r="L22" i="5"/>
  <c r="F23" i="5"/>
  <c r="O23" i="5"/>
  <c r="Q20" i="5"/>
  <c r="M21" i="5"/>
  <c r="P21" i="5"/>
  <c r="Q21" i="5"/>
  <c r="J24" i="5"/>
  <c r="J25" i="5"/>
  <c r="M20" i="5"/>
  <c r="N20" i="5"/>
  <c r="K24" i="5"/>
  <c r="K25" i="5"/>
  <c r="L23" i="5"/>
  <c r="N16" i="5"/>
  <c r="B24" i="5"/>
  <c r="B25" i="5"/>
  <c r="C24" i="5"/>
  <c r="C25" i="5"/>
  <c r="M22" i="5"/>
  <c r="N22" i="5"/>
  <c r="P22" i="5"/>
  <c r="Q22" i="5"/>
  <c r="F24" i="5"/>
  <c r="F25" i="5"/>
  <c r="N21" i="5"/>
  <c r="I23" i="5"/>
  <c r="O24" i="5"/>
  <c r="O25" i="5"/>
  <c r="E24" i="5"/>
  <c r="E25" i="5"/>
  <c r="Q23" i="5"/>
  <c r="Q24" i="5"/>
  <c r="Q25" i="5"/>
  <c r="P23" i="5"/>
  <c r="I24" i="5"/>
  <c r="I25" i="5"/>
  <c r="N23" i="5"/>
  <c r="M23" i="5"/>
  <c r="L24" i="5"/>
  <c r="L25" i="5"/>
  <c r="M24" i="5"/>
  <c r="M25" i="5"/>
  <c r="N24" i="5"/>
  <c r="N25" i="5"/>
  <c r="P24" i="5"/>
  <c r="P25" i="5"/>
</calcChain>
</file>

<file path=xl/sharedStrings.xml><?xml version="1.0" encoding="utf-8"?>
<sst xmlns="http://schemas.openxmlformats.org/spreadsheetml/2006/main" count="137" uniqueCount="121">
  <si>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</si>
  <si>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</si>
  <si>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</si>
  <si>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</si>
  <si>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</si>
  <si>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</si>
  <si>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</si>
  <si>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</si>
  <si>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</si>
  <si>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</si>
  <si>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</si>
  <si>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</si>
  <si>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</si>
  <si>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</si>
  <si>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</si>
  <si>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</si>
  <si>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2.3:</t>
  </si>
  <si>
    <t>Activite 1.1.1:</t>
  </si>
  <si>
    <t>Activite 1.1.2:</t>
  </si>
  <si>
    <t>Activite 1.1.3:</t>
  </si>
  <si>
    <t>Activite 1.2.1:</t>
  </si>
  <si>
    <t>Activite 1.2.2:</t>
  </si>
  <si>
    <t>Activite 1.3.1:</t>
  </si>
  <si>
    <t>Activite 1.3.2:</t>
  </si>
  <si>
    <t>Activite 1.3.3:</t>
  </si>
  <si>
    <t>Activite 2.1.1:</t>
  </si>
  <si>
    <t>Activite 2.2.1:</t>
  </si>
  <si>
    <t>Activite 2.2.2:</t>
  </si>
  <si>
    <t>Activite 2.2.3:</t>
  </si>
  <si>
    <t>Activite 2.3.1:</t>
  </si>
  <si>
    <t>Activite 2.3.2:</t>
  </si>
  <si>
    <t>Activite 2.3.3: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</si>
  <si>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</si>
  <si>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</si>
  <si>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</si>
  <si>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</si>
  <si>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</si>
  <si>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</si>
  <si>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</si>
  <si>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</si>
  <si>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</si>
  <si>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</si>
  <si>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</si>
  <si>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</si>
  <si>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</si>
  <si>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</si>
  <si>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</si>
  <si>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</si>
  <si>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</si>
  <si>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Budget par agence recipiendiaire en USD - Veuillez ajouter une nouvelle colonne par agence recipiendiaire</t>
  </si>
  <si>
    <t>Niveau de depense/ engagement actuel en USD (a remplir au moment des rapports de projet)</t>
  </si>
  <si>
    <r>
      <rPr>
        <b/>
        <u/>
        <sz val="16"/>
        <color theme="1"/>
        <rFont val="Calibri"/>
        <family val="2"/>
        <scheme val="minor"/>
      </rPr>
      <t>Titre du projet</t>
    </r>
    <r>
      <rPr>
        <b/>
        <sz val="16"/>
        <color theme="1"/>
        <rFont val="Calibri"/>
        <family val="2"/>
        <scheme val="minor"/>
      </rPr>
      <t>: Soutenir les mécanismes de consolidation de la paix au niveau communautaire et l’inclusion des jeunes dans les zones situées à la frontière entre le Tchad et le Cameroun</t>
    </r>
  </si>
  <si>
    <t>Nombre de résultat/ produit</t>
  </si>
  <si>
    <t>Formulation du résultat/ produit/ activité</t>
  </si>
  <si>
    <t>PNUD-TCD</t>
  </si>
  <si>
    <t>UNICEF-TCD</t>
  </si>
  <si>
    <t>PNUD-CMN</t>
  </si>
  <si>
    <t>UNICEF-CMN</t>
  </si>
  <si>
    <t>Total</t>
  </si>
  <si>
    <t>Résultat 1: Le renforcement des mécanismes transfrontaliers, inter et intracommunautaires et l’amélioration de la confiance entre les forces de sécurité et les populations contribuent à une détection précoce et à l’atténuation pacifique des conflits et de l’extrémisme violent dans les zones ciblées, avec une attention particulière portée à la participation des femmes et des jeunes.</t>
  </si>
  <si>
    <t>Les populations transfrontalières sont dotées des compétences requises pour prévenir l’extrémisme violent, en particulier via la participation des femmes et des jeunes</t>
  </si>
  <si>
    <t>Identifier les leaders émergents parmi les jeunes et les femmes, les membres des organisations communautaires et des organisations de la société civile locales et les former à la détection des signes avant-coureurs et à la prévention de l’extrémisme violent, et inciter les habitants, en tant qu’artisans de la paix communautaires, à prévenir l’extrémisme violent et les conflits</t>
  </si>
  <si>
    <t>Organiser des échanges entre les dirigeants et les organisations communautaires partenaires, y compris les femmes et les jeunes des deux pays, sur les menaces communes qui pèsent sur la cohésion sociale et sur les meilleures pratiques pour y remédier, ainsi que pour échanger des informations avec des communautés du Tchad et du Cameroun sur les meilleures pratiques mondiales/expériences positives en matière de prévention de l’extrémisme violent et des conflits</t>
  </si>
  <si>
    <t>Effectuer une analyse des risques sexospécifiques pour ce qui concerne l’extrémisme violent et former les participants aux mécanismes de paix communautaires aux aspects sexospécifiques de l’extrémisme violent</t>
  </si>
  <si>
    <t>Renforcer la confiance entre les chefs traditionnels et locaux et les acteurs de la sécurité pour améliorer les relations entre la population et les forces de sécurité</t>
  </si>
  <si>
    <t>Organiser le dialogue entre les leaders communautaires (jeunes, femmes, chefs religieux et traditionnels) et les acteurs de la sécurité pour améliorer la sécurité de la communauté, en tenant compte du rôle que jouent les femmes dans la sécurité; et les acteurs de la sécurité sur droits de l’homme, égalité homme/femme, protection de l’enfant.</t>
  </si>
  <si>
    <t>Organiser des activités conjointes, notamment ludiques, sportives, culturelles et bénévoles, réunissant les habitants des localités ciblées et les forces armées/acteurs de la sécurité, ainsi que des activités visant à prévenir le recrutement d’enfants</t>
  </si>
  <si>
    <t>Les mecanismes de paix communautaires sont mis en relation avec les mécanismes d'alerte précoce et de réponse rapide</t>
  </si>
  <si>
    <t>Améliorer les capacités des systèmes locaux d’alerte précoce et de réponse rapide tout en veillant à la participation des chefs traditionnels, des femmes et des jeunes grâce à une formation à l’analyse et à l’alerte</t>
  </si>
  <si>
    <t>Concevoir des supports et des guides dans les langues locales, faciles à utiliser pour la gestion des conflits et les mécanismes d’alerte précoce et de réponse rapide, qui seront produits et mis à la disposition des chefs traditionnels locaux et des services de l’État au niveau local (Tchad)</t>
  </si>
  <si>
    <t>Tester en situation réelle le tableau de bord du PNUD pour le risque de crise grâce à une cartographie des cas d’extrémisme violent dans les communautés cibles (par l'université de Maroua/Cameroun)</t>
  </si>
  <si>
    <t>Activite 1.3.4:</t>
  </si>
  <si>
    <t>Soutenir la collaboration entre les établissements d’enseignement et les instituts de recherche des deux pays, afin de produire des informations et des analyses, mais aussi de faciliter l’échange de connaissances et d’améliorer la compréhension des dynamiques transfrontalières et des risques émergents d’extrémisme violent (deux colloques universitaires/PNUD Tchad et établissement d'un lien de cooperation entre l'Université de Maroua et et celui de Ndjamena/PNUD CMR)</t>
  </si>
  <si>
    <t>TOTAL $ FOR Resultat 1:</t>
  </si>
  <si>
    <t>Resultat 2:  Le renforcement des capacités et des opportunités pour que les catégories de populations vulnérables, en particulier les jeunes et les femmes, contribue à la paix et à la stabilité</t>
  </si>
  <si>
    <t>Amélioration de l’accès à d’autres opportunités socio-économiques pour les jeunes, hommes et femmes</t>
  </si>
  <si>
    <t>Mettre en place des activités génératrices de revenus sur la durée (agriculture, élevage, pêche) grâce à un appui sans faille à la création de capital (programmes « argent contre travail »), au recours aux établissements financiers, à la formation professionnelle et aux compétences pratiques, ainsi qu’au soutien aux petites entreprises (création/suivi)</t>
  </si>
  <si>
    <t xml:space="preserve"> Élargissement de l’espace de dialogue et de l’appui aux contre-discours/discours alternatifs, par exemple par le biais des radios communautaires, du théâtre, des séries télévisées</t>
  </si>
  <si>
    <t>Former les journalistes et autres acteurs des médias à la prévention des conflits et de l’extrémisme violent</t>
  </si>
  <si>
    <t>Organiser des émissions de radio sur la prévention des conflits et de l’extrémisme violent, ainsi que sur l’éducation à la paix, en ciblant notamment les enfants non scolarisés</t>
  </si>
  <si>
    <t>Former les responsables de clubs d’écoute radiophonique au management et aux activités du programme</t>
  </si>
  <si>
    <t>Activite 2.2.4:</t>
  </si>
  <si>
    <t>Organiser des  sceance de présentations théâtrales interactives, au niveau local, sur la prévention de l’extrémisme violent dans les écoles, en faisant participer les associations de jeunes et de parents d’élèves</t>
  </si>
  <si>
    <t>Activite 2.2.5:</t>
  </si>
  <si>
    <t>Aider les jeunes reporters des deux côtés de la frontière à élaborer des émissions de radio communautaires, à faciliter la diffusion de la parole des jeunes et d’un contre-discours</t>
  </si>
  <si>
    <t xml:space="preserve"> Les jeunes ont les moyens de prévenir et de réagir à la violence dans leur communauté, et de devenir des artisans de la paix</t>
  </si>
  <si>
    <t>Former les membres de la communauté et les organisations de la société civile à apporter un soutien psychosocial bien structuré, à dispenser un enseignement non formel et à mener des activités de renforcement des compétences pratiques des jeunes, y compris par le sport, à des fins de consolidation de la paix.</t>
  </si>
  <si>
    <t>Organiser des compétitions intercommunautaires destinées aux jeunes afin de les rapprocher et de renforcer le dialogue transfrontalier, tout en diffusant les messages positifs du sport auprès de l’ensemble de la communauté</t>
  </si>
  <si>
    <t>Former les jeunes et les responsables d’organisations communautaires et d’OSC à la conduite d’un dialogue intergénérationnel prônant des valeurs sociales positives, changer les normes relatives à la masculinité, et promouvoir la non-violence et l’égalité hommes-femmes auprès des jeunes et des chefs traditionnels et religieux</t>
  </si>
  <si>
    <t>Activite 2.3.4:</t>
  </si>
  <si>
    <t>Mobiliser les chefs traditionnels en faveur d’une participation active/obligatoire des jeunes et des femmes aux processus de consolidation de la paix et de gouvernance locale</t>
  </si>
  <si>
    <t>Produit 2.4:</t>
  </si>
  <si>
    <t>La capacité des établissements d’enseignement formel et des écoles coraniques à repérer et aider les enfants/jeunes vulnérables est renforcée</t>
  </si>
  <si>
    <t>Activite 2.4.1:</t>
  </si>
  <si>
    <t>Former les enseignants des écoles coraniques afin qu’ils puissent repérer et aider les jeunes vulnérables, de manière à prévenir l’extrémisme violent</t>
  </si>
  <si>
    <t>Activite 2.4.2:</t>
  </si>
  <si>
    <t>Former les enseignants des établissements d’enseignement formel au soutien psychosocial et aux méthodes de réduction des risques de conflit, de sorte à mettre en place des plans de sécurité pour les écoles et de créer un environnement d’apprentissage protecteur, et à intégrer l’éducation à la paix dans les programmes scolaires et l’enseignement</t>
  </si>
  <si>
    <t>Activite 2.4.3:</t>
  </si>
  <si>
    <t>Organiser des débats entre écoles sur la paix et l’éducation</t>
  </si>
  <si>
    <t>TOTAL $ FOR Resultat 2:</t>
  </si>
  <si>
    <t>SOUS TOTAL DU BUDGET DE PROJET</t>
  </si>
  <si>
    <t>Note:</t>
  </si>
  <si>
    <t>PNUD Tchad</t>
  </si>
  <si>
    <t>UNICEF Tchad</t>
  </si>
  <si>
    <t>PNUD Cameroun</t>
  </si>
  <si>
    <t>UNICEF Cameroun</t>
  </si>
  <si>
    <t xml:space="preserve">Agence Recipiendiaire PNUD Tchad </t>
  </si>
  <si>
    <t>Agence Recipiendiaire UNICEF Tchad (Modifications)</t>
  </si>
  <si>
    <t>Agence Recipiendiaire PNUD CMRN</t>
  </si>
  <si>
    <t>Agence Recipiendiaire UNICEF CMRN</t>
  </si>
  <si>
    <t>Changement liés aux modifications  de l'UNICEF Tchad</t>
  </si>
  <si>
    <t>Agence Recipiendiaire UNICEF</t>
  </si>
  <si>
    <r>
      <rPr>
        <b/>
        <u/>
        <sz val="11"/>
        <color rgb="FFFF0000"/>
        <rFont val="Calibri"/>
        <family val="2"/>
        <scheme val="minor"/>
      </rPr>
      <t>Note:</t>
    </r>
    <r>
      <rPr>
        <sz val="11"/>
        <color rgb="FFFF0000"/>
        <rFont val="Calibri"/>
        <family val="2"/>
        <scheme val="minor"/>
      </rPr>
      <t xml:space="preserve"> La partie colorée en jaune indique les modifications par rapport aux données initiales colorée en bleu.</t>
    </r>
  </si>
  <si>
    <t>Activite 1.2.3:</t>
  </si>
  <si>
    <t>Organiser des formations des communautés et des forces de sécurité sur les droits de l'home et VBG</t>
  </si>
  <si>
    <t>Activite 1.3.5:</t>
  </si>
  <si>
    <t>Renforcer les capacités des groupes d'autodéfense en matière d'alerte précoce et de défense des droits de l'home en étroite collaboration avec les forces de sécurité et de défense</t>
  </si>
  <si>
    <t>Activite 1.3.6:</t>
  </si>
  <si>
    <t>Documenter et partager les meilleures pratique, les histoires de réussites et les défis en matière prévention/attenuation des conflits et de PVE sur les localités frontalières cibles</t>
  </si>
  <si>
    <t>Moyenne générale</t>
  </si>
  <si>
    <t>Niveau de dépenses/engagements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</si>
</sst>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20" x14ac:knownFonts="1">
    <font>
      <sz val="11"/>
      <color theme="1"/>
      <name val="Calibri"/>
      <family val="2"/>
      <scheme val="minor"/>
    </font>
    <font>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rgb="FFFF0000"/>
      <name val="Calibri"/>
      <family val="2"/>
      <scheme val="minor"/>
    </font>
    <font>
      <sz val="9"/>
      <color theme="1"/>
      <name val="Calibri"/>
      <family val="2"/>
      <scheme val="minor"/>
    </font>
    <font>
      <sz val="9"/>
      <name val="Calibri"/>
      <family val="2"/>
      <scheme val="minor"/>
    </font>
    <font>
      <b/>
      <sz val="9"/>
      <color theme="1"/>
      <name val="Calibri"/>
      <family val="2"/>
      <scheme val="minor"/>
    </font>
    <font>
      <b/>
      <u/>
      <sz val="16"/>
      <color theme="1"/>
      <name val="Calibri"/>
      <family val="2"/>
      <scheme val="minor"/>
    </font>
    <font>
      <b/>
      <u/>
      <sz val="11"/>
      <color theme="1"/>
      <name val="Calibri"/>
      <family val="2"/>
      <scheme val="minor"/>
    </font>
    <font>
      <b/>
      <sz val="10"/>
      <color rgb="FFFF0000"/>
      <name val="Calibri"/>
      <family val="2"/>
    </font>
    <font>
      <sz val="10"/>
      <color rgb="FFFF0000"/>
      <name val="Calibri"/>
      <family val="2"/>
    </font>
    <font>
      <sz val="10"/>
      <name val="Calibri"/>
      <family val="2"/>
    </font>
    <font>
      <b/>
      <u/>
      <sz val="11"/>
      <color rgb="FFFF0000"/>
      <name val="Calibri"/>
      <family val="2"/>
      <scheme val="minor"/>
    </font>
  </fonts>
  <fills count="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04">
    <xf numFmtId="0" fontId="0" fillId="0" borderId="0" xfId="0"/>
    <xf numFmtId="0" fontId="2" fillId="0" borderId="0" xfId="0" applyFont="1"/>
    <xf numFmtId="0" fontId="3" fillId="3" borderId="10" xfId="0" applyFont="1" applyFill="1" applyBorder="1" applyAlignment="1">
      <alignment horizontal="center" vertical="center" wrapText="1"/>
    </xf>
    <xf numFmtId="0" fontId="5" fillId="0" borderId="0" xfId="0" applyFont="1"/>
    <xf numFmtId="0" fontId="6" fillId="0" borderId="0" xfId="0" applyFont="1"/>
    <xf numFmtId="0" fontId="7" fillId="0" borderId="0" xfId="0" applyFont="1"/>
    <xf numFmtId="0" fontId="8" fillId="0" borderId="13" xfId="0" applyFont="1" applyBorder="1" applyAlignment="1">
      <alignment vertical="center" wrapText="1"/>
    </xf>
    <xf numFmtId="0" fontId="8" fillId="0" borderId="8" xfId="0" applyFont="1" applyBorder="1" applyAlignment="1">
      <alignment vertical="center" wrapText="1"/>
    </xf>
    <xf numFmtId="0" fontId="9" fillId="4" borderId="8" xfId="0" applyFont="1" applyFill="1" applyBorder="1" applyAlignment="1">
      <alignment vertical="center" wrapText="1"/>
    </xf>
    <xf numFmtId="0" fontId="11" fillId="0" borderId="0" xfId="0" applyFont="1"/>
    <xf numFmtId="0" fontId="2" fillId="0" borderId="0" xfId="0" applyFont="1" applyAlignment="1">
      <alignment vertical="center" wrapText="1"/>
    </xf>
    <xf numFmtId="164" fontId="11" fillId="0" borderId="0" xfId="0" applyNumberFormat="1" applyFont="1" applyAlignment="1">
      <alignment vertical="center"/>
    </xf>
    <xf numFmtId="164" fontId="12" fillId="0" borderId="0" xfId="0" applyNumberFormat="1" applyFont="1" applyAlignment="1">
      <alignment vertical="center"/>
    </xf>
    <xf numFmtId="164" fontId="13" fillId="0" borderId="0" xfId="0" applyNumberFormat="1" applyFont="1" applyAlignment="1">
      <alignment vertical="center"/>
    </xf>
    <xf numFmtId="0" fontId="11" fillId="0" borderId="0" xfId="0" applyFont="1" applyAlignment="1">
      <alignment vertical="center"/>
    </xf>
    <xf numFmtId="0" fontId="7" fillId="0" borderId="0" xfId="0" applyFont="1" applyAlignment="1">
      <alignment vertical="top" wrapText="1"/>
    </xf>
    <xf numFmtId="3" fontId="5" fillId="0" borderId="3" xfId="0" applyNumberFormat="1" applyFont="1" applyBorder="1" applyAlignment="1">
      <alignment vertical="center" wrapText="1"/>
    </xf>
    <xf numFmtId="3" fontId="0" fillId="0" borderId="4" xfId="0" applyNumberFormat="1" applyBorder="1" applyAlignment="1">
      <alignment vertical="center" wrapText="1"/>
    </xf>
    <xf numFmtId="9" fontId="0" fillId="0" borderId="4" xfId="0" applyNumberFormat="1" applyBorder="1" applyAlignment="1">
      <alignment vertical="center" wrapText="1"/>
    </xf>
    <xf numFmtId="3" fontId="0" fillId="0" borderId="3" xfId="0" applyNumberFormat="1" applyBorder="1" applyAlignment="1">
      <alignment vertical="center" wrapText="1"/>
    </xf>
    <xf numFmtId="3" fontId="0" fillId="0" borderId="4" xfId="0" applyNumberFormat="1" applyFill="1" applyBorder="1" applyAlignment="1">
      <alignment vertical="center" wrapText="1"/>
    </xf>
    <xf numFmtId="0" fontId="15" fillId="5" borderId="14" xfId="0" applyFont="1" applyFill="1" applyBorder="1" applyAlignment="1">
      <alignment horizontal="right"/>
    </xf>
    <xf numFmtId="0" fontId="15" fillId="5" borderId="16" xfId="0" applyFont="1" applyFill="1" applyBorder="1"/>
    <xf numFmtId="0" fontId="0" fillId="5" borderId="16" xfId="0" applyFill="1" applyBorder="1"/>
    <xf numFmtId="0" fontId="0" fillId="5" borderId="15" xfId="0" applyFill="1" applyBorder="1"/>
    <xf numFmtId="3" fontId="10" fillId="0" borderId="0" xfId="0" applyNumberFormat="1" applyFont="1" applyFill="1"/>
    <xf numFmtId="0" fontId="0" fillId="0" borderId="0" xfId="0" applyFill="1"/>
    <xf numFmtId="0" fontId="0" fillId="5" borderId="19" xfId="0" applyFill="1" applyBorder="1"/>
    <xf numFmtId="0" fontId="0" fillId="5" borderId="0" xfId="0" applyFill="1" applyBorder="1"/>
    <xf numFmtId="9" fontId="0" fillId="5" borderId="0" xfId="0" applyNumberFormat="1" applyFill="1" applyBorder="1"/>
    <xf numFmtId="0" fontId="0" fillId="5" borderId="20" xfId="0" applyFill="1" applyBorder="1"/>
    <xf numFmtId="3" fontId="0" fillId="0" borderId="0" xfId="0" applyNumberFormat="1"/>
    <xf numFmtId="0" fontId="0" fillId="5" borderId="18" xfId="0" applyFill="1" applyBorder="1"/>
    <xf numFmtId="0" fontId="0" fillId="5" borderId="4" xfId="0" applyFill="1" applyBorder="1"/>
    <xf numFmtId="0" fontId="3" fillId="6" borderId="1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vertical="center" wrapText="1"/>
    </xf>
    <xf numFmtId="3" fontId="4" fillId="0" borderId="10" xfId="0" applyNumberFormat="1" applyFont="1" applyBorder="1" applyAlignment="1">
      <alignment horizontal="right" vertical="center" wrapText="1"/>
    </xf>
    <xf numFmtId="3" fontId="4" fillId="6" borderId="10" xfId="0" applyNumberFormat="1" applyFont="1" applyFill="1" applyBorder="1" applyAlignment="1">
      <alignment horizontal="right" vertical="center" wrapText="1"/>
    </xf>
    <xf numFmtId="3" fontId="17" fillId="7" borderId="10" xfId="0" applyNumberFormat="1" applyFont="1" applyFill="1" applyBorder="1" applyAlignment="1">
      <alignment horizontal="right" vertical="center" wrapText="1"/>
    </xf>
    <xf numFmtId="3" fontId="4" fillId="6" borderId="10" xfId="0" applyNumberFormat="1" applyFont="1" applyFill="1" applyBorder="1" applyAlignment="1">
      <alignment horizontal="center" vertical="center" wrapText="1"/>
    </xf>
    <xf numFmtId="3" fontId="4" fillId="4" borderId="10" xfId="0" applyNumberFormat="1" applyFont="1" applyFill="1" applyBorder="1" applyAlignment="1">
      <alignment horizontal="right" vertical="center" wrapText="1"/>
    </xf>
    <xf numFmtId="3" fontId="4" fillId="7" borderId="10" xfId="0" applyNumberFormat="1" applyFont="1" applyFill="1" applyBorder="1" applyAlignment="1">
      <alignment horizontal="right" vertical="center" wrapText="1"/>
    </xf>
    <xf numFmtId="3" fontId="18" fillId="7" borderId="10" xfId="0" applyNumberFormat="1" applyFont="1" applyFill="1" applyBorder="1" applyAlignment="1">
      <alignment horizontal="right" vertical="center" wrapText="1"/>
    </xf>
    <xf numFmtId="3" fontId="4" fillId="0" borderId="0" xfId="0" applyNumberFormat="1" applyFont="1" applyAlignment="1">
      <alignment horizontal="right" vertical="center" wrapText="1"/>
    </xf>
    <xf numFmtId="0" fontId="10" fillId="0" borderId="0" xfId="0" applyFont="1"/>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3" fontId="5" fillId="0" borderId="1" xfId="0" applyNumberFormat="1" applyFont="1" applyFill="1" applyBorder="1" applyAlignment="1">
      <alignment vertical="center" wrapText="1"/>
    </xf>
    <xf numFmtId="3" fontId="0" fillId="0" borderId="1" xfId="0" applyNumberFormat="1" applyFill="1" applyBorder="1" applyAlignment="1">
      <alignment vertical="center" wrapText="1"/>
    </xf>
    <xf numFmtId="3" fontId="0" fillId="0" borderId="1" xfId="0" applyNumberFormat="1" applyFont="1" applyFill="1" applyBorder="1" applyAlignment="1">
      <alignment vertical="center" wrapText="1"/>
    </xf>
    <xf numFmtId="3" fontId="5" fillId="0" borderId="4" xfId="0" applyNumberFormat="1" applyFont="1" applyFill="1" applyBorder="1" applyAlignment="1">
      <alignment vertical="center" wrapText="1"/>
    </xf>
    <xf numFmtId="3" fontId="0" fillId="0" borderId="3" xfId="0" applyNumberFormat="1" applyFill="1" applyBorder="1" applyAlignment="1">
      <alignment vertical="center" wrapText="1"/>
    </xf>
    <xf numFmtId="3" fontId="5" fillId="0" borderId="3" xfId="0" applyNumberFormat="1" applyFont="1" applyFill="1" applyBorder="1" applyAlignment="1">
      <alignment vertical="center" wrapText="1"/>
    </xf>
    <xf numFmtId="3" fontId="0" fillId="0" borderId="3" xfId="0" applyNumberFormat="1" applyFont="1" applyFill="1" applyBorder="1" applyAlignment="1">
      <alignment vertical="center" wrapText="1"/>
    </xf>
    <xf numFmtId="3" fontId="1" fillId="0" borderId="4" xfId="0" applyNumberFormat="1" applyFont="1" applyBorder="1" applyAlignment="1">
      <alignment vertical="center" wrapText="1"/>
    </xf>
    <xf numFmtId="3" fontId="1" fillId="0" borderId="1" xfId="0" applyNumberFormat="1" applyFont="1" applyBorder="1" applyAlignment="1">
      <alignment vertical="center" wrapText="1"/>
    </xf>
    <xf numFmtId="9" fontId="0" fillId="0" borderId="4" xfId="0" applyNumberFormat="1" applyBorder="1" applyAlignment="1">
      <alignment horizontal="center" vertical="center" wrapText="1"/>
    </xf>
    <xf numFmtId="9" fontId="5" fillId="0" borderId="1" xfId="0" applyNumberFormat="1" applyFont="1" applyFill="1" applyBorder="1" applyAlignment="1">
      <alignment vertical="center" wrapText="1"/>
    </xf>
    <xf numFmtId="9" fontId="0" fillId="0" borderId="1" xfId="0" applyNumberFormat="1" applyFill="1" applyBorder="1" applyAlignment="1">
      <alignment vertical="center" wrapText="1"/>
    </xf>
    <xf numFmtId="3" fontId="0" fillId="0" borderId="1" xfId="0" applyNumberFormat="1" applyBorder="1" applyAlignment="1">
      <alignment vertical="center" wrapText="1"/>
    </xf>
    <xf numFmtId="2" fontId="0" fillId="0" borderId="0" xfId="0" applyNumberFormat="1"/>
    <xf numFmtId="0" fontId="0" fillId="6" borderId="17" xfId="0" applyFill="1" applyBorder="1"/>
    <xf numFmtId="9" fontId="0" fillId="6" borderId="17" xfId="0" applyNumberFormat="1" applyFill="1" applyBorder="1"/>
    <xf numFmtId="0" fontId="7" fillId="0" borderId="0" xfId="0" applyFont="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 xfId="0" applyFont="1" applyFill="1" applyBorder="1" applyAlignment="1">
      <alignment horizontal="left" vertical="center" wrapText="1"/>
    </xf>
    <xf numFmtId="3" fontId="0" fillId="0" borderId="5" xfId="0" applyNumberFormat="1" applyFill="1" applyBorder="1" applyAlignment="1">
      <alignment horizontal="left" vertical="center" wrapText="1"/>
    </xf>
    <xf numFmtId="3" fontId="0" fillId="0" borderId="2" xfId="0" applyNumberFormat="1" applyFill="1" applyBorder="1" applyAlignment="1">
      <alignment horizontal="left" vertical="center" wrapText="1"/>
    </xf>
    <xf numFmtId="3" fontId="5" fillId="0" borderId="5" xfId="0" applyNumberFormat="1" applyFont="1" applyFill="1" applyBorder="1" applyAlignment="1">
      <alignment horizontal="left" vertical="center" wrapText="1"/>
    </xf>
    <xf numFmtId="3" fontId="5" fillId="0" borderId="6" xfId="0" applyNumberFormat="1"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0" fontId="3" fillId="6" borderId="7"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233198</xdr:colOff>
      <xdr:row>0</xdr:row>
      <xdr:rowOff>80470</xdr:rowOff>
    </xdr:from>
    <xdr:to>
      <xdr:col>1</xdr:col>
      <xdr:colOff>306114</xdr:colOff>
      <xdr:row>5</xdr:row>
      <xdr:rowOff>172783</xdr:rowOff>
    </xdr:to>
    <xdr:pic>
      <xdr:nvPicPr>
        <xdr:cNvPr id="2" name="Image 1">
          <a:extLst>
            <a:ext uri="{FF2B5EF4-FFF2-40B4-BE49-F238E27FC236}">
              <a16:creationId xmlns:a16="http://schemas.microsoft.com/office/drawing/2014/main" id="{E7F9F4F9-EF35-40B2-9310-D8F4A699571F}"/>
            </a:ext>
          </a:extLst>
        </xdr:cNvPr>
        <xdr:cNvPicPr>
          <a:picLocks noChangeAspect="1"/>
        </xdr:cNvPicPr>
      </xdr:nvPicPr>
      <xdr:blipFill>
        <a:blip xmlns:r="http://schemas.openxmlformats.org/officeDocument/2006/relationships" r:embed="rId1"/>
        <a:stretch>
          <a:fillRect/>
        </a:stretch>
      </xdr:blipFill>
      <xdr:spPr>
        <a:xfrm>
          <a:off x="233198" y="80470"/>
          <a:ext cx="920641" cy="1044813"/>
        </a:xfrm>
        <a:prstGeom prst="rect">
          <a:avLst/>
        </a:prstGeom>
      </xdr:spPr>
    </xdr:pic>
    <xdr:clientData/>
  </xdr:twoCellAnchor>
  <xdr:twoCellAnchor editAs="oneCell">
    <xdr:from>
      <xdr:col>5</xdr:col>
      <xdr:colOff>151006</xdr:colOff>
      <xdr:row>0</xdr:row>
      <xdr:rowOff>67837</xdr:rowOff>
    </xdr:from>
    <xdr:to>
      <xdr:col>7</xdr:col>
      <xdr:colOff>58078</xdr:colOff>
      <xdr:row>5</xdr:row>
      <xdr:rowOff>161638</xdr:rowOff>
    </xdr:to>
    <xdr:pic>
      <xdr:nvPicPr>
        <xdr:cNvPr id="3" name="Image 2">
          <a:extLst>
            <a:ext uri="{FF2B5EF4-FFF2-40B4-BE49-F238E27FC236}">
              <a16:creationId xmlns:a16="http://schemas.microsoft.com/office/drawing/2014/main" id="{3A1D9251-27CC-41F7-AF97-0FBF2654A2D8}"/>
            </a:ext>
          </a:extLst>
        </xdr:cNvPr>
        <xdr:cNvPicPr>
          <a:picLocks noChangeAspect="1"/>
        </xdr:cNvPicPr>
      </xdr:nvPicPr>
      <xdr:blipFill>
        <a:blip xmlns:r="http://schemas.openxmlformats.org/officeDocument/2006/relationships" r:embed="rId2"/>
        <a:stretch>
          <a:fillRect/>
        </a:stretch>
      </xdr:blipFill>
      <xdr:spPr>
        <a:xfrm>
          <a:off x="4785732" y="67837"/>
          <a:ext cx="1695914" cy="1023069"/>
        </a:xfrm>
        <a:prstGeom prst="rect">
          <a:avLst/>
        </a:prstGeom>
      </xdr:spPr>
    </xdr:pic>
    <xdr:clientData/>
  </xdr:twoCellAnchor>
  <xdr:twoCellAnchor editAs="oneCell">
    <xdr:from>
      <xdr:col>9</xdr:col>
      <xdr:colOff>106200</xdr:colOff>
      <xdr:row>0</xdr:row>
      <xdr:rowOff>11616</xdr:rowOff>
    </xdr:from>
    <xdr:to>
      <xdr:col>10</xdr:col>
      <xdr:colOff>28112</xdr:colOff>
      <xdr:row>6</xdr:row>
      <xdr:rowOff>104543</xdr:rowOff>
    </xdr:to>
    <xdr:pic>
      <xdr:nvPicPr>
        <xdr:cNvPr id="4" name="Image 3">
          <a:extLst>
            <a:ext uri="{FF2B5EF4-FFF2-40B4-BE49-F238E27FC236}">
              <a16:creationId xmlns:a16="http://schemas.microsoft.com/office/drawing/2014/main" id="{493C4305-CEA5-4433-A743-064112D7DB06}"/>
            </a:ext>
          </a:extLst>
        </xdr:cNvPr>
        <xdr:cNvPicPr>
          <a:picLocks noChangeAspect="1"/>
        </xdr:cNvPicPr>
      </xdr:nvPicPr>
      <xdr:blipFill>
        <a:blip xmlns:r="http://schemas.openxmlformats.org/officeDocument/2006/relationships" r:embed="rId3"/>
        <a:stretch>
          <a:fillRect/>
        </a:stretch>
      </xdr:blipFill>
      <xdr:spPr>
        <a:xfrm>
          <a:off x="7377724" y="11616"/>
          <a:ext cx="851180" cy="1208049"/>
        </a:xfrm>
        <a:prstGeom prst="rect">
          <a:avLst/>
        </a:prstGeom>
      </xdr:spPr>
    </xdr:pic>
    <xdr:clientData/>
  </xdr:twoCellAnchor>
  <xdr:twoCellAnchor editAs="oneCell">
    <xdr:from>
      <xdr:col>1</xdr:col>
      <xdr:colOff>1852266</xdr:colOff>
      <xdr:row>0</xdr:row>
      <xdr:rowOff>0</xdr:rowOff>
    </xdr:from>
    <xdr:to>
      <xdr:col>3</xdr:col>
      <xdr:colOff>15799</xdr:colOff>
      <xdr:row>5</xdr:row>
      <xdr:rowOff>122617</xdr:rowOff>
    </xdr:to>
    <xdr:pic>
      <xdr:nvPicPr>
        <xdr:cNvPr id="5" name="Image 4">
          <a:extLst>
            <a:ext uri="{FF2B5EF4-FFF2-40B4-BE49-F238E27FC236}">
              <a16:creationId xmlns:a16="http://schemas.microsoft.com/office/drawing/2014/main" id="{36510C49-31F4-4E28-AAD9-C4158E29D3B0}"/>
            </a:ext>
          </a:extLst>
        </xdr:cNvPr>
        <xdr:cNvPicPr>
          <a:picLocks noChangeAspect="1"/>
        </xdr:cNvPicPr>
      </xdr:nvPicPr>
      <xdr:blipFill>
        <a:blip xmlns:r="http://schemas.openxmlformats.org/officeDocument/2006/relationships" r:embed="rId4"/>
        <a:stretch>
          <a:fillRect/>
        </a:stretch>
      </xdr:blipFill>
      <xdr:spPr>
        <a:xfrm>
          <a:off x="2700223" y="0"/>
          <a:ext cx="974570" cy="1051885"/>
        </a:xfrm>
        <a:prstGeom prst="rect">
          <a:avLst/>
        </a:prstGeom>
      </xdr:spPr>
    </xdr:pic>
    <xdr:clientData/>
  </xdr:twoCellAnchor>
  <xdr:twoCellAnchor editAs="oneCell">
    <xdr:from>
      <xdr:col>11</xdr:col>
      <xdr:colOff>580794</xdr:colOff>
      <xdr:row>0</xdr:row>
      <xdr:rowOff>0</xdr:rowOff>
    </xdr:from>
    <xdr:to>
      <xdr:col>12</xdr:col>
      <xdr:colOff>776174</xdr:colOff>
      <xdr:row>6</xdr:row>
      <xdr:rowOff>34896</xdr:rowOff>
    </xdr:to>
    <xdr:pic>
      <xdr:nvPicPr>
        <xdr:cNvPr id="6" name="Image 5">
          <a:extLst>
            <a:ext uri="{FF2B5EF4-FFF2-40B4-BE49-F238E27FC236}">
              <a16:creationId xmlns:a16="http://schemas.microsoft.com/office/drawing/2014/main" id="{6F7C395D-C5BE-47D3-8876-D134BDFC7BCB}"/>
            </a:ext>
          </a:extLst>
        </xdr:cNvPr>
        <xdr:cNvPicPr>
          <a:picLocks noChangeAspect="1"/>
        </xdr:cNvPicPr>
      </xdr:nvPicPr>
      <xdr:blipFill>
        <a:blip xmlns:r="http://schemas.openxmlformats.org/officeDocument/2006/relationships" r:embed="rId5"/>
        <a:stretch>
          <a:fillRect/>
        </a:stretch>
      </xdr:blipFill>
      <xdr:spPr>
        <a:xfrm>
          <a:off x="9048751" y="0"/>
          <a:ext cx="1171112" cy="115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233198</xdr:colOff>
      <xdr:row>0</xdr:row>
      <xdr:rowOff>80470</xdr:rowOff>
    </xdr:from>
    <xdr:to>
      <xdr:col>1</xdr:col>
      <xdr:colOff>144189</xdr:colOff>
      <xdr:row>5</xdr:row>
      <xdr:rowOff>172783</xdr:rowOff>
    </xdr:to>
    <xdr:pic>
      <xdr:nvPicPr>
        <xdr:cNvPr id="2" name="Image 1">
          <a:extLst>
            <a:ext uri="{FF2B5EF4-FFF2-40B4-BE49-F238E27FC236}">
              <a16:creationId xmlns:a16="http://schemas.microsoft.com/office/drawing/2014/main" id="{73EB53C3-D66D-4114-9FAC-4373185DA27C}"/>
            </a:ext>
          </a:extLst>
        </xdr:cNvPr>
        <xdr:cNvPicPr>
          <a:picLocks noChangeAspect="1"/>
        </xdr:cNvPicPr>
      </xdr:nvPicPr>
      <xdr:blipFill>
        <a:blip xmlns:r="http://schemas.openxmlformats.org/officeDocument/2006/relationships" r:embed="rId1"/>
        <a:stretch>
          <a:fillRect/>
        </a:stretch>
      </xdr:blipFill>
      <xdr:spPr>
        <a:xfrm>
          <a:off x="233198" y="80470"/>
          <a:ext cx="920641" cy="1044813"/>
        </a:xfrm>
        <a:prstGeom prst="rect">
          <a:avLst/>
        </a:prstGeom>
      </xdr:spPr>
    </xdr:pic>
    <xdr:clientData/>
  </xdr:twoCellAnchor>
  <xdr:twoCellAnchor editAs="oneCell">
    <xdr:from>
      <xdr:col>6</xdr:col>
      <xdr:colOff>1162</xdr:colOff>
      <xdr:row>0</xdr:row>
      <xdr:rowOff>28575</xdr:rowOff>
    </xdr:from>
    <xdr:to>
      <xdr:col>8</xdr:col>
      <xdr:colOff>239518</xdr:colOff>
      <xdr:row>5</xdr:row>
      <xdr:rowOff>122376</xdr:rowOff>
    </xdr:to>
    <xdr:pic>
      <xdr:nvPicPr>
        <xdr:cNvPr id="3" name="Image 2">
          <a:extLst>
            <a:ext uri="{FF2B5EF4-FFF2-40B4-BE49-F238E27FC236}">
              <a16:creationId xmlns:a16="http://schemas.microsoft.com/office/drawing/2014/main" id="{8282070D-51BD-4F16-AF53-F86F1A62C362}"/>
            </a:ext>
          </a:extLst>
        </xdr:cNvPr>
        <xdr:cNvPicPr>
          <a:picLocks noChangeAspect="1"/>
        </xdr:cNvPicPr>
      </xdr:nvPicPr>
      <xdr:blipFill>
        <a:blip xmlns:r="http://schemas.openxmlformats.org/officeDocument/2006/relationships" r:embed="rId2"/>
        <a:stretch>
          <a:fillRect/>
        </a:stretch>
      </xdr:blipFill>
      <xdr:spPr>
        <a:xfrm>
          <a:off x="4373137" y="28575"/>
          <a:ext cx="1695681" cy="1046301"/>
        </a:xfrm>
        <a:prstGeom prst="rect">
          <a:avLst/>
        </a:prstGeom>
      </xdr:spPr>
    </xdr:pic>
    <xdr:clientData/>
  </xdr:twoCellAnchor>
  <xdr:twoCellAnchor editAs="oneCell">
    <xdr:from>
      <xdr:col>10</xdr:col>
      <xdr:colOff>450261</xdr:colOff>
      <xdr:row>0</xdr:row>
      <xdr:rowOff>0</xdr:rowOff>
    </xdr:from>
    <xdr:to>
      <xdr:col>11</xdr:col>
      <xdr:colOff>581258</xdr:colOff>
      <xdr:row>6</xdr:row>
      <xdr:rowOff>92927</xdr:rowOff>
    </xdr:to>
    <xdr:pic>
      <xdr:nvPicPr>
        <xdr:cNvPr id="4" name="Image 3">
          <a:extLst>
            <a:ext uri="{FF2B5EF4-FFF2-40B4-BE49-F238E27FC236}">
              <a16:creationId xmlns:a16="http://schemas.microsoft.com/office/drawing/2014/main" id="{A004960F-CF8C-46B9-AC16-B78820498FD9}"/>
            </a:ext>
          </a:extLst>
        </xdr:cNvPr>
        <xdr:cNvPicPr>
          <a:picLocks noChangeAspect="1"/>
        </xdr:cNvPicPr>
      </xdr:nvPicPr>
      <xdr:blipFill>
        <a:blip xmlns:r="http://schemas.openxmlformats.org/officeDocument/2006/relationships" r:embed="rId3"/>
        <a:stretch>
          <a:fillRect/>
        </a:stretch>
      </xdr:blipFill>
      <xdr:spPr>
        <a:xfrm>
          <a:off x="7613061" y="0"/>
          <a:ext cx="845372" cy="1235927"/>
        </a:xfrm>
        <a:prstGeom prst="rect">
          <a:avLst/>
        </a:prstGeom>
      </xdr:spPr>
    </xdr:pic>
    <xdr:clientData/>
  </xdr:twoCellAnchor>
  <xdr:twoCellAnchor editAs="oneCell">
    <xdr:from>
      <xdr:col>2</xdr:col>
      <xdr:colOff>578471</xdr:colOff>
      <xdr:row>0</xdr:row>
      <xdr:rowOff>57150</xdr:rowOff>
    </xdr:from>
    <xdr:to>
      <xdr:col>4</xdr:col>
      <xdr:colOff>265308</xdr:colOff>
      <xdr:row>5</xdr:row>
      <xdr:rowOff>179767</xdr:rowOff>
    </xdr:to>
    <xdr:pic>
      <xdr:nvPicPr>
        <xdr:cNvPr id="5" name="Image 4">
          <a:extLst>
            <a:ext uri="{FF2B5EF4-FFF2-40B4-BE49-F238E27FC236}">
              <a16:creationId xmlns:a16="http://schemas.microsoft.com/office/drawing/2014/main" id="{429F9456-4917-4A82-936C-B0195E470F5F}"/>
            </a:ext>
          </a:extLst>
        </xdr:cNvPr>
        <xdr:cNvPicPr>
          <a:picLocks noChangeAspect="1"/>
        </xdr:cNvPicPr>
      </xdr:nvPicPr>
      <xdr:blipFill>
        <a:blip xmlns:r="http://schemas.openxmlformats.org/officeDocument/2006/relationships" r:embed="rId4"/>
        <a:stretch>
          <a:fillRect/>
        </a:stretch>
      </xdr:blipFill>
      <xdr:spPr>
        <a:xfrm>
          <a:off x="2197721" y="57150"/>
          <a:ext cx="972712" cy="1075117"/>
        </a:xfrm>
        <a:prstGeom prst="rect">
          <a:avLst/>
        </a:prstGeom>
      </xdr:spPr>
    </xdr:pic>
    <xdr:clientData/>
  </xdr:twoCellAnchor>
  <xdr:twoCellAnchor editAs="oneCell">
    <xdr:from>
      <xdr:col>14</xdr:col>
      <xdr:colOff>109886</xdr:colOff>
      <xdr:row>0</xdr:row>
      <xdr:rowOff>0</xdr:rowOff>
    </xdr:from>
    <xdr:to>
      <xdr:col>16</xdr:col>
      <xdr:colOff>60404</xdr:colOff>
      <xdr:row>6</xdr:row>
      <xdr:rowOff>34896</xdr:rowOff>
    </xdr:to>
    <xdr:pic>
      <xdr:nvPicPr>
        <xdr:cNvPr id="6" name="Image 5">
          <a:extLst>
            <a:ext uri="{FF2B5EF4-FFF2-40B4-BE49-F238E27FC236}">
              <a16:creationId xmlns:a16="http://schemas.microsoft.com/office/drawing/2014/main" id="{99F253BA-E763-4C5E-8FD0-1E17BB164E70}"/>
            </a:ext>
          </a:extLst>
        </xdr:cNvPr>
        <xdr:cNvPicPr>
          <a:picLocks noChangeAspect="1"/>
        </xdr:cNvPicPr>
      </xdr:nvPicPr>
      <xdr:blipFill>
        <a:blip xmlns:r="http://schemas.openxmlformats.org/officeDocument/2006/relationships" r:embed="rId5"/>
        <a:stretch>
          <a:fillRect/>
        </a:stretch>
      </xdr:blipFill>
      <xdr:spPr>
        <a:xfrm>
          <a:off x="9815861" y="0"/>
          <a:ext cx="1169718" cy="11778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1DAD-9ACB-4344-9833-7295D73E3EC7}">
  <dimension ref="A1:Q67"/>
  <sheetViews>
    <sheetView tabSelected="1" topLeftCell="A59" zoomScale="82" zoomScaleNormal="82" zoomScaleSheetLayoutView="100" workbookViewId="0">
      <selection activeCell="H70" sqref="H70"/>
    </sheetView>
  </sheetViews>
  <sheetFormatPr baseColWidth="10" defaultColWidth="9.140625" defaultRowHeight="15" x14ac:dyDescent="0.25"/>
  <cols>
    <col min="1" max="1" width="12.7109375" customWidth="1"/>
    <col min="2" max="2" width="31.28515625" customWidth="1"/>
    <col min="3" max="3" width="10.85546875" customWidth="1"/>
    <col min="4" max="4" width="13" customWidth="1"/>
    <col min="5" max="5" width="11.42578125" customWidth="1"/>
    <col min="6" max="6" width="12.28515625" customWidth="1"/>
    <col min="7" max="7" width="14.42578125" customWidth="1"/>
    <col min="8" max="8" width="13.85546875" customWidth="1"/>
    <col min="9" max="9" width="14.140625" customWidth="1"/>
    <col min="10" max="10" width="13.85546875" customWidth="1"/>
    <col min="11" max="11" width="14.5703125" customWidth="1"/>
    <col min="12" max="12" width="14.7109375" customWidth="1"/>
    <col min="13" max="13" width="19" customWidth="1"/>
    <col min="14" max="14" width="22.7109375" customWidth="1"/>
    <col min="15" max="17" width="28.7109375" customWidth="1"/>
    <col min="18" max="18" width="34.140625" customWidth="1"/>
  </cols>
  <sheetData>
    <row r="1" spans="1:17" ht="15" customHeight="1" x14ac:dyDescent="0.25">
      <c r="A1" s="9"/>
      <c r="D1" s="10"/>
      <c r="E1" s="10"/>
      <c r="F1" s="10"/>
      <c r="G1" s="10"/>
      <c r="H1" s="10"/>
      <c r="I1" s="10"/>
      <c r="J1" s="10"/>
      <c r="K1" s="10"/>
      <c r="L1" s="10"/>
      <c r="M1" s="11"/>
      <c r="N1" s="11"/>
      <c r="O1" s="12"/>
      <c r="P1" s="13"/>
      <c r="Q1" s="14"/>
    </row>
    <row r="2" spans="1:17" ht="15" customHeight="1" x14ac:dyDescent="0.25">
      <c r="A2" s="9"/>
      <c r="D2" s="10"/>
      <c r="E2" s="10"/>
      <c r="F2" s="10"/>
      <c r="G2" s="10"/>
      <c r="H2" s="10"/>
      <c r="I2" s="10"/>
      <c r="J2" s="10"/>
      <c r="K2" s="10"/>
      <c r="L2" s="10"/>
      <c r="M2" s="11"/>
      <c r="N2" s="11"/>
      <c r="O2" s="12"/>
      <c r="P2" s="13"/>
      <c r="Q2" s="14"/>
    </row>
    <row r="3" spans="1:17" ht="15" customHeight="1" x14ac:dyDescent="0.25">
      <c r="A3" s="9"/>
      <c r="D3" s="10"/>
      <c r="E3" s="10"/>
      <c r="F3" s="10"/>
      <c r="G3" s="10"/>
      <c r="H3" s="10"/>
      <c r="I3" s="10"/>
      <c r="J3" s="10"/>
      <c r="K3" s="10"/>
      <c r="L3" s="10"/>
      <c r="M3" s="11"/>
      <c r="N3" s="11"/>
      <c r="O3" s="12"/>
      <c r="P3" s="13"/>
      <c r="Q3" s="14"/>
    </row>
    <row r="4" spans="1:17" ht="15" customHeight="1" x14ac:dyDescent="0.25">
      <c r="A4" s="9"/>
      <c r="D4" s="10"/>
      <c r="E4" s="10"/>
      <c r="F4" s="10"/>
      <c r="G4" s="10"/>
      <c r="H4" s="10"/>
      <c r="I4" s="10"/>
      <c r="J4" s="10"/>
      <c r="K4" s="10"/>
      <c r="L4" s="10"/>
      <c r="M4" s="11"/>
      <c r="N4" s="11"/>
      <c r="O4" s="12"/>
      <c r="P4" s="13"/>
      <c r="Q4" s="14"/>
    </row>
    <row r="5" spans="1:17" ht="15" customHeight="1" x14ac:dyDescent="0.25">
      <c r="A5" s="9"/>
      <c r="D5" s="10"/>
      <c r="E5" s="10"/>
      <c r="F5" s="10"/>
      <c r="G5" s="10"/>
      <c r="H5" s="10"/>
      <c r="I5" s="10"/>
      <c r="J5" s="10"/>
      <c r="K5" s="10"/>
      <c r="L5" s="10"/>
      <c r="M5" s="11"/>
      <c r="N5" s="11"/>
      <c r="O5" s="12"/>
      <c r="P5" s="13"/>
      <c r="Q5" s="14"/>
    </row>
    <row r="6" spans="1:17" ht="15" customHeight="1" x14ac:dyDescent="0.25">
      <c r="A6" s="9"/>
      <c r="D6" s="10"/>
      <c r="E6" s="10"/>
      <c r="F6" s="10"/>
      <c r="G6" s="10"/>
      <c r="H6" s="10"/>
      <c r="I6" s="10"/>
      <c r="J6" s="10"/>
      <c r="K6" s="10"/>
      <c r="L6" s="10"/>
      <c r="M6" s="11"/>
      <c r="N6" s="11"/>
      <c r="O6" s="12"/>
      <c r="P6" s="13"/>
      <c r="Q6" s="14"/>
    </row>
    <row r="7" spans="1:17" ht="15" customHeight="1" x14ac:dyDescent="0.25">
      <c r="A7" s="9"/>
      <c r="D7" s="10"/>
      <c r="E7" s="10"/>
      <c r="F7" s="10"/>
      <c r="G7" s="10"/>
      <c r="H7" s="10"/>
      <c r="I7" s="10"/>
      <c r="J7" s="10"/>
      <c r="K7" s="10"/>
      <c r="L7" s="10"/>
      <c r="M7" s="11"/>
      <c r="N7" s="11"/>
      <c r="O7" s="12"/>
      <c r="P7" s="13"/>
      <c r="Q7" s="14"/>
    </row>
    <row r="8" spans="1:17" ht="43.5" customHeight="1" x14ac:dyDescent="0.25">
      <c r="A8" s="71" t="s">
        <v>51</v>
      </c>
      <c r="B8" s="71"/>
      <c r="C8" s="71"/>
      <c r="D8" s="71"/>
      <c r="E8" s="71"/>
      <c r="F8" s="71"/>
      <c r="G8" s="71"/>
      <c r="H8" s="71"/>
      <c r="I8" s="71"/>
      <c r="J8" s="71"/>
      <c r="K8" s="71"/>
      <c r="L8" s="71"/>
      <c r="M8" s="71"/>
      <c r="N8" s="15"/>
      <c r="O8" s="15"/>
      <c r="P8" s="15"/>
      <c r="Q8" s="15"/>
    </row>
    <row r="9" spans="1:17" ht="8.25" customHeight="1" x14ac:dyDescent="0.25"/>
    <row r="10" spans="1:17" ht="9.75" customHeight="1" x14ac:dyDescent="0.25"/>
    <row r="11" spans="1:17" ht="21" x14ac:dyDescent="0.35">
      <c r="A11" s="5" t="s">
        <v>6</v>
      </c>
      <c r="B11" s="4"/>
    </row>
    <row r="12" spans="1:17" ht="15.75" x14ac:dyDescent="0.25">
      <c r="A12" s="1"/>
      <c r="B12" s="1"/>
    </row>
    <row r="13" spans="1:17" ht="15.75" x14ac:dyDescent="0.25">
      <c r="A13" s="1" t="s">
        <v>7</v>
      </c>
      <c r="B13" s="1"/>
    </row>
    <row r="15" spans="1:17" ht="15.75" x14ac:dyDescent="0.25">
      <c r="A15" s="1" t="s">
        <v>8</v>
      </c>
    </row>
    <row r="16" spans="1:17" ht="10.5" customHeight="1" thickBot="1" x14ac:dyDescent="0.3">
      <c r="A16" s="1"/>
      <c r="B16" s="1"/>
      <c r="C16" s="1"/>
      <c r="D16" s="1"/>
      <c r="E16" s="1"/>
    </row>
    <row r="17" spans="1:13" ht="71.25" customHeight="1" thickBot="1" x14ac:dyDescent="0.3">
      <c r="A17" s="49" t="s">
        <v>52</v>
      </c>
      <c r="B17" s="50" t="s">
        <v>53</v>
      </c>
      <c r="C17" s="72" t="s">
        <v>49</v>
      </c>
      <c r="D17" s="73"/>
      <c r="E17" s="73"/>
      <c r="F17" s="74"/>
      <c r="G17" s="78" t="s">
        <v>9</v>
      </c>
      <c r="H17" s="75" t="s">
        <v>50</v>
      </c>
      <c r="I17" s="76"/>
      <c r="J17" s="76"/>
      <c r="K17" s="76"/>
      <c r="L17" s="77"/>
      <c r="M17" s="78" t="s">
        <v>10</v>
      </c>
    </row>
    <row r="18" spans="1:13" ht="48" customHeight="1" thickBot="1" x14ac:dyDescent="0.3">
      <c r="A18" s="51"/>
      <c r="B18" s="52"/>
      <c r="C18" s="53" t="s">
        <v>54</v>
      </c>
      <c r="D18" s="53" t="s">
        <v>55</v>
      </c>
      <c r="E18" s="53" t="s">
        <v>56</v>
      </c>
      <c r="F18" s="54" t="s">
        <v>57</v>
      </c>
      <c r="G18" s="79"/>
      <c r="H18" s="53" t="s">
        <v>54</v>
      </c>
      <c r="I18" s="53" t="s">
        <v>55</v>
      </c>
      <c r="J18" s="53" t="s">
        <v>56</v>
      </c>
      <c r="K18" s="54" t="s">
        <v>57</v>
      </c>
      <c r="L18" s="53" t="s">
        <v>58</v>
      </c>
      <c r="M18" s="79"/>
    </row>
    <row r="19" spans="1:13" ht="33.75" customHeight="1" thickBot="1" x14ac:dyDescent="0.3">
      <c r="A19" s="80" t="s">
        <v>59</v>
      </c>
      <c r="B19" s="81"/>
      <c r="C19" s="81"/>
      <c r="D19" s="81"/>
      <c r="E19" s="81"/>
      <c r="F19" s="81"/>
      <c r="G19" s="82"/>
      <c r="H19" s="82"/>
      <c r="I19" s="82"/>
      <c r="J19" s="82"/>
      <c r="K19" s="82"/>
      <c r="L19" s="82"/>
      <c r="M19" s="83"/>
    </row>
    <row r="20" spans="1:13" ht="120" customHeight="1" thickBot="1" x14ac:dyDescent="0.3">
      <c r="A20" s="16" t="s">
        <v>11</v>
      </c>
      <c r="B20" s="17" t="s">
        <v>60</v>
      </c>
      <c r="C20" s="17">
        <f>C21+C22+C23</f>
        <v>150000</v>
      </c>
      <c r="D20" s="17">
        <f t="shared" ref="D20" si="0">D21+D22+D23</f>
        <v>32500</v>
      </c>
      <c r="E20" s="17">
        <f>E21+E22+E23</f>
        <v>98892</v>
      </c>
      <c r="F20" s="17">
        <f>F21+F22+F23</f>
        <v>0</v>
      </c>
      <c r="G20" s="64">
        <f>37.3%</f>
        <v>0.373</v>
      </c>
      <c r="H20" s="17">
        <f>H21+H22+H23</f>
        <v>130000</v>
      </c>
      <c r="I20" s="17">
        <v>23601</v>
      </c>
      <c r="J20" s="17">
        <f>J21+J22+J23</f>
        <v>79583</v>
      </c>
      <c r="K20" s="17">
        <f>K21+K22+K23</f>
        <v>0</v>
      </c>
      <c r="L20" s="17">
        <f>H20+I20+J20+K20</f>
        <v>233184</v>
      </c>
      <c r="M20" s="17"/>
    </row>
    <row r="21" spans="1:13" ht="212.25" customHeight="1" thickBot="1" x14ac:dyDescent="0.3">
      <c r="A21" s="19" t="s">
        <v>17</v>
      </c>
      <c r="B21" s="17" t="s">
        <v>61</v>
      </c>
      <c r="C21" s="17">
        <v>70000</v>
      </c>
      <c r="D21" s="17">
        <v>15000</v>
      </c>
      <c r="E21" s="17">
        <v>19715</v>
      </c>
      <c r="F21" s="17">
        <v>0</v>
      </c>
      <c r="G21" s="17"/>
      <c r="H21" s="17">
        <v>70000</v>
      </c>
      <c r="I21" s="17">
        <v>14175</v>
      </c>
      <c r="J21" s="17">
        <v>8353</v>
      </c>
      <c r="K21" s="17">
        <v>0</v>
      </c>
      <c r="L21" s="17">
        <f t="shared" ref="L21:L34" si="1">H21+I21+J21+K21</f>
        <v>92528</v>
      </c>
      <c r="M21" s="17"/>
    </row>
    <row r="22" spans="1:13" ht="276.75" customHeight="1" thickBot="1" x14ac:dyDescent="0.3">
      <c r="A22" s="19" t="s">
        <v>18</v>
      </c>
      <c r="B22" s="17" t="s">
        <v>62</v>
      </c>
      <c r="C22" s="17">
        <v>60000</v>
      </c>
      <c r="D22" s="17">
        <v>12500</v>
      </c>
      <c r="E22" s="17">
        <v>19715</v>
      </c>
      <c r="F22" s="17">
        <v>0</v>
      </c>
      <c r="G22" s="17"/>
      <c r="H22" s="17">
        <v>60000</v>
      </c>
      <c r="I22" s="17">
        <v>9426</v>
      </c>
      <c r="J22" s="17">
        <v>5474</v>
      </c>
      <c r="K22" s="17">
        <v>0</v>
      </c>
      <c r="L22" s="17">
        <f t="shared" si="1"/>
        <v>74900</v>
      </c>
      <c r="M22" s="17"/>
    </row>
    <row r="23" spans="1:13" ht="126.75" customHeight="1" thickBot="1" x14ac:dyDescent="0.3">
      <c r="A23" s="19" t="s">
        <v>19</v>
      </c>
      <c r="B23" s="17" t="s">
        <v>63</v>
      </c>
      <c r="C23" s="17">
        <v>20000</v>
      </c>
      <c r="D23" s="17">
        <v>5000</v>
      </c>
      <c r="E23" s="17">
        <v>59462</v>
      </c>
      <c r="F23" s="17">
        <v>0</v>
      </c>
      <c r="G23" s="17"/>
      <c r="H23" s="17">
        <v>0</v>
      </c>
      <c r="I23" s="17">
        <v>0</v>
      </c>
      <c r="J23" s="17">
        <v>65756</v>
      </c>
      <c r="K23" s="17">
        <v>0</v>
      </c>
      <c r="L23" s="17">
        <f t="shared" si="1"/>
        <v>65756</v>
      </c>
      <c r="M23" s="17"/>
    </row>
    <row r="24" spans="1:13" ht="90.75" customHeight="1" thickBot="1" x14ac:dyDescent="0.3">
      <c r="A24" s="16" t="s">
        <v>12</v>
      </c>
      <c r="B24" s="17" t="s">
        <v>64</v>
      </c>
      <c r="C24" s="17">
        <f>C25+C26+C27</f>
        <v>50000</v>
      </c>
      <c r="D24" s="17">
        <f t="shared" ref="D24" si="2">D25+D26+D27</f>
        <v>50000</v>
      </c>
      <c r="E24" s="17">
        <f>E25+E26+E27</f>
        <v>58509</v>
      </c>
      <c r="F24" s="17">
        <f>F25+F26+F27</f>
        <v>12500</v>
      </c>
      <c r="G24" s="64">
        <f>64.4/100</f>
        <v>0.64400000000000002</v>
      </c>
      <c r="H24" s="17">
        <f>H25+H26</f>
        <v>50000</v>
      </c>
      <c r="I24" s="17">
        <v>73483</v>
      </c>
      <c r="J24" s="20">
        <f>J25+J26+J27</f>
        <v>22066</v>
      </c>
      <c r="K24" s="20">
        <f>K25+K26+K27</f>
        <v>12500</v>
      </c>
      <c r="L24" s="17">
        <f t="shared" si="1"/>
        <v>158049</v>
      </c>
      <c r="M24" s="17"/>
    </row>
    <row r="25" spans="1:13" ht="191.25" customHeight="1" thickBot="1" x14ac:dyDescent="0.3">
      <c r="A25" s="19" t="s">
        <v>20</v>
      </c>
      <c r="B25" s="17" t="s">
        <v>65</v>
      </c>
      <c r="C25" s="17">
        <v>20000</v>
      </c>
      <c r="D25" s="17">
        <v>43000</v>
      </c>
      <c r="E25" s="17">
        <v>19715</v>
      </c>
      <c r="F25" s="17">
        <v>12500</v>
      </c>
      <c r="G25" s="17"/>
      <c r="H25" s="17">
        <v>20000</v>
      </c>
      <c r="I25" s="17">
        <v>42596</v>
      </c>
      <c r="J25" s="17">
        <v>3728</v>
      </c>
      <c r="K25" s="17">
        <v>12500</v>
      </c>
      <c r="L25" s="17">
        <f t="shared" si="1"/>
        <v>78824</v>
      </c>
      <c r="M25" s="17"/>
    </row>
    <row r="26" spans="1:13" ht="134.25" customHeight="1" thickBot="1" x14ac:dyDescent="0.3">
      <c r="A26" s="19" t="s">
        <v>21</v>
      </c>
      <c r="B26" s="17" t="s">
        <v>66</v>
      </c>
      <c r="C26" s="17">
        <v>30000</v>
      </c>
      <c r="D26" s="17">
        <v>7000</v>
      </c>
      <c r="E26" s="17">
        <v>19079</v>
      </c>
      <c r="F26" s="17">
        <v>0</v>
      </c>
      <c r="G26" s="17"/>
      <c r="H26" s="17">
        <v>30000</v>
      </c>
      <c r="I26" s="17">
        <v>30887</v>
      </c>
      <c r="J26" s="17">
        <v>15891</v>
      </c>
      <c r="K26" s="17">
        <v>0</v>
      </c>
      <c r="L26" s="17">
        <f t="shared" si="1"/>
        <v>76778</v>
      </c>
      <c r="M26" s="17"/>
    </row>
    <row r="27" spans="1:13" ht="61.5" customHeight="1" thickBot="1" x14ac:dyDescent="0.3">
      <c r="A27" s="19" t="s">
        <v>113</v>
      </c>
      <c r="B27" s="17" t="s">
        <v>114</v>
      </c>
      <c r="C27" s="17">
        <v>0</v>
      </c>
      <c r="D27" s="17">
        <v>0</v>
      </c>
      <c r="E27" s="17">
        <v>19715</v>
      </c>
      <c r="F27" s="17"/>
      <c r="G27" s="17"/>
      <c r="H27" s="17"/>
      <c r="I27" s="17"/>
      <c r="J27" s="17">
        <v>2447</v>
      </c>
      <c r="K27" s="17">
        <v>0</v>
      </c>
      <c r="L27" s="17">
        <f t="shared" si="1"/>
        <v>2447</v>
      </c>
      <c r="M27" s="17"/>
    </row>
    <row r="28" spans="1:13" ht="79.5" customHeight="1" thickBot="1" x14ac:dyDescent="0.3">
      <c r="A28" s="16" t="s">
        <v>13</v>
      </c>
      <c r="B28" s="17" t="s">
        <v>67</v>
      </c>
      <c r="C28" s="62">
        <f>C29+C30+C31+C32+C34+C33</f>
        <v>100000</v>
      </c>
      <c r="D28" s="62">
        <f t="shared" ref="D28:F28" si="3">D29+D30+D31+D32+D34+D33</f>
        <v>0</v>
      </c>
      <c r="E28" s="62">
        <f t="shared" si="3"/>
        <v>155888</v>
      </c>
      <c r="F28" s="62">
        <f t="shared" si="3"/>
        <v>0</v>
      </c>
      <c r="G28" s="64">
        <f>25.1/100</f>
        <v>0.251</v>
      </c>
      <c r="H28" s="17">
        <f>H29+H30+H31+H32+H33+H34</f>
        <v>100000</v>
      </c>
      <c r="I28" s="17">
        <f t="shared" ref="I28:K28" si="4">I29+I30+I31+I32+I33+I34</f>
        <v>0</v>
      </c>
      <c r="J28" s="17">
        <f t="shared" si="4"/>
        <v>47654</v>
      </c>
      <c r="K28" s="17">
        <f t="shared" si="4"/>
        <v>0</v>
      </c>
      <c r="L28" s="17">
        <f t="shared" ref="L28:M28" si="5">L29+L30+L31+L32+L33</f>
        <v>118369</v>
      </c>
      <c r="M28" s="17"/>
    </row>
    <row r="29" spans="1:13" ht="138" customHeight="1" thickBot="1" x14ac:dyDescent="0.3">
      <c r="A29" s="19" t="s">
        <v>22</v>
      </c>
      <c r="B29" s="17" t="s">
        <v>68</v>
      </c>
      <c r="C29" s="17">
        <v>12500</v>
      </c>
      <c r="D29" s="17">
        <v>0</v>
      </c>
      <c r="E29" s="17">
        <v>18125</v>
      </c>
      <c r="F29" s="17">
        <v>0</v>
      </c>
      <c r="G29" s="20"/>
      <c r="H29" s="17">
        <v>12500</v>
      </c>
      <c r="I29" s="17"/>
      <c r="J29" s="17">
        <v>31369</v>
      </c>
      <c r="K29" s="17">
        <v>0</v>
      </c>
      <c r="L29" s="17">
        <f t="shared" si="1"/>
        <v>43869</v>
      </c>
      <c r="M29" s="17"/>
    </row>
    <row r="30" spans="1:13" ht="159.75" customHeight="1" thickBot="1" x14ac:dyDescent="0.3">
      <c r="A30" s="19" t="s">
        <v>23</v>
      </c>
      <c r="B30" s="17" t="s">
        <v>69</v>
      </c>
      <c r="C30" s="17">
        <v>30000</v>
      </c>
      <c r="D30" s="17">
        <v>0</v>
      </c>
      <c r="E30" s="17">
        <v>0</v>
      </c>
      <c r="F30" s="17">
        <v>0</v>
      </c>
      <c r="G30" s="17"/>
      <c r="H30" s="17">
        <v>30000</v>
      </c>
      <c r="I30" s="17"/>
      <c r="J30" s="17">
        <v>0</v>
      </c>
      <c r="K30" s="17">
        <v>0</v>
      </c>
      <c r="L30" s="17">
        <f t="shared" si="1"/>
        <v>30000</v>
      </c>
      <c r="M30" s="17"/>
    </row>
    <row r="31" spans="1:13" ht="123" customHeight="1" thickBot="1" x14ac:dyDescent="0.3">
      <c r="A31" s="19" t="s">
        <v>24</v>
      </c>
      <c r="B31" s="17" t="s">
        <v>70</v>
      </c>
      <c r="C31" s="17">
        <v>0</v>
      </c>
      <c r="D31" s="17">
        <v>0</v>
      </c>
      <c r="E31" s="20">
        <v>103739</v>
      </c>
      <c r="F31" s="17">
        <v>0</v>
      </c>
      <c r="G31" s="17"/>
      <c r="H31" s="17">
        <v>0</v>
      </c>
      <c r="I31" s="17"/>
      <c r="J31" s="17">
        <v>0</v>
      </c>
      <c r="K31" s="17">
        <v>0</v>
      </c>
      <c r="L31" s="17">
        <f t="shared" si="1"/>
        <v>0</v>
      </c>
      <c r="M31" s="17"/>
    </row>
    <row r="32" spans="1:13" ht="267.75" customHeight="1" thickBot="1" x14ac:dyDescent="0.3">
      <c r="A32" s="19" t="s">
        <v>71</v>
      </c>
      <c r="B32" s="17" t="s">
        <v>72</v>
      </c>
      <c r="C32" s="17">
        <v>32500</v>
      </c>
      <c r="D32" s="17">
        <v>0</v>
      </c>
      <c r="E32" s="17">
        <v>17488</v>
      </c>
      <c r="F32" s="17">
        <v>0</v>
      </c>
      <c r="G32" s="17"/>
      <c r="H32" s="17">
        <v>32500</v>
      </c>
      <c r="I32" s="17"/>
      <c r="J32" s="17">
        <v>12000</v>
      </c>
      <c r="K32" s="17">
        <v>0</v>
      </c>
      <c r="L32" s="17">
        <f t="shared" si="1"/>
        <v>44500</v>
      </c>
      <c r="M32" s="17"/>
    </row>
    <row r="33" spans="1:13" ht="114.75" customHeight="1" thickBot="1" x14ac:dyDescent="0.3">
      <c r="A33" s="19" t="s">
        <v>115</v>
      </c>
      <c r="B33" s="17" t="s">
        <v>118</v>
      </c>
      <c r="C33" s="17">
        <v>25000</v>
      </c>
      <c r="D33" s="17">
        <v>0</v>
      </c>
      <c r="E33" s="17">
        <v>7950</v>
      </c>
      <c r="F33" s="17"/>
      <c r="G33" s="17"/>
      <c r="H33" s="17">
        <v>25000</v>
      </c>
      <c r="I33" s="17"/>
      <c r="J33" s="17">
        <v>0</v>
      </c>
      <c r="K33" s="17"/>
      <c r="L33" s="17"/>
      <c r="M33" s="17"/>
    </row>
    <row r="34" spans="1:13" ht="104.25" customHeight="1" thickBot="1" x14ac:dyDescent="0.3">
      <c r="A34" s="19" t="s">
        <v>117</v>
      </c>
      <c r="B34" s="67" t="s">
        <v>116</v>
      </c>
      <c r="C34" s="67">
        <v>0</v>
      </c>
      <c r="D34" s="17">
        <v>0</v>
      </c>
      <c r="E34" s="17">
        <v>8586</v>
      </c>
      <c r="F34" s="17">
        <v>0</v>
      </c>
      <c r="G34" s="17"/>
      <c r="H34" s="17">
        <v>0</v>
      </c>
      <c r="I34" s="17">
        <v>0</v>
      </c>
      <c r="J34" s="17">
        <v>4285</v>
      </c>
      <c r="K34" s="17">
        <v>0</v>
      </c>
      <c r="L34" s="17">
        <f t="shared" si="1"/>
        <v>4285</v>
      </c>
      <c r="M34" s="17"/>
    </row>
    <row r="35" spans="1:13" ht="21" customHeight="1" thickBot="1" x14ac:dyDescent="0.3">
      <c r="A35" s="86" t="s">
        <v>73</v>
      </c>
      <c r="B35" s="87"/>
      <c r="C35" s="55">
        <f>C28+C24+C20</f>
        <v>300000</v>
      </c>
      <c r="D35" s="55">
        <f>D28+D24+D20</f>
        <v>82500</v>
      </c>
      <c r="E35" s="55">
        <f>E28+E24+E20</f>
        <v>313289</v>
      </c>
      <c r="F35" s="55">
        <f>F28+F24+F20</f>
        <v>12500</v>
      </c>
      <c r="G35" s="65">
        <f>(G2+G24+G20)/3</f>
        <v>0.33899999999999997</v>
      </c>
      <c r="H35" s="55">
        <f t="shared" ref="H35:M35" si="6">H28+H24+H20</f>
        <v>280000</v>
      </c>
      <c r="I35" s="55">
        <f t="shared" si="6"/>
        <v>97084</v>
      </c>
      <c r="J35" s="55">
        <f t="shared" si="6"/>
        <v>149303</v>
      </c>
      <c r="K35" s="55">
        <f t="shared" si="6"/>
        <v>12500</v>
      </c>
      <c r="L35" s="55">
        <f t="shared" si="6"/>
        <v>509602</v>
      </c>
      <c r="M35" s="55">
        <f t="shared" si="6"/>
        <v>0</v>
      </c>
    </row>
    <row r="36" spans="1:13" ht="22.5" customHeight="1" thickBot="1" x14ac:dyDescent="0.3">
      <c r="A36" s="86" t="s">
        <v>74</v>
      </c>
      <c r="B36" s="87"/>
      <c r="C36" s="87"/>
      <c r="D36" s="87"/>
      <c r="E36" s="87"/>
      <c r="F36" s="87"/>
      <c r="G36" s="87"/>
      <c r="H36" s="87"/>
      <c r="I36" s="87"/>
      <c r="J36" s="87"/>
      <c r="K36" s="87"/>
      <c r="L36" s="87"/>
      <c r="M36" s="88"/>
    </row>
    <row r="37" spans="1:13" ht="57" customHeight="1" thickBot="1" x14ac:dyDescent="0.3">
      <c r="A37" s="16" t="s">
        <v>14</v>
      </c>
      <c r="B37" s="17" t="s">
        <v>75</v>
      </c>
      <c r="C37" s="17">
        <f>C38</f>
        <v>149000</v>
      </c>
      <c r="D37" s="17">
        <f t="shared" ref="D37:F37" si="7">D38</f>
        <v>110000</v>
      </c>
      <c r="E37" s="17">
        <f t="shared" si="7"/>
        <v>139200</v>
      </c>
      <c r="F37" s="17">
        <f t="shared" si="7"/>
        <v>0</v>
      </c>
      <c r="G37" s="18">
        <f>44.4%</f>
        <v>0.44400000000000001</v>
      </c>
      <c r="H37" s="17">
        <f>H38</f>
        <v>149000</v>
      </c>
      <c r="I37" s="17">
        <f t="shared" ref="I37:K37" si="8">I38</f>
        <v>109378</v>
      </c>
      <c r="J37" s="17">
        <f t="shared" si="8"/>
        <v>133273</v>
      </c>
      <c r="K37" s="17">
        <f t="shared" si="8"/>
        <v>0</v>
      </c>
      <c r="L37" s="17">
        <f>H37+I37+J37+K37</f>
        <v>391651</v>
      </c>
      <c r="M37" s="17"/>
    </row>
    <row r="38" spans="1:13" ht="186" customHeight="1" thickBot="1" x14ac:dyDescent="0.3">
      <c r="A38" s="19" t="s">
        <v>25</v>
      </c>
      <c r="B38" s="17" t="s">
        <v>76</v>
      </c>
      <c r="C38" s="17">
        <v>149000</v>
      </c>
      <c r="D38" s="17">
        <v>110000</v>
      </c>
      <c r="E38" s="17">
        <v>139200</v>
      </c>
      <c r="F38" s="17">
        <v>0</v>
      </c>
      <c r="G38" s="17"/>
      <c r="H38" s="17">
        <v>149000</v>
      </c>
      <c r="I38" s="17">
        <v>109378</v>
      </c>
      <c r="J38" s="17">
        <v>133273</v>
      </c>
      <c r="K38" s="17">
        <v>0</v>
      </c>
      <c r="L38" s="17">
        <f t="shared" ref="L38:L53" si="9">H38+I38+J38+K38</f>
        <v>391651</v>
      </c>
      <c r="M38" s="17"/>
    </row>
    <row r="39" spans="1:13" ht="108.75" customHeight="1" thickBot="1" x14ac:dyDescent="0.3">
      <c r="A39" s="16" t="s">
        <v>15</v>
      </c>
      <c r="B39" s="17" t="s">
        <v>77</v>
      </c>
      <c r="C39" s="17">
        <f>C40+C41+C42+C43+C44</f>
        <v>20000</v>
      </c>
      <c r="D39" s="17">
        <f t="shared" ref="D39:F39" si="10">D40+D41+D42+D43+D44</f>
        <v>10000</v>
      </c>
      <c r="E39" s="17">
        <f t="shared" si="10"/>
        <v>0</v>
      </c>
      <c r="F39" s="17">
        <f t="shared" si="10"/>
        <v>137500</v>
      </c>
      <c r="G39" s="18">
        <f>12.7%</f>
        <v>0.127</v>
      </c>
      <c r="H39" s="17">
        <f>H40+H41+H42+H43+H44</f>
        <v>20000</v>
      </c>
      <c r="I39" s="17">
        <f t="shared" ref="I39:K39" si="11">I40+I41+I42+I43+I44</f>
        <v>15767</v>
      </c>
      <c r="J39" s="17">
        <f t="shared" si="11"/>
        <v>0</v>
      </c>
      <c r="K39" s="17">
        <f t="shared" si="11"/>
        <v>137500</v>
      </c>
      <c r="L39" s="17">
        <f t="shared" si="9"/>
        <v>173267</v>
      </c>
      <c r="M39" s="17"/>
    </row>
    <row r="40" spans="1:13" ht="70.5" customHeight="1" thickBot="1" x14ac:dyDescent="0.3">
      <c r="A40" s="19" t="s">
        <v>26</v>
      </c>
      <c r="B40" s="17" t="s">
        <v>78</v>
      </c>
      <c r="C40" s="17">
        <v>0</v>
      </c>
      <c r="D40" s="17">
        <v>0</v>
      </c>
      <c r="E40" s="17">
        <v>0</v>
      </c>
      <c r="F40" s="17">
        <v>12500</v>
      </c>
      <c r="G40" s="17"/>
      <c r="H40" s="17">
        <v>0</v>
      </c>
      <c r="I40" s="17">
        <v>0</v>
      </c>
      <c r="J40" s="17">
        <v>0</v>
      </c>
      <c r="K40" s="17">
        <v>12500</v>
      </c>
      <c r="L40" s="17">
        <f t="shared" si="9"/>
        <v>12500</v>
      </c>
      <c r="M40" s="17"/>
    </row>
    <row r="41" spans="1:13" ht="111" customHeight="1" thickBot="1" x14ac:dyDescent="0.3">
      <c r="A41" s="19" t="s">
        <v>27</v>
      </c>
      <c r="B41" s="17" t="s">
        <v>79</v>
      </c>
      <c r="C41" s="17">
        <v>10000</v>
      </c>
      <c r="D41" s="17">
        <v>0</v>
      </c>
      <c r="E41" s="17">
        <v>0</v>
      </c>
      <c r="F41" s="17">
        <v>50000</v>
      </c>
      <c r="G41" s="17"/>
      <c r="H41" s="17">
        <v>10000</v>
      </c>
      <c r="I41" s="17">
        <v>0</v>
      </c>
      <c r="J41" s="17">
        <v>0</v>
      </c>
      <c r="K41" s="17">
        <v>50000</v>
      </c>
      <c r="L41" s="17">
        <f t="shared" si="9"/>
        <v>60000</v>
      </c>
      <c r="M41" s="17"/>
    </row>
    <row r="42" spans="1:13" ht="82.5" customHeight="1" thickBot="1" x14ac:dyDescent="0.3">
      <c r="A42" s="19" t="s">
        <v>28</v>
      </c>
      <c r="B42" s="17" t="s">
        <v>80</v>
      </c>
      <c r="C42" s="17">
        <v>0</v>
      </c>
      <c r="D42" s="17">
        <v>0</v>
      </c>
      <c r="E42" s="17">
        <v>0</v>
      </c>
      <c r="F42" s="17">
        <v>12500</v>
      </c>
      <c r="G42" s="17"/>
      <c r="H42" s="17">
        <v>0</v>
      </c>
      <c r="I42" s="17">
        <v>0</v>
      </c>
      <c r="J42" s="17">
        <v>0</v>
      </c>
      <c r="K42" s="17">
        <v>12500</v>
      </c>
      <c r="L42" s="17">
        <f t="shared" si="9"/>
        <v>12500</v>
      </c>
      <c r="M42" s="17"/>
    </row>
    <row r="43" spans="1:13" ht="123.75" customHeight="1" thickBot="1" x14ac:dyDescent="0.3">
      <c r="A43" s="19" t="s">
        <v>81</v>
      </c>
      <c r="B43" s="17" t="s">
        <v>82</v>
      </c>
      <c r="C43" s="17">
        <v>5000</v>
      </c>
      <c r="D43" s="17">
        <v>10000</v>
      </c>
      <c r="E43" s="17">
        <v>0</v>
      </c>
      <c r="F43" s="17">
        <v>50000</v>
      </c>
      <c r="G43" s="17"/>
      <c r="H43" s="17">
        <v>5000</v>
      </c>
      <c r="I43" s="17">
        <v>15767</v>
      </c>
      <c r="J43" s="17">
        <v>0</v>
      </c>
      <c r="K43" s="17">
        <v>50000</v>
      </c>
      <c r="L43" s="17">
        <f t="shared" si="9"/>
        <v>70767</v>
      </c>
      <c r="M43" s="17"/>
    </row>
    <row r="44" spans="1:13" ht="108.75" customHeight="1" thickBot="1" x14ac:dyDescent="0.3">
      <c r="A44" s="19" t="s">
        <v>83</v>
      </c>
      <c r="B44" s="17" t="s">
        <v>84</v>
      </c>
      <c r="C44" s="17">
        <v>5000</v>
      </c>
      <c r="D44" s="17"/>
      <c r="E44" s="17">
        <v>0</v>
      </c>
      <c r="F44" s="17">
        <v>12500</v>
      </c>
      <c r="G44" s="17"/>
      <c r="H44" s="17">
        <v>5000</v>
      </c>
      <c r="I44" s="17">
        <v>0</v>
      </c>
      <c r="J44" s="17">
        <v>0</v>
      </c>
      <c r="K44" s="17">
        <v>12500</v>
      </c>
      <c r="L44" s="17">
        <f t="shared" si="9"/>
        <v>17500</v>
      </c>
      <c r="M44" s="17"/>
    </row>
    <row r="45" spans="1:13" ht="80.25" customHeight="1" thickBot="1" x14ac:dyDescent="0.3">
      <c r="A45" s="16" t="s">
        <v>16</v>
      </c>
      <c r="B45" s="17" t="s">
        <v>85</v>
      </c>
      <c r="C45" s="17">
        <f>C46+C47+C48+C49</f>
        <v>60000</v>
      </c>
      <c r="D45" s="17">
        <f t="shared" ref="D45:F45" si="12">D46+D47+D48+D49</f>
        <v>68000</v>
      </c>
      <c r="E45" s="17">
        <f t="shared" si="12"/>
        <v>31970</v>
      </c>
      <c r="F45" s="17">
        <f t="shared" si="12"/>
        <v>195000</v>
      </c>
      <c r="G45" s="18">
        <f>0.5865</f>
        <v>0.58650000000000002</v>
      </c>
      <c r="H45" s="17">
        <f>H46+H47+H48+H49</f>
        <v>60000</v>
      </c>
      <c r="I45" s="17">
        <f t="shared" ref="I45:K45" si="13">I46+I47+I48+I49</f>
        <v>72972</v>
      </c>
      <c r="J45" s="17">
        <f t="shared" si="13"/>
        <v>39961</v>
      </c>
      <c r="K45" s="17">
        <f t="shared" si="13"/>
        <v>195000</v>
      </c>
      <c r="L45" s="17">
        <f t="shared" si="9"/>
        <v>367933</v>
      </c>
      <c r="M45" s="17"/>
    </row>
    <row r="46" spans="1:13" ht="175.5" customHeight="1" thickBot="1" x14ac:dyDescent="0.3">
      <c r="A46" s="19" t="s">
        <v>29</v>
      </c>
      <c r="B46" s="17" t="s">
        <v>86</v>
      </c>
      <c r="C46" s="17">
        <v>26500</v>
      </c>
      <c r="D46" s="17">
        <v>22000</v>
      </c>
      <c r="E46" s="17">
        <v>12650</v>
      </c>
      <c r="F46" s="17">
        <v>135000</v>
      </c>
      <c r="G46" s="17"/>
      <c r="H46" s="17">
        <v>26500</v>
      </c>
      <c r="I46" s="17">
        <v>7721</v>
      </c>
      <c r="J46" s="17">
        <v>20534</v>
      </c>
      <c r="K46" s="17">
        <v>135000</v>
      </c>
      <c r="L46" s="17">
        <f t="shared" si="9"/>
        <v>189755</v>
      </c>
      <c r="M46" s="17"/>
    </row>
    <row r="47" spans="1:13" ht="126.75" customHeight="1" thickBot="1" x14ac:dyDescent="0.3">
      <c r="A47" s="19" t="s">
        <v>30</v>
      </c>
      <c r="B47" s="17" t="s">
        <v>87</v>
      </c>
      <c r="C47" s="17">
        <v>15000</v>
      </c>
      <c r="D47" s="17">
        <v>46000</v>
      </c>
      <c r="E47" s="17">
        <v>16100</v>
      </c>
      <c r="F47" s="17">
        <v>0</v>
      </c>
      <c r="G47" s="17"/>
      <c r="H47" s="17">
        <v>15000</v>
      </c>
      <c r="I47" s="17">
        <v>45112</v>
      </c>
      <c r="J47" s="17">
        <v>17139</v>
      </c>
      <c r="K47" s="17">
        <v>0</v>
      </c>
      <c r="L47" s="17">
        <f t="shared" si="9"/>
        <v>77251</v>
      </c>
      <c r="M47" s="17"/>
    </row>
    <row r="48" spans="1:13" ht="185.25" customHeight="1" thickBot="1" x14ac:dyDescent="0.3">
      <c r="A48" s="19" t="s">
        <v>31</v>
      </c>
      <c r="B48" s="17" t="s">
        <v>88</v>
      </c>
      <c r="C48" s="17">
        <v>15000</v>
      </c>
      <c r="D48" s="17">
        <v>0</v>
      </c>
      <c r="E48" s="17">
        <v>0</v>
      </c>
      <c r="F48" s="17">
        <v>60000</v>
      </c>
      <c r="G48" s="17"/>
      <c r="H48" s="17">
        <v>15000</v>
      </c>
      <c r="I48" s="17">
        <v>20139</v>
      </c>
      <c r="J48" s="17">
        <v>0</v>
      </c>
      <c r="K48" s="17">
        <v>60000</v>
      </c>
      <c r="L48" s="17">
        <f t="shared" si="9"/>
        <v>95139</v>
      </c>
      <c r="M48" s="17"/>
    </row>
    <row r="49" spans="1:13" ht="102.75" customHeight="1" thickBot="1" x14ac:dyDescent="0.3">
      <c r="A49" s="19" t="s">
        <v>89</v>
      </c>
      <c r="B49" s="17" t="s">
        <v>90</v>
      </c>
      <c r="C49" s="17">
        <v>3500</v>
      </c>
      <c r="D49" s="17"/>
      <c r="E49" s="17">
        <v>3220</v>
      </c>
      <c r="F49" s="17">
        <v>0</v>
      </c>
      <c r="G49" s="17"/>
      <c r="H49" s="17">
        <v>3500</v>
      </c>
      <c r="I49" s="17">
        <v>0</v>
      </c>
      <c r="J49" s="17">
        <v>2288</v>
      </c>
      <c r="K49" s="17">
        <v>0</v>
      </c>
      <c r="L49" s="17">
        <f t="shared" si="9"/>
        <v>5788</v>
      </c>
      <c r="M49" s="17"/>
    </row>
    <row r="50" spans="1:13" ht="82.5" customHeight="1" thickBot="1" x14ac:dyDescent="0.3">
      <c r="A50" s="16" t="s">
        <v>91</v>
      </c>
      <c r="B50" s="17" t="s">
        <v>92</v>
      </c>
      <c r="C50" s="17">
        <f>C51+C52+C53</f>
        <v>30000</v>
      </c>
      <c r="D50" s="17">
        <f t="shared" ref="D50:F50" si="14">D51+D52+D53</f>
        <v>244000</v>
      </c>
      <c r="E50" s="17">
        <f t="shared" si="14"/>
        <v>18400</v>
      </c>
      <c r="F50" s="17">
        <f t="shared" si="14"/>
        <v>84000</v>
      </c>
      <c r="G50" s="18">
        <f>0.4486</f>
        <v>0.4486</v>
      </c>
      <c r="H50" s="17">
        <f>H51+H52+H53</f>
        <v>30000</v>
      </c>
      <c r="I50" s="17">
        <f t="shared" ref="I50:K50" si="15">I51+I52+I53</f>
        <v>249889</v>
      </c>
      <c r="J50" s="17">
        <f t="shared" si="15"/>
        <v>36113</v>
      </c>
      <c r="K50" s="17">
        <f t="shared" si="15"/>
        <v>84000</v>
      </c>
      <c r="L50" s="17">
        <f t="shared" si="9"/>
        <v>400002</v>
      </c>
      <c r="M50" s="17"/>
    </row>
    <row r="51" spans="1:13" ht="82.5" customHeight="1" thickBot="1" x14ac:dyDescent="0.3">
      <c r="A51" s="19" t="s">
        <v>93</v>
      </c>
      <c r="B51" s="17" t="s">
        <v>94</v>
      </c>
      <c r="C51" s="17">
        <v>28000</v>
      </c>
      <c r="D51" s="17">
        <v>95000</v>
      </c>
      <c r="E51" s="17">
        <v>18400</v>
      </c>
      <c r="F51" s="17">
        <v>30000</v>
      </c>
      <c r="G51" s="17"/>
      <c r="H51" s="17">
        <v>28000</v>
      </c>
      <c r="I51" s="17">
        <v>94730</v>
      </c>
      <c r="J51" s="17">
        <v>36113</v>
      </c>
      <c r="K51" s="17">
        <v>30000</v>
      </c>
      <c r="L51" s="17">
        <f t="shared" si="9"/>
        <v>188843</v>
      </c>
      <c r="M51" s="17"/>
    </row>
    <row r="52" spans="1:13" ht="198.75" customHeight="1" thickBot="1" x14ac:dyDescent="0.3">
      <c r="A52" s="19" t="s">
        <v>95</v>
      </c>
      <c r="B52" s="17" t="s">
        <v>96</v>
      </c>
      <c r="C52" s="17">
        <v>0</v>
      </c>
      <c r="D52" s="17">
        <v>149000</v>
      </c>
      <c r="E52" s="17">
        <v>0</v>
      </c>
      <c r="F52" s="17">
        <v>31000</v>
      </c>
      <c r="G52" s="17"/>
      <c r="H52" s="17">
        <v>0</v>
      </c>
      <c r="I52" s="17">
        <v>155159</v>
      </c>
      <c r="J52" s="17">
        <v>0</v>
      </c>
      <c r="K52" s="17">
        <v>31000</v>
      </c>
      <c r="L52" s="17">
        <f t="shared" si="9"/>
        <v>186159</v>
      </c>
      <c r="M52" s="17"/>
    </row>
    <row r="53" spans="1:13" ht="57.75" customHeight="1" thickBot="1" x14ac:dyDescent="0.3">
      <c r="A53" s="19" t="s">
        <v>97</v>
      </c>
      <c r="B53" s="17" t="s">
        <v>98</v>
      </c>
      <c r="C53" s="17">
        <v>2000</v>
      </c>
      <c r="D53" s="17">
        <v>0</v>
      </c>
      <c r="E53" s="17">
        <v>0</v>
      </c>
      <c r="F53" s="17">
        <v>23000</v>
      </c>
      <c r="G53" s="17"/>
      <c r="H53" s="17">
        <v>2000</v>
      </c>
      <c r="I53" s="17">
        <v>0</v>
      </c>
      <c r="J53" s="17">
        <v>0</v>
      </c>
      <c r="K53" s="17">
        <v>23000</v>
      </c>
      <c r="L53" s="17">
        <f t="shared" si="9"/>
        <v>25000</v>
      </c>
      <c r="M53" s="17"/>
    </row>
    <row r="54" spans="1:13" ht="28.5" customHeight="1" thickBot="1" x14ac:dyDescent="0.3">
      <c r="A54" s="86" t="s">
        <v>99</v>
      </c>
      <c r="B54" s="88"/>
      <c r="C54" s="55">
        <f>C50+C45+C39+C37</f>
        <v>259000</v>
      </c>
      <c r="D54" s="55">
        <f t="shared" ref="D54:M54" si="16">D50+D45+D39+D37</f>
        <v>432000</v>
      </c>
      <c r="E54" s="55">
        <f t="shared" si="16"/>
        <v>189570</v>
      </c>
      <c r="F54" s="55">
        <f t="shared" si="16"/>
        <v>416500</v>
      </c>
      <c r="G54" s="65">
        <f>(G50+G45+G39+G37)/4</f>
        <v>0.40152499999999997</v>
      </c>
      <c r="H54" s="55">
        <f t="shared" si="16"/>
        <v>259000</v>
      </c>
      <c r="I54" s="55">
        <f t="shared" si="16"/>
        <v>448006</v>
      </c>
      <c r="J54" s="55">
        <f t="shared" si="16"/>
        <v>209347</v>
      </c>
      <c r="K54" s="55">
        <f t="shared" si="16"/>
        <v>416500</v>
      </c>
      <c r="L54" s="55">
        <f t="shared" si="16"/>
        <v>1332853</v>
      </c>
      <c r="M54" s="55">
        <f t="shared" si="16"/>
        <v>0</v>
      </c>
    </row>
    <row r="55" spans="1:13" ht="33" customHeight="1" thickBot="1" x14ac:dyDescent="0.3">
      <c r="A55" s="84" t="s">
        <v>32</v>
      </c>
      <c r="B55" s="85"/>
      <c r="C55" s="63">
        <v>35726</v>
      </c>
      <c r="D55" s="63">
        <v>68653.649999999994</v>
      </c>
      <c r="E55" s="63">
        <v>122699</v>
      </c>
      <c r="F55" s="63">
        <v>198700</v>
      </c>
      <c r="G55" s="55"/>
      <c r="H55" s="57">
        <v>35726</v>
      </c>
      <c r="I55" s="57">
        <v>60223</v>
      </c>
      <c r="J55" s="57">
        <v>255210</v>
      </c>
      <c r="K55" s="57">
        <v>198700</v>
      </c>
      <c r="L55" s="20">
        <f>H55+I55+J55+K55</f>
        <v>549859</v>
      </c>
      <c r="M55" s="58"/>
    </row>
    <row r="56" spans="1:13" ht="32.25" customHeight="1" thickBot="1" x14ac:dyDescent="0.3">
      <c r="A56" s="84" t="s">
        <v>33</v>
      </c>
      <c r="B56" s="85"/>
      <c r="C56" s="63">
        <v>121802</v>
      </c>
      <c r="D56" s="63">
        <v>34346</v>
      </c>
      <c r="E56" s="63">
        <v>50324</v>
      </c>
      <c r="F56" s="63">
        <v>32100</v>
      </c>
      <c r="G56" s="60"/>
      <c r="H56" s="61">
        <v>121802</v>
      </c>
      <c r="I56" s="61">
        <v>27151</v>
      </c>
      <c r="J56" s="61">
        <v>55871</v>
      </c>
      <c r="K56" s="61">
        <v>31565</v>
      </c>
      <c r="L56" s="20">
        <f t="shared" ref="L56:L57" si="17">H56+I56+J56+K56</f>
        <v>236389</v>
      </c>
      <c r="M56" s="58"/>
    </row>
    <row r="57" spans="1:13" ht="19.5" customHeight="1" thickBot="1" x14ac:dyDescent="0.3">
      <c r="A57" s="84" t="s">
        <v>34</v>
      </c>
      <c r="B57" s="85"/>
      <c r="C57" s="62">
        <v>32472</v>
      </c>
      <c r="D57" s="62">
        <v>35000</v>
      </c>
      <c r="E57" s="62">
        <v>41152</v>
      </c>
      <c r="F57" s="62">
        <v>25000</v>
      </c>
      <c r="G57" s="59"/>
      <c r="H57" s="61">
        <v>20000</v>
      </c>
      <c r="I57" s="61">
        <v>0</v>
      </c>
      <c r="J57" s="61">
        <v>40152</v>
      </c>
      <c r="K57" s="61">
        <v>25000</v>
      </c>
      <c r="L57" s="20">
        <f t="shared" si="17"/>
        <v>85152</v>
      </c>
      <c r="M57" s="20"/>
    </row>
    <row r="58" spans="1:13" ht="26.25" customHeight="1" thickBot="1" x14ac:dyDescent="0.3">
      <c r="A58" s="89" t="s">
        <v>100</v>
      </c>
      <c r="B58" s="90"/>
      <c r="C58" s="55">
        <f>C57+C56+C55+C54+C35</f>
        <v>749000</v>
      </c>
      <c r="D58" s="55">
        <f t="shared" ref="D58:M58" si="18">D57+D56+D55+D54+D35</f>
        <v>652499.65</v>
      </c>
      <c r="E58" s="55">
        <f t="shared" si="18"/>
        <v>717034</v>
      </c>
      <c r="F58" s="55">
        <f t="shared" si="18"/>
        <v>684800</v>
      </c>
      <c r="G58" s="65">
        <v>0.3</v>
      </c>
      <c r="H58" s="55">
        <f t="shared" si="18"/>
        <v>716528</v>
      </c>
      <c r="I58" s="55">
        <f t="shared" si="18"/>
        <v>632464</v>
      </c>
      <c r="J58" s="55">
        <f>J57+J56+J55+J54+J35</f>
        <v>709883</v>
      </c>
      <c r="K58" s="55">
        <f t="shared" si="18"/>
        <v>684265</v>
      </c>
      <c r="L58" s="55">
        <f>H58+I58+J58+K58</f>
        <v>2743140</v>
      </c>
      <c r="M58" s="55">
        <f t="shared" si="18"/>
        <v>0</v>
      </c>
    </row>
    <row r="59" spans="1:13" ht="27.75" customHeight="1" thickBot="1" x14ac:dyDescent="0.3">
      <c r="A59" s="84" t="s">
        <v>35</v>
      </c>
      <c r="B59" s="85"/>
      <c r="C59" s="56">
        <f>C58*7/100</f>
        <v>52430</v>
      </c>
      <c r="D59" s="56">
        <f t="shared" ref="D59:M59" si="19">D58*7/100</f>
        <v>45674.9755</v>
      </c>
      <c r="E59" s="56">
        <f t="shared" si="19"/>
        <v>50192.38</v>
      </c>
      <c r="F59" s="56">
        <f t="shared" si="19"/>
        <v>47936</v>
      </c>
      <c r="G59" s="66"/>
      <c r="H59" s="56">
        <f>H58*7/100</f>
        <v>50156.959999999999</v>
      </c>
      <c r="I59" s="56">
        <f>I58*7/100</f>
        <v>44272.480000000003</v>
      </c>
      <c r="J59" s="56">
        <f t="shared" si="19"/>
        <v>49691.81</v>
      </c>
      <c r="K59" s="56">
        <f t="shared" si="19"/>
        <v>47898.55</v>
      </c>
      <c r="L59" s="56">
        <f>L58*7/100</f>
        <v>192019.8</v>
      </c>
      <c r="M59" s="56">
        <f t="shared" si="19"/>
        <v>0</v>
      </c>
    </row>
    <row r="60" spans="1:13" ht="22.5" customHeight="1" thickBot="1" x14ac:dyDescent="0.3">
      <c r="A60" s="86" t="s">
        <v>36</v>
      </c>
      <c r="B60" s="87"/>
      <c r="C60" s="55">
        <f>C59+C58</f>
        <v>801430</v>
      </c>
      <c r="D60" s="55">
        <f t="shared" ref="D60:M60" si="20">D59+D58</f>
        <v>698174.62550000008</v>
      </c>
      <c r="E60" s="55">
        <f t="shared" si="20"/>
        <v>767226.38</v>
      </c>
      <c r="F60" s="55">
        <f t="shared" si="20"/>
        <v>732736</v>
      </c>
      <c r="G60" s="65">
        <v>0.3</v>
      </c>
      <c r="H60" s="55">
        <f t="shared" si="20"/>
        <v>766684.96</v>
      </c>
      <c r="I60" s="55">
        <f t="shared" si="20"/>
        <v>676736.48</v>
      </c>
      <c r="J60" s="55">
        <f t="shared" si="20"/>
        <v>759574.81</v>
      </c>
      <c r="K60" s="55">
        <f t="shared" si="20"/>
        <v>732163.55</v>
      </c>
      <c r="L60" s="55">
        <f t="shared" si="20"/>
        <v>2935159.8</v>
      </c>
      <c r="M60" s="55">
        <f t="shared" si="20"/>
        <v>0</v>
      </c>
    </row>
    <row r="61" spans="1:13" ht="15.75" thickBot="1" x14ac:dyDescent="0.3"/>
    <row r="62" spans="1:13" x14ac:dyDescent="0.25">
      <c r="A62" s="21" t="s">
        <v>101</v>
      </c>
      <c r="B62" s="22" t="s">
        <v>120</v>
      </c>
      <c r="C62" s="23"/>
      <c r="D62" s="24"/>
      <c r="J62" s="25"/>
      <c r="K62" s="26"/>
      <c r="L62" s="26"/>
    </row>
    <row r="63" spans="1:13" x14ac:dyDescent="0.25">
      <c r="A63" s="27"/>
      <c r="B63" s="28" t="s">
        <v>102</v>
      </c>
      <c r="C63" s="29">
        <f>H60/C60</f>
        <v>0.95664619492656866</v>
      </c>
      <c r="D63" s="30"/>
    </row>
    <row r="64" spans="1:13" x14ac:dyDescent="0.25">
      <c r="A64" s="27"/>
      <c r="B64" s="28" t="s">
        <v>103</v>
      </c>
      <c r="C64" s="29">
        <f>I60/D60</f>
        <v>0.9692940065178578</v>
      </c>
      <c r="D64" s="30"/>
      <c r="F64" s="68"/>
      <c r="J64" s="31"/>
    </row>
    <row r="65" spans="1:4" x14ac:dyDescent="0.25">
      <c r="A65" s="27"/>
      <c r="B65" s="28" t="s">
        <v>104</v>
      </c>
      <c r="C65" s="29">
        <f>J60/E60</f>
        <v>0.9900269722216799</v>
      </c>
      <c r="D65" s="30"/>
    </row>
    <row r="66" spans="1:4" ht="14.25" customHeight="1" x14ac:dyDescent="0.25">
      <c r="A66" s="27"/>
      <c r="B66" s="28" t="s">
        <v>105</v>
      </c>
      <c r="C66" s="29">
        <f>K60/F60</f>
        <v>0.99921875000000004</v>
      </c>
      <c r="D66" s="30"/>
    </row>
    <row r="67" spans="1:4" ht="15.75" thickBot="1" x14ac:dyDescent="0.3">
      <c r="A67" s="32"/>
      <c r="B67" s="69" t="s">
        <v>119</v>
      </c>
      <c r="C67" s="70">
        <f>(C63+C64+C65+C66)/4</f>
        <v>0.9787964809165266</v>
      </c>
      <c r="D67" s="33"/>
    </row>
  </sheetData>
  <mergeCells count="15">
    <mergeCell ref="A59:B59"/>
    <mergeCell ref="A60:B60"/>
    <mergeCell ref="G17:G18"/>
    <mergeCell ref="A55:B55"/>
    <mergeCell ref="A56:B56"/>
    <mergeCell ref="A35:B35"/>
    <mergeCell ref="A36:M36"/>
    <mergeCell ref="A54:B54"/>
    <mergeCell ref="A57:B57"/>
    <mergeCell ref="A58:B58"/>
    <mergeCell ref="A8:M8"/>
    <mergeCell ref="C17:F17"/>
    <mergeCell ref="H17:L17"/>
    <mergeCell ref="M17:M18"/>
    <mergeCell ref="A19:M19"/>
  </mergeCells>
  <pageMargins left="0.7" right="0.7" top="0.75" bottom="0.75" header="0.3" footer="0.3"/>
  <pageSetup scale="58" orientation="landscape" r:id="rId1"/>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1FDE-6608-4479-94BC-9A9A384E1599}">
  <dimension ref="A1:X27"/>
  <sheetViews>
    <sheetView topLeftCell="A22" workbookViewId="0">
      <selection activeCell="J25" sqref="J25:K25"/>
    </sheetView>
  </sheetViews>
  <sheetFormatPr baseColWidth="10" defaultColWidth="9.140625" defaultRowHeight="15" x14ac:dyDescent="0.25"/>
  <cols>
    <col min="1" max="1" width="15.140625" customWidth="1"/>
    <col min="3" max="3" width="10.140625" customWidth="1"/>
    <col min="5" max="6" width="11" customWidth="1"/>
    <col min="7" max="7" width="12.42578125" customWidth="1"/>
    <col min="8" max="8" width="9.42578125" bestFit="1" customWidth="1"/>
    <col min="9" max="9" width="10.85546875" customWidth="1"/>
    <col min="11" max="11" width="10.7109375" customWidth="1"/>
  </cols>
  <sheetData>
    <row r="1" spans="1:24" ht="15" customHeight="1" x14ac:dyDescent="0.25">
      <c r="A1" s="9"/>
      <c r="D1" s="10"/>
      <c r="E1" s="10"/>
      <c r="F1" s="10"/>
      <c r="G1" s="10"/>
      <c r="H1" s="10"/>
      <c r="I1" s="10"/>
      <c r="J1" s="10"/>
      <c r="K1" s="10"/>
      <c r="L1" s="10"/>
      <c r="M1" s="10"/>
      <c r="N1" s="10"/>
      <c r="O1" s="10"/>
      <c r="P1" s="10"/>
      <c r="Q1" s="10"/>
      <c r="R1" s="10"/>
      <c r="S1" s="10"/>
      <c r="T1" s="11"/>
      <c r="U1" s="11"/>
      <c r="V1" s="12"/>
      <c r="W1" s="13"/>
      <c r="X1" s="14"/>
    </row>
    <row r="2" spans="1:24" ht="15" customHeight="1" x14ac:dyDescent="0.25">
      <c r="A2" s="9"/>
      <c r="D2" s="10"/>
      <c r="E2" s="10"/>
      <c r="F2" s="10"/>
      <c r="G2" s="10"/>
      <c r="H2" s="10"/>
      <c r="I2" s="10"/>
      <c r="J2" s="10"/>
      <c r="K2" s="10"/>
      <c r="L2" s="10"/>
      <c r="M2" s="10"/>
      <c r="N2" s="10"/>
      <c r="O2" s="10"/>
      <c r="P2" s="10"/>
      <c r="Q2" s="10"/>
      <c r="R2" s="10"/>
      <c r="S2" s="10"/>
      <c r="T2" s="11"/>
      <c r="U2" s="11"/>
      <c r="V2" s="12"/>
      <c r="W2" s="13"/>
      <c r="X2" s="14"/>
    </row>
    <row r="3" spans="1:24" ht="15" customHeight="1" x14ac:dyDescent="0.25">
      <c r="A3" s="9"/>
      <c r="D3" s="10"/>
      <c r="E3" s="10"/>
      <c r="F3" s="10"/>
      <c r="G3" s="10"/>
      <c r="H3" s="10"/>
      <c r="I3" s="10"/>
      <c r="J3" s="10"/>
      <c r="K3" s="10"/>
      <c r="L3" s="10"/>
      <c r="M3" s="10"/>
      <c r="N3" s="10"/>
      <c r="O3" s="10"/>
      <c r="P3" s="10"/>
      <c r="Q3" s="10"/>
      <c r="R3" s="10"/>
      <c r="S3" s="10"/>
      <c r="T3" s="11"/>
      <c r="U3" s="11"/>
      <c r="V3" s="12"/>
      <c r="W3" s="13"/>
      <c r="X3" s="14"/>
    </row>
    <row r="4" spans="1:24" ht="15" customHeight="1" x14ac:dyDescent="0.25">
      <c r="A4" s="9"/>
      <c r="D4" s="10"/>
      <c r="E4" s="10"/>
      <c r="F4" s="10"/>
      <c r="G4" s="10"/>
      <c r="H4" s="10"/>
      <c r="I4" s="10"/>
      <c r="J4" s="10"/>
      <c r="K4" s="10"/>
      <c r="L4" s="10"/>
      <c r="M4" s="10"/>
      <c r="N4" s="10"/>
      <c r="O4" s="10"/>
      <c r="P4" s="10"/>
      <c r="Q4" s="10"/>
      <c r="R4" s="10"/>
      <c r="S4" s="10"/>
      <c r="T4" s="11"/>
      <c r="U4" s="11"/>
      <c r="V4" s="12"/>
      <c r="W4" s="13"/>
      <c r="X4" s="14"/>
    </row>
    <row r="5" spans="1:24" ht="15" customHeight="1" x14ac:dyDescent="0.25">
      <c r="A5" s="9"/>
      <c r="D5" s="10"/>
      <c r="E5" s="10"/>
      <c r="F5" s="10"/>
      <c r="G5" s="10"/>
      <c r="H5" s="10"/>
      <c r="I5" s="10"/>
      <c r="J5" s="10"/>
      <c r="K5" s="10"/>
      <c r="L5" s="10"/>
      <c r="M5" s="10"/>
      <c r="N5" s="10"/>
      <c r="O5" s="10"/>
      <c r="P5" s="10"/>
      <c r="Q5" s="10"/>
      <c r="R5" s="10"/>
      <c r="S5" s="10"/>
      <c r="T5" s="11"/>
      <c r="U5" s="11"/>
      <c r="V5" s="12"/>
      <c r="W5" s="13"/>
      <c r="X5" s="14"/>
    </row>
    <row r="6" spans="1:24" ht="15" customHeight="1" x14ac:dyDescent="0.25">
      <c r="A6" s="9"/>
      <c r="D6" s="10"/>
      <c r="E6" s="10"/>
      <c r="F6" s="10"/>
      <c r="G6" s="10"/>
      <c r="H6" s="10"/>
      <c r="I6" s="10"/>
      <c r="J6" s="10"/>
      <c r="K6" s="10"/>
      <c r="L6" s="10"/>
      <c r="M6" s="10"/>
      <c r="N6" s="10"/>
      <c r="O6" s="10"/>
      <c r="P6" s="10"/>
      <c r="Q6" s="10"/>
      <c r="R6" s="10"/>
      <c r="S6" s="10"/>
      <c r="T6" s="11"/>
      <c r="U6" s="11"/>
      <c r="V6" s="12"/>
      <c r="W6" s="13"/>
      <c r="X6" s="14"/>
    </row>
    <row r="7" spans="1:24" ht="15" customHeight="1" x14ac:dyDescent="0.25">
      <c r="A7" s="9"/>
      <c r="D7" s="10"/>
      <c r="E7" s="10"/>
      <c r="F7" s="10"/>
      <c r="G7" s="10"/>
      <c r="H7" s="10"/>
      <c r="I7" s="10"/>
      <c r="J7" s="10"/>
      <c r="K7" s="10"/>
      <c r="L7" s="10"/>
      <c r="M7" s="10"/>
      <c r="N7" s="10"/>
      <c r="O7" s="10"/>
      <c r="P7" s="10"/>
      <c r="Q7" s="10"/>
      <c r="R7" s="10"/>
      <c r="S7" s="10"/>
      <c r="T7" s="11"/>
      <c r="U7" s="11"/>
      <c r="V7" s="12"/>
      <c r="W7" s="13"/>
      <c r="X7" s="14"/>
    </row>
    <row r="8" spans="1:24" ht="43.5" customHeight="1" x14ac:dyDescent="0.25">
      <c r="A8" s="71" t="s">
        <v>51</v>
      </c>
      <c r="B8" s="71"/>
      <c r="C8" s="71"/>
      <c r="D8" s="71"/>
      <c r="E8" s="71"/>
      <c r="F8" s="71"/>
      <c r="G8" s="71"/>
      <c r="H8" s="71"/>
      <c r="I8" s="71"/>
      <c r="J8" s="71"/>
      <c r="K8" s="71"/>
      <c r="L8" s="71"/>
      <c r="M8" s="71"/>
      <c r="N8" s="71"/>
      <c r="O8" s="71"/>
      <c r="P8" s="71"/>
      <c r="Q8" s="71"/>
      <c r="R8" s="15"/>
      <c r="S8" s="15"/>
      <c r="T8" s="15"/>
      <c r="U8" s="15"/>
      <c r="V8" s="15"/>
      <c r="W8" s="15"/>
      <c r="X8" s="15"/>
    </row>
    <row r="10" spans="1:24" ht="15.75" x14ac:dyDescent="0.25">
      <c r="A10" s="1" t="s">
        <v>37</v>
      </c>
      <c r="B10" s="1"/>
      <c r="C10" s="1"/>
      <c r="D10" s="1"/>
    </row>
    <row r="11" spans="1:24" x14ac:dyDescent="0.25">
      <c r="A11" s="3"/>
      <c r="B11" s="3"/>
      <c r="C11" s="3"/>
      <c r="D11" s="3"/>
    </row>
    <row r="12" spans="1:24" x14ac:dyDescent="0.25">
      <c r="A12" s="3" t="s">
        <v>38</v>
      </c>
      <c r="B12" s="3"/>
      <c r="C12" s="3"/>
      <c r="D12" s="3"/>
    </row>
    <row r="13" spans="1:24" ht="15.75" thickBot="1" x14ac:dyDescent="0.3"/>
    <row r="14" spans="1:24" ht="39.75" customHeight="1" thickBot="1" x14ac:dyDescent="0.3">
      <c r="A14" s="96" t="s">
        <v>0</v>
      </c>
      <c r="B14" s="98" t="s">
        <v>106</v>
      </c>
      <c r="C14" s="99"/>
      <c r="D14" s="100" t="s">
        <v>111</v>
      </c>
      <c r="E14" s="101"/>
      <c r="F14" s="102" t="s">
        <v>107</v>
      </c>
      <c r="G14" s="103"/>
      <c r="H14" s="98" t="s">
        <v>108</v>
      </c>
      <c r="I14" s="99"/>
      <c r="J14" s="98" t="s">
        <v>109</v>
      </c>
      <c r="K14" s="99"/>
      <c r="L14" s="34" t="s">
        <v>4</v>
      </c>
      <c r="M14" s="34" t="s">
        <v>5</v>
      </c>
      <c r="N14" s="91" t="s">
        <v>39</v>
      </c>
      <c r="O14" s="93" t="s">
        <v>110</v>
      </c>
      <c r="P14" s="94"/>
      <c r="Q14" s="95"/>
    </row>
    <row r="15" spans="1:24" ht="26.25" thickBot="1" x14ac:dyDescent="0.3">
      <c r="A15" s="97"/>
      <c r="B15" s="2" t="s">
        <v>2</v>
      </c>
      <c r="C15" s="2" t="s">
        <v>3</v>
      </c>
      <c r="D15" s="35" t="s">
        <v>2</v>
      </c>
      <c r="E15" s="35" t="s">
        <v>3</v>
      </c>
      <c r="F15" s="36" t="s">
        <v>2</v>
      </c>
      <c r="G15" s="36" t="s">
        <v>3</v>
      </c>
      <c r="H15" s="2" t="s">
        <v>2</v>
      </c>
      <c r="I15" s="2" t="s">
        <v>3</v>
      </c>
      <c r="J15" s="2" t="s">
        <v>2</v>
      </c>
      <c r="K15" s="2" t="s">
        <v>3</v>
      </c>
      <c r="L15" s="35"/>
      <c r="M15" s="35"/>
      <c r="N15" s="92"/>
      <c r="O15" s="37" t="s">
        <v>4</v>
      </c>
      <c r="P15" s="38" t="s">
        <v>5</v>
      </c>
      <c r="Q15" s="39" t="s">
        <v>39</v>
      </c>
    </row>
    <row r="16" spans="1:24" ht="27.6" customHeight="1" thickBot="1" x14ac:dyDescent="0.3">
      <c r="A16" s="6" t="s">
        <v>40</v>
      </c>
      <c r="B16" s="40">
        <f>180000*70/100</f>
        <v>126000</v>
      </c>
      <c r="C16" s="40">
        <f>180000-B16</f>
        <v>54000</v>
      </c>
      <c r="D16" s="41">
        <f>63000*70/100</f>
        <v>44100</v>
      </c>
      <c r="E16" s="41">
        <f>63000-D16</f>
        <v>18900</v>
      </c>
      <c r="F16" s="42">
        <f>60500*70/100</f>
        <v>42350</v>
      </c>
      <c r="G16" s="42">
        <f>60500*30/100</f>
        <v>18150</v>
      </c>
      <c r="H16" s="40">
        <f>216625*70/100</f>
        <v>151637.5</v>
      </c>
      <c r="I16" s="40">
        <f>216625-H16</f>
        <v>64987.5</v>
      </c>
      <c r="J16" s="40">
        <f>167300*70/100</f>
        <v>117110</v>
      </c>
      <c r="K16" s="40">
        <f>167300-117110</f>
        <v>50190</v>
      </c>
      <c r="L16" s="41">
        <f>B16+D16+H16+J16</f>
        <v>438847.5</v>
      </c>
      <c r="M16" s="41">
        <f>C16+E16+I16+K16</f>
        <v>188077.5</v>
      </c>
      <c r="N16" s="41">
        <f t="shared" ref="N16:N22" si="0">L16+M16</f>
        <v>626925</v>
      </c>
      <c r="O16" s="42">
        <f t="shared" ref="O16:P22" si="1">B16+F16+H16+J16</f>
        <v>437097.5</v>
      </c>
      <c r="P16" s="42">
        <f t="shared" si="1"/>
        <v>187327.5</v>
      </c>
      <c r="Q16" s="42">
        <f t="shared" ref="Q16:Q22" si="2">O16+P16</f>
        <v>624425</v>
      </c>
    </row>
    <row r="17" spans="1:17" ht="46.15" customHeight="1" thickBot="1" x14ac:dyDescent="0.3">
      <c r="A17" s="7" t="s">
        <v>41</v>
      </c>
      <c r="B17" s="40">
        <f>20000*70/100</f>
        <v>14000</v>
      </c>
      <c r="C17" s="40">
        <f>20000-B17</f>
        <v>6000</v>
      </c>
      <c r="D17" s="43">
        <f>53500*70/100</f>
        <v>37450</v>
      </c>
      <c r="E17" s="41">
        <f>53500-D17</f>
        <v>16050</v>
      </c>
      <c r="F17" s="42">
        <f>40500*70/100</f>
        <v>28350</v>
      </c>
      <c r="G17" s="42">
        <f>40500*30/100</f>
        <v>12150</v>
      </c>
      <c r="H17" s="40">
        <f>24100*70/100</f>
        <v>16870</v>
      </c>
      <c r="I17" s="40">
        <f>24100-H17</f>
        <v>7230</v>
      </c>
      <c r="J17" s="40">
        <f>50000*70/100</f>
        <v>35000</v>
      </c>
      <c r="K17" s="40">
        <f>50000-J17</f>
        <v>15000</v>
      </c>
      <c r="L17" s="41">
        <f t="shared" ref="L17:M22" si="3">B17+D17+H17+J17</f>
        <v>103320</v>
      </c>
      <c r="M17" s="41">
        <f t="shared" si="3"/>
        <v>44280</v>
      </c>
      <c r="N17" s="41">
        <f t="shared" si="0"/>
        <v>147600</v>
      </c>
      <c r="O17" s="42">
        <f t="shared" si="1"/>
        <v>94220</v>
      </c>
      <c r="P17" s="42">
        <f t="shared" si="1"/>
        <v>40380</v>
      </c>
      <c r="Q17" s="42">
        <f t="shared" si="2"/>
        <v>134600</v>
      </c>
    </row>
    <row r="18" spans="1:17" ht="70.900000000000006" customHeight="1" thickBot="1" x14ac:dyDescent="0.3">
      <c r="A18" s="7" t="s">
        <v>42</v>
      </c>
      <c r="B18" s="40">
        <f>60000*70/100</f>
        <v>42000</v>
      </c>
      <c r="C18" s="40">
        <f>60000-B18</f>
        <v>18000</v>
      </c>
      <c r="D18" s="41">
        <f>72500*70/100</f>
        <v>50750</v>
      </c>
      <c r="E18" s="41">
        <f>72500-D18</f>
        <v>21750</v>
      </c>
      <c r="F18" s="42">
        <f>33000*70/100</f>
        <v>23100</v>
      </c>
      <c r="G18" s="42">
        <f>33000*30/100</f>
        <v>9900</v>
      </c>
      <c r="H18" s="40">
        <v>0</v>
      </c>
      <c r="I18" s="40">
        <v>0</v>
      </c>
      <c r="J18" s="40">
        <v>0</v>
      </c>
      <c r="K18" s="40">
        <v>0</v>
      </c>
      <c r="L18" s="41">
        <f t="shared" si="3"/>
        <v>92750</v>
      </c>
      <c r="M18" s="41">
        <f t="shared" si="3"/>
        <v>39750</v>
      </c>
      <c r="N18" s="41">
        <f t="shared" si="0"/>
        <v>132500</v>
      </c>
      <c r="O18" s="42">
        <f t="shared" si="1"/>
        <v>65100</v>
      </c>
      <c r="P18" s="42">
        <f t="shared" si="1"/>
        <v>27900</v>
      </c>
      <c r="Q18" s="42">
        <f t="shared" si="2"/>
        <v>93000</v>
      </c>
    </row>
    <row r="19" spans="1:17" ht="28.15" customHeight="1" thickBot="1" x14ac:dyDescent="0.3">
      <c r="A19" s="7" t="s">
        <v>43</v>
      </c>
      <c r="B19" s="40">
        <f>100000*70/100</f>
        <v>70000</v>
      </c>
      <c r="C19" s="40">
        <f>100000-B19</f>
        <v>30000</v>
      </c>
      <c r="D19" s="41">
        <f>209000*70/100</f>
        <v>146300</v>
      </c>
      <c r="E19" s="41">
        <f>209000-D19</f>
        <v>62700</v>
      </c>
      <c r="F19" s="42">
        <f>110000*70/100</f>
        <v>77000</v>
      </c>
      <c r="G19" s="42">
        <f>110000*30/100</f>
        <v>33000</v>
      </c>
      <c r="H19" s="40">
        <f>122500*70/100</f>
        <v>85750</v>
      </c>
      <c r="I19" s="40">
        <f>122500-H19</f>
        <v>36750</v>
      </c>
      <c r="J19" s="40">
        <f>82500*70/100</f>
        <v>57750</v>
      </c>
      <c r="K19" s="40">
        <f>82500-J19</f>
        <v>24750</v>
      </c>
      <c r="L19" s="41">
        <f t="shared" si="3"/>
        <v>359800</v>
      </c>
      <c r="M19" s="41">
        <f t="shared" si="3"/>
        <v>154200</v>
      </c>
      <c r="N19" s="41">
        <f t="shared" si="0"/>
        <v>514000</v>
      </c>
      <c r="O19" s="42">
        <f t="shared" si="1"/>
        <v>290500</v>
      </c>
      <c r="P19" s="42">
        <f t="shared" si="1"/>
        <v>124500</v>
      </c>
      <c r="Q19" s="42">
        <f t="shared" si="2"/>
        <v>415000</v>
      </c>
    </row>
    <row r="20" spans="1:17" ht="30" customHeight="1" thickBot="1" x14ac:dyDescent="0.3">
      <c r="A20" s="7" t="s">
        <v>44</v>
      </c>
      <c r="B20" s="40">
        <f>60000*70/100</f>
        <v>42000</v>
      </c>
      <c r="C20" s="40">
        <f>60000-B20</f>
        <v>18000</v>
      </c>
      <c r="D20" s="41">
        <f>0</f>
        <v>0</v>
      </c>
      <c r="E20" s="41">
        <v>0</v>
      </c>
      <c r="F20" s="42">
        <f>8500*70/100</f>
        <v>5950</v>
      </c>
      <c r="G20" s="42">
        <f>8500*30/100</f>
        <v>2550</v>
      </c>
      <c r="H20" s="40">
        <f>71500*70/100</f>
        <v>50050</v>
      </c>
      <c r="I20" s="40">
        <f>71500-H20</f>
        <v>21450</v>
      </c>
      <c r="J20" s="40">
        <f>51500*70/100</f>
        <v>36050</v>
      </c>
      <c r="K20" s="40">
        <f>51500-J20</f>
        <v>15450</v>
      </c>
      <c r="L20" s="41">
        <f t="shared" si="3"/>
        <v>128100</v>
      </c>
      <c r="M20" s="41">
        <f t="shared" si="3"/>
        <v>54900</v>
      </c>
      <c r="N20" s="41">
        <f t="shared" si="0"/>
        <v>183000</v>
      </c>
      <c r="O20" s="42">
        <f t="shared" si="1"/>
        <v>134050</v>
      </c>
      <c r="P20" s="42">
        <f t="shared" si="1"/>
        <v>57450</v>
      </c>
      <c r="Q20" s="42">
        <f t="shared" si="2"/>
        <v>191500</v>
      </c>
    </row>
    <row r="21" spans="1:17" ht="43.9" customHeight="1" thickBot="1" x14ac:dyDescent="0.3">
      <c r="A21" s="7" t="s">
        <v>45</v>
      </c>
      <c r="B21" s="40">
        <f>309000*70/100</f>
        <v>216300</v>
      </c>
      <c r="C21" s="40">
        <f>309000-B21</f>
        <v>92700</v>
      </c>
      <c r="D21" s="41">
        <f>59000*70/100</f>
        <v>41300</v>
      </c>
      <c r="E21" s="41">
        <f>59000-D21</f>
        <v>17700</v>
      </c>
      <c r="F21" s="42">
        <f>386500*70/100</f>
        <v>270550</v>
      </c>
      <c r="G21" s="42">
        <f>386500*30/100</f>
        <v>115950</v>
      </c>
      <c r="H21" s="40">
        <f>175000*70/100</f>
        <v>122500</v>
      </c>
      <c r="I21" s="40">
        <f>175000-H21</f>
        <v>52500</v>
      </c>
      <c r="J21" s="40">
        <f>310000*70/100</f>
        <v>217000</v>
      </c>
      <c r="K21" s="40">
        <f>310000-J21</f>
        <v>93000</v>
      </c>
      <c r="L21" s="41">
        <f t="shared" si="3"/>
        <v>597100</v>
      </c>
      <c r="M21" s="41">
        <f t="shared" si="3"/>
        <v>255900</v>
      </c>
      <c r="N21" s="41">
        <f t="shared" si="0"/>
        <v>853000</v>
      </c>
      <c r="O21" s="42">
        <f t="shared" si="1"/>
        <v>826350</v>
      </c>
      <c r="P21" s="42">
        <f t="shared" si="1"/>
        <v>354150</v>
      </c>
      <c r="Q21" s="42">
        <f t="shared" si="2"/>
        <v>1180500</v>
      </c>
    </row>
    <row r="22" spans="1:17" ht="53.45" customHeight="1" thickBot="1" x14ac:dyDescent="0.3">
      <c r="A22" s="7" t="s">
        <v>46</v>
      </c>
      <c r="B22" s="40">
        <f>20000*70/100</f>
        <v>14000</v>
      </c>
      <c r="C22" s="40">
        <f>20000-B22</f>
        <v>6000</v>
      </c>
      <c r="D22" s="41">
        <f>195500*70/100</f>
        <v>136850</v>
      </c>
      <c r="E22" s="41">
        <f>195500-D22</f>
        <v>58650</v>
      </c>
      <c r="F22" s="42">
        <f>13500*70/100</f>
        <v>9450</v>
      </c>
      <c r="G22" s="42">
        <f>13500*30/100</f>
        <v>4050</v>
      </c>
      <c r="H22" s="40">
        <f>107309*70/100</f>
        <v>75116.3</v>
      </c>
      <c r="I22" s="40">
        <f>107309-H22</f>
        <v>32192.699999999997</v>
      </c>
      <c r="J22" s="40">
        <f>23500*70/100</f>
        <v>16450</v>
      </c>
      <c r="K22" s="40">
        <f>23500-J22</f>
        <v>7050</v>
      </c>
      <c r="L22" s="41">
        <f t="shared" si="3"/>
        <v>242416.3</v>
      </c>
      <c r="M22" s="41">
        <f t="shared" si="3"/>
        <v>103892.7</v>
      </c>
      <c r="N22" s="41">
        <f t="shared" si="0"/>
        <v>346309</v>
      </c>
      <c r="O22" s="42">
        <f t="shared" si="1"/>
        <v>115016.3</v>
      </c>
      <c r="P22" s="42">
        <f t="shared" si="1"/>
        <v>49292.7</v>
      </c>
      <c r="Q22" s="42">
        <f t="shared" si="2"/>
        <v>164309</v>
      </c>
    </row>
    <row r="23" spans="1:17" ht="18" customHeight="1" thickBot="1" x14ac:dyDescent="0.3">
      <c r="A23" s="8" t="s">
        <v>47</v>
      </c>
      <c r="B23" s="44">
        <f>SUM(B16:B22)</f>
        <v>524300</v>
      </c>
      <c r="C23" s="44">
        <f t="shared" ref="C23:Q23" si="4">SUM(C16:C22)</f>
        <v>224700</v>
      </c>
      <c r="D23" s="41">
        <f t="shared" si="4"/>
        <v>456750</v>
      </c>
      <c r="E23" s="41">
        <f>SUM(E16:E22)</f>
        <v>195750</v>
      </c>
      <c r="F23" s="45">
        <f t="shared" ref="F23:G23" si="5">SUM(F16:F22)</f>
        <v>456750</v>
      </c>
      <c r="G23" s="45">
        <f t="shared" si="5"/>
        <v>195750</v>
      </c>
      <c r="H23" s="44">
        <f t="shared" si="4"/>
        <v>501923.8</v>
      </c>
      <c r="I23" s="44">
        <f t="shared" si="4"/>
        <v>215110.2</v>
      </c>
      <c r="J23" s="44">
        <f t="shared" si="4"/>
        <v>479360</v>
      </c>
      <c r="K23" s="44">
        <f t="shared" si="4"/>
        <v>205440</v>
      </c>
      <c r="L23" s="41">
        <f t="shared" si="4"/>
        <v>1962333.8</v>
      </c>
      <c r="M23" s="41">
        <f t="shared" si="4"/>
        <v>841000.2</v>
      </c>
      <c r="N23" s="41">
        <f t="shared" si="4"/>
        <v>2803334</v>
      </c>
      <c r="O23" s="45">
        <f t="shared" si="4"/>
        <v>1962333.8</v>
      </c>
      <c r="P23" s="45">
        <f t="shared" si="4"/>
        <v>841000.2</v>
      </c>
      <c r="Q23" s="46">
        <f t="shared" si="4"/>
        <v>2803334</v>
      </c>
    </row>
    <row r="24" spans="1:17" ht="26.45" customHeight="1" thickBot="1" x14ac:dyDescent="0.3">
      <c r="A24" s="7" t="s">
        <v>48</v>
      </c>
      <c r="B24" s="40">
        <f>B23*7/100</f>
        <v>36701</v>
      </c>
      <c r="C24" s="40">
        <f t="shared" ref="C24:Q24" si="6">C23*7/100</f>
        <v>15729</v>
      </c>
      <c r="D24" s="41">
        <f t="shared" si="6"/>
        <v>31972.5</v>
      </c>
      <c r="E24" s="41">
        <f>E23*7/100</f>
        <v>13702.5</v>
      </c>
      <c r="F24" s="45">
        <f t="shared" ref="F24:G24" si="7">F23*7/100</f>
        <v>31972.5</v>
      </c>
      <c r="G24" s="45">
        <f t="shared" si="7"/>
        <v>13702.5</v>
      </c>
      <c r="H24" s="40">
        <f t="shared" si="6"/>
        <v>35134.665999999997</v>
      </c>
      <c r="I24" s="40">
        <f t="shared" si="6"/>
        <v>15057.714000000002</v>
      </c>
      <c r="J24" s="40">
        <f t="shared" si="6"/>
        <v>33555.199999999997</v>
      </c>
      <c r="K24" s="40">
        <f t="shared" si="6"/>
        <v>14380.8</v>
      </c>
      <c r="L24" s="41">
        <f t="shared" si="6"/>
        <v>137363.36600000001</v>
      </c>
      <c r="M24" s="41">
        <f t="shared" si="6"/>
        <v>58870.013999999996</v>
      </c>
      <c r="N24" s="41">
        <f t="shared" si="6"/>
        <v>196233.38</v>
      </c>
      <c r="O24" s="45">
        <f t="shared" si="6"/>
        <v>137363.36600000001</v>
      </c>
      <c r="P24" s="45">
        <f t="shared" si="6"/>
        <v>58870.013999999996</v>
      </c>
      <c r="Q24" s="46">
        <f t="shared" si="6"/>
        <v>196233.38</v>
      </c>
    </row>
    <row r="25" spans="1:17" ht="15.75" thickBot="1" x14ac:dyDescent="0.3">
      <c r="A25" s="8" t="s">
        <v>1</v>
      </c>
      <c r="B25" s="44">
        <f>B23+B24</f>
        <v>561001</v>
      </c>
      <c r="C25" s="44">
        <f t="shared" ref="C25:M25" si="8">C23+C24</f>
        <v>240429</v>
      </c>
      <c r="D25" s="41">
        <f t="shared" si="8"/>
        <v>488722.5</v>
      </c>
      <c r="E25" s="41">
        <f t="shared" si="8"/>
        <v>209452.5</v>
      </c>
      <c r="F25" s="45">
        <f t="shared" si="8"/>
        <v>488722.5</v>
      </c>
      <c r="G25" s="45">
        <f t="shared" si="8"/>
        <v>209452.5</v>
      </c>
      <c r="H25" s="44">
        <f t="shared" si="8"/>
        <v>537058.46600000001</v>
      </c>
      <c r="I25" s="44">
        <f t="shared" si="8"/>
        <v>230167.91400000002</v>
      </c>
      <c r="J25" s="44">
        <f t="shared" si="8"/>
        <v>512915.20000000001</v>
      </c>
      <c r="K25" s="44">
        <f t="shared" si="8"/>
        <v>219820.79999999999</v>
      </c>
      <c r="L25" s="41">
        <f t="shared" si="8"/>
        <v>2099697.1660000002</v>
      </c>
      <c r="M25" s="41">
        <f t="shared" si="8"/>
        <v>899870.21399999992</v>
      </c>
      <c r="N25" s="41">
        <f>N23+N24</f>
        <v>2999567.38</v>
      </c>
      <c r="O25" s="45">
        <f t="shared" ref="O25:P25" si="9">O23+O24</f>
        <v>2099697.1660000002</v>
      </c>
      <c r="P25" s="45">
        <f t="shared" si="9"/>
        <v>899870.21399999992</v>
      </c>
      <c r="Q25" s="46">
        <f>Q23+Q24</f>
        <v>2999567.38</v>
      </c>
    </row>
    <row r="26" spans="1:17" x14ac:dyDescent="0.25">
      <c r="B26" s="31"/>
      <c r="C26" s="31"/>
      <c r="D26" s="31"/>
      <c r="E26" s="31"/>
      <c r="F26" s="31"/>
      <c r="G26" s="31"/>
      <c r="H26" s="31"/>
      <c r="I26" s="31"/>
      <c r="J26" s="31"/>
      <c r="K26" s="31"/>
      <c r="L26" s="31"/>
      <c r="M26" s="31"/>
      <c r="N26" s="47"/>
      <c r="O26" s="31"/>
      <c r="P26" s="31"/>
      <c r="Q26" s="47"/>
    </row>
    <row r="27" spans="1:17" x14ac:dyDescent="0.25">
      <c r="A27" s="48" t="s">
        <v>112</v>
      </c>
    </row>
  </sheetData>
  <mergeCells count="9">
    <mergeCell ref="N14:N15"/>
    <mergeCell ref="O14:Q14"/>
    <mergeCell ref="A8:Q8"/>
    <mergeCell ref="A14:A15"/>
    <mergeCell ref="B14:C14"/>
    <mergeCell ref="D14:E14"/>
    <mergeCell ref="F14:G14"/>
    <mergeCell ref="H14:I14"/>
    <mergeCell ref="J14:K14"/>
  </mergeCells>
  <pageMargins left="0.7" right="0.7"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produit</vt:lpstr>
      <vt:lpstr>Budget par catégorie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Auwimbabazi</cp:lastModifiedBy>
  <cp:lastPrinted>2019-07-26T07:18:04Z</cp:lastPrinted>
  <dcterms:created xsi:type="dcterms:W3CDTF">2017-11-15T21:17:43Z</dcterms:created>
  <dcterms:modified xsi:type="dcterms:W3CDTF">2019-07-31T10:46:29Z</dcterms:modified>
</cp:coreProperties>
</file>