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C Drive\Donor Reports\UNPBF\Final report\"/>
    </mc:Choice>
  </mc:AlternateContent>
  <xr:revisionPtr revIDLastSave="0" documentId="8_{1CE083E3-2A84-4A19-9AA0-2883EC4AB87D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PBF project document " sheetId="1" r:id="rId1"/>
    <sheet name="Budget by UN cost category " sheetId="3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6" i="3" l="1"/>
  <c r="O16" i="3"/>
  <c r="N16" i="3"/>
  <c r="Q16" i="3" s="1"/>
  <c r="P15" i="3"/>
  <c r="O15" i="3"/>
  <c r="Q15" i="3" s="1"/>
  <c r="N15" i="3"/>
  <c r="P14" i="3"/>
  <c r="Q14" i="3" s="1"/>
  <c r="O14" i="3"/>
  <c r="N14" i="3"/>
  <c r="P13" i="3"/>
  <c r="O13" i="3"/>
  <c r="Q13" i="3" s="1"/>
  <c r="N13" i="3"/>
  <c r="P12" i="3"/>
  <c r="Q12" i="3" s="1"/>
  <c r="O12" i="3"/>
  <c r="N12" i="3"/>
  <c r="P11" i="3"/>
  <c r="O11" i="3"/>
  <c r="Q11" i="3" s="1"/>
  <c r="N11" i="3"/>
  <c r="P10" i="3"/>
  <c r="Q10" i="3" s="1"/>
  <c r="O10" i="3"/>
  <c r="N10" i="3"/>
  <c r="P9" i="3"/>
  <c r="O9" i="3"/>
  <c r="Q9" i="3" s="1"/>
  <c r="N9" i="3"/>
  <c r="P8" i="3"/>
  <c r="Q8" i="3" s="1"/>
  <c r="O8" i="3"/>
  <c r="N8" i="3"/>
  <c r="P7" i="3"/>
  <c r="O7" i="3"/>
  <c r="Q7" i="3" s="1"/>
  <c r="N7" i="3"/>
  <c r="H72" i="1" l="1"/>
  <c r="H73" i="1"/>
  <c r="H22" i="1"/>
  <c r="H15" i="1"/>
  <c r="H21" i="1"/>
  <c r="H16" i="1"/>
  <c r="H11" i="1"/>
  <c r="H10" i="1" s="1"/>
  <c r="H71" i="1"/>
  <c r="H32" i="1"/>
  <c r="I34" i="1"/>
  <c r="G74" i="1" l="1"/>
  <c r="G41" i="1"/>
  <c r="G31" i="1"/>
  <c r="G25" i="1"/>
  <c r="G23" i="1"/>
  <c r="D12" i="1" l="1"/>
  <c r="D13" i="1"/>
  <c r="C72" i="1" l="1"/>
  <c r="C76" i="1"/>
  <c r="C75" i="1"/>
  <c r="C74" i="1"/>
  <c r="K72" i="1" l="1"/>
  <c r="K71" i="1"/>
  <c r="J72" i="1"/>
  <c r="J71" i="1"/>
  <c r="E72" i="1"/>
  <c r="I72" i="1"/>
  <c r="I71" i="1"/>
  <c r="I13" i="1"/>
  <c r="I12" i="1"/>
  <c r="F72" i="1" l="1"/>
  <c r="F71" i="1"/>
  <c r="F31" i="1"/>
  <c r="F25" i="1"/>
  <c r="F20" i="1"/>
  <c r="F14" i="1"/>
  <c r="F10" i="1"/>
  <c r="E71" i="1"/>
  <c r="E31" i="1"/>
  <c r="E25" i="1"/>
  <c r="E20" i="1"/>
  <c r="E14" i="1"/>
  <c r="E10" i="1"/>
  <c r="D72" i="1"/>
  <c r="D71" i="1"/>
  <c r="D31" i="1"/>
  <c r="D25" i="1"/>
  <c r="D20" i="1"/>
  <c r="D14" i="1"/>
  <c r="D10" i="1"/>
  <c r="E23" i="1" l="1"/>
  <c r="D41" i="1"/>
  <c r="F41" i="1"/>
  <c r="E41" i="1"/>
  <c r="F23" i="1"/>
  <c r="D23" i="1"/>
  <c r="E74" i="1" l="1"/>
  <c r="E75" i="1" s="1"/>
  <c r="E76" i="1" s="1"/>
  <c r="D74" i="1"/>
  <c r="D75" i="1" s="1"/>
  <c r="D76" i="1" s="1"/>
  <c r="F74" i="1"/>
  <c r="F75" i="1" s="1"/>
  <c r="F76" i="1" s="1"/>
  <c r="J10" i="1"/>
  <c r="I10" i="1"/>
  <c r="K31" i="1" l="1"/>
  <c r="K25" i="1"/>
  <c r="K20" i="1"/>
  <c r="K14" i="1"/>
  <c r="K10" i="1"/>
  <c r="J31" i="1"/>
  <c r="J25" i="1"/>
  <c r="J20" i="1"/>
  <c r="J14" i="1"/>
  <c r="I25" i="1"/>
  <c r="I20" i="1"/>
  <c r="I14" i="1"/>
  <c r="H31" i="1"/>
  <c r="H25" i="1"/>
  <c r="H20" i="1"/>
  <c r="H14" i="1"/>
  <c r="C73" i="1"/>
  <c r="C31" i="1"/>
  <c r="C25" i="1"/>
  <c r="C20" i="1"/>
  <c r="C14" i="1"/>
  <c r="C10" i="1"/>
  <c r="C71" i="1"/>
  <c r="C41" i="1" l="1"/>
  <c r="H23" i="1" l="1"/>
  <c r="C23" i="1"/>
  <c r="H41" i="1"/>
  <c r="J41" i="1"/>
  <c r="H74" i="1" l="1"/>
  <c r="H75" i="1" s="1"/>
  <c r="H76" i="1" s="1"/>
  <c r="K23" i="1"/>
  <c r="K41" i="1"/>
  <c r="J23" i="1"/>
  <c r="J74" i="1" s="1"/>
  <c r="J75" i="1" s="1"/>
  <c r="J76" i="1" s="1"/>
  <c r="I31" i="1"/>
  <c r="K74" i="1" l="1"/>
  <c r="K75" i="1" s="1"/>
  <c r="K76" i="1" s="1"/>
  <c r="I41" i="1"/>
  <c r="I23" i="1"/>
  <c r="I74" i="1" l="1"/>
  <c r="I75" i="1" s="1"/>
  <c r="I76" i="1" s="1"/>
</calcChain>
</file>

<file path=xl/sharedStrings.xml><?xml version="1.0" encoding="utf-8"?>
<sst xmlns="http://schemas.openxmlformats.org/spreadsheetml/2006/main" count="315" uniqueCount="133">
  <si>
    <t>Annex D - PBF project budget</t>
  </si>
  <si>
    <t>Outcome/ Output number</t>
  </si>
  <si>
    <t>Outcome/ output/ activity formulation:</t>
  </si>
  <si>
    <t xml:space="preserve">OUTCOME 1: 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</si>
  <si>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</si>
  <si>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</si>
  <si>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</si>
  <si>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</si>
  <si>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</si>
  <si>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</si>
  <si>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</si>
  <si>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</si>
  <si>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</si>
  <si>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</si>
  <si>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</si>
  <si>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TOTAL $ FOR OUTCOME 1:</t>
  </si>
  <si>
    <t xml:space="preserve">OUTCOME 2: 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</si>
  <si>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</si>
  <si>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</si>
  <si>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</si>
  <si>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</si>
  <si>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</si>
  <si>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</si>
  <si>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</si>
  <si>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</si>
  <si>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Output 2.3:</t>
  </si>
  <si>
    <t>Activity 2.3.1:</t>
  </si>
  <si>
    <t>Activity 2.3.2:</t>
  </si>
  <si>
    <t>Activity 2.3.3:</t>
  </si>
  <si>
    <t>TOTAL $ FOR OUTCOME 2: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</si>
  <si>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</si>
  <si>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</si>
  <si>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</si>
  <si>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</si>
  <si>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</si>
  <si>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</si>
  <si>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</si>
  <si>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</si>
  <si>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</si>
  <si>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</si>
  <si>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</si>
  <si>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</si>
  <si>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</si>
  <si>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TOTAL $ FOR OUTCOME 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</si>
  <si>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</si>
  <si>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</si>
  <si>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</si>
  <si>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</si>
  <si>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</si>
  <si>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</si>
  <si>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</si>
  <si>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</si>
  <si>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</si>
  <si>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</si>
  <si>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</si>
  <si>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</si>
  <si>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</si>
  <si>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</si>
  <si>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</si>
  <si>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</si>
  <si>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</si>
  <si>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</si>
  <si>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</si>
  <si>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</si>
  <si>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TOTAL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</si>
  <si>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</si>
  <si>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</si>
  <si>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</si>
  <si>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</si>
  <si>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</si>
  <si>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</si>
  <si>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</si>
  <si>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</si>
  <si>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</si>
  <si>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</si>
  <si>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</si>
  <si>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</si>
  <si>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</si>
  <si>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</si>
  <si>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</si>
  <si>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</si>
  <si>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</si>
  <si>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</si>
  <si>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 xml:space="preserve">Budget by recipient organization Viluthu in USD </t>
  </si>
  <si>
    <t xml:space="preserve">Budget by recipient organization Search for Common Grounds in USD </t>
  </si>
  <si>
    <t xml:space="preserve">Budget by recipient organization Womens Development Centre in USD </t>
  </si>
  <si>
    <t xml:space="preserve"> - </t>
  </si>
  <si>
    <t>Train the selected facilitators</t>
  </si>
  <si>
    <t>Monthly TJR sessions</t>
  </si>
  <si>
    <t>Design gender equality trainings</t>
  </si>
  <si>
    <t>Gender &amp; disability trainings</t>
  </si>
  <si>
    <t>Capacity assessment of women leaders</t>
  </si>
  <si>
    <t>designing capacity building training modules</t>
  </si>
  <si>
    <t>Capacity building trainings</t>
  </si>
  <si>
    <t>Activity 1.2.4</t>
  </si>
  <si>
    <t>Activity 1.2.5</t>
  </si>
  <si>
    <t>Event planning design workshops</t>
  </si>
  <si>
    <t>exchange events</t>
  </si>
  <si>
    <t>platform launching workshops</t>
  </si>
  <si>
    <t>Experience collection, story sharing workshops</t>
  </si>
  <si>
    <t>workshops to define selecting common issues</t>
  </si>
  <si>
    <t>focused dialogue sessions</t>
  </si>
  <si>
    <t>Inter district workshops</t>
  </si>
  <si>
    <t>Activity 2.1.4</t>
  </si>
  <si>
    <t>Activity 2.1.5</t>
  </si>
  <si>
    <t>monthly platform meetings</t>
  </si>
  <si>
    <t>media engagement training workshop</t>
  </si>
  <si>
    <t>Training &amp; Coaching on community reporting</t>
  </si>
  <si>
    <t>District level advocacy actions</t>
  </si>
  <si>
    <t>National advocacy actions</t>
  </si>
  <si>
    <t>Activity 2.2.4</t>
  </si>
  <si>
    <t>Activity 2.2.5</t>
  </si>
  <si>
    <t>Output 1.1:Local women’s groups of diverse ethnicity, religion and language have increased knowledge and understanding on TJR through regular reflection and learning sessions</t>
  </si>
  <si>
    <t>Level of expenditure/ commitments in USD (to provide at time of project progress reporting): Search for Common Ground</t>
  </si>
  <si>
    <t>Level of expenditure/ commitments in USD (to provide at time of project progress reporting): Viluthu</t>
  </si>
  <si>
    <t>Level of expenditure/ commitments in USD (to provide at time of project progress reporting): Women Development Center</t>
  </si>
  <si>
    <t xml:space="preserve">Budget by recipient organization Humanity &amp; Inclusion in USD </t>
  </si>
  <si>
    <t>Level of expenditure/ commitments in USD (to provide at time of project progress reporting): Humanity &amp; Inclusion</t>
  </si>
  <si>
    <t>Output 1.2:Women leaders of diverse ethnicity, religion, language and social situation are equipped with the skills to engage in advocacy and monitoring on TJR</t>
  </si>
  <si>
    <t>Output 1.3:Women across the dividing lines have increased awareness of shared interests and differences with regards to issues not directly related to TJR</t>
  </si>
  <si>
    <t>Output 2.1:The women's platform has identified common views on the TJR process and mechanisms and defined advocacy and awareness messages</t>
  </si>
  <si>
    <t>Output 2.2:The platform and the women’s networks members engage in joint advocacy, awareness and accountability actions</t>
  </si>
  <si>
    <t>OUTCOME 1: Women, including marginalized women, support a platform for the purpose of influencing the TJR process and mechanisms across the dividing lines.</t>
  </si>
  <si>
    <t>OUTCOME 2: Women, including marginalized women, engage in a collaborative platform to provide common perspectives on TJR valued by relevant TJR stakeholders</t>
  </si>
  <si>
    <t>A1: Reflection and learning sessions design workshop (including training material for session facilitators)</t>
  </si>
  <si>
    <t xml:space="preserve">Amount Recipient  Agency Handicap International </t>
  </si>
  <si>
    <t>Amount Recipient  Agency Search for Common Grants</t>
  </si>
  <si>
    <t>Amount Recipient  Agency Women Development Centre</t>
  </si>
  <si>
    <t>Amount Recipient  Agency Viluthu</t>
  </si>
  <si>
    <t>Tranche 1 (50%)</t>
  </si>
  <si>
    <t>Tranche 2 (40%)</t>
  </si>
  <si>
    <t>Tranche 3 (10%)</t>
  </si>
  <si>
    <t>Total tranche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</si>
</sst>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0" borderId="0" xfId="0" applyFont="1"/>
    <xf numFmtId="164" fontId="7" fillId="0" borderId="7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64" fontId="8" fillId="0" borderId="0" xfId="1" applyNumberFormat="1" applyFont="1" applyFill="1" applyAlignment="1">
      <alignment horizontal="center" vertical="center"/>
    </xf>
    <xf numFmtId="9" fontId="8" fillId="0" borderId="0" xfId="3" applyFont="1" applyFill="1" applyAlignment="1">
      <alignment horizontal="center"/>
    </xf>
    <xf numFmtId="164" fontId="9" fillId="0" borderId="0" xfId="1" applyNumberFormat="1" applyFont="1" applyFill="1" applyAlignment="1">
      <alignment horizontal="center" vertical="center"/>
    </xf>
    <xf numFmtId="43" fontId="9" fillId="0" borderId="0" xfId="1" applyFont="1" applyFill="1"/>
    <xf numFmtId="0" fontId="9" fillId="0" borderId="0" xfId="0" applyFont="1" applyFill="1"/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4" fontId="8" fillId="0" borderId="9" xfId="1" applyNumberFormat="1" applyFont="1" applyFill="1" applyBorder="1" applyAlignment="1">
      <alignment horizontal="center" vertical="center"/>
    </xf>
    <xf numFmtId="43" fontId="9" fillId="0" borderId="9" xfId="1" applyFont="1" applyFill="1" applyBorder="1" applyAlignment="1">
      <alignment horizontal="center"/>
    </xf>
    <xf numFmtId="43" fontId="9" fillId="0" borderId="10" xfId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 vertical="center" wrapText="1"/>
    </xf>
    <xf numFmtId="164" fontId="10" fillId="6" borderId="7" xfId="1" applyNumberFormat="1" applyFont="1" applyFill="1" applyBorder="1" applyAlignment="1">
      <alignment horizontal="center" vertical="center" wrapText="1"/>
    </xf>
    <xf numFmtId="9" fontId="10" fillId="6" borderId="7" xfId="3" applyFont="1" applyFill="1" applyBorder="1" applyAlignment="1">
      <alignment horizontal="center" vertical="center" wrapText="1"/>
    </xf>
    <xf numFmtId="43" fontId="10" fillId="6" borderId="7" xfId="1" applyFont="1" applyFill="1" applyBorder="1" applyAlignment="1">
      <alignment horizontal="center" vertical="center" wrapText="1"/>
    </xf>
    <xf numFmtId="43" fontId="9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7" xfId="0" applyFont="1" applyFill="1" applyBorder="1" applyAlignment="1">
      <alignment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9" fontId="10" fillId="0" borderId="7" xfId="3" applyFont="1" applyFill="1" applyBorder="1" applyAlignment="1">
      <alignment horizontal="center" vertical="center" wrapText="1"/>
    </xf>
    <xf numFmtId="43" fontId="7" fillId="0" borderId="7" xfId="1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/>
    </xf>
    <xf numFmtId="164" fontId="10" fillId="5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43" fontId="10" fillId="0" borderId="7" xfId="1" applyFont="1" applyFill="1" applyBorder="1" applyAlignment="1">
      <alignment vertical="center" wrapText="1"/>
    </xf>
    <xf numFmtId="0" fontId="10" fillId="6" borderId="7" xfId="0" applyFont="1" applyFill="1" applyBorder="1" applyAlignment="1">
      <alignment vertical="center" wrapText="1"/>
    </xf>
    <xf numFmtId="43" fontId="10" fillId="6" borderId="7" xfId="1" applyFont="1" applyFill="1" applyBorder="1" applyAlignment="1">
      <alignment vertical="center" wrapText="1"/>
    </xf>
    <xf numFmtId="164" fontId="9" fillId="0" borderId="0" xfId="1" applyNumberFormat="1" applyFont="1" applyFill="1"/>
    <xf numFmtId="9" fontId="9" fillId="0" borderId="0" xfId="3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2" borderId="1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4" borderId="4" xfId="0" applyNumberFormat="1" applyFont="1" applyFill="1" applyBorder="1" applyAlignment="1">
      <alignment horizontal="right" vertical="center" wrapText="1"/>
    </xf>
    <xf numFmtId="164" fontId="3" fillId="5" borderId="4" xfId="0" applyNumberFormat="1" applyFont="1" applyFill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2" xr:uid="{90EA48A6-85AB-417B-97C3-D405997A416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0"/>
  <sheetViews>
    <sheetView topLeftCell="A5" zoomScale="90" zoomScaleNormal="90" zoomScaleSheetLayoutView="100" workbookViewId="0">
      <pane xSplit="2" ySplit="3" topLeftCell="C8" activePane="bottomRight" state="frozen"/>
      <selection activeCell="A5" sqref="A5"/>
      <selection pane="topRight" activeCell="C5" sqref="C5"/>
      <selection pane="bottomLeft" activeCell="A8" sqref="A8"/>
      <selection pane="bottomRight" activeCell="B8" sqref="B8"/>
    </sheetView>
  </sheetViews>
  <sheetFormatPr defaultRowHeight="15.75" x14ac:dyDescent="0.25"/>
  <cols>
    <col min="1" max="1" width="24" style="12" customWidth="1"/>
    <col min="2" max="2" width="41" style="12" customWidth="1"/>
    <col min="3" max="6" width="18.7109375" style="10" customWidth="1"/>
    <col min="7" max="7" width="18.140625" style="37" customWidth="1"/>
    <col min="8" max="8" width="25.7109375" style="10" customWidth="1"/>
    <col min="9" max="9" width="25.5703125" style="10" customWidth="1"/>
    <col min="10" max="11" width="26.85546875" style="10" customWidth="1"/>
    <col min="12" max="12" width="28.7109375" style="11" customWidth="1"/>
    <col min="13" max="13" width="9.140625" style="11"/>
    <col min="14" max="16384" width="9.140625" style="12"/>
  </cols>
  <sheetData>
    <row r="1" spans="1:13" x14ac:dyDescent="0.25">
      <c r="A1" s="7" t="s">
        <v>0</v>
      </c>
      <c r="B1" s="7"/>
      <c r="C1" s="8"/>
      <c r="D1" s="8"/>
      <c r="E1" s="8"/>
      <c r="F1" s="8"/>
      <c r="G1" s="9"/>
      <c r="H1" s="8"/>
    </row>
    <row r="2" spans="1:13" x14ac:dyDescent="0.25">
      <c r="A2" s="7"/>
      <c r="B2" s="7"/>
      <c r="C2" s="8"/>
      <c r="D2" s="8"/>
      <c r="E2" s="8"/>
      <c r="F2" s="8"/>
      <c r="G2" s="9"/>
      <c r="H2" s="8"/>
    </row>
    <row r="3" spans="1:13" x14ac:dyDescent="0.25">
      <c r="A3" s="7" t="s">
        <v>77</v>
      </c>
      <c r="B3" s="7"/>
      <c r="C3" s="8"/>
      <c r="D3" s="8"/>
      <c r="E3" s="8"/>
      <c r="F3" s="8"/>
      <c r="G3" s="9"/>
      <c r="H3" s="8"/>
    </row>
    <row r="5" spans="1:13" ht="22.5" customHeight="1" thickBot="1" x14ac:dyDescent="0.3">
      <c r="A5" s="7" t="s">
        <v>82</v>
      </c>
      <c r="B5" s="7"/>
      <c r="C5" s="8"/>
      <c r="D5" s="8"/>
      <c r="E5" s="8"/>
      <c r="F5" s="8"/>
      <c r="G5" s="9"/>
      <c r="H5" s="8"/>
    </row>
    <row r="6" spans="1:13" ht="30.75" customHeight="1" x14ac:dyDescent="0.25">
      <c r="A6" s="13"/>
      <c r="B6" s="14"/>
      <c r="C6" s="14"/>
      <c r="D6" s="14"/>
      <c r="E6" s="14"/>
      <c r="F6" s="14"/>
      <c r="G6" s="14"/>
      <c r="H6" s="14"/>
      <c r="I6" s="15"/>
      <c r="J6" s="15"/>
      <c r="K6" s="16"/>
      <c r="L6" s="17"/>
    </row>
    <row r="7" spans="1:13" s="23" customFormat="1" ht="78" customHeight="1" x14ac:dyDescent="0.25">
      <c r="A7" s="18" t="s">
        <v>1</v>
      </c>
      <c r="B7" s="18" t="s">
        <v>2</v>
      </c>
      <c r="C7" s="19" t="s">
        <v>116</v>
      </c>
      <c r="D7" s="19" t="s">
        <v>84</v>
      </c>
      <c r="E7" s="19" t="s">
        <v>83</v>
      </c>
      <c r="F7" s="19" t="s">
        <v>85</v>
      </c>
      <c r="G7" s="20" t="s">
        <v>61</v>
      </c>
      <c r="H7" s="19" t="s">
        <v>117</v>
      </c>
      <c r="I7" s="19" t="s">
        <v>113</v>
      </c>
      <c r="J7" s="19" t="s">
        <v>114</v>
      </c>
      <c r="K7" s="19" t="s">
        <v>115</v>
      </c>
      <c r="L7" s="21" t="s">
        <v>62</v>
      </c>
      <c r="M7" s="22"/>
    </row>
    <row r="8" spans="1:13" ht="39" customHeight="1" x14ac:dyDescent="0.25">
      <c r="A8" s="24"/>
      <c r="B8" s="24"/>
      <c r="C8" s="25"/>
      <c r="D8" s="6"/>
      <c r="E8" s="6"/>
      <c r="F8" s="6"/>
      <c r="G8" s="26"/>
      <c r="H8" s="25"/>
      <c r="I8" s="6"/>
      <c r="J8" s="6"/>
      <c r="K8" s="6"/>
      <c r="L8" s="27"/>
    </row>
    <row r="9" spans="1:13" ht="25.5" customHeight="1" x14ac:dyDescent="0.25">
      <c r="A9" s="28" t="s">
        <v>3</v>
      </c>
      <c r="B9" s="29" t="s">
        <v>122</v>
      </c>
      <c r="C9" s="30"/>
      <c r="D9" s="30"/>
      <c r="E9" s="30"/>
      <c r="F9" s="30"/>
      <c r="G9" s="29"/>
      <c r="H9" s="30"/>
      <c r="I9" s="30"/>
      <c r="J9" s="30"/>
      <c r="K9" s="30"/>
      <c r="L9" s="29"/>
    </row>
    <row r="10" spans="1:13" ht="78.75" x14ac:dyDescent="0.25">
      <c r="A10" s="24" t="s">
        <v>4</v>
      </c>
      <c r="B10" s="24" t="s">
        <v>112</v>
      </c>
      <c r="C10" s="25">
        <f>SUM(C11:C13)</f>
        <v>4800</v>
      </c>
      <c r="D10" s="25">
        <f>SUM(D11:D13)</f>
        <v>16560</v>
      </c>
      <c r="E10" s="25">
        <f>SUM(E11:E13)</f>
        <v>3600</v>
      </c>
      <c r="F10" s="25">
        <f>SUM(F11:F13)</f>
        <v>12960</v>
      </c>
      <c r="G10" s="26">
        <v>0.05</v>
      </c>
      <c r="H10" s="25">
        <f>SUM(H11:H13)</f>
        <v>5927.85</v>
      </c>
      <c r="I10" s="25">
        <f>SUM(I11:I13)</f>
        <v>8275</v>
      </c>
      <c r="J10" s="25">
        <f>SUM(J11:J13)</f>
        <v>2880</v>
      </c>
      <c r="K10" s="25">
        <f>SUM(K11:K13)</f>
        <v>13074</v>
      </c>
      <c r="L10" s="27"/>
    </row>
    <row r="11" spans="1:13" ht="47.25" x14ac:dyDescent="0.25">
      <c r="A11" s="31" t="s">
        <v>5</v>
      </c>
      <c r="B11" s="32" t="s">
        <v>124</v>
      </c>
      <c r="C11" s="6">
        <v>4800</v>
      </c>
      <c r="D11" s="6"/>
      <c r="E11" s="6"/>
      <c r="F11" s="6"/>
      <c r="G11" s="26">
        <v>0.01</v>
      </c>
      <c r="H11" s="6">
        <f>4507.21+799.72</f>
        <v>5306.93</v>
      </c>
      <c r="I11" s="6" t="s">
        <v>86</v>
      </c>
      <c r="J11" s="6"/>
      <c r="K11" s="6"/>
      <c r="L11" s="27"/>
    </row>
    <row r="12" spans="1:13" x14ac:dyDescent="0.25">
      <c r="A12" s="31" t="s">
        <v>6</v>
      </c>
      <c r="B12" s="31" t="s">
        <v>87</v>
      </c>
      <c r="C12" s="6"/>
      <c r="D12" s="6">
        <f>12000+2227</f>
        <v>14227</v>
      </c>
      <c r="E12" s="6"/>
      <c r="F12" s="6"/>
      <c r="G12" s="26">
        <v>0.02</v>
      </c>
      <c r="H12" s="6"/>
      <c r="I12" s="6">
        <f>7652</f>
        <v>7652</v>
      </c>
      <c r="J12" s="6"/>
      <c r="K12" s="6"/>
      <c r="L12" s="27"/>
    </row>
    <row r="13" spans="1:13" x14ac:dyDescent="0.25">
      <c r="A13" s="31" t="s">
        <v>7</v>
      </c>
      <c r="B13" s="31" t="s">
        <v>88</v>
      </c>
      <c r="C13" s="6"/>
      <c r="D13" s="6">
        <f>2333</f>
        <v>2333</v>
      </c>
      <c r="E13" s="6">
        <v>3600</v>
      </c>
      <c r="F13" s="6">
        <v>12960</v>
      </c>
      <c r="G13" s="26">
        <v>0.03</v>
      </c>
      <c r="H13" s="6">
        <v>620.91999999999996</v>
      </c>
      <c r="I13" s="6">
        <f>482+141</f>
        <v>623</v>
      </c>
      <c r="J13" s="6">
        <v>2880</v>
      </c>
      <c r="K13" s="6">
        <v>13074</v>
      </c>
      <c r="L13" s="27"/>
    </row>
    <row r="14" spans="1:13" ht="78.75" x14ac:dyDescent="0.25">
      <c r="A14" s="24" t="s">
        <v>8</v>
      </c>
      <c r="B14" s="24" t="s">
        <v>118</v>
      </c>
      <c r="C14" s="25">
        <f>SUM(C15:C19)</f>
        <v>7800</v>
      </c>
      <c r="D14" s="25">
        <f>SUM(D15:D19)</f>
        <v>23466</v>
      </c>
      <c r="E14" s="25">
        <f>SUM(E15:E19)</f>
        <v>3400</v>
      </c>
      <c r="F14" s="25">
        <f>SUM(F15:F19)</f>
        <v>2400</v>
      </c>
      <c r="G14" s="26">
        <v>0.05</v>
      </c>
      <c r="H14" s="25">
        <f>SUM(H15:H19)</f>
        <v>9764.02</v>
      </c>
      <c r="I14" s="25">
        <f>SUM(I15:I19)</f>
        <v>19126</v>
      </c>
      <c r="J14" s="25">
        <f>SUM(J15:J19)</f>
        <v>1605</v>
      </c>
      <c r="K14" s="25">
        <f>SUM(K15:K19)</f>
        <v>2108</v>
      </c>
      <c r="L14" s="27"/>
    </row>
    <row r="15" spans="1:13" x14ac:dyDescent="0.25">
      <c r="A15" s="31" t="s">
        <v>9</v>
      </c>
      <c r="B15" s="31" t="s">
        <v>89</v>
      </c>
      <c r="C15" s="6">
        <v>4600</v>
      </c>
      <c r="D15" s="6"/>
      <c r="E15" s="6"/>
      <c r="F15" s="6"/>
      <c r="G15" s="26">
        <v>0.01</v>
      </c>
      <c r="H15" s="6">
        <f>5643.32</f>
        <v>5643.32</v>
      </c>
      <c r="I15" s="6"/>
      <c r="J15" s="6"/>
      <c r="K15" s="6"/>
      <c r="L15" s="27"/>
    </row>
    <row r="16" spans="1:13" x14ac:dyDescent="0.25">
      <c r="A16" s="31" t="s">
        <v>10</v>
      </c>
      <c r="B16" s="31" t="s">
        <v>90</v>
      </c>
      <c r="C16" s="6">
        <v>3200</v>
      </c>
      <c r="D16" s="6"/>
      <c r="E16" s="6">
        <v>3400</v>
      </c>
      <c r="F16" s="6">
        <v>2400</v>
      </c>
      <c r="G16" s="26">
        <v>0.01</v>
      </c>
      <c r="H16" s="6">
        <f>2895.2+1225.5</f>
        <v>4120.7</v>
      </c>
      <c r="I16" s="6"/>
      <c r="J16" s="6">
        <v>1605</v>
      </c>
      <c r="K16" s="6">
        <v>2108</v>
      </c>
      <c r="L16" s="27"/>
    </row>
    <row r="17" spans="1:12" x14ac:dyDescent="0.25">
      <c r="A17" s="31" t="s">
        <v>11</v>
      </c>
      <c r="B17" s="31" t="s">
        <v>91</v>
      </c>
      <c r="C17" s="6"/>
      <c r="D17" s="6">
        <v>2633</v>
      </c>
      <c r="E17" s="6"/>
      <c r="F17" s="6"/>
      <c r="G17" s="26">
        <v>0</v>
      </c>
      <c r="H17" s="6"/>
      <c r="I17" s="6">
        <v>1911</v>
      </c>
      <c r="J17" s="6"/>
      <c r="K17" s="6"/>
      <c r="L17" s="27"/>
    </row>
    <row r="18" spans="1:12" x14ac:dyDescent="0.25">
      <c r="A18" s="31" t="s">
        <v>94</v>
      </c>
      <c r="B18" s="31" t="s">
        <v>92</v>
      </c>
      <c r="C18" s="6"/>
      <c r="D18" s="6">
        <v>7000</v>
      </c>
      <c r="E18" s="6"/>
      <c r="F18" s="6"/>
      <c r="G18" s="26">
        <v>0.01</v>
      </c>
      <c r="H18" s="6"/>
      <c r="I18" s="6">
        <v>0</v>
      </c>
      <c r="J18" s="6"/>
      <c r="K18" s="6"/>
      <c r="L18" s="27"/>
    </row>
    <row r="19" spans="1:12" x14ac:dyDescent="0.25">
      <c r="A19" s="31" t="s">
        <v>95</v>
      </c>
      <c r="B19" s="31" t="s">
        <v>93</v>
      </c>
      <c r="C19" s="6"/>
      <c r="D19" s="6">
        <v>13833</v>
      </c>
      <c r="E19" s="6"/>
      <c r="F19" s="6"/>
      <c r="G19" s="26">
        <v>0.02</v>
      </c>
      <c r="H19" s="6"/>
      <c r="I19" s="6">
        <v>17215</v>
      </c>
      <c r="J19" s="6"/>
      <c r="K19" s="6"/>
      <c r="L19" s="27"/>
    </row>
    <row r="20" spans="1:12" ht="78.75" x14ac:dyDescent="0.25">
      <c r="A20" s="24" t="s">
        <v>12</v>
      </c>
      <c r="B20" s="24" t="s">
        <v>119</v>
      </c>
      <c r="C20" s="25">
        <f>SUM(C21:C22)</f>
        <v>1200</v>
      </c>
      <c r="D20" s="25">
        <f>SUM(D21:D22)</f>
        <v>20833</v>
      </c>
      <c r="E20" s="25">
        <f>SUM(E21:E22)</f>
        <v>13333</v>
      </c>
      <c r="F20" s="25">
        <f>SUM(F21:F22)</f>
        <v>13333.333333333334</v>
      </c>
      <c r="G20" s="26">
        <v>0.06</v>
      </c>
      <c r="H20" s="25">
        <f>SUM(H21:H22)</f>
        <v>4628.41</v>
      </c>
      <c r="I20" s="25">
        <f>SUM(I21:I22)</f>
        <v>24372</v>
      </c>
      <c r="J20" s="25">
        <f>SUM(J21:J22)</f>
        <v>7585</v>
      </c>
      <c r="K20" s="25">
        <f>SUM(K21:K22)</f>
        <v>10829</v>
      </c>
      <c r="L20" s="27"/>
    </row>
    <row r="21" spans="1:12" x14ac:dyDescent="0.25">
      <c r="A21" s="31" t="s">
        <v>13</v>
      </c>
      <c r="B21" s="31" t="s">
        <v>96</v>
      </c>
      <c r="C21" s="6">
        <v>1200</v>
      </c>
      <c r="D21" s="6"/>
      <c r="E21" s="6"/>
      <c r="F21" s="6"/>
      <c r="G21" s="26">
        <v>0</v>
      </c>
      <c r="H21" s="6">
        <f>457.17+654.62</f>
        <v>1111.79</v>
      </c>
      <c r="I21" s="6"/>
      <c r="J21" s="6"/>
      <c r="K21" s="6"/>
      <c r="L21" s="27"/>
    </row>
    <row r="22" spans="1:12" x14ac:dyDescent="0.25">
      <c r="A22" s="31" t="s">
        <v>14</v>
      </c>
      <c r="B22" s="31" t="s">
        <v>97</v>
      </c>
      <c r="C22" s="6"/>
      <c r="D22" s="6">
        <v>20833</v>
      </c>
      <c r="E22" s="6">
        <v>13333</v>
      </c>
      <c r="F22" s="6">
        <v>13333.333333333334</v>
      </c>
      <c r="G22" s="26">
        <v>0.06</v>
      </c>
      <c r="H22" s="6">
        <f>2863.53+653.09</f>
        <v>3516.6200000000003</v>
      </c>
      <c r="I22" s="6">
        <v>24372</v>
      </c>
      <c r="J22" s="6">
        <v>7585</v>
      </c>
      <c r="K22" s="6">
        <v>10829</v>
      </c>
      <c r="L22" s="27"/>
    </row>
    <row r="23" spans="1:12" ht="31.5" x14ac:dyDescent="0.25">
      <c r="A23" s="24" t="s">
        <v>15</v>
      </c>
      <c r="B23" s="24" t="s">
        <v>15</v>
      </c>
      <c r="C23" s="25">
        <f t="shared" ref="C23:K23" si="0">C20+C14+C10</f>
        <v>13800</v>
      </c>
      <c r="D23" s="25">
        <f t="shared" si="0"/>
        <v>60859</v>
      </c>
      <c r="E23" s="25">
        <f t="shared" si="0"/>
        <v>20333</v>
      </c>
      <c r="F23" s="25">
        <f t="shared" si="0"/>
        <v>28693.333333333336</v>
      </c>
      <c r="G23" s="26">
        <f t="shared" si="0"/>
        <v>0.16</v>
      </c>
      <c r="H23" s="25">
        <f t="shared" si="0"/>
        <v>20320.28</v>
      </c>
      <c r="I23" s="25">
        <f t="shared" si="0"/>
        <v>51773</v>
      </c>
      <c r="J23" s="25">
        <f t="shared" si="0"/>
        <v>12070</v>
      </c>
      <c r="K23" s="25">
        <f t="shared" si="0"/>
        <v>26011</v>
      </c>
      <c r="L23" s="33"/>
    </row>
    <row r="24" spans="1:12" ht="30.75" customHeight="1" x14ac:dyDescent="0.25">
      <c r="A24" s="28" t="s">
        <v>16</v>
      </c>
      <c r="B24" s="29" t="s">
        <v>123</v>
      </c>
      <c r="C24" s="30"/>
      <c r="D24" s="30"/>
      <c r="E24" s="30"/>
      <c r="F24" s="30"/>
      <c r="G24" s="29"/>
      <c r="H24" s="30"/>
      <c r="I24" s="30"/>
      <c r="J24" s="30"/>
      <c r="K24" s="30"/>
      <c r="L24" s="29"/>
    </row>
    <row r="25" spans="1:12" ht="63" x14ac:dyDescent="0.25">
      <c r="A25" s="24" t="s">
        <v>17</v>
      </c>
      <c r="B25" s="24" t="s">
        <v>120</v>
      </c>
      <c r="C25" s="25">
        <f t="shared" ref="C25:K25" si="1">SUM(C26:C30)</f>
        <v>0</v>
      </c>
      <c r="D25" s="25">
        <f t="shared" si="1"/>
        <v>21650</v>
      </c>
      <c r="E25" s="25">
        <f t="shared" si="1"/>
        <v>16834</v>
      </c>
      <c r="F25" s="25">
        <f t="shared" si="1"/>
        <v>7000</v>
      </c>
      <c r="G25" s="26">
        <f t="shared" si="1"/>
        <v>6.0000000000000005E-2</v>
      </c>
      <c r="H25" s="25">
        <f t="shared" si="1"/>
        <v>399.69</v>
      </c>
      <c r="I25" s="25">
        <f t="shared" si="1"/>
        <v>11718</v>
      </c>
      <c r="J25" s="25">
        <f t="shared" si="1"/>
        <v>10092</v>
      </c>
      <c r="K25" s="25">
        <f t="shared" si="1"/>
        <v>3011</v>
      </c>
      <c r="L25" s="27"/>
    </row>
    <row r="26" spans="1:12" x14ac:dyDescent="0.25">
      <c r="A26" s="31" t="s">
        <v>18</v>
      </c>
      <c r="B26" s="31" t="s">
        <v>98</v>
      </c>
      <c r="C26" s="6"/>
      <c r="D26" s="6"/>
      <c r="E26" s="6">
        <v>6667</v>
      </c>
      <c r="F26" s="6">
        <v>2000</v>
      </c>
      <c r="G26" s="26">
        <v>0.01</v>
      </c>
      <c r="H26" s="6">
        <v>383.14</v>
      </c>
      <c r="I26" s="6"/>
      <c r="J26" s="6">
        <v>4276</v>
      </c>
      <c r="K26" s="6">
        <v>1416</v>
      </c>
      <c r="L26" s="27"/>
    </row>
    <row r="27" spans="1:12" ht="31.5" x14ac:dyDescent="0.25">
      <c r="A27" s="31" t="s">
        <v>19</v>
      </c>
      <c r="B27" s="31" t="s">
        <v>99</v>
      </c>
      <c r="C27" s="6"/>
      <c r="D27" s="6">
        <v>7333</v>
      </c>
      <c r="E27" s="6"/>
      <c r="F27" s="6"/>
      <c r="G27" s="26">
        <v>0.01</v>
      </c>
      <c r="H27" s="6"/>
      <c r="I27" s="6">
        <v>5242</v>
      </c>
      <c r="J27" s="6"/>
      <c r="K27" s="6"/>
      <c r="L27" s="27"/>
    </row>
    <row r="28" spans="1:12" x14ac:dyDescent="0.25">
      <c r="A28" s="31" t="s">
        <v>20</v>
      </c>
      <c r="B28" s="31" t="s">
        <v>100</v>
      </c>
      <c r="C28" s="6"/>
      <c r="D28" s="6">
        <v>5650</v>
      </c>
      <c r="E28" s="6"/>
      <c r="F28" s="6"/>
      <c r="G28" s="26">
        <v>0.01</v>
      </c>
      <c r="H28" s="6"/>
      <c r="I28" s="6">
        <v>3555</v>
      </c>
      <c r="J28" s="6"/>
      <c r="K28" s="6"/>
      <c r="L28" s="27"/>
    </row>
    <row r="29" spans="1:12" x14ac:dyDescent="0.25">
      <c r="A29" s="31" t="s">
        <v>103</v>
      </c>
      <c r="B29" s="31" t="s">
        <v>101</v>
      </c>
      <c r="C29" s="6"/>
      <c r="D29" s="6">
        <v>6834</v>
      </c>
      <c r="E29" s="6">
        <v>7500</v>
      </c>
      <c r="F29" s="6">
        <v>3000</v>
      </c>
      <c r="G29" s="26">
        <v>0.02</v>
      </c>
      <c r="H29" s="6">
        <v>16.55</v>
      </c>
      <c r="I29" s="6">
        <v>0</v>
      </c>
      <c r="J29" s="6">
        <v>4138</v>
      </c>
      <c r="K29" s="6">
        <v>432</v>
      </c>
      <c r="L29" s="27"/>
    </row>
    <row r="30" spans="1:12" x14ac:dyDescent="0.25">
      <c r="A30" s="31" t="s">
        <v>104</v>
      </c>
      <c r="B30" s="31" t="s">
        <v>102</v>
      </c>
      <c r="C30" s="6"/>
      <c r="D30" s="6">
        <v>1833</v>
      </c>
      <c r="E30" s="6">
        <v>2667</v>
      </c>
      <c r="F30" s="6">
        <v>2000</v>
      </c>
      <c r="G30" s="26">
        <v>0.01</v>
      </c>
      <c r="H30" s="6"/>
      <c r="I30" s="6">
        <v>2921</v>
      </c>
      <c r="J30" s="6">
        <v>1678</v>
      </c>
      <c r="K30" s="6">
        <v>1163</v>
      </c>
      <c r="L30" s="27"/>
    </row>
    <row r="31" spans="1:12" ht="63" x14ac:dyDescent="0.25">
      <c r="A31" s="24" t="s">
        <v>21</v>
      </c>
      <c r="B31" s="24" t="s">
        <v>121</v>
      </c>
      <c r="C31" s="25">
        <f t="shared" ref="C31:H31" si="2">SUM(C32:C36)</f>
        <v>33334</v>
      </c>
      <c r="D31" s="25">
        <f t="shared" si="2"/>
        <v>13951</v>
      </c>
      <c r="E31" s="25">
        <f t="shared" si="2"/>
        <v>16251.111111111109</v>
      </c>
      <c r="F31" s="25">
        <f t="shared" si="2"/>
        <v>17866.666666666668</v>
      </c>
      <c r="G31" s="26">
        <f t="shared" si="2"/>
        <v>0.11000000000000001</v>
      </c>
      <c r="H31" s="25">
        <f t="shared" si="2"/>
        <v>22186.03</v>
      </c>
      <c r="I31" s="25">
        <f>SUM(I32:I35)</f>
        <v>5796</v>
      </c>
      <c r="J31" s="25">
        <f>SUM(J32:J36)</f>
        <v>11681</v>
      </c>
      <c r="K31" s="25">
        <f>SUM(K32:K36)</f>
        <v>14670</v>
      </c>
      <c r="L31" s="27"/>
    </row>
    <row r="32" spans="1:12" x14ac:dyDescent="0.25">
      <c r="A32" s="31" t="s">
        <v>22</v>
      </c>
      <c r="B32" s="31" t="s">
        <v>105</v>
      </c>
      <c r="C32" s="6"/>
      <c r="D32" s="6"/>
      <c r="E32" s="6">
        <v>5333.333333333333</v>
      </c>
      <c r="F32" s="6">
        <v>1200</v>
      </c>
      <c r="G32" s="26">
        <v>0.01</v>
      </c>
      <c r="H32" s="6">
        <f>3910.56+355.15</f>
        <v>4265.71</v>
      </c>
      <c r="I32" s="6"/>
      <c r="J32" s="6">
        <v>3308</v>
      </c>
      <c r="K32" s="6">
        <v>752</v>
      </c>
      <c r="L32" s="27"/>
    </row>
    <row r="33" spans="1:12" x14ac:dyDescent="0.25">
      <c r="A33" s="31" t="s">
        <v>23</v>
      </c>
      <c r="B33" s="31" t="s">
        <v>106</v>
      </c>
      <c r="C33" s="6"/>
      <c r="D33" s="6">
        <v>4667</v>
      </c>
      <c r="E33" s="6"/>
      <c r="F33" s="6"/>
      <c r="G33" s="26">
        <v>0.01</v>
      </c>
      <c r="H33" s="6"/>
      <c r="I33" s="6">
        <v>5444</v>
      </c>
      <c r="J33" s="6"/>
      <c r="K33" s="6"/>
      <c r="L33" s="27"/>
    </row>
    <row r="34" spans="1:12" x14ac:dyDescent="0.25">
      <c r="A34" s="31" t="s">
        <v>24</v>
      </c>
      <c r="B34" s="31" t="s">
        <v>107</v>
      </c>
      <c r="C34" s="6"/>
      <c r="D34" s="6">
        <v>9284</v>
      </c>
      <c r="E34" s="6"/>
      <c r="F34" s="6"/>
      <c r="G34" s="26">
        <v>0.01</v>
      </c>
      <c r="H34" s="6">
        <v>26.72</v>
      </c>
      <c r="I34" s="6">
        <f>352</f>
        <v>352</v>
      </c>
      <c r="J34" s="6"/>
      <c r="K34" s="6"/>
      <c r="L34" s="27"/>
    </row>
    <row r="35" spans="1:12" x14ac:dyDescent="0.25">
      <c r="A35" s="31" t="s">
        <v>110</v>
      </c>
      <c r="B35" s="31" t="s">
        <v>108</v>
      </c>
      <c r="C35" s="6"/>
      <c r="D35" s="6"/>
      <c r="E35" s="6">
        <v>10917.777777777777</v>
      </c>
      <c r="F35" s="6">
        <v>16666.666666666668</v>
      </c>
      <c r="G35" s="26">
        <v>0.04</v>
      </c>
      <c r="H35" s="6">
        <v>1089.58</v>
      </c>
      <c r="I35" s="6"/>
      <c r="J35" s="6">
        <v>8373</v>
      </c>
      <c r="K35" s="6">
        <v>13918</v>
      </c>
      <c r="L35" s="27"/>
    </row>
    <row r="36" spans="1:12" x14ac:dyDescent="0.25">
      <c r="A36" s="31" t="s">
        <v>111</v>
      </c>
      <c r="B36" s="31" t="s">
        <v>109</v>
      </c>
      <c r="C36" s="6">
        <v>33334</v>
      </c>
      <c r="D36" s="6"/>
      <c r="E36" s="6"/>
      <c r="F36" s="6"/>
      <c r="G36" s="26">
        <v>0.04</v>
      </c>
      <c r="H36" s="6">
        <v>16804.02</v>
      </c>
      <c r="I36" s="6"/>
      <c r="J36" s="6"/>
      <c r="K36" s="6"/>
      <c r="L36" s="27"/>
    </row>
    <row r="37" spans="1:12" x14ac:dyDescent="0.25">
      <c r="A37" s="24" t="s">
        <v>25</v>
      </c>
      <c r="B37" s="24" t="s">
        <v>25</v>
      </c>
      <c r="C37" s="25"/>
      <c r="D37" s="6"/>
      <c r="E37" s="6"/>
      <c r="F37" s="6"/>
      <c r="G37" s="26"/>
      <c r="H37" s="25"/>
      <c r="I37" s="6"/>
      <c r="J37" s="6"/>
      <c r="K37" s="6"/>
      <c r="L37" s="27"/>
    </row>
    <row r="38" spans="1:12" x14ac:dyDescent="0.25">
      <c r="A38" s="31" t="s">
        <v>26</v>
      </c>
      <c r="B38" s="31" t="s">
        <v>26</v>
      </c>
      <c r="C38" s="6"/>
      <c r="D38" s="6"/>
      <c r="E38" s="6"/>
      <c r="F38" s="6"/>
      <c r="G38" s="26"/>
      <c r="H38" s="6"/>
      <c r="I38" s="6"/>
      <c r="J38" s="6"/>
      <c r="K38" s="6"/>
      <c r="L38" s="27"/>
    </row>
    <row r="39" spans="1:12" x14ac:dyDescent="0.25">
      <c r="A39" s="31" t="s">
        <v>27</v>
      </c>
      <c r="B39" s="31" t="s">
        <v>27</v>
      </c>
      <c r="C39" s="6"/>
      <c r="D39" s="6"/>
      <c r="E39" s="6"/>
      <c r="F39" s="6"/>
      <c r="G39" s="26"/>
      <c r="H39" s="6"/>
      <c r="I39" s="6"/>
      <c r="J39" s="6"/>
      <c r="K39" s="6"/>
      <c r="L39" s="27"/>
    </row>
    <row r="40" spans="1:12" x14ac:dyDescent="0.25">
      <c r="A40" s="31" t="s">
        <v>28</v>
      </c>
      <c r="B40" s="31" t="s">
        <v>28</v>
      </c>
      <c r="C40" s="6"/>
      <c r="D40" s="6"/>
      <c r="E40" s="6"/>
      <c r="F40" s="6"/>
      <c r="G40" s="26"/>
      <c r="H40" s="6"/>
      <c r="I40" s="6"/>
      <c r="J40" s="6"/>
      <c r="K40" s="6"/>
      <c r="L40" s="27"/>
    </row>
    <row r="41" spans="1:12" ht="31.5" x14ac:dyDescent="0.25">
      <c r="A41" s="24" t="s">
        <v>29</v>
      </c>
      <c r="B41" s="24" t="s">
        <v>29</v>
      </c>
      <c r="C41" s="25">
        <f t="shared" ref="C41:K41" si="3">C31+C25</f>
        <v>33334</v>
      </c>
      <c r="D41" s="25">
        <f t="shared" si="3"/>
        <v>35601</v>
      </c>
      <c r="E41" s="25">
        <f t="shared" si="3"/>
        <v>33085.111111111109</v>
      </c>
      <c r="F41" s="25">
        <f t="shared" si="3"/>
        <v>24866.666666666668</v>
      </c>
      <c r="G41" s="26">
        <f t="shared" si="3"/>
        <v>0.17</v>
      </c>
      <c r="H41" s="25">
        <f t="shared" si="3"/>
        <v>22585.719999999998</v>
      </c>
      <c r="I41" s="25">
        <f t="shared" si="3"/>
        <v>17514</v>
      </c>
      <c r="J41" s="25">
        <f t="shared" si="3"/>
        <v>21773</v>
      </c>
      <c r="K41" s="25">
        <f t="shared" si="3"/>
        <v>17681</v>
      </c>
      <c r="L41" s="33"/>
    </row>
    <row r="42" spans="1:12" hidden="1" x14ac:dyDescent="0.25">
      <c r="A42" s="24" t="s">
        <v>30</v>
      </c>
      <c r="B42" s="24" t="s">
        <v>30</v>
      </c>
      <c r="C42" s="25"/>
      <c r="D42" s="25"/>
      <c r="E42" s="25"/>
      <c r="F42" s="25"/>
      <c r="G42" s="26"/>
      <c r="H42" s="25"/>
      <c r="I42" s="25"/>
      <c r="J42" s="25"/>
      <c r="K42" s="25"/>
      <c r="L42" s="27"/>
    </row>
    <row r="43" spans="1:12" hidden="1" x14ac:dyDescent="0.25">
      <c r="A43" s="24" t="s">
        <v>31</v>
      </c>
      <c r="B43" s="24" t="s">
        <v>31</v>
      </c>
      <c r="C43" s="25"/>
      <c r="D43" s="6"/>
      <c r="E43" s="6"/>
      <c r="F43" s="6"/>
      <c r="G43" s="26"/>
      <c r="H43" s="25"/>
      <c r="I43" s="6"/>
      <c r="J43" s="6"/>
      <c r="K43" s="6"/>
      <c r="L43" s="27"/>
    </row>
    <row r="44" spans="1:12" hidden="1" x14ac:dyDescent="0.25">
      <c r="A44" s="31" t="s">
        <v>32</v>
      </c>
      <c r="B44" s="31" t="s">
        <v>32</v>
      </c>
      <c r="C44" s="6"/>
      <c r="D44" s="6"/>
      <c r="E44" s="6"/>
      <c r="F44" s="6"/>
      <c r="G44" s="26"/>
      <c r="H44" s="6"/>
      <c r="I44" s="6"/>
      <c r="J44" s="6"/>
      <c r="K44" s="6"/>
      <c r="L44" s="27"/>
    </row>
    <row r="45" spans="1:12" hidden="1" x14ac:dyDescent="0.25">
      <c r="A45" s="31" t="s">
        <v>33</v>
      </c>
      <c r="B45" s="31" t="s">
        <v>33</v>
      </c>
      <c r="C45" s="6"/>
      <c r="D45" s="6"/>
      <c r="E45" s="6"/>
      <c r="F45" s="6"/>
      <c r="G45" s="26"/>
      <c r="H45" s="6"/>
      <c r="I45" s="6"/>
      <c r="J45" s="6"/>
      <c r="K45" s="6"/>
      <c r="L45" s="27"/>
    </row>
    <row r="46" spans="1:12" hidden="1" x14ac:dyDescent="0.25">
      <c r="A46" s="31" t="s">
        <v>34</v>
      </c>
      <c r="B46" s="31" t="s">
        <v>34</v>
      </c>
      <c r="C46" s="6"/>
      <c r="D46" s="6"/>
      <c r="E46" s="6"/>
      <c r="F46" s="6"/>
      <c r="G46" s="26"/>
      <c r="H46" s="6"/>
      <c r="I46" s="6"/>
      <c r="J46" s="6"/>
      <c r="K46" s="6"/>
      <c r="L46" s="27"/>
    </row>
    <row r="47" spans="1:12" hidden="1" x14ac:dyDescent="0.25">
      <c r="A47" s="24" t="s">
        <v>35</v>
      </c>
      <c r="B47" s="24" t="s">
        <v>35</v>
      </c>
      <c r="C47" s="25"/>
      <c r="D47" s="6"/>
      <c r="E47" s="6"/>
      <c r="F47" s="6"/>
      <c r="G47" s="26"/>
      <c r="H47" s="25"/>
      <c r="I47" s="6"/>
      <c r="J47" s="6"/>
      <c r="K47" s="6"/>
      <c r="L47" s="27"/>
    </row>
    <row r="48" spans="1:12" hidden="1" x14ac:dyDescent="0.25">
      <c r="A48" s="31" t="s">
        <v>36</v>
      </c>
      <c r="B48" s="31" t="s">
        <v>36</v>
      </c>
      <c r="C48" s="6"/>
      <c r="D48" s="6"/>
      <c r="E48" s="6"/>
      <c r="F48" s="6"/>
      <c r="G48" s="26"/>
      <c r="H48" s="6"/>
      <c r="I48" s="6"/>
      <c r="J48" s="6"/>
      <c r="K48" s="6"/>
      <c r="L48" s="27"/>
    </row>
    <row r="49" spans="1:12" hidden="1" x14ac:dyDescent="0.25">
      <c r="A49" s="31" t="s">
        <v>37</v>
      </c>
      <c r="B49" s="31" t="s">
        <v>37</v>
      </c>
      <c r="C49" s="6"/>
      <c r="D49" s="6"/>
      <c r="E49" s="6"/>
      <c r="F49" s="6"/>
      <c r="G49" s="26"/>
      <c r="H49" s="6"/>
      <c r="I49" s="6"/>
      <c r="J49" s="6"/>
      <c r="K49" s="6"/>
      <c r="L49" s="27"/>
    </row>
    <row r="50" spans="1:12" hidden="1" x14ac:dyDescent="0.25">
      <c r="A50" s="31" t="s">
        <v>38</v>
      </c>
      <c r="B50" s="31" t="s">
        <v>38</v>
      </c>
      <c r="C50" s="6"/>
      <c r="D50" s="6"/>
      <c r="E50" s="6"/>
      <c r="F50" s="6"/>
      <c r="G50" s="26"/>
      <c r="H50" s="6"/>
      <c r="I50" s="6"/>
      <c r="J50" s="6"/>
      <c r="K50" s="6"/>
      <c r="L50" s="27"/>
    </row>
    <row r="51" spans="1:12" hidden="1" x14ac:dyDescent="0.25">
      <c r="A51" s="24" t="s">
        <v>39</v>
      </c>
      <c r="B51" s="24" t="s">
        <v>39</v>
      </c>
      <c r="C51" s="25"/>
      <c r="D51" s="6"/>
      <c r="E51" s="6"/>
      <c r="F51" s="6"/>
      <c r="G51" s="26"/>
      <c r="H51" s="25"/>
      <c r="I51" s="6"/>
      <c r="J51" s="6"/>
      <c r="K51" s="6"/>
      <c r="L51" s="27"/>
    </row>
    <row r="52" spans="1:12" hidden="1" x14ac:dyDescent="0.25">
      <c r="A52" s="31" t="s">
        <v>40</v>
      </c>
      <c r="B52" s="31" t="s">
        <v>40</v>
      </c>
      <c r="C52" s="6"/>
      <c r="D52" s="6"/>
      <c r="E52" s="6"/>
      <c r="F52" s="6"/>
      <c r="G52" s="26"/>
      <c r="H52" s="6"/>
      <c r="I52" s="6"/>
      <c r="J52" s="6"/>
      <c r="K52" s="6"/>
      <c r="L52" s="27"/>
    </row>
    <row r="53" spans="1:12" hidden="1" x14ac:dyDescent="0.25">
      <c r="A53" s="31" t="s">
        <v>41</v>
      </c>
      <c r="B53" s="31" t="s">
        <v>41</v>
      </c>
      <c r="C53" s="6"/>
      <c r="D53" s="6"/>
      <c r="E53" s="6"/>
      <c r="F53" s="6"/>
      <c r="G53" s="26"/>
      <c r="H53" s="6"/>
      <c r="I53" s="6"/>
      <c r="J53" s="6"/>
      <c r="K53" s="6"/>
      <c r="L53" s="27"/>
    </row>
    <row r="54" spans="1:12" hidden="1" x14ac:dyDescent="0.25">
      <c r="A54" s="31" t="s">
        <v>42</v>
      </c>
      <c r="B54" s="31" t="s">
        <v>42</v>
      </c>
      <c r="C54" s="6"/>
      <c r="D54" s="6"/>
      <c r="E54" s="6"/>
      <c r="F54" s="6"/>
      <c r="G54" s="26"/>
      <c r="H54" s="6"/>
      <c r="I54" s="6"/>
      <c r="J54" s="6"/>
      <c r="K54" s="6"/>
      <c r="L54" s="27"/>
    </row>
    <row r="55" spans="1:12" ht="31.5" hidden="1" x14ac:dyDescent="0.25">
      <c r="A55" s="24" t="s">
        <v>43</v>
      </c>
      <c r="B55" s="24" t="s">
        <v>43</v>
      </c>
      <c r="C55" s="25"/>
      <c r="D55" s="25"/>
      <c r="E55" s="25"/>
      <c r="F55" s="25"/>
      <c r="G55" s="26"/>
      <c r="H55" s="25"/>
      <c r="I55" s="25"/>
      <c r="J55" s="25"/>
      <c r="K55" s="25"/>
      <c r="L55" s="33"/>
    </row>
    <row r="56" spans="1:12" hidden="1" x14ac:dyDescent="0.25">
      <c r="A56" s="24" t="s">
        <v>44</v>
      </c>
      <c r="B56" s="24" t="s">
        <v>44</v>
      </c>
      <c r="C56" s="25"/>
      <c r="D56" s="25"/>
      <c r="E56" s="25"/>
      <c r="F56" s="25"/>
      <c r="G56" s="26"/>
      <c r="H56" s="25"/>
      <c r="I56" s="25"/>
      <c r="J56" s="25"/>
      <c r="K56" s="25"/>
      <c r="L56" s="33"/>
    </row>
    <row r="57" spans="1:12" hidden="1" x14ac:dyDescent="0.25">
      <c r="A57" s="24" t="s">
        <v>45</v>
      </c>
      <c r="B57" s="24" t="s">
        <v>45</v>
      </c>
      <c r="C57" s="25"/>
      <c r="D57" s="6"/>
      <c r="E57" s="6"/>
      <c r="F57" s="6"/>
      <c r="G57" s="26"/>
      <c r="H57" s="25"/>
      <c r="I57" s="6"/>
      <c r="J57" s="6"/>
      <c r="K57" s="6"/>
      <c r="L57" s="27"/>
    </row>
    <row r="58" spans="1:12" hidden="1" x14ac:dyDescent="0.25">
      <c r="A58" s="31" t="s">
        <v>46</v>
      </c>
      <c r="B58" s="31" t="s">
        <v>46</v>
      </c>
      <c r="C58" s="6"/>
      <c r="D58" s="6"/>
      <c r="E58" s="6"/>
      <c r="F58" s="6"/>
      <c r="G58" s="26"/>
      <c r="H58" s="6"/>
      <c r="I58" s="6"/>
      <c r="J58" s="6"/>
      <c r="K58" s="6"/>
      <c r="L58" s="27"/>
    </row>
    <row r="59" spans="1:12" hidden="1" x14ac:dyDescent="0.25">
      <c r="A59" s="31" t="s">
        <v>47</v>
      </c>
      <c r="B59" s="31" t="s">
        <v>47</v>
      </c>
      <c r="C59" s="6"/>
      <c r="D59" s="6"/>
      <c r="E59" s="6"/>
      <c r="F59" s="6"/>
      <c r="G59" s="26"/>
      <c r="H59" s="6"/>
      <c r="I59" s="6"/>
      <c r="J59" s="6"/>
      <c r="K59" s="6"/>
      <c r="L59" s="27"/>
    </row>
    <row r="60" spans="1:12" hidden="1" x14ac:dyDescent="0.25">
      <c r="A60" s="31" t="s">
        <v>48</v>
      </c>
      <c r="B60" s="31" t="s">
        <v>48</v>
      </c>
      <c r="C60" s="6"/>
      <c r="D60" s="6"/>
      <c r="E60" s="6"/>
      <c r="F60" s="6"/>
      <c r="G60" s="26"/>
      <c r="H60" s="6"/>
      <c r="I60" s="6"/>
      <c r="J60" s="6"/>
      <c r="K60" s="6"/>
      <c r="L60" s="27"/>
    </row>
    <row r="61" spans="1:12" hidden="1" x14ac:dyDescent="0.25">
      <c r="A61" s="24" t="s">
        <v>49</v>
      </c>
      <c r="B61" s="24" t="s">
        <v>49</v>
      </c>
      <c r="C61" s="25"/>
      <c r="D61" s="6"/>
      <c r="E61" s="6"/>
      <c r="F61" s="6"/>
      <c r="G61" s="26"/>
      <c r="H61" s="25"/>
      <c r="I61" s="6"/>
      <c r="J61" s="6"/>
      <c r="K61" s="6"/>
      <c r="L61" s="27"/>
    </row>
    <row r="62" spans="1:12" hidden="1" x14ac:dyDescent="0.25">
      <c r="A62" s="31" t="s">
        <v>50</v>
      </c>
      <c r="B62" s="31" t="s">
        <v>50</v>
      </c>
      <c r="C62" s="6"/>
      <c r="D62" s="6"/>
      <c r="E62" s="6"/>
      <c r="F62" s="6"/>
      <c r="G62" s="26"/>
      <c r="H62" s="6"/>
      <c r="I62" s="6"/>
      <c r="J62" s="6"/>
      <c r="K62" s="6"/>
      <c r="L62" s="27"/>
    </row>
    <row r="63" spans="1:12" hidden="1" x14ac:dyDescent="0.25">
      <c r="A63" s="31" t="s">
        <v>51</v>
      </c>
      <c r="B63" s="31" t="s">
        <v>51</v>
      </c>
      <c r="C63" s="6"/>
      <c r="D63" s="6"/>
      <c r="E63" s="6"/>
      <c r="F63" s="6"/>
      <c r="G63" s="26"/>
      <c r="H63" s="6"/>
      <c r="I63" s="6"/>
      <c r="J63" s="6"/>
      <c r="K63" s="6"/>
      <c r="L63" s="27"/>
    </row>
    <row r="64" spans="1:12" hidden="1" x14ac:dyDescent="0.25">
      <c r="A64" s="31" t="s">
        <v>52</v>
      </c>
      <c r="B64" s="31" t="s">
        <v>52</v>
      </c>
      <c r="C64" s="6"/>
      <c r="D64" s="6"/>
      <c r="E64" s="6"/>
      <c r="F64" s="6"/>
      <c r="G64" s="26"/>
      <c r="H64" s="6"/>
      <c r="I64" s="6"/>
      <c r="J64" s="6"/>
      <c r="K64" s="6"/>
      <c r="L64" s="27"/>
    </row>
    <row r="65" spans="1:12" hidden="1" x14ac:dyDescent="0.25">
      <c r="A65" s="24" t="s">
        <v>53</v>
      </c>
      <c r="B65" s="24" t="s">
        <v>53</v>
      </c>
      <c r="C65" s="25"/>
      <c r="D65" s="6"/>
      <c r="E65" s="6"/>
      <c r="F65" s="6"/>
      <c r="G65" s="26"/>
      <c r="H65" s="25"/>
      <c r="I65" s="6"/>
      <c r="J65" s="6"/>
      <c r="K65" s="6"/>
      <c r="L65" s="27"/>
    </row>
    <row r="66" spans="1:12" hidden="1" x14ac:dyDescent="0.25">
      <c r="A66" s="31" t="s">
        <v>54</v>
      </c>
      <c r="B66" s="31" t="s">
        <v>54</v>
      </c>
      <c r="C66" s="6"/>
      <c r="D66" s="6"/>
      <c r="E66" s="6"/>
      <c r="F66" s="6"/>
      <c r="G66" s="26"/>
      <c r="H66" s="6"/>
      <c r="I66" s="6"/>
      <c r="J66" s="6"/>
      <c r="K66" s="6"/>
      <c r="L66" s="27"/>
    </row>
    <row r="67" spans="1:12" hidden="1" x14ac:dyDescent="0.25">
      <c r="A67" s="31" t="s">
        <v>55</v>
      </c>
      <c r="B67" s="31" t="s">
        <v>55</v>
      </c>
      <c r="C67" s="6"/>
      <c r="D67" s="6"/>
      <c r="E67" s="6"/>
      <c r="F67" s="6"/>
      <c r="G67" s="26"/>
      <c r="H67" s="6"/>
      <c r="I67" s="6"/>
      <c r="J67" s="6"/>
      <c r="K67" s="6"/>
      <c r="L67" s="27"/>
    </row>
    <row r="68" spans="1:12" hidden="1" x14ac:dyDescent="0.25">
      <c r="A68" s="31" t="s">
        <v>56</v>
      </c>
      <c r="B68" s="31" t="s">
        <v>56</v>
      </c>
      <c r="C68" s="6"/>
      <c r="D68" s="6"/>
      <c r="E68" s="6"/>
      <c r="F68" s="6"/>
      <c r="G68" s="26"/>
      <c r="H68" s="6"/>
      <c r="I68" s="6"/>
      <c r="J68" s="6"/>
      <c r="K68" s="6"/>
      <c r="L68" s="27"/>
    </row>
    <row r="69" spans="1:12" ht="31.5" hidden="1" x14ac:dyDescent="0.25">
      <c r="A69" s="24" t="s">
        <v>57</v>
      </c>
      <c r="B69" s="24" t="s">
        <v>57</v>
      </c>
      <c r="C69" s="25"/>
      <c r="D69" s="25"/>
      <c r="E69" s="25"/>
      <c r="F69" s="25"/>
      <c r="G69" s="26"/>
      <c r="H69" s="25"/>
      <c r="I69" s="25"/>
      <c r="J69" s="25"/>
      <c r="K69" s="25"/>
      <c r="L69" s="33"/>
    </row>
    <row r="70" spans="1:12" x14ac:dyDescent="0.25">
      <c r="A70" s="24"/>
      <c r="B70" s="24"/>
      <c r="C70" s="25"/>
      <c r="D70" s="25"/>
      <c r="E70" s="25"/>
      <c r="F70" s="25"/>
      <c r="G70" s="26"/>
      <c r="H70" s="25"/>
      <c r="I70" s="25"/>
      <c r="J70" s="25"/>
      <c r="K70" s="25"/>
      <c r="L70" s="33"/>
    </row>
    <row r="71" spans="1:12" ht="51.75" customHeight="1" x14ac:dyDescent="0.25">
      <c r="A71" s="31" t="s">
        <v>78</v>
      </c>
      <c r="B71" s="24" t="s">
        <v>78</v>
      </c>
      <c r="C71" s="25">
        <f>117653+13260</f>
        <v>130913</v>
      </c>
      <c r="D71" s="25">
        <f>59706+18210</f>
        <v>77916</v>
      </c>
      <c r="E71" s="25">
        <f>56100+12320</f>
        <v>68420</v>
      </c>
      <c r="F71" s="25">
        <f>46360+21400</f>
        <v>67760</v>
      </c>
      <c r="G71" s="26">
        <v>0.46</v>
      </c>
      <c r="H71" s="6">
        <f>148159.1+18936.69+562.82</f>
        <v>167658.61000000002</v>
      </c>
      <c r="I71" s="25">
        <f>60476+10498</f>
        <v>70974</v>
      </c>
      <c r="J71" s="25">
        <f>54487+9234</f>
        <v>63721</v>
      </c>
      <c r="K71" s="25">
        <f>58617+19198</f>
        <v>77815</v>
      </c>
      <c r="L71" s="33"/>
    </row>
    <row r="72" spans="1:12" ht="50.25" customHeight="1" x14ac:dyDescent="0.25">
      <c r="A72" s="31" t="s">
        <v>79</v>
      </c>
      <c r="B72" s="24" t="s">
        <v>79</v>
      </c>
      <c r="C72" s="25">
        <f>3333+11640+2500+8067</f>
        <v>25540</v>
      </c>
      <c r="D72" s="25">
        <f>2100+10440</f>
        <v>12540</v>
      </c>
      <c r="E72" s="25">
        <f>15120+2100+3067+2334</f>
        <v>22621</v>
      </c>
      <c r="F72" s="25">
        <f>10799+12000</f>
        <v>22799</v>
      </c>
      <c r="G72" s="26">
        <v>0.11</v>
      </c>
      <c r="H72" s="6">
        <f>1238.64+7511.99+1488.12+943.6+2409.94+3235.5+687.43+114.69+2206.27+554.87+4564.36</f>
        <v>24955.41</v>
      </c>
      <c r="I72" s="25">
        <f>1488+2684+8118</f>
        <v>12290</v>
      </c>
      <c r="J72" s="25">
        <f>5524+1786+1302+1445</f>
        <v>10057</v>
      </c>
      <c r="K72" s="25">
        <f>6542+12323</f>
        <v>18865</v>
      </c>
      <c r="L72" s="33"/>
    </row>
    <row r="73" spans="1:12" x14ac:dyDescent="0.25">
      <c r="A73" s="31" t="s">
        <v>80</v>
      </c>
      <c r="B73" s="24" t="s">
        <v>80</v>
      </c>
      <c r="C73" s="25">
        <f>10000+1300+3333+7221</f>
        <v>21854</v>
      </c>
      <c r="D73" s="6"/>
      <c r="E73" s="6"/>
      <c r="F73" s="6"/>
      <c r="G73" s="26">
        <v>0.03</v>
      </c>
      <c r="H73" s="6">
        <f>4286.01+8676.03+1125.5+14253.91</f>
        <v>28341.45</v>
      </c>
      <c r="I73" s="6"/>
      <c r="J73" s="6"/>
      <c r="K73" s="6"/>
      <c r="L73" s="27"/>
    </row>
    <row r="74" spans="1:12" ht="31.5" x14ac:dyDescent="0.25">
      <c r="A74" s="34" t="s">
        <v>58</v>
      </c>
      <c r="B74" s="34" t="s">
        <v>58</v>
      </c>
      <c r="C74" s="19">
        <f>C41+C23+C71+C72+C73</f>
        <v>225441</v>
      </c>
      <c r="D74" s="19">
        <f>D72+D71+D41+D23</f>
        <v>186916</v>
      </c>
      <c r="E74" s="19">
        <f>E72+E71+E41+E23</f>
        <v>144459.11111111112</v>
      </c>
      <c r="F74" s="19">
        <f>F72+F71+F23+F41</f>
        <v>144119</v>
      </c>
      <c r="G74" s="20">
        <f>G73+G72+G71+G41+G23</f>
        <v>0.93000000000000016</v>
      </c>
      <c r="H74" s="19">
        <f>H73+H72+H71+H41+H23</f>
        <v>263861.47000000003</v>
      </c>
      <c r="I74" s="19">
        <f>I72+I71+I41+I23</f>
        <v>152551</v>
      </c>
      <c r="J74" s="19">
        <f>J71+J72+J41+J23</f>
        <v>107621</v>
      </c>
      <c r="K74" s="19">
        <f>K71+K72+K41+K23</f>
        <v>140372</v>
      </c>
      <c r="L74" s="35"/>
    </row>
    <row r="75" spans="1:12" ht="31.5" x14ac:dyDescent="0.25">
      <c r="A75" s="31" t="s">
        <v>59</v>
      </c>
      <c r="B75" s="31" t="s">
        <v>59</v>
      </c>
      <c r="C75" s="6">
        <f>C74*0.07</f>
        <v>15780.87</v>
      </c>
      <c r="D75" s="6">
        <f>D74*0.07</f>
        <v>13084.12</v>
      </c>
      <c r="E75" s="6">
        <f>E74*0.07</f>
        <v>10112.13777777778</v>
      </c>
      <c r="F75" s="6">
        <f>F74*0.07</f>
        <v>10088.330000000002</v>
      </c>
      <c r="G75" s="26"/>
      <c r="H75" s="6">
        <f>H74*0.07</f>
        <v>18470.302900000002</v>
      </c>
      <c r="I75" s="6">
        <f>I74*0.07</f>
        <v>10678.570000000002</v>
      </c>
      <c r="J75" s="6">
        <f>J74*0.07</f>
        <v>7533.4700000000012</v>
      </c>
      <c r="K75" s="6">
        <f>K74*0.07</f>
        <v>9826.0400000000009</v>
      </c>
      <c r="L75" s="27"/>
    </row>
    <row r="76" spans="1:12" ht="31.5" x14ac:dyDescent="0.25">
      <c r="A76" s="34" t="s">
        <v>60</v>
      </c>
      <c r="B76" s="34" t="s">
        <v>60</v>
      </c>
      <c r="C76" s="19">
        <f>C74+C75</f>
        <v>241221.87</v>
      </c>
      <c r="D76" s="19">
        <f>SUM(D74:D75)</f>
        <v>200000.12</v>
      </c>
      <c r="E76" s="19">
        <f>SUM(E74:E75)</f>
        <v>154571.24888888889</v>
      </c>
      <c r="F76" s="19">
        <f>SUM(F74:F75)</f>
        <v>154207.33000000002</v>
      </c>
      <c r="G76" s="20"/>
      <c r="H76" s="19">
        <f>H74+H75</f>
        <v>282331.77290000004</v>
      </c>
      <c r="I76" s="19">
        <f>SUM(I74:I75)</f>
        <v>163229.57</v>
      </c>
      <c r="J76" s="19">
        <f>SUM(J74:J75)</f>
        <v>115154.47</v>
      </c>
      <c r="K76" s="19">
        <f>SUM(K74:K75)</f>
        <v>150198.04</v>
      </c>
      <c r="L76" s="35"/>
    </row>
    <row r="80" spans="1:12" x14ac:dyDescent="0.25">
      <c r="G80" s="36"/>
    </row>
  </sheetData>
  <pageMargins left="0.7" right="0.7" top="0.75" bottom="0.75" header="0.3" footer="0.3"/>
  <pageSetup scale="37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B20F-50AB-42DE-ACC6-0094C2FC5D84}">
  <sheetPr>
    <pageSetUpPr fitToPage="1"/>
  </sheetPr>
  <dimension ref="A1:Q16"/>
  <sheetViews>
    <sheetView tabSelected="1" workbookViewId="0">
      <selection activeCell="E7" sqref="E7"/>
    </sheetView>
  </sheetViews>
  <sheetFormatPr defaultRowHeight="15" x14ac:dyDescent="0.25"/>
  <cols>
    <col min="1" max="1" width="15.5703125" customWidth="1"/>
    <col min="2" max="2" width="10.5703125" customWidth="1"/>
    <col min="3" max="4" width="9.85546875" bestFit="1" customWidth="1"/>
    <col min="5" max="6" width="9.5703125" bestFit="1" customWidth="1"/>
    <col min="7" max="7" width="9.28515625" bestFit="1" customWidth="1"/>
    <col min="8" max="8" width="11.5703125" bestFit="1" customWidth="1"/>
    <col min="9" max="10" width="9.28515625" bestFit="1" customWidth="1"/>
    <col min="11" max="11" width="11.5703125" bestFit="1" customWidth="1"/>
    <col min="12" max="12" width="9.28515625" bestFit="1" customWidth="1"/>
    <col min="13" max="13" width="11.140625" customWidth="1"/>
    <col min="14" max="14" width="10.85546875" bestFit="1" customWidth="1"/>
    <col min="15" max="15" width="9.7109375" bestFit="1" customWidth="1"/>
    <col min="16" max="16" width="9.28515625" bestFit="1" customWidth="1"/>
    <col min="17" max="17" width="10.85546875" bestFit="1" customWidth="1"/>
  </cols>
  <sheetData>
    <row r="1" spans="1:17" ht="15.75" x14ac:dyDescent="0.25">
      <c r="A1" s="1" t="s">
        <v>81</v>
      </c>
      <c r="B1" s="1"/>
      <c r="C1" s="1"/>
      <c r="D1" s="1"/>
      <c r="E1" s="1"/>
      <c r="N1" s="41"/>
      <c r="O1" s="41"/>
      <c r="P1" s="41"/>
      <c r="Q1" s="41"/>
    </row>
    <row r="2" spans="1:17" x14ac:dyDescent="0.25">
      <c r="A2" s="5"/>
      <c r="B2" s="5"/>
      <c r="C2" s="5"/>
      <c r="D2" s="5"/>
      <c r="E2" s="5"/>
      <c r="N2" s="41"/>
      <c r="O2" s="41"/>
      <c r="P2" s="41"/>
      <c r="Q2" s="41"/>
    </row>
    <row r="3" spans="1:17" x14ac:dyDescent="0.25">
      <c r="A3" s="5" t="s">
        <v>77</v>
      </c>
      <c r="B3" s="5"/>
      <c r="C3" s="5"/>
      <c r="D3" s="5"/>
      <c r="E3" s="5"/>
      <c r="N3" s="41"/>
      <c r="O3" s="41"/>
      <c r="P3" s="41"/>
      <c r="Q3" s="41"/>
    </row>
    <row r="4" spans="1:17" ht="15.75" thickBot="1" x14ac:dyDescent="0.3">
      <c r="N4" s="41"/>
      <c r="O4" s="41"/>
      <c r="P4" s="41"/>
      <c r="Q4" s="41"/>
    </row>
    <row r="5" spans="1:17" ht="26.25" thickBot="1" x14ac:dyDescent="0.3">
      <c r="A5" s="39" t="s">
        <v>63</v>
      </c>
      <c r="B5" s="38" t="s">
        <v>125</v>
      </c>
      <c r="C5" s="42"/>
      <c r="D5" s="43"/>
      <c r="E5" s="38" t="s">
        <v>126</v>
      </c>
      <c r="F5" s="42"/>
      <c r="G5" s="44"/>
      <c r="H5" s="45" t="s">
        <v>127</v>
      </c>
      <c r="I5" s="46"/>
      <c r="J5" s="47"/>
      <c r="K5" s="45" t="s">
        <v>128</v>
      </c>
      <c r="L5" s="46"/>
      <c r="M5" s="47"/>
      <c r="N5" s="48" t="s">
        <v>74</v>
      </c>
      <c r="O5" s="48" t="s">
        <v>76</v>
      </c>
      <c r="P5" s="48" t="s">
        <v>132</v>
      </c>
      <c r="Q5" s="49" t="s">
        <v>75</v>
      </c>
    </row>
    <row r="6" spans="1:17" ht="26.25" thickBot="1" x14ac:dyDescent="0.3">
      <c r="A6" s="40"/>
      <c r="B6" s="2" t="s">
        <v>129</v>
      </c>
      <c r="C6" s="2" t="s">
        <v>130</v>
      </c>
      <c r="D6" s="2" t="s">
        <v>131</v>
      </c>
      <c r="E6" s="2" t="s">
        <v>129</v>
      </c>
      <c r="F6" s="2" t="s">
        <v>130</v>
      </c>
      <c r="G6" s="2" t="s">
        <v>131</v>
      </c>
      <c r="H6" s="2" t="s">
        <v>129</v>
      </c>
      <c r="I6" s="2" t="s">
        <v>130</v>
      </c>
      <c r="J6" s="2" t="s">
        <v>131</v>
      </c>
      <c r="K6" s="2" t="s">
        <v>129</v>
      </c>
      <c r="L6" s="2" t="s">
        <v>130</v>
      </c>
      <c r="M6" s="2" t="s">
        <v>131</v>
      </c>
      <c r="N6" s="50"/>
      <c r="O6" s="50"/>
      <c r="P6" s="50"/>
      <c r="Q6" s="51"/>
    </row>
    <row r="7" spans="1:17" ht="26.25" thickBot="1" x14ac:dyDescent="0.3">
      <c r="A7" s="3" t="s">
        <v>65</v>
      </c>
      <c r="B7" s="52">
        <v>58826.666666666672</v>
      </c>
      <c r="C7" s="52">
        <v>47061.333333333343</v>
      </c>
      <c r="D7" s="52">
        <v>11765.333333333336</v>
      </c>
      <c r="E7" s="52">
        <v>29853.119999999999</v>
      </c>
      <c r="F7" s="52">
        <v>23882.495999999999</v>
      </c>
      <c r="G7" s="52">
        <v>5970.6239999999998</v>
      </c>
      <c r="H7" s="52">
        <v>23180.1</v>
      </c>
      <c r="I7" s="52">
        <v>18544.079999999998</v>
      </c>
      <c r="J7" s="52">
        <v>4636.0199999999995</v>
      </c>
      <c r="K7" s="52">
        <v>28050</v>
      </c>
      <c r="L7" s="52">
        <v>22440</v>
      </c>
      <c r="M7" s="52">
        <v>5610</v>
      </c>
      <c r="N7" s="52">
        <f>B7+E7+H7+K7</f>
        <v>139909.88666666666</v>
      </c>
      <c r="O7" s="52">
        <f>C7+F7+I7+L7</f>
        <v>111927.90933333334</v>
      </c>
      <c r="P7" s="52">
        <f>D7+G7+J7+M7</f>
        <v>27981.977333333336</v>
      </c>
      <c r="Q7" s="52">
        <f>N7+O7+P7</f>
        <v>279819.77333333332</v>
      </c>
    </row>
    <row r="8" spans="1:17" ht="39" thickBot="1" x14ac:dyDescent="0.3">
      <c r="A8" s="3" t="s">
        <v>66</v>
      </c>
      <c r="B8" s="52">
        <v>1780</v>
      </c>
      <c r="C8" s="52">
        <v>1424</v>
      </c>
      <c r="D8" s="52">
        <v>356</v>
      </c>
      <c r="E8" s="52">
        <v>1050</v>
      </c>
      <c r="F8" s="52">
        <v>840</v>
      </c>
      <c r="G8" s="52">
        <v>210</v>
      </c>
      <c r="H8" s="52">
        <v>0</v>
      </c>
      <c r="I8" s="52">
        <v>0</v>
      </c>
      <c r="J8" s="52">
        <v>0</v>
      </c>
      <c r="K8" s="52">
        <v>7560</v>
      </c>
      <c r="L8" s="52">
        <v>6048</v>
      </c>
      <c r="M8" s="52">
        <v>1512</v>
      </c>
      <c r="N8" s="52">
        <f t="shared" ref="N8:P16" si="0">B8+E8+H8+K8</f>
        <v>10390</v>
      </c>
      <c r="O8" s="52">
        <f t="shared" si="0"/>
        <v>8312</v>
      </c>
      <c r="P8" s="52">
        <f t="shared" si="0"/>
        <v>2078</v>
      </c>
      <c r="Q8" s="52">
        <f t="shared" ref="Q8:Q16" si="1">N8+O8+P8</f>
        <v>20780</v>
      </c>
    </row>
    <row r="9" spans="1:17" ht="64.5" thickBot="1" x14ac:dyDescent="0.3">
      <c r="A9" s="3" t="s">
        <v>67</v>
      </c>
      <c r="B9" s="52">
        <v>1980</v>
      </c>
      <c r="C9" s="52">
        <v>1584</v>
      </c>
      <c r="D9" s="52">
        <v>396</v>
      </c>
      <c r="E9" s="52">
        <v>0</v>
      </c>
      <c r="F9" s="52">
        <v>0</v>
      </c>
      <c r="G9" s="52">
        <v>0</v>
      </c>
      <c r="H9" s="52">
        <v>5399.666666666667</v>
      </c>
      <c r="I9" s="52">
        <v>4319.7333333333336</v>
      </c>
      <c r="J9" s="52">
        <v>1079.9333333333334</v>
      </c>
      <c r="K9" s="52">
        <v>1050</v>
      </c>
      <c r="L9" s="52">
        <v>840</v>
      </c>
      <c r="M9" s="52">
        <v>210</v>
      </c>
      <c r="N9" s="52">
        <f t="shared" si="0"/>
        <v>8429.6666666666679</v>
      </c>
      <c r="O9" s="52">
        <f t="shared" si="0"/>
        <v>6743.7333333333336</v>
      </c>
      <c r="P9" s="52">
        <f t="shared" si="0"/>
        <v>1685.9333333333334</v>
      </c>
      <c r="Q9" s="52">
        <f t="shared" si="1"/>
        <v>16859.333333333336</v>
      </c>
    </row>
    <row r="10" spans="1:17" ht="26.25" thickBot="1" x14ac:dyDescent="0.3">
      <c r="A10" s="3" t="s">
        <v>68</v>
      </c>
      <c r="B10" s="52">
        <v>12844</v>
      </c>
      <c r="C10" s="52">
        <v>10275.200000000001</v>
      </c>
      <c r="D10" s="52">
        <v>2568.8000000000002</v>
      </c>
      <c r="E10" s="52">
        <v>3000</v>
      </c>
      <c r="F10" s="52">
        <v>2400</v>
      </c>
      <c r="G10" s="52">
        <v>600</v>
      </c>
      <c r="H10" s="52">
        <v>0</v>
      </c>
      <c r="I10" s="52">
        <v>0</v>
      </c>
      <c r="J10" s="52">
        <v>0</v>
      </c>
      <c r="K10" s="52">
        <v>1533.3333333333335</v>
      </c>
      <c r="L10" s="52">
        <v>1226.6666666666667</v>
      </c>
      <c r="M10" s="52">
        <v>306.66666666666669</v>
      </c>
      <c r="N10" s="52">
        <f t="shared" si="0"/>
        <v>17377.333333333332</v>
      </c>
      <c r="O10" s="52">
        <f t="shared" si="0"/>
        <v>13901.866666666667</v>
      </c>
      <c r="P10" s="52">
        <f t="shared" si="0"/>
        <v>3475.4666666666667</v>
      </c>
      <c r="Q10" s="52">
        <f t="shared" si="1"/>
        <v>34754.666666666664</v>
      </c>
    </row>
    <row r="11" spans="1:17" ht="15.75" thickBot="1" x14ac:dyDescent="0.3">
      <c r="A11" s="3" t="s">
        <v>69</v>
      </c>
      <c r="B11" s="52">
        <v>8940</v>
      </c>
      <c r="C11" s="52">
        <v>7152</v>
      </c>
      <c r="D11" s="52">
        <v>1788</v>
      </c>
      <c r="E11" s="52">
        <v>9104.8799999999992</v>
      </c>
      <c r="F11" s="52">
        <v>7283.9039999999995</v>
      </c>
      <c r="G11" s="52">
        <v>1820.9759999999999</v>
      </c>
      <c r="H11" s="52">
        <v>10700</v>
      </c>
      <c r="I11" s="52">
        <v>8560</v>
      </c>
      <c r="J11" s="52">
        <v>2140</v>
      </c>
      <c r="K11" s="52">
        <v>6160</v>
      </c>
      <c r="L11" s="52">
        <v>4928</v>
      </c>
      <c r="M11" s="52">
        <v>1232</v>
      </c>
      <c r="N11" s="52">
        <f t="shared" si="0"/>
        <v>34904.879999999997</v>
      </c>
      <c r="O11" s="52">
        <f t="shared" si="0"/>
        <v>27923.903999999999</v>
      </c>
      <c r="P11" s="52">
        <f t="shared" si="0"/>
        <v>6980.9759999999997</v>
      </c>
      <c r="Q11" s="52">
        <f t="shared" si="1"/>
        <v>69809.759999999995</v>
      </c>
    </row>
    <row r="12" spans="1:17" ht="39" thickBot="1" x14ac:dyDescent="0.3">
      <c r="A12" s="3" t="s">
        <v>70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f t="shared" si="0"/>
        <v>0</v>
      </c>
      <c r="O12" s="52">
        <f t="shared" si="0"/>
        <v>0</v>
      </c>
      <c r="P12" s="52">
        <f t="shared" si="0"/>
        <v>0</v>
      </c>
      <c r="Q12" s="52">
        <f t="shared" si="1"/>
        <v>0</v>
      </c>
    </row>
    <row r="13" spans="1:17" ht="39" thickBot="1" x14ac:dyDescent="0.3">
      <c r="A13" s="3" t="s">
        <v>71</v>
      </c>
      <c r="B13" s="52">
        <v>28349.666666666668</v>
      </c>
      <c r="C13" s="52">
        <v>22679.733333333337</v>
      </c>
      <c r="D13" s="52">
        <v>5669.9333333333343</v>
      </c>
      <c r="E13" s="52">
        <v>50449.799999999988</v>
      </c>
      <c r="F13" s="52">
        <v>40359.839999999997</v>
      </c>
      <c r="G13" s="52">
        <v>10089.959999999999</v>
      </c>
      <c r="H13" s="52">
        <v>32780</v>
      </c>
      <c r="I13" s="52">
        <v>26224</v>
      </c>
      <c r="J13" s="52">
        <v>6556</v>
      </c>
      <c r="K13" s="52">
        <v>27875.555555555555</v>
      </c>
      <c r="L13" s="52">
        <v>22300.444444444445</v>
      </c>
      <c r="M13" s="52">
        <v>5575.1111111111113</v>
      </c>
      <c r="N13" s="52">
        <f t="shared" si="0"/>
        <v>139455.02222222221</v>
      </c>
      <c r="O13" s="52">
        <f t="shared" si="0"/>
        <v>111564.01777777777</v>
      </c>
      <c r="P13" s="52">
        <f t="shared" si="0"/>
        <v>27891.004444444443</v>
      </c>
      <c r="Q13" s="52">
        <f t="shared" si="1"/>
        <v>278910.04444444441</v>
      </c>
    </row>
    <row r="14" spans="1:17" ht="26.25" thickBot="1" x14ac:dyDescent="0.3">
      <c r="A14" s="4" t="s">
        <v>72</v>
      </c>
      <c r="B14" s="53">
        <v>112720.33333333334</v>
      </c>
      <c r="C14" s="53">
        <v>90176.266666666677</v>
      </c>
      <c r="D14" s="53">
        <v>22544.066666666669</v>
      </c>
      <c r="E14" s="53">
        <v>93457.799999999988</v>
      </c>
      <c r="F14" s="53">
        <v>74766.239999999991</v>
      </c>
      <c r="G14" s="53">
        <v>18691.559999999998</v>
      </c>
      <c r="H14" s="53">
        <v>72059.766666666663</v>
      </c>
      <c r="I14" s="53">
        <v>57647.813333333332</v>
      </c>
      <c r="J14" s="53">
        <v>14411.953333333333</v>
      </c>
      <c r="K14" s="53">
        <v>72228.888888888891</v>
      </c>
      <c r="L14" s="53">
        <v>57783.111111111117</v>
      </c>
      <c r="M14" s="53">
        <v>14445.777777777779</v>
      </c>
      <c r="N14" s="54">
        <f t="shared" si="0"/>
        <v>350466.7888888889</v>
      </c>
      <c r="O14" s="54">
        <f t="shared" si="0"/>
        <v>280373.43111111107</v>
      </c>
      <c r="P14" s="54">
        <f t="shared" si="0"/>
        <v>70093.357777777768</v>
      </c>
      <c r="Q14" s="54">
        <f t="shared" si="1"/>
        <v>700933.5777777778</v>
      </c>
    </row>
    <row r="15" spans="1:17" ht="39" thickBot="1" x14ac:dyDescent="0.3">
      <c r="A15" s="3" t="s">
        <v>73</v>
      </c>
      <c r="B15" s="52">
        <v>7890.423333333335</v>
      </c>
      <c r="C15" s="52">
        <v>6312.3386666666684</v>
      </c>
      <c r="D15" s="52">
        <v>1578.0846666666671</v>
      </c>
      <c r="E15" s="52">
        <v>6542.0459999999994</v>
      </c>
      <c r="F15" s="52">
        <v>5233.6368000000002</v>
      </c>
      <c r="G15" s="52">
        <v>1308.4092000000001</v>
      </c>
      <c r="H15" s="52">
        <v>5044.1836666666668</v>
      </c>
      <c r="I15" s="52">
        <v>4035.3469333333337</v>
      </c>
      <c r="J15" s="52">
        <v>1008.8367333333334</v>
      </c>
      <c r="K15" s="52">
        <v>5056.0222222222228</v>
      </c>
      <c r="L15" s="52">
        <v>4044.8177777777787</v>
      </c>
      <c r="M15" s="52">
        <v>1011.2044444444447</v>
      </c>
      <c r="N15" s="52">
        <f t="shared" si="0"/>
        <v>24532.675222222224</v>
      </c>
      <c r="O15" s="52">
        <f t="shared" si="0"/>
        <v>19626.140177777783</v>
      </c>
      <c r="P15" s="52">
        <f t="shared" si="0"/>
        <v>4906.5350444444457</v>
      </c>
      <c r="Q15" s="52">
        <f t="shared" si="1"/>
        <v>49065.350444444455</v>
      </c>
    </row>
    <row r="16" spans="1:17" ht="15.75" thickBot="1" x14ac:dyDescent="0.3">
      <c r="A16" s="4" t="s">
        <v>64</v>
      </c>
      <c r="B16" s="53">
        <v>120610.75666666668</v>
      </c>
      <c r="C16" s="53">
        <v>96488.60533333334</v>
      </c>
      <c r="D16" s="53">
        <v>24122.151333333335</v>
      </c>
      <c r="E16" s="53">
        <v>99999.84599999999</v>
      </c>
      <c r="F16" s="53">
        <v>79999.876799999998</v>
      </c>
      <c r="G16" s="53">
        <v>19999.9692</v>
      </c>
      <c r="H16" s="53">
        <v>77103.950333333327</v>
      </c>
      <c r="I16" s="53">
        <v>61683.160266666666</v>
      </c>
      <c r="J16" s="53">
        <v>15420.790066666666</v>
      </c>
      <c r="K16" s="53">
        <v>77284.911111111112</v>
      </c>
      <c r="L16" s="53">
        <v>61827.928888888899</v>
      </c>
      <c r="M16" s="53">
        <v>15456.982222222225</v>
      </c>
      <c r="N16" s="54">
        <f t="shared" si="0"/>
        <v>374999.46411111113</v>
      </c>
      <c r="O16" s="54">
        <f t="shared" si="0"/>
        <v>299999.57128888892</v>
      </c>
      <c r="P16" s="54">
        <f t="shared" si="0"/>
        <v>74999.892822222231</v>
      </c>
      <c r="Q16" s="54">
        <f t="shared" si="1"/>
        <v>749998.92822222225</v>
      </c>
    </row>
  </sheetData>
  <mergeCells count="6">
    <mergeCell ref="A5:A6"/>
    <mergeCell ref="B5:D5"/>
    <mergeCell ref="E5:G5"/>
    <mergeCell ref="H5:J5"/>
    <mergeCell ref="K5:M5"/>
    <mergeCell ref="Q5:Q6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PBF project document </vt:lpstr>
      <vt:lpstr>Budget by UN cost category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HI User</cp:lastModifiedBy>
  <cp:lastPrinted>2019-07-11T07:05:44Z</cp:lastPrinted>
  <dcterms:created xsi:type="dcterms:W3CDTF">2017-11-15T21:17:43Z</dcterms:created>
  <dcterms:modified xsi:type="dcterms:W3CDTF">2019-07-29T08:51:41Z</dcterms:modified>
</cp:coreProperties>
</file>