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satou\Desktop\PBF 2019-2020\RAPPORTS PROJETS PBF\rapport annuel 2019\Election\"/>
    </mc:Choice>
  </mc:AlternateContent>
  <bookViews>
    <workbookView xWindow="0" yWindow="0" windowWidth="20490" windowHeight="7455"/>
  </bookViews>
  <sheets>
    <sheet name="-Budget" sheetId="1" r:id="rId1"/>
    <sheet name="Sheet2"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2" l="1"/>
  <c r="I16" i="2"/>
  <c r="I15" i="2"/>
  <c r="I14" i="2"/>
  <c r="D46" i="1" l="1"/>
  <c r="D48" i="1"/>
  <c r="D41" i="1"/>
  <c r="D12" i="1"/>
  <c r="J10" i="2" l="1"/>
  <c r="B16" i="2"/>
  <c r="J15" i="2" l="1"/>
  <c r="C43" i="1"/>
  <c r="G10" i="2"/>
  <c r="G7" i="2"/>
  <c r="L9" i="2" l="1"/>
  <c r="L7" i="2"/>
  <c r="B7" i="2"/>
  <c r="C7" i="2"/>
  <c r="J7" i="2"/>
  <c r="C42" i="1" l="1"/>
  <c r="L10" i="2"/>
  <c r="D36" i="1"/>
  <c r="D7" i="2" l="1"/>
  <c r="C9" i="1" l="1"/>
  <c r="C28" i="1" l="1"/>
  <c r="B10" i="2" l="1"/>
  <c r="H12" i="2" l="1"/>
  <c r="D10" i="2"/>
  <c r="G12" i="2" l="1"/>
  <c r="F12" i="2"/>
  <c r="D12" i="2"/>
  <c r="C12" i="2"/>
  <c r="B12" i="2"/>
  <c r="H11" i="2"/>
  <c r="G11" i="2"/>
  <c r="F11" i="2"/>
  <c r="D11" i="2"/>
  <c r="C11" i="2"/>
  <c r="B11" i="2"/>
  <c r="F10" i="2"/>
  <c r="D9" i="2"/>
  <c r="C9" i="2"/>
  <c r="B9" i="2"/>
  <c r="D8" i="2"/>
  <c r="C8" i="2"/>
  <c r="B8" i="2"/>
  <c r="D14" i="2" l="1"/>
  <c r="D15" i="2" s="1"/>
  <c r="B14" i="2"/>
  <c r="B15" i="2" s="1"/>
  <c r="C14" i="2"/>
  <c r="C15" i="2" s="1"/>
  <c r="C15" i="1"/>
  <c r="H14" i="2"/>
  <c r="H15" i="2" s="1"/>
  <c r="G14" i="2"/>
  <c r="F14" i="2"/>
  <c r="D16" i="2" l="1"/>
  <c r="F15" i="2"/>
  <c r="G15" i="2"/>
  <c r="G16" i="2" s="1"/>
  <c r="H16" i="2"/>
  <c r="F16" i="2"/>
  <c r="J12" i="2"/>
  <c r="J11" i="2"/>
  <c r="J9" i="2"/>
  <c r="C21" i="1"/>
  <c r="C17" i="1"/>
  <c r="C14" i="1" s="1"/>
  <c r="C19" i="1" s="1"/>
  <c r="H17" i="2" l="1"/>
  <c r="D25" i="1"/>
  <c r="D21" i="1"/>
  <c r="D14" i="1"/>
  <c r="D9" i="1"/>
  <c r="D19" i="1" l="1"/>
  <c r="C25" i="1" l="1"/>
  <c r="C16" i="2" l="1"/>
  <c r="D17" i="2" s="1"/>
  <c r="J8" i="2"/>
  <c r="J14" i="2" s="1"/>
  <c r="C41" i="1"/>
  <c r="J16" i="2" l="1"/>
  <c r="C46" i="1"/>
  <c r="C48" i="1" s="1"/>
  <c r="D33" i="1"/>
  <c r="C33" i="1"/>
  <c r="C49" i="1" l="1"/>
</calcChain>
</file>

<file path=xl/sharedStrings.xml><?xml version="1.0" encoding="utf-8"?>
<sst xmlns="http://schemas.openxmlformats.org/spreadsheetml/2006/main" count="95" uniqueCount="89">
  <si>
    <t>CATEGORIES</t>
  </si>
  <si>
    <t>TOTAL</t>
  </si>
  <si>
    <t>Tranche 2 (30%)</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</si>
  <si>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</si>
  <si>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</si>
  <si>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</si>
  <si>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</si>
  <si>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</si>
  <si>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</si>
  <si>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</si>
  <si>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 de personnel du projet si pas inclus dans les activites si-dessus</t>
  </si>
  <si>
    <t>Tableau 2 - Budget de projet PBF par categorie de cout de l'ONU</t>
  </si>
  <si>
    <t>Note: S'il s'agit d'une revision budgetaire, veuillez inclure des colonnes additionnelles pour montrer les changements</t>
  </si>
  <si>
    <t xml:space="preserve"> TOTAL PROJET</t>
  </si>
  <si>
    <t>2. Fournitures, produits de base, matériels</t>
  </si>
  <si>
    <t>3. Équipement, véhicules et mobilier (compte tenu de la dépréciation)</t>
  </si>
  <si>
    <t>4. Services contractuels</t>
  </si>
  <si>
    <t>5. Frais de déplacement</t>
  </si>
  <si>
    <t>7. Frais généraux de fonctionnement et autres coûts directs</t>
  </si>
  <si>
    <t>Sous-total</t>
  </si>
  <si>
    <t xml:space="preserve">8. Coûts indirects*  </t>
  </si>
  <si>
    <t>TOTAL $ pour Resultat 2:</t>
  </si>
  <si>
    <t>SOUS TOTAL DU BUDGET DE PROJET:</t>
  </si>
  <si>
    <t>Niveau de depense/ engagement actuel en USD (a remplir au moment des rapports de projet)</t>
  </si>
  <si>
    <r>
      <t xml:space="preserve">Budget par agence recipiendiaire en USD - Veuillez ajouter une nouvelle colonne par agence recipiendiaire 
</t>
    </r>
    <r>
      <rPr>
        <b/>
        <sz val="12"/>
        <color theme="1"/>
        <rFont val="Times New Roman"/>
        <family val="1"/>
      </rPr>
      <t>UNFPA</t>
    </r>
  </si>
  <si>
    <r>
      <t xml:space="preserve">Budget par agence recipiendiaire en USD - Veuillez ajouter une nouvelle colonne par agence recipiendiaire 
</t>
    </r>
    <r>
      <rPr>
        <b/>
        <sz val="12"/>
        <color theme="1"/>
        <rFont val="Times New Roman"/>
        <family val="1"/>
      </rPr>
      <t>PNUD</t>
    </r>
  </si>
  <si>
    <t xml:space="preserve">TOTAL $ pour Resultat 1: </t>
  </si>
  <si>
    <t xml:space="preserve">BUDGET TOTAL DU PROJET: </t>
  </si>
  <si>
    <t xml:space="preserve">Activite 1.1.4: </t>
  </si>
  <si>
    <t xml:space="preserve">Activite 2.2.3: </t>
  </si>
  <si>
    <t xml:space="preserve">Activite 2.2.4: </t>
  </si>
  <si>
    <t xml:space="preserve">Activite 2.2.5:  </t>
  </si>
  <si>
    <t xml:space="preserve">Activite 2.2.6: - </t>
  </si>
  <si>
    <t xml:space="preserve">Produit 2.3: </t>
  </si>
  <si>
    <t xml:space="preserve">Activite 2.3.1 : </t>
  </si>
  <si>
    <t xml:space="preserve">Activite 2.3.2:   </t>
  </si>
  <si>
    <t>Resultat 2:  La CENI, le CNDP et le CNDH ont des capacités renforcées et jouent leurs rôles dans la création de conditions favorables pour la préparation d’élections apaisées et inclusives en 2021</t>
  </si>
  <si>
    <t>PNUD</t>
  </si>
  <si>
    <t>UNFPA</t>
  </si>
  <si>
    <t xml:space="preserve">Produit 1.1. </t>
  </si>
  <si>
    <t xml:space="preserve">Les populations sont sensibilisées sur l’importance de l’acquisition des pièces d’état civil, carte d’identité et carte d’électeur dans l’enrôlement au niveau du fichier électoral </t>
  </si>
  <si>
    <t xml:space="preserve">Activite 1.1.1: </t>
  </si>
  <si>
    <t xml:space="preserve">Activite 1.1.2:  </t>
  </si>
  <si>
    <t xml:space="preserve">Organiser des Campagnes de sensibilisation sur la citoyenneté, et l’importance de la détention de pièces d’état civil pour une participation pacifique aux processus électoral </t>
  </si>
  <si>
    <t xml:space="preserve">Activite 1.1.3:  </t>
  </si>
  <si>
    <t>Sensibiliser les femmes et les jeunes dans les zones à risques pour leur participation responsable et citoyenne sur le processus électoral</t>
  </si>
  <si>
    <t xml:space="preserve">Produit 1.2. </t>
  </si>
  <si>
    <t>Une assistance technique et opérationnelle est apportée aux structures en charge de la production de des pièces d’état civil, cartes d’identité et carte d’électeur pour un enrôlement massif des femmes et des jeunes dans ces zones à risques</t>
  </si>
  <si>
    <t>Activite 1.2.1:</t>
  </si>
  <si>
    <t xml:space="preserve">Activite 1.2.2: </t>
  </si>
  <si>
    <t>Produit 2.1:</t>
  </si>
  <si>
    <t>Les capacités de la CENI sont renforcées pour accompagner le processus d’enrôlement des femmes et des jeunes dans les zones à risque</t>
  </si>
  <si>
    <t xml:space="preserve">Activite 2.1.1:  </t>
  </si>
  <si>
    <t xml:space="preserve">Activite 2.1.2: </t>
  </si>
  <si>
    <t xml:space="preserve">Produit 2.2: </t>
  </si>
  <si>
    <t xml:space="preserve">Budget S&amp;E du projet </t>
  </si>
  <si>
    <t xml:space="preserve">Activite 2.2.1: </t>
  </si>
  <si>
    <t xml:space="preserve">Activite 2.2.2: </t>
  </si>
  <si>
    <t xml:space="preserve">Communication/visibilité </t>
  </si>
  <si>
    <t>Couts operationnels si pas inclus dans les activites Ci-dessus</t>
  </si>
  <si>
    <t xml:space="preserve">Couts indirects (7%): </t>
  </si>
  <si>
    <t>Conduire des campagnes de sensibilisation et le recensement des populations en particulier les femmes et les jeunes ne disposant pas de pièces d'état civil par les cliniques juridiques</t>
  </si>
  <si>
    <t>Activité 1.2.3 :</t>
  </si>
  <si>
    <t xml:space="preserve">Activité 2.1.3: </t>
  </si>
  <si>
    <t>Appuyer les missions de la CNDH dans les régions de Tillaberi et de Diffa en tant que garant des Droits Humains en général et du Droit de vote en particulier</t>
  </si>
  <si>
    <t xml:space="preserve">Activite 2.2.5 : </t>
  </si>
  <si>
    <t xml:space="preserve">Activite 2.2.5: </t>
  </si>
  <si>
    <t xml:space="preserve">Activite 2.2.6: </t>
  </si>
  <si>
    <t>Appuyer l'organisation des dialogues intergénérationnels dans les communautés en vue de promouvoir la cohésion sociale</t>
  </si>
  <si>
    <t xml:space="preserve"> Appuyer les associations des jeunes et des étudiants pour l'organisation d'actions de sensibilisation en leur sein et à l'endroit de leurs pairs</t>
  </si>
  <si>
    <t xml:space="preserve">6. Communication/visibilité </t>
  </si>
  <si>
    <t>Tranche 1 (35%)</t>
  </si>
  <si>
    <t>Tranche 3 (35%)</t>
  </si>
  <si>
    <t xml:space="preserve">Activité 1.2.4 : </t>
  </si>
  <si>
    <t xml:space="preserve">Resultat 1: Le taux de participation des femmes et des jeunes en âge de voter est accru dans les zones reculées </t>
  </si>
  <si>
    <t>Appuyer les Associations, les ONG et les leaders pour l'organisation de campagne de sensibilisation communautaire de  proximité sur les sources de conflits liés au vote et autres droits</t>
  </si>
  <si>
    <r>
      <t xml:space="preserve">1. Personnel et autres employés (chargé de projet P2 (25%),  Spécialiste Genre (10%)  </t>
    </r>
    <r>
      <rPr>
        <sz val="10"/>
        <rFont val="Times New Roman"/>
        <family val="1"/>
      </rPr>
      <t>P3 Chargé de communication (40%), Consultance d'Appui Technique (30%)</t>
    </r>
  </si>
  <si>
    <t xml:space="preserve"> Organiser des audiences foraines pour la délivrance de pièces d’état civil dans les zones cibles surtout à l'endroit des jeunes et des femmes en âge de voter</t>
  </si>
  <si>
    <t>Elaborer un plan d’action conjoint d’information et de sensibilisation sur les mesures prises relatives au sources de conflit lié au processus électoral</t>
  </si>
  <si>
    <t>Signer un document d’engagement conjoint pour assurer un processus électoral inclusif</t>
  </si>
  <si>
    <t>Un consensus est trouvé entre les acteurs sur les différentes sources de conflits liés au processus électoral</t>
  </si>
  <si>
    <t>Organiser des concertations entre la CENI, le CNDP et le CNDH, et les services étatiques impliqués, sur les sources de conflits liés au processus electoral</t>
  </si>
  <si>
    <t xml:space="preserve">Mettre en place de cliniques juridiques dans les zones cibles pour la sensibilisation et le recensement des populations en particulier les femmes et les jeunes </t>
  </si>
  <si>
    <t>Mettre en place d’un dispositif mobile pour l’enrôlement massif au fichier électoral biométrique</t>
  </si>
  <si>
    <t xml:space="preserve">Former des membres de la CENI dans le suivi du processus d’enrôlement sur le terrain </t>
  </si>
  <si>
    <t xml:space="preserve">Appuyer techniquement et de façon opérationnelle la CENI dans la supervision et le suivi </t>
  </si>
  <si>
    <t xml:space="preserve">Organiser d’un atelier de réflexion regroupant tous les acteurs engagés dans le processus électoral </t>
  </si>
  <si>
    <t>Récolter les données de base sur les taux de participation des jeunes et des femmes lors des échéances passées dans les zones cibles du projet</t>
  </si>
  <si>
    <t>dépenses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</si>
</sst>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409]#,##0"/>
  </numFmts>
  <fonts count="1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4"/>
      <color theme="1"/>
      <name val="Times New Roman"/>
      <family val="1"/>
    </font>
    <font>
      <b/>
      <sz val="11"/>
      <color theme="0"/>
      <name val="Calibri"/>
      <family val="2"/>
      <scheme val="minor"/>
    </font>
    <font>
      <sz val="11"/>
      <color theme="0"/>
      <name val="Calibri"/>
      <family val="2"/>
      <scheme val="minor"/>
    </font>
    <font>
      <sz val="10"/>
      <name val="Times New Roman"/>
      <family val="1"/>
    </font>
    <font>
      <sz val="10"/>
      <color theme="0"/>
      <name val="Calibri"/>
      <family val="2"/>
    </font>
    <font>
      <b/>
      <sz val="24"/>
      <color theme="1"/>
      <name val="Calibri"/>
      <family val="2"/>
      <scheme val="minor"/>
    </font>
    <font>
      <sz val="10"/>
      <color theme="0"/>
      <name val="Times New Roman"/>
      <family val="1"/>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33">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6" fillId="0" borderId="0" xfId="0" applyFont="1"/>
    <xf numFmtId="0" fontId="7" fillId="0" borderId="0" xfId="0" applyFont="1"/>
    <xf numFmtId="0" fontId="8" fillId="0" borderId="0" xfId="0" applyFont="1"/>
    <xf numFmtId="0" fontId="1" fillId="0" borderId="2" xfId="0" applyFont="1"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vertical="center" wrapText="1"/>
    </xf>
    <xf numFmtId="164" fontId="2" fillId="0" borderId="1" xfId="1" applyNumberFormat="1" applyFont="1" applyBorder="1" applyAlignment="1">
      <alignment vertical="center" wrapText="1"/>
    </xf>
    <xf numFmtId="164" fontId="6" fillId="0" borderId="0" xfId="1" applyNumberFormat="1" applyFont="1"/>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164" fontId="2" fillId="6" borderId="4" xfId="1" applyNumberFormat="1" applyFont="1" applyFill="1" applyBorder="1" applyAlignment="1">
      <alignment vertical="center" wrapText="1"/>
    </xf>
    <xf numFmtId="0" fontId="1" fillId="6" borderId="4" xfId="0" applyFont="1" applyFill="1" applyBorder="1" applyAlignment="1">
      <alignment vertical="center" wrapText="1"/>
    </xf>
    <xf numFmtId="0" fontId="1" fillId="0" borderId="4" xfId="0" applyFont="1" applyFill="1" applyBorder="1" applyAlignment="1">
      <alignment vertical="center" wrapText="1"/>
    </xf>
    <xf numFmtId="0" fontId="1" fillId="0" borderId="4" xfId="0" applyFont="1" applyFill="1" applyBorder="1" applyAlignment="1">
      <alignment vertical="top" wrapText="1"/>
    </xf>
    <xf numFmtId="0" fontId="1" fillId="0" borderId="7" xfId="0" applyFont="1" applyBorder="1" applyAlignment="1">
      <alignment vertical="center" wrapText="1"/>
    </xf>
    <xf numFmtId="0" fontId="1" fillId="0" borderId="8" xfId="0" applyFont="1" applyBorder="1" applyAlignment="1">
      <alignment vertical="center" wrapText="1"/>
    </xf>
    <xf numFmtId="164" fontId="0" fillId="0" borderId="0" xfId="0" applyNumberFormat="1"/>
    <xf numFmtId="0" fontId="2" fillId="6" borderId="3" xfId="0" applyFont="1" applyFill="1" applyBorder="1" applyAlignment="1">
      <alignment horizontal="center" vertical="center" wrapText="1"/>
    </xf>
    <xf numFmtId="0" fontId="1" fillId="0" borderId="8" xfId="0" applyFont="1" applyFill="1" applyBorder="1" applyAlignment="1">
      <alignment vertical="top" wrapText="1"/>
    </xf>
    <xf numFmtId="0" fontId="1" fillId="0" borderId="10" xfId="0" applyFont="1" applyBorder="1" applyAlignment="1">
      <alignment horizontal="justify" vertical="center" wrapText="1"/>
    </xf>
    <xf numFmtId="165" fontId="5" fillId="0" borderId="0" xfId="0" applyNumberFormat="1" applyFont="1" applyFill="1" applyBorder="1" applyAlignment="1">
      <alignment horizontal="center" vertical="center" wrapText="1"/>
    </xf>
    <xf numFmtId="0" fontId="0" fillId="0" borderId="0" xfId="0" applyFill="1"/>
    <xf numFmtId="0" fontId="4"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165" fontId="4" fillId="0" borderId="0" xfId="0" applyNumberFormat="1" applyFont="1" applyFill="1" applyBorder="1" applyAlignment="1">
      <alignment horizontal="center" vertical="center" wrapText="1"/>
    </xf>
    <xf numFmtId="0" fontId="2" fillId="0" borderId="4" xfId="0" applyFont="1" applyBorder="1" applyAlignment="1">
      <alignment vertical="center" wrapText="1"/>
    </xf>
    <xf numFmtId="0" fontId="1" fillId="0" borderId="10" xfId="0" applyFont="1" applyBorder="1" applyAlignment="1">
      <alignment horizontal="left" wrapText="1"/>
    </xf>
    <xf numFmtId="0" fontId="0" fillId="0" borderId="10" xfId="0" applyBorder="1"/>
    <xf numFmtId="0" fontId="9" fillId="0" borderId="10" xfId="0" applyFont="1" applyBorder="1" applyAlignment="1">
      <alignment vertical="center" wrapText="1"/>
    </xf>
    <xf numFmtId="0" fontId="4" fillId="3" borderId="10" xfId="0" applyFont="1" applyFill="1" applyBorder="1" applyAlignment="1">
      <alignment horizontal="center" vertical="center" wrapText="1"/>
    </xf>
    <xf numFmtId="0" fontId="10" fillId="4" borderId="10" xfId="0" applyFont="1" applyFill="1" applyBorder="1" applyAlignment="1">
      <alignment vertical="center" wrapText="1"/>
    </xf>
    <xf numFmtId="164" fontId="0" fillId="0" borderId="10" xfId="0" applyNumberFormat="1" applyBorder="1"/>
    <xf numFmtId="0" fontId="1" fillId="0" borderId="10" xfId="0" applyFont="1" applyFill="1" applyBorder="1" applyAlignment="1">
      <alignment vertical="center" wrapText="1"/>
    </xf>
    <xf numFmtId="165" fontId="2" fillId="6" borderId="4" xfId="1" applyNumberFormat="1" applyFont="1" applyFill="1" applyBorder="1" applyAlignment="1">
      <alignment horizontal="center" vertical="center" wrapText="1"/>
    </xf>
    <xf numFmtId="165" fontId="2" fillId="0" borderId="4" xfId="1"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2" fillId="7" borderId="1" xfId="1" applyNumberFormat="1" applyFont="1" applyFill="1" applyBorder="1" applyAlignment="1">
      <alignment horizontal="center" vertical="center" wrapText="1"/>
    </xf>
    <xf numFmtId="165" fontId="1" fillId="0" borderId="4" xfId="1" applyNumberFormat="1" applyFont="1" applyBorder="1" applyAlignment="1">
      <alignment horizontal="center" vertical="center" wrapText="1"/>
    </xf>
    <xf numFmtId="165" fontId="0" fillId="0" borderId="1" xfId="0" applyNumberFormat="1" applyBorder="1" applyAlignment="1">
      <alignment horizontal="center"/>
    </xf>
    <xf numFmtId="165" fontId="2" fillId="0" borderId="1" xfId="1" applyNumberFormat="1" applyFont="1" applyBorder="1" applyAlignment="1">
      <alignment horizontal="center" vertical="center" wrapText="1"/>
    </xf>
    <xf numFmtId="165" fontId="2" fillId="6" borderId="4" xfId="0" applyNumberFormat="1" applyFont="1" applyFill="1" applyBorder="1" applyAlignment="1">
      <alignment horizontal="center" vertical="center" wrapText="1"/>
    </xf>
    <xf numFmtId="165" fontId="1" fillId="6" borderId="4" xfId="1" applyNumberFormat="1" applyFont="1" applyFill="1" applyBorder="1" applyAlignment="1">
      <alignment horizontal="center" vertical="center" wrapText="1"/>
    </xf>
    <xf numFmtId="165" fontId="2" fillId="0" borderId="4" xfId="1" applyNumberFormat="1" applyFont="1" applyFill="1" applyBorder="1" applyAlignment="1">
      <alignment horizontal="center" vertical="center" wrapText="1"/>
    </xf>
    <xf numFmtId="165" fontId="1" fillId="0" borderId="4" xfId="1" applyNumberFormat="1" applyFont="1" applyFill="1" applyBorder="1" applyAlignment="1">
      <alignment horizontal="center" vertical="center" wrapText="1"/>
    </xf>
    <xf numFmtId="165" fontId="0" fillId="0" borderId="10" xfId="0" applyNumberFormat="1" applyBorder="1" applyAlignment="1">
      <alignment horizontal="center" vertical="center"/>
    </xf>
    <xf numFmtId="165" fontId="5" fillId="0" borderId="10" xfId="0" applyNumberFormat="1" applyFont="1" applyBorder="1" applyAlignment="1">
      <alignment horizontal="center" vertical="center" wrapText="1"/>
    </xf>
    <xf numFmtId="165" fontId="0" fillId="0" borderId="12" xfId="0" applyNumberFormat="1" applyBorder="1"/>
    <xf numFmtId="165" fontId="0" fillId="0" borderId="11" xfId="0" applyNumberFormat="1" applyBorder="1"/>
    <xf numFmtId="165" fontId="0" fillId="0" borderId="10" xfId="0" applyNumberFormat="1" applyBorder="1"/>
    <xf numFmtId="165" fontId="0" fillId="0" borderId="0" xfId="0" applyNumberFormat="1"/>
    <xf numFmtId="165" fontId="5" fillId="4" borderId="10" xfId="0" applyNumberFormat="1" applyFont="1" applyFill="1" applyBorder="1" applyAlignment="1">
      <alignment horizontal="center" vertical="center" wrapText="1"/>
    </xf>
    <xf numFmtId="165" fontId="4" fillId="0" borderId="10" xfId="0" applyNumberFormat="1" applyFont="1" applyBorder="1" applyAlignment="1">
      <alignment horizontal="center" vertical="center" wrapText="1"/>
    </xf>
    <xf numFmtId="165" fontId="4" fillId="4" borderId="10" xfId="0" applyNumberFormat="1" applyFont="1" applyFill="1" applyBorder="1" applyAlignment="1">
      <alignment horizontal="center" vertical="center" wrapText="1"/>
    </xf>
    <xf numFmtId="165" fontId="9" fillId="0" borderId="0" xfId="0" applyNumberFormat="1" applyFont="1" applyFill="1" applyBorder="1" applyAlignment="1">
      <alignment vertical="center" wrapText="1"/>
    </xf>
    <xf numFmtId="165" fontId="10" fillId="0" borderId="0" xfId="0" applyNumberFormat="1" applyFont="1" applyFill="1" applyBorder="1" applyAlignment="1">
      <alignment vertical="center" wrapText="1"/>
    </xf>
    <xf numFmtId="9" fontId="0" fillId="0" borderId="0" xfId="2" applyFont="1"/>
    <xf numFmtId="0" fontId="2" fillId="7" borderId="1" xfId="0" applyFont="1" applyFill="1" applyBorder="1" applyAlignment="1">
      <alignment vertical="center" wrapText="1"/>
    </xf>
    <xf numFmtId="0" fontId="2" fillId="7" borderId="3" xfId="0" applyFont="1" applyFill="1" applyBorder="1" applyAlignment="1">
      <alignment vertical="center" wrapText="1"/>
    </xf>
    <xf numFmtId="0" fontId="2" fillId="6" borderId="13" xfId="0" applyFont="1" applyFill="1" applyBorder="1" applyAlignment="1">
      <alignment vertical="center" wrapText="1"/>
    </xf>
    <xf numFmtId="0" fontId="1" fillId="0" borderId="13" xfId="0" applyFont="1" applyBorder="1" applyAlignment="1">
      <alignment vertical="center" wrapText="1"/>
    </xf>
    <xf numFmtId="0" fontId="1" fillId="6" borderId="13" xfId="0" applyFont="1" applyFill="1" applyBorder="1" applyAlignment="1">
      <alignment vertical="center" wrapText="1"/>
    </xf>
    <xf numFmtId="0" fontId="1" fillId="0" borderId="13" xfId="0" applyFont="1" applyFill="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164" fontId="2" fillId="0" borderId="5" xfId="1" applyNumberFormat="1" applyFont="1" applyBorder="1" applyAlignment="1">
      <alignment vertical="center" wrapText="1"/>
    </xf>
    <xf numFmtId="0" fontId="1" fillId="0" borderId="10" xfId="0" applyFont="1" applyBorder="1" applyAlignment="1">
      <alignment vertical="center" wrapText="1"/>
    </xf>
    <xf numFmtId="165" fontId="2" fillId="0" borderId="8" xfId="1" applyNumberFormat="1" applyFont="1" applyBorder="1" applyAlignment="1">
      <alignment horizontal="center" vertical="center" wrapText="1"/>
    </xf>
    <xf numFmtId="1" fontId="9" fillId="0" borderId="0" xfId="0" applyNumberFormat="1" applyFont="1" applyFill="1" applyBorder="1" applyAlignment="1">
      <alignment vertical="center" wrapText="1"/>
    </xf>
    <xf numFmtId="0" fontId="2" fillId="8" borderId="4" xfId="0" applyFont="1" applyFill="1" applyBorder="1" applyAlignment="1">
      <alignment vertical="center" wrapText="1"/>
    </xf>
    <xf numFmtId="0" fontId="1" fillId="8" borderId="4" xfId="0" applyFont="1" applyFill="1" applyBorder="1" applyAlignment="1">
      <alignment vertical="center" wrapText="1"/>
    </xf>
    <xf numFmtId="165" fontId="2" fillId="8" borderId="10" xfId="1" applyNumberFormat="1" applyFont="1" applyFill="1" applyBorder="1" applyAlignment="1">
      <alignment horizontal="center" vertical="center" wrapText="1"/>
    </xf>
    <xf numFmtId="165" fontId="2" fillId="8" borderId="4" xfId="1" applyNumberFormat="1" applyFont="1" applyFill="1" applyBorder="1" applyAlignment="1">
      <alignment horizontal="center" vertical="center" wrapText="1"/>
    </xf>
    <xf numFmtId="0" fontId="1" fillId="0" borderId="15" xfId="0" applyFont="1" applyBorder="1" applyAlignment="1">
      <alignment vertical="center" wrapText="1"/>
    </xf>
    <xf numFmtId="165" fontId="2" fillId="0" borderId="10" xfId="1" applyNumberFormat="1" applyFont="1" applyBorder="1" applyAlignment="1">
      <alignment horizontal="center" vertical="center" wrapText="1"/>
    </xf>
    <xf numFmtId="0" fontId="14" fillId="8" borderId="0" xfId="0" applyFont="1" applyFill="1"/>
    <xf numFmtId="165" fontId="14" fillId="8" borderId="0" xfId="0" applyNumberFormat="1" applyFont="1" applyFill="1"/>
    <xf numFmtId="165" fontId="16" fillId="8" borderId="14" xfId="0" applyNumberFormat="1" applyFont="1" applyFill="1" applyBorder="1" applyAlignment="1">
      <alignment horizontal="center" vertical="center" wrapText="1"/>
    </xf>
    <xf numFmtId="0" fontId="13" fillId="8" borderId="0" xfId="0" applyFont="1" applyFill="1"/>
    <xf numFmtId="165" fontId="0" fillId="0" borderId="11" xfId="0" applyNumberFormat="1" applyBorder="1"/>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0" xfId="0" applyBorder="1"/>
    <xf numFmtId="0" fontId="4" fillId="2" borderId="0" xfId="0" applyFont="1" applyFill="1" applyBorder="1" applyAlignment="1">
      <alignment horizontal="center" vertical="center" wrapText="1"/>
    </xf>
    <xf numFmtId="165" fontId="4" fillId="0" borderId="0" xfId="0" applyNumberFormat="1" applyFont="1" applyBorder="1" applyAlignment="1">
      <alignment horizontal="center" vertical="center" wrapText="1"/>
    </xf>
    <xf numFmtId="165" fontId="4" fillId="0" borderId="14" xfId="0" applyNumberFormat="1" applyFont="1" applyBorder="1" applyAlignment="1">
      <alignment horizontal="center" vertical="center" wrapText="1"/>
    </xf>
    <xf numFmtId="165" fontId="4" fillId="4" borderId="0" xfId="0" applyNumberFormat="1" applyFont="1" applyFill="1" applyBorder="1" applyAlignment="1">
      <alignment horizontal="center" vertical="center" wrapText="1"/>
    </xf>
    <xf numFmtId="165" fontId="0" fillId="0" borderId="0" xfId="0" applyNumberFormat="1" applyBorder="1"/>
    <xf numFmtId="0" fontId="1" fillId="8" borderId="9" xfId="0" applyFont="1" applyFill="1" applyBorder="1" applyAlignment="1">
      <alignment vertical="top" wrapText="1"/>
    </xf>
    <xf numFmtId="0" fontId="1" fillId="8" borderId="1" xfId="0" applyFont="1" applyFill="1" applyBorder="1" applyAlignment="1">
      <alignment vertical="center" wrapText="1"/>
    </xf>
    <xf numFmtId="0" fontId="1" fillId="8" borderId="13" xfId="0" applyFont="1" applyFill="1" applyBorder="1" applyAlignment="1">
      <alignment vertical="center" wrapText="1"/>
    </xf>
    <xf numFmtId="0" fontId="1" fillId="8" borderId="3" xfId="0" applyFont="1" applyFill="1" applyBorder="1" applyAlignment="1">
      <alignment vertical="center" wrapText="1"/>
    </xf>
    <xf numFmtId="165" fontId="1" fillId="8" borderId="4" xfId="1" applyNumberFormat="1" applyFont="1" applyFill="1" applyBorder="1" applyAlignment="1">
      <alignment horizontal="center" vertical="center" wrapText="1"/>
    </xf>
    <xf numFmtId="0" fontId="1" fillId="8" borderId="10" xfId="0" applyFont="1" applyFill="1" applyBorder="1" applyAlignment="1">
      <alignment horizontal="justify" vertical="center" wrapText="1"/>
    </xf>
    <xf numFmtId="0" fontId="1" fillId="8" borderId="10" xfId="0" applyFont="1" applyFill="1" applyBorder="1" applyAlignment="1">
      <alignment vertical="top" wrapText="1"/>
    </xf>
    <xf numFmtId="0" fontId="1" fillId="8" borderId="10" xfId="0" applyFont="1" applyFill="1" applyBorder="1" applyAlignment="1">
      <alignment horizontal="left" wrapText="1"/>
    </xf>
    <xf numFmtId="0" fontId="17" fillId="8" borderId="0" xfId="0" applyFont="1" applyFill="1"/>
    <xf numFmtId="165" fontId="17" fillId="8" borderId="0" xfId="0" applyNumberFormat="1" applyFont="1" applyFill="1"/>
    <xf numFmtId="0" fontId="1" fillId="8" borderId="15" xfId="0" applyFont="1" applyFill="1" applyBorder="1" applyAlignment="1">
      <alignment vertical="center" wrapText="1"/>
    </xf>
    <xf numFmtId="0" fontId="0" fillId="8" borderId="10" xfId="0" applyFill="1" applyBorder="1"/>
    <xf numFmtId="0" fontId="1" fillId="8" borderId="10" xfId="0" applyFont="1" applyFill="1" applyBorder="1" applyAlignment="1">
      <alignment vertical="center" wrapText="1"/>
    </xf>
    <xf numFmtId="1" fontId="18" fillId="0" borderId="0" xfId="0" applyNumberFormat="1" applyFont="1" applyFill="1" applyBorder="1" applyAlignment="1">
      <alignment vertical="center" wrapText="1"/>
    </xf>
    <xf numFmtId="0" fontId="6" fillId="8" borderId="0" xfId="0" applyFont="1" applyFill="1"/>
    <xf numFmtId="164" fontId="6" fillId="8" borderId="0" xfId="0" applyNumberFormat="1" applyFont="1" applyFill="1"/>
    <xf numFmtId="9" fontId="6" fillId="8" borderId="0" xfId="2" applyFont="1" applyFill="1"/>
    <xf numFmtId="165" fontId="6" fillId="8" borderId="0" xfId="2" applyNumberFormat="1" applyFont="1" applyFill="1"/>
    <xf numFmtId="165" fontId="6" fillId="8" borderId="0" xfId="0" applyNumberFormat="1" applyFont="1" applyFill="1"/>
    <xf numFmtId="10" fontId="6" fillId="8" borderId="0" xfId="2" applyNumberFormat="1" applyFont="1" applyFill="1"/>
    <xf numFmtId="0" fontId="0" fillId="8" borderId="0" xfId="0" applyFill="1"/>
    <xf numFmtId="165" fontId="0" fillId="8" borderId="0" xfId="0" applyNumberFormat="1" applyFill="1"/>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2" fillId="7" borderId="1" xfId="0" applyFont="1" applyFill="1" applyBorder="1" applyAlignment="1">
      <alignment horizontal="left" vertical="center" wrapText="1"/>
    </xf>
    <xf numFmtId="165" fontId="2" fillId="7" borderId="1" xfId="0" applyNumberFormat="1" applyFont="1" applyFill="1" applyBorder="1" applyAlignment="1">
      <alignment horizontal="center" vertical="top" wrapText="1"/>
    </xf>
    <xf numFmtId="165" fontId="2" fillId="7" borderId="5" xfId="0" applyNumberFormat="1" applyFont="1" applyFill="1" applyBorder="1" applyAlignment="1">
      <alignment horizontal="center" vertical="top" wrapText="1"/>
    </xf>
    <xf numFmtId="164"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165" fontId="0" fillId="0" borderId="9" xfId="0" applyNumberFormat="1" applyBorder="1"/>
    <xf numFmtId="165" fontId="0" fillId="0" borderId="11" xfId="0" applyNumberFormat="1" applyBorder="1"/>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topLeftCell="A42" zoomScale="70" zoomScaleNormal="70" zoomScaleSheetLayoutView="100" workbookViewId="0">
      <selection activeCell="H46" sqref="H46"/>
    </sheetView>
  </sheetViews>
  <sheetFormatPr baseColWidth="10" defaultColWidth="9.140625" defaultRowHeight="15" x14ac:dyDescent="0.25"/>
  <cols>
    <col min="1" max="1" width="26.5703125" customWidth="1"/>
    <col min="2" max="2" width="51.28515625" customWidth="1"/>
    <col min="3" max="3" width="24.7109375" customWidth="1"/>
    <col min="4" max="4" width="25.5703125" customWidth="1"/>
    <col min="5" max="6" width="22.5703125" customWidth="1"/>
    <col min="7" max="7" width="20.85546875" customWidth="1"/>
    <col min="8" max="9" width="28.7109375" customWidth="1"/>
    <col min="10" max="10" width="34.140625" customWidth="1"/>
  </cols>
  <sheetData>
    <row r="1" spans="1:8" ht="21" x14ac:dyDescent="0.35">
      <c r="A1" s="8" t="s">
        <v>3</v>
      </c>
      <c r="B1" s="7"/>
      <c r="C1" s="7"/>
    </row>
    <row r="2" spans="1:8" ht="15.75" x14ac:dyDescent="0.25">
      <c r="A2" s="5"/>
      <c r="B2" s="5"/>
      <c r="C2" s="5"/>
    </row>
    <row r="3" spans="1:8" ht="15.75" x14ac:dyDescent="0.25">
      <c r="A3" s="5" t="s">
        <v>4</v>
      </c>
      <c r="B3" s="5"/>
      <c r="C3" s="5"/>
    </row>
    <row r="5" spans="1:8" ht="15.75" x14ac:dyDescent="0.25">
      <c r="A5" s="5" t="s">
        <v>5</v>
      </c>
    </row>
    <row r="6" spans="1:8" ht="15.75" thickBot="1" x14ac:dyDescent="0.3"/>
    <row r="7" spans="1:8" ht="138.75" customHeight="1" thickBot="1" x14ac:dyDescent="0.3">
      <c r="A7" s="1" t="s">
        <v>6</v>
      </c>
      <c r="B7" s="2" t="s">
        <v>7</v>
      </c>
      <c r="C7" s="11" t="s">
        <v>25</v>
      </c>
      <c r="D7" s="2" t="s">
        <v>24</v>
      </c>
      <c r="E7" s="2" t="s">
        <v>8</v>
      </c>
      <c r="F7" s="9" t="s">
        <v>23</v>
      </c>
      <c r="G7" s="2" t="s">
        <v>9</v>
      </c>
    </row>
    <row r="8" spans="1:8" ht="32.25" customHeight="1" thickBot="1" x14ac:dyDescent="0.3">
      <c r="A8" s="116" t="s">
        <v>74</v>
      </c>
      <c r="B8" s="117"/>
      <c r="C8" s="117"/>
      <c r="D8" s="117"/>
      <c r="E8" s="117"/>
      <c r="F8" s="117"/>
      <c r="G8" s="117"/>
    </row>
    <row r="9" spans="1:8" ht="93.75" customHeight="1" thickBot="1" x14ac:dyDescent="0.3">
      <c r="A9" s="14" t="s">
        <v>39</v>
      </c>
      <c r="B9" s="15" t="s">
        <v>40</v>
      </c>
      <c r="C9" s="40">
        <f>C10+C11+C12+C13-30000</f>
        <v>100000</v>
      </c>
      <c r="D9" s="40">
        <f>D10+D11+D12</f>
        <v>121664</v>
      </c>
      <c r="E9" s="15"/>
      <c r="F9" s="15"/>
      <c r="G9" s="65"/>
    </row>
    <row r="10" spans="1:8" ht="64.5" customHeight="1" thickBot="1" x14ac:dyDescent="0.3">
      <c r="A10" s="4" t="s">
        <v>41</v>
      </c>
      <c r="B10" s="3" t="s">
        <v>87</v>
      </c>
      <c r="C10" s="41">
        <v>50000</v>
      </c>
      <c r="D10" s="41">
        <v>0</v>
      </c>
      <c r="E10" s="3">
        <v>60</v>
      </c>
      <c r="F10" s="3"/>
      <c r="G10" s="66"/>
    </row>
    <row r="11" spans="1:8" ht="81.75" customHeight="1" thickBot="1" x14ac:dyDescent="0.3">
      <c r="A11" s="20" t="s">
        <v>42</v>
      </c>
      <c r="B11" s="21" t="s">
        <v>43</v>
      </c>
      <c r="C11" s="41">
        <v>50000</v>
      </c>
      <c r="D11" s="41">
        <v>0</v>
      </c>
      <c r="E11" s="3">
        <v>60</v>
      </c>
      <c r="F11" s="3"/>
      <c r="G11" s="66"/>
    </row>
    <row r="12" spans="1:8" ht="61.5" customHeight="1" thickBot="1" x14ac:dyDescent="0.3">
      <c r="A12" s="94" t="s">
        <v>44</v>
      </c>
      <c r="B12" s="95" t="s">
        <v>45</v>
      </c>
      <c r="C12" s="78">
        <v>30000</v>
      </c>
      <c r="D12" s="78">
        <f>124580-2916</f>
        <v>121664</v>
      </c>
      <c r="E12" s="76">
        <v>100</v>
      </c>
      <c r="F12" s="76">
        <v>6404</v>
      </c>
      <c r="G12" s="96"/>
    </row>
    <row r="13" spans="1:8" ht="121.5" hidden="1" customHeight="1" thickBot="1" x14ac:dyDescent="0.3">
      <c r="A13" s="4" t="s">
        <v>28</v>
      </c>
      <c r="B13" s="3"/>
      <c r="C13" s="41">
        <v>0</v>
      </c>
      <c r="D13" s="42"/>
      <c r="E13" s="3"/>
      <c r="F13" s="3"/>
      <c r="G13" s="66"/>
    </row>
    <row r="14" spans="1:8" ht="105.75" customHeight="1" thickBot="1" x14ac:dyDescent="0.3">
      <c r="A14" s="23" t="s">
        <v>46</v>
      </c>
      <c r="B14" s="17" t="s">
        <v>47</v>
      </c>
      <c r="C14" s="40">
        <f>SUM(C15:C18)</f>
        <v>975420</v>
      </c>
      <c r="D14" s="40">
        <f>D15+D16+D17+D18</f>
        <v>140000</v>
      </c>
      <c r="E14" s="16"/>
      <c r="F14" s="17"/>
      <c r="G14" s="67"/>
    </row>
    <row r="15" spans="1:8" ht="86.25" customHeight="1" thickBot="1" x14ac:dyDescent="0.3">
      <c r="A15" s="4" t="s">
        <v>48</v>
      </c>
      <c r="B15" s="3" t="s">
        <v>82</v>
      </c>
      <c r="C15" s="73">
        <f>275000-75000+5000</f>
        <v>205000</v>
      </c>
      <c r="D15" s="73">
        <v>0</v>
      </c>
      <c r="E15" s="21">
        <v>60</v>
      </c>
      <c r="F15" s="21"/>
      <c r="G15" s="66"/>
    </row>
    <row r="16" spans="1:8" ht="86.25" customHeight="1" thickBot="1" x14ac:dyDescent="0.3">
      <c r="A16" s="97" t="s">
        <v>49</v>
      </c>
      <c r="B16" s="104" t="s">
        <v>61</v>
      </c>
      <c r="C16" s="77">
        <v>70420</v>
      </c>
      <c r="D16" s="77">
        <v>140000</v>
      </c>
      <c r="E16" s="105">
        <v>60</v>
      </c>
      <c r="F16" s="106"/>
      <c r="G16" s="96"/>
      <c r="H16" s="3"/>
    </row>
    <row r="17" spans="1:7" ht="77.25" customHeight="1" thickBot="1" x14ac:dyDescent="0.3">
      <c r="A17" s="4" t="s">
        <v>62</v>
      </c>
      <c r="B17" s="79" t="s">
        <v>77</v>
      </c>
      <c r="C17" s="80">
        <f>470000-70000</f>
        <v>400000</v>
      </c>
      <c r="D17" s="80">
        <v>0</v>
      </c>
      <c r="E17" s="72"/>
      <c r="F17" s="72"/>
      <c r="G17" s="66"/>
    </row>
    <row r="18" spans="1:7" ht="51.75" customHeight="1" thickBot="1" x14ac:dyDescent="0.3">
      <c r="A18" s="4" t="s">
        <v>73</v>
      </c>
      <c r="B18" s="3" t="s">
        <v>83</v>
      </c>
      <c r="C18" s="41">
        <v>300000</v>
      </c>
      <c r="D18" s="41">
        <v>0</v>
      </c>
      <c r="E18" s="3"/>
      <c r="F18" s="3"/>
      <c r="G18" s="66"/>
    </row>
    <row r="19" spans="1:7" ht="33.75" customHeight="1" thickBot="1" x14ac:dyDescent="0.3">
      <c r="A19" s="63" t="s">
        <v>26</v>
      </c>
      <c r="B19" s="63"/>
      <c r="C19" s="43">
        <f>+C14+C9</f>
        <v>1075420</v>
      </c>
      <c r="D19" s="43">
        <f>D14+D9</f>
        <v>261664</v>
      </c>
      <c r="E19" s="123"/>
      <c r="F19" s="124"/>
      <c r="G19" s="125"/>
    </row>
    <row r="20" spans="1:7" ht="48" customHeight="1" thickBot="1" x14ac:dyDescent="0.3">
      <c r="A20" s="118" t="s">
        <v>36</v>
      </c>
      <c r="B20" s="119"/>
      <c r="C20" s="119"/>
      <c r="D20" s="119"/>
      <c r="E20" s="119"/>
      <c r="F20" s="119"/>
      <c r="G20" s="119"/>
    </row>
    <row r="21" spans="1:7" ht="100.5" customHeight="1" thickBot="1" x14ac:dyDescent="0.3">
      <c r="A21" s="14" t="s">
        <v>50</v>
      </c>
      <c r="B21" s="17" t="s">
        <v>51</v>
      </c>
      <c r="C21" s="40">
        <f>C22+C24</f>
        <v>80000</v>
      </c>
      <c r="D21" s="40">
        <f>D22+D23+D24</f>
        <v>50000</v>
      </c>
      <c r="E21" s="16"/>
      <c r="F21" s="17"/>
      <c r="G21" s="67"/>
    </row>
    <row r="22" spans="1:7" ht="52.5" customHeight="1" thickBot="1" x14ac:dyDescent="0.3">
      <c r="A22" s="4" t="s">
        <v>52</v>
      </c>
      <c r="B22" s="3" t="s">
        <v>84</v>
      </c>
      <c r="C22" s="41">
        <v>30000</v>
      </c>
      <c r="D22" s="41">
        <v>0</v>
      </c>
      <c r="E22" s="3"/>
      <c r="F22" s="3"/>
      <c r="G22" s="66"/>
    </row>
    <row r="23" spans="1:7" ht="103.5" customHeight="1" thickBot="1" x14ac:dyDescent="0.3">
      <c r="A23" s="97" t="s">
        <v>63</v>
      </c>
      <c r="B23" s="76" t="s">
        <v>64</v>
      </c>
      <c r="C23" s="78">
        <v>0</v>
      </c>
      <c r="D23" s="78">
        <v>50000</v>
      </c>
      <c r="E23" s="76"/>
      <c r="F23" s="76"/>
      <c r="G23" s="96"/>
    </row>
    <row r="24" spans="1:7" ht="68.25" customHeight="1" thickBot="1" x14ac:dyDescent="0.3">
      <c r="A24" s="4" t="s">
        <v>53</v>
      </c>
      <c r="B24" s="3" t="s">
        <v>85</v>
      </c>
      <c r="C24" s="41">
        <v>50000</v>
      </c>
      <c r="D24" s="41">
        <v>0</v>
      </c>
      <c r="E24" s="3"/>
      <c r="F24" s="3"/>
      <c r="G24" s="66"/>
    </row>
    <row r="25" spans="1:7" ht="68.25" customHeight="1" thickBot="1" x14ac:dyDescent="0.3">
      <c r="A25" s="15" t="s">
        <v>54</v>
      </c>
      <c r="B25" s="17" t="s">
        <v>80</v>
      </c>
      <c r="C25" s="40">
        <f>C26+C28+C39+C40</f>
        <v>112916</v>
      </c>
      <c r="D25" s="40">
        <f>D26+D28+D36+D38+D37+D39+D40</f>
        <v>355000</v>
      </c>
      <c r="E25" s="17"/>
      <c r="F25" s="17"/>
      <c r="G25" s="67"/>
    </row>
    <row r="26" spans="1:7" ht="77.25" customHeight="1" thickBot="1" x14ac:dyDescent="0.3">
      <c r="A26" s="97" t="s">
        <v>56</v>
      </c>
      <c r="B26" s="76" t="s">
        <v>86</v>
      </c>
      <c r="C26" s="78">
        <v>30000</v>
      </c>
      <c r="D26" s="78">
        <v>30000</v>
      </c>
      <c r="E26" s="76"/>
      <c r="F26" s="76"/>
      <c r="G26" s="96"/>
    </row>
    <row r="27" spans="1:7" ht="36" hidden="1" customHeight="1" thickBot="1" x14ac:dyDescent="0.3">
      <c r="A27" s="97"/>
      <c r="B27" s="76"/>
      <c r="C27" s="78">
        <v>0</v>
      </c>
      <c r="D27" s="98"/>
      <c r="E27" s="76"/>
      <c r="F27" s="76"/>
      <c r="G27" s="96"/>
    </row>
    <row r="28" spans="1:7" ht="85.5" customHeight="1" thickBot="1" x14ac:dyDescent="0.3">
      <c r="A28" s="97" t="s">
        <v>57</v>
      </c>
      <c r="B28" s="76" t="s">
        <v>81</v>
      </c>
      <c r="C28" s="78">
        <f>60000+2916</f>
        <v>62916</v>
      </c>
      <c r="D28" s="78">
        <v>30000</v>
      </c>
      <c r="E28" s="76"/>
      <c r="F28" s="76"/>
      <c r="G28" s="96"/>
    </row>
    <row r="29" spans="1:7" ht="25.5" hidden="1" customHeight="1" thickBot="1" x14ac:dyDescent="0.3">
      <c r="A29" s="4" t="s">
        <v>29</v>
      </c>
      <c r="B29" s="76"/>
      <c r="C29" s="45">
        <v>0</v>
      </c>
      <c r="D29" s="41">
        <v>0</v>
      </c>
      <c r="E29" s="3"/>
      <c r="F29" s="3"/>
      <c r="G29" s="66"/>
    </row>
    <row r="30" spans="1:7" ht="26.25" hidden="1" customHeight="1" thickBot="1" x14ac:dyDescent="0.3">
      <c r="A30" s="4" t="s">
        <v>30</v>
      </c>
      <c r="B30" s="76"/>
      <c r="C30" s="46">
        <v>0</v>
      </c>
      <c r="D30" s="44">
        <v>0</v>
      </c>
      <c r="E30" s="3"/>
      <c r="F30" s="3"/>
      <c r="G30" s="66"/>
    </row>
    <row r="31" spans="1:7" ht="22.5" hidden="1" customHeight="1" thickBot="1" x14ac:dyDescent="0.3">
      <c r="A31" s="4" t="s">
        <v>31</v>
      </c>
      <c r="B31" s="76"/>
      <c r="C31" s="41">
        <v>0</v>
      </c>
      <c r="D31" s="41">
        <v>0</v>
      </c>
      <c r="E31" s="3"/>
      <c r="F31" s="3"/>
      <c r="G31" s="66"/>
    </row>
    <row r="32" spans="1:7" ht="18" hidden="1" customHeight="1" thickBot="1" x14ac:dyDescent="0.3">
      <c r="A32" s="4" t="s">
        <v>32</v>
      </c>
      <c r="B32" s="76"/>
      <c r="C32" s="41">
        <v>0</v>
      </c>
      <c r="D32" s="44">
        <v>0</v>
      </c>
      <c r="E32" s="3"/>
      <c r="F32" s="3"/>
      <c r="G32" s="66"/>
    </row>
    <row r="33" spans="1:7" ht="29.25" hidden="1" customHeight="1" thickBot="1" x14ac:dyDescent="0.3">
      <c r="A33" s="17" t="s">
        <v>33</v>
      </c>
      <c r="B33" s="76"/>
      <c r="C33" s="47">
        <f>C34+C35</f>
        <v>0</v>
      </c>
      <c r="D33" s="48">
        <f>D34+D35</f>
        <v>0</v>
      </c>
      <c r="E33" s="17"/>
      <c r="F33" s="17"/>
      <c r="G33" s="67"/>
    </row>
    <row r="34" spans="1:7" ht="38.25" hidden="1" customHeight="1" thickBot="1" x14ac:dyDescent="0.3">
      <c r="A34" s="19" t="s">
        <v>34</v>
      </c>
      <c r="B34" s="76"/>
      <c r="C34" s="49">
        <v>0</v>
      </c>
      <c r="D34" s="50">
        <v>0</v>
      </c>
      <c r="E34" s="18"/>
      <c r="F34" s="18"/>
      <c r="G34" s="68"/>
    </row>
    <row r="35" spans="1:7" ht="19.5" hidden="1" customHeight="1" thickBot="1" x14ac:dyDescent="0.3">
      <c r="A35" s="24" t="s">
        <v>35</v>
      </c>
      <c r="B35" s="76"/>
      <c r="C35" s="49">
        <v>0</v>
      </c>
      <c r="D35" s="50">
        <v>0</v>
      </c>
      <c r="E35" s="18"/>
      <c r="F35" s="18"/>
      <c r="G35" s="68"/>
    </row>
    <row r="36" spans="1:7" ht="69.75" customHeight="1" thickBot="1" x14ac:dyDescent="0.3">
      <c r="A36" s="99" t="s">
        <v>29</v>
      </c>
      <c r="B36" s="100" t="s">
        <v>75</v>
      </c>
      <c r="C36" s="78">
        <v>0</v>
      </c>
      <c r="D36" s="78">
        <f>170000-25000</f>
        <v>145000</v>
      </c>
      <c r="E36" s="76"/>
      <c r="F36" s="76"/>
      <c r="G36" s="96"/>
    </row>
    <row r="37" spans="1:7" ht="51.75" customHeight="1" thickBot="1" x14ac:dyDescent="0.3">
      <c r="A37" s="99" t="s">
        <v>65</v>
      </c>
      <c r="B37" s="100" t="s">
        <v>69</v>
      </c>
      <c r="C37" s="78">
        <v>0</v>
      </c>
      <c r="D37" s="78">
        <v>100000</v>
      </c>
      <c r="E37" s="76"/>
      <c r="F37" s="76"/>
      <c r="G37" s="96"/>
    </row>
    <row r="38" spans="1:7" ht="56.25" customHeight="1" thickBot="1" x14ac:dyDescent="0.3">
      <c r="A38" s="101" t="s">
        <v>30</v>
      </c>
      <c r="B38" s="100" t="s">
        <v>68</v>
      </c>
      <c r="C38" s="78">
        <v>0</v>
      </c>
      <c r="D38" s="78">
        <v>50000</v>
      </c>
      <c r="E38" s="76"/>
      <c r="F38" s="76"/>
      <c r="G38" s="96"/>
    </row>
    <row r="39" spans="1:7" ht="63" customHeight="1" thickBot="1" x14ac:dyDescent="0.3">
      <c r="A39" s="25" t="s">
        <v>66</v>
      </c>
      <c r="B39" s="39" t="s">
        <v>79</v>
      </c>
      <c r="C39" s="49">
        <v>10000</v>
      </c>
      <c r="D39" s="50">
        <v>0</v>
      </c>
      <c r="E39" s="18"/>
      <c r="F39" s="18"/>
      <c r="G39" s="68"/>
    </row>
    <row r="40" spans="1:7" ht="56.25" customHeight="1" thickBot="1" x14ac:dyDescent="0.3">
      <c r="A40" s="33" t="s">
        <v>67</v>
      </c>
      <c r="B40" s="18" t="s">
        <v>78</v>
      </c>
      <c r="C40" s="49">
        <v>10000</v>
      </c>
      <c r="D40" s="41">
        <v>0</v>
      </c>
      <c r="E40" s="18"/>
      <c r="F40" s="18"/>
      <c r="G40" s="68"/>
    </row>
    <row r="41" spans="1:7" ht="29.25" customHeight="1" thickBot="1" x14ac:dyDescent="0.3">
      <c r="A41" s="64" t="s">
        <v>21</v>
      </c>
      <c r="B41" s="63"/>
      <c r="C41" s="43">
        <f>+C25+C21</f>
        <v>192916</v>
      </c>
      <c r="D41" s="43">
        <f>D25+D21</f>
        <v>405000</v>
      </c>
      <c r="E41" s="124"/>
      <c r="F41" s="124"/>
      <c r="G41" s="125"/>
    </row>
    <row r="42" spans="1:7" ht="63.75" customHeight="1" thickBot="1" x14ac:dyDescent="0.3">
      <c r="A42" s="1"/>
      <c r="B42" s="10" t="s">
        <v>10</v>
      </c>
      <c r="C42" s="49">
        <f>150000+23000+83208</f>
        <v>256208</v>
      </c>
      <c r="D42" s="49">
        <v>25000</v>
      </c>
      <c r="E42" s="10"/>
      <c r="F42" s="10">
        <v>24883</v>
      </c>
      <c r="G42" s="69"/>
    </row>
    <row r="43" spans="1:7" ht="50.25" customHeight="1" thickBot="1" x14ac:dyDescent="0.3">
      <c r="A43" s="1"/>
      <c r="B43" s="10" t="s">
        <v>59</v>
      </c>
      <c r="C43" s="49">
        <f>69000</f>
        <v>69000</v>
      </c>
      <c r="D43" s="49">
        <v>0</v>
      </c>
      <c r="E43" s="10"/>
      <c r="F43" s="10"/>
      <c r="G43" s="69"/>
    </row>
    <row r="44" spans="1:7" ht="50.25" customHeight="1" thickBot="1" x14ac:dyDescent="0.3">
      <c r="A44" s="4"/>
      <c r="B44" s="75" t="s">
        <v>58</v>
      </c>
      <c r="C44" s="49">
        <v>54149</v>
      </c>
      <c r="D44" s="49">
        <v>26000</v>
      </c>
      <c r="E44" s="32"/>
      <c r="F44" s="32"/>
      <c r="G44" s="70"/>
    </row>
    <row r="45" spans="1:7" ht="36" customHeight="1" thickBot="1" x14ac:dyDescent="0.3">
      <c r="A45" s="4"/>
      <c r="B45" s="32" t="s">
        <v>55</v>
      </c>
      <c r="C45" s="49">
        <v>47300</v>
      </c>
      <c r="D45" s="49">
        <v>30000</v>
      </c>
      <c r="E45" s="3"/>
      <c r="F45" s="3"/>
      <c r="G45" s="66"/>
    </row>
    <row r="46" spans="1:7" ht="16.5" customHeight="1" thickBot="1" x14ac:dyDescent="0.3">
      <c r="A46" s="120" t="s">
        <v>22</v>
      </c>
      <c r="B46" s="120"/>
      <c r="C46" s="43">
        <f>C45+C43+C42+C41+C19+C44</f>
        <v>1694993</v>
      </c>
      <c r="D46" s="43">
        <f>D45+D44+D43+D42+D41+D19</f>
        <v>747664</v>
      </c>
      <c r="E46" s="124"/>
      <c r="F46" s="124"/>
      <c r="G46" s="125"/>
    </row>
    <row r="47" spans="1:7" ht="16.5" thickBot="1" x14ac:dyDescent="0.3">
      <c r="A47" s="10" t="s">
        <v>60</v>
      </c>
      <c r="B47" s="12"/>
      <c r="C47" s="46">
        <v>118650</v>
      </c>
      <c r="D47" s="46">
        <v>52336</v>
      </c>
      <c r="E47" s="12"/>
      <c r="F47" s="12"/>
      <c r="G47" s="71"/>
    </row>
    <row r="48" spans="1:7" ht="16.5" thickBot="1" x14ac:dyDescent="0.3">
      <c r="A48" s="10"/>
      <c r="B48" s="12"/>
      <c r="C48" s="46">
        <f>C46+C47</f>
        <v>1813643</v>
      </c>
      <c r="D48" s="46">
        <f>D47+D46</f>
        <v>800000</v>
      </c>
      <c r="E48" s="12"/>
      <c r="F48" s="12"/>
      <c r="G48" s="71"/>
    </row>
    <row r="49" spans="1:7" ht="16.5" customHeight="1" thickBot="1" x14ac:dyDescent="0.3">
      <c r="A49" s="120" t="s">
        <v>27</v>
      </c>
      <c r="B49" s="120"/>
      <c r="C49" s="121">
        <f>C48+D48</f>
        <v>2613643</v>
      </c>
      <c r="D49" s="121"/>
      <c r="E49" s="121"/>
      <c r="F49" s="121"/>
      <c r="G49" s="122"/>
    </row>
    <row r="52" spans="1:7" x14ac:dyDescent="0.25">
      <c r="C52" s="13"/>
    </row>
    <row r="53" spans="1:7" ht="31.5" x14ac:dyDescent="0.5">
      <c r="B53" s="102"/>
      <c r="C53" s="102"/>
      <c r="D53" s="103"/>
      <c r="E53" s="22"/>
    </row>
    <row r="55" spans="1:7" ht="25.5" customHeight="1" x14ac:dyDescent="0.25"/>
  </sheetData>
  <mergeCells count="8">
    <mergeCell ref="A8:G8"/>
    <mergeCell ref="A20:G20"/>
    <mergeCell ref="A49:B49"/>
    <mergeCell ref="C49:G49"/>
    <mergeCell ref="E19:G19"/>
    <mergeCell ref="E41:G41"/>
    <mergeCell ref="A46:B46"/>
    <mergeCell ref="E46:G46"/>
  </mergeCells>
  <pageMargins left="0.25" right="0.25" top="0.75" bottom="0.75" header="0.3" footer="0.3"/>
  <pageSetup scale="58" fitToHeight="0" orientation="landscape"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80" zoomScaleNormal="80" zoomScaleSheetLayoutView="100" workbookViewId="0">
      <selection activeCell="D11" sqref="D11"/>
    </sheetView>
  </sheetViews>
  <sheetFormatPr baseColWidth="10" defaultColWidth="9.140625" defaultRowHeight="15" x14ac:dyDescent="0.25"/>
  <cols>
    <col min="1" max="1" width="24.28515625" customWidth="1"/>
    <col min="2" max="2" width="16.85546875" customWidth="1"/>
    <col min="3" max="5" width="16.140625" customWidth="1"/>
    <col min="6" max="6" width="15.7109375" customWidth="1"/>
    <col min="7" max="9" width="14.7109375" customWidth="1"/>
    <col min="10" max="10" width="15.42578125" customWidth="1"/>
    <col min="11" max="11" width="19" customWidth="1"/>
    <col min="12" max="12" width="9.140625" style="81"/>
    <col min="13" max="13" width="28.140625" customWidth="1"/>
    <col min="14" max="14" width="13.5703125" customWidth="1"/>
    <col min="15" max="15" width="13.85546875" customWidth="1"/>
    <col min="16" max="16" width="14.140625" customWidth="1"/>
    <col min="17" max="17" width="13.140625" customWidth="1"/>
    <col min="18" max="18" width="13.5703125" customWidth="1"/>
    <col min="19" max="19" width="13.28515625" customWidth="1"/>
    <col min="20" max="20" width="11.42578125" customWidth="1"/>
  </cols>
  <sheetData>
    <row r="1" spans="1:25" ht="15.75" x14ac:dyDescent="0.25">
      <c r="A1" s="5" t="s">
        <v>11</v>
      </c>
      <c r="B1" s="5"/>
      <c r="C1" s="5"/>
      <c r="D1" s="5"/>
      <c r="E1" s="5"/>
      <c r="F1" s="5"/>
    </row>
    <row r="2" spans="1:25" x14ac:dyDescent="0.25">
      <c r="A2" s="6"/>
      <c r="B2" s="6"/>
      <c r="C2" s="6"/>
      <c r="D2" s="6"/>
      <c r="E2" s="6"/>
      <c r="F2" s="6"/>
    </row>
    <row r="3" spans="1:25" x14ac:dyDescent="0.25">
      <c r="A3" s="6" t="s">
        <v>12</v>
      </c>
      <c r="B3" s="6"/>
      <c r="C3" s="6"/>
      <c r="D3" s="6"/>
      <c r="E3" s="6"/>
      <c r="F3" s="6"/>
    </row>
    <row r="4" spans="1:25" x14ac:dyDescent="0.25">
      <c r="A4" s="34"/>
      <c r="B4" s="34"/>
      <c r="C4" s="34"/>
      <c r="D4" s="34"/>
      <c r="E4" s="34"/>
      <c r="F4" s="34"/>
      <c r="G4" s="34"/>
      <c r="H4" s="34"/>
      <c r="I4" s="34"/>
      <c r="J4" s="34"/>
      <c r="K4" s="88"/>
    </row>
    <row r="5" spans="1:25" ht="26.25" customHeight="1" x14ac:dyDescent="0.25">
      <c r="A5" s="128" t="s">
        <v>0</v>
      </c>
      <c r="B5" s="129" t="s">
        <v>37</v>
      </c>
      <c r="C5" s="130"/>
      <c r="D5" s="131"/>
      <c r="E5" s="86"/>
      <c r="F5" s="129" t="s">
        <v>38</v>
      </c>
      <c r="G5" s="130"/>
      <c r="H5" s="131"/>
      <c r="I5" s="87"/>
      <c r="J5" s="128" t="s">
        <v>13</v>
      </c>
      <c r="K5" s="89"/>
      <c r="M5" s="132"/>
      <c r="N5" s="132"/>
      <c r="O5" s="132"/>
      <c r="P5" s="132"/>
      <c r="Q5" s="132"/>
      <c r="R5" s="132"/>
      <c r="S5" s="132"/>
      <c r="T5" s="132"/>
      <c r="U5" s="27"/>
      <c r="V5" s="27"/>
      <c r="W5" s="27"/>
      <c r="X5" s="27"/>
      <c r="Y5" s="27"/>
    </row>
    <row r="6" spans="1:25" ht="26.25" customHeight="1" x14ac:dyDescent="0.25">
      <c r="A6" s="128"/>
      <c r="B6" s="36" t="s">
        <v>71</v>
      </c>
      <c r="C6" s="36" t="s">
        <v>2</v>
      </c>
      <c r="D6" s="36" t="s">
        <v>72</v>
      </c>
      <c r="E6" s="36" t="s">
        <v>88</v>
      </c>
      <c r="F6" s="36" t="s">
        <v>71</v>
      </c>
      <c r="G6" s="36" t="s">
        <v>2</v>
      </c>
      <c r="H6" s="36" t="s">
        <v>72</v>
      </c>
      <c r="I6" s="36" t="s">
        <v>88</v>
      </c>
      <c r="J6" s="128"/>
      <c r="K6" s="89"/>
      <c r="M6" s="132"/>
      <c r="N6" s="28"/>
      <c r="O6" s="28"/>
      <c r="P6" s="28"/>
      <c r="Q6" s="28"/>
      <c r="R6" s="28"/>
      <c r="S6" s="28"/>
      <c r="T6" s="132"/>
      <c r="U6" s="27"/>
      <c r="V6" s="27"/>
      <c r="W6" s="27"/>
      <c r="X6" s="27"/>
      <c r="Y6" s="27"/>
    </row>
    <row r="7" spans="1:25" ht="89.25" x14ac:dyDescent="0.25">
      <c r="A7" s="35" t="s">
        <v>76</v>
      </c>
      <c r="B7" s="51">
        <f>(150000/100*35)+37173</f>
        <v>89673</v>
      </c>
      <c r="C7" s="52">
        <f>(150000/100*30)+31863</f>
        <v>76863</v>
      </c>
      <c r="D7" s="52">
        <f>(150000/100*35)+37172</f>
        <v>89672</v>
      </c>
      <c r="E7" s="52"/>
      <c r="F7" s="52">
        <v>0</v>
      </c>
      <c r="G7" s="52">
        <f>25000</f>
        <v>25000</v>
      </c>
      <c r="H7" s="52">
        <v>0</v>
      </c>
      <c r="I7" s="52">
        <v>24883</v>
      </c>
      <c r="J7" s="58">
        <f>B7+C7+D7+F7+G7+H7</f>
        <v>281208</v>
      </c>
      <c r="K7" s="90"/>
      <c r="L7" s="82">
        <f>208021*40%</f>
        <v>83208.400000000009</v>
      </c>
      <c r="M7" s="60"/>
      <c r="N7" s="26"/>
      <c r="O7" s="26"/>
      <c r="P7" s="26"/>
      <c r="Q7" s="26"/>
      <c r="R7" s="26"/>
      <c r="S7" s="26"/>
      <c r="T7" s="26"/>
      <c r="U7" s="27"/>
      <c r="V7" s="27"/>
      <c r="W7" s="27"/>
      <c r="X7" s="27"/>
      <c r="Y7" s="27"/>
    </row>
    <row r="8" spans="1:25" ht="42" customHeight="1" x14ac:dyDescent="0.25">
      <c r="A8" s="35" t="s">
        <v>14</v>
      </c>
      <c r="B8" s="52">
        <f>40000/100*35</f>
        <v>14000</v>
      </c>
      <c r="C8" s="52">
        <f>40000/100*30</f>
        <v>12000</v>
      </c>
      <c r="D8" s="52">
        <f>40000/100*35</f>
        <v>14000</v>
      </c>
      <c r="E8" s="52"/>
      <c r="F8" s="52">
        <v>0</v>
      </c>
      <c r="G8" s="52">
        <v>0</v>
      </c>
      <c r="H8" s="52">
        <v>0</v>
      </c>
      <c r="I8" s="52"/>
      <c r="J8" s="58">
        <f t="shared" ref="J8:J12" si="0">B8+C8+D8+F8+G8+H8</f>
        <v>40000</v>
      </c>
      <c r="K8" s="91"/>
      <c r="L8" s="83">
        <v>23000</v>
      </c>
      <c r="M8" s="74"/>
      <c r="N8" s="26"/>
      <c r="O8" s="26"/>
      <c r="P8" s="26"/>
      <c r="Q8" s="26"/>
      <c r="R8" s="26"/>
      <c r="S8" s="26"/>
      <c r="T8" s="26"/>
      <c r="U8" s="27"/>
      <c r="V8" s="27"/>
      <c r="W8" s="27"/>
      <c r="X8" s="27"/>
      <c r="Y8" s="27"/>
    </row>
    <row r="9" spans="1:25" ht="65.25" customHeight="1" x14ac:dyDescent="0.25">
      <c r="A9" s="35" t="s">
        <v>15</v>
      </c>
      <c r="B9" s="52">
        <f>29000/100*35</f>
        <v>10150</v>
      </c>
      <c r="C9" s="52">
        <f>29000/100*30</f>
        <v>8700</v>
      </c>
      <c r="D9" s="52">
        <f>29000/100*35</f>
        <v>10150</v>
      </c>
      <c r="E9" s="52"/>
      <c r="F9" s="52">
        <v>0</v>
      </c>
      <c r="G9" s="52">
        <v>0</v>
      </c>
      <c r="H9" s="52">
        <v>0</v>
      </c>
      <c r="I9" s="52"/>
      <c r="J9" s="58">
        <f t="shared" si="0"/>
        <v>29000</v>
      </c>
      <c r="K9" s="90"/>
      <c r="L9" s="82">
        <f>SUM(L7:L8)</f>
        <v>106208.40000000001</v>
      </c>
      <c r="M9" s="74"/>
      <c r="N9" s="26"/>
      <c r="O9" s="26"/>
      <c r="P9" s="26"/>
      <c r="Q9" s="26"/>
      <c r="R9" s="26"/>
      <c r="S9" s="26"/>
      <c r="T9" s="26"/>
      <c r="U9" s="27"/>
      <c r="V9" s="27"/>
      <c r="W9" s="27"/>
      <c r="X9" s="27"/>
      <c r="Y9" s="27"/>
    </row>
    <row r="10" spans="1:25" ht="51.75" customHeight="1" x14ac:dyDescent="0.25">
      <c r="A10" s="35" t="s">
        <v>16</v>
      </c>
      <c r="B10" s="52">
        <f>1310000/100*35</f>
        <v>458500</v>
      </c>
      <c r="C10" s="52">
        <v>395916</v>
      </c>
      <c r="D10" s="52">
        <f>B10-44580</f>
        <v>413920</v>
      </c>
      <c r="E10" s="52"/>
      <c r="F10" s="52">
        <f>650000/100*35</f>
        <v>227500</v>
      </c>
      <c r="G10" s="52">
        <f>(650000/100*30)-25000</f>
        <v>170000</v>
      </c>
      <c r="H10" s="52">
        <v>269164</v>
      </c>
      <c r="I10" s="52"/>
      <c r="J10" s="58">
        <f>B10+C10+D10+F10+G10+H10</f>
        <v>1935000</v>
      </c>
      <c r="K10" s="90"/>
      <c r="L10" s="81">
        <f>+L9/2500000</f>
        <v>4.2483360000000005E-2</v>
      </c>
      <c r="M10" s="107">
        <f>F10+G10+H10</f>
        <v>666664</v>
      </c>
      <c r="N10" s="26"/>
      <c r="O10" s="26"/>
      <c r="P10" s="26"/>
      <c r="Q10" s="26"/>
      <c r="R10" s="26"/>
      <c r="S10" s="26"/>
      <c r="T10" s="26"/>
      <c r="U10" s="27"/>
      <c r="V10" s="27"/>
      <c r="W10" s="27"/>
      <c r="X10" s="27"/>
      <c r="Y10" s="27"/>
    </row>
    <row r="11" spans="1:25" ht="26.25" customHeight="1" x14ac:dyDescent="0.25">
      <c r="A11" s="35" t="s">
        <v>17</v>
      </c>
      <c r="B11" s="52">
        <f>47300/100*35</f>
        <v>16555</v>
      </c>
      <c r="C11" s="52">
        <f>47300/100*30</f>
        <v>14190</v>
      </c>
      <c r="D11" s="52">
        <f>47300/100*35</f>
        <v>16555</v>
      </c>
      <c r="E11" s="52"/>
      <c r="F11" s="52">
        <f>30000/100*35</f>
        <v>10500</v>
      </c>
      <c r="G11" s="52">
        <f>30000/100*30</f>
        <v>9000</v>
      </c>
      <c r="H11" s="52">
        <f>30000/100*35</f>
        <v>10500</v>
      </c>
      <c r="I11" s="52">
        <v>6404</v>
      </c>
      <c r="J11" s="58">
        <f t="shared" si="0"/>
        <v>77300</v>
      </c>
      <c r="K11" s="90"/>
      <c r="L11" s="82"/>
      <c r="M11" s="74"/>
      <c r="N11" s="26"/>
      <c r="O11" s="26"/>
      <c r="P11" s="26"/>
      <c r="Q11" s="26"/>
      <c r="R11" s="26"/>
      <c r="S11" s="26"/>
      <c r="T11" s="26"/>
      <c r="U11" s="27"/>
      <c r="V11" s="27"/>
      <c r="W11" s="27"/>
      <c r="X11" s="27"/>
      <c r="Y11" s="27"/>
    </row>
    <row r="12" spans="1:25" ht="77.25" customHeight="1" x14ac:dyDescent="0.25">
      <c r="A12" s="35" t="s">
        <v>70</v>
      </c>
      <c r="B12" s="52">
        <f>54149/100*35</f>
        <v>18952.150000000001</v>
      </c>
      <c r="C12" s="52">
        <f>54149/100*30</f>
        <v>16244.7</v>
      </c>
      <c r="D12" s="52">
        <f>54149/100*35</f>
        <v>18952.150000000001</v>
      </c>
      <c r="E12" s="52"/>
      <c r="F12" s="52">
        <f>26000/100*35</f>
        <v>9100</v>
      </c>
      <c r="G12" s="52">
        <f>26000/100*30</f>
        <v>7800</v>
      </c>
      <c r="H12" s="52">
        <f>26000/100*35</f>
        <v>9100</v>
      </c>
      <c r="I12" s="52"/>
      <c r="J12" s="58">
        <f t="shared" si="0"/>
        <v>80149</v>
      </c>
      <c r="K12" s="90"/>
      <c r="L12" s="82"/>
      <c r="M12" s="60"/>
      <c r="N12" s="26"/>
      <c r="O12" s="26"/>
      <c r="P12" s="26"/>
      <c r="Q12" s="26"/>
      <c r="R12" s="26"/>
      <c r="S12" s="26"/>
      <c r="T12" s="26"/>
      <c r="U12" s="27"/>
      <c r="V12" s="27"/>
      <c r="W12" s="27"/>
      <c r="X12" s="27"/>
      <c r="Y12" s="27"/>
    </row>
    <row r="13" spans="1:25" ht="64.5" customHeight="1" x14ac:dyDescent="0.25">
      <c r="A13" s="35" t="s">
        <v>18</v>
      </c>
      <c r="B13" s="52">
        <v>0</v>
      </c>
      <c r="C13" s="52">
        <v>0</v>
      </c>
      <c r="D13" s="52">
        <v>0</v>
      </c>
      <c r="E13" s="52"/>
      <c r="F13" s="52">
        <v>0</v>
      </c>
      <c r="G13" s="52">
        <v>0</v>
      </c>
      <c r="H13" s="52">
        <v>0</v>
      </c>
      <c r="I13" s="52"/>
      <c r="J13" s="58">
        <v>0</v>
      </c>
      <c r="K13" s="90"/>
      <c r="M13" s="29"/>
      <c r="N13" s="26"/>
      <c r="O13" s="26"/>
      <c r="P13" s="26"/>
      <c r="Q13" s="26"/>
      <c r="R13" s="26"/>
      <c r="S13" s="26"/>
      <c r="T13" s="26"/>
      <c r="U13" s="27"/>
      <c r="V13" s="27"/>
      <c r="W13" s="27"/>
      <c r="X13" s="27"/>
      <c r="Y13" s="27"/>
    </row>
    <row r="14" spans="1:25" ht="39" customHeight="1" x14ac:dyDescent="0.25">
      <c r="A14" s="37" t="s">
        <v>19</v>
      </c>
      <c r="B14" s="57">
        <f>SUM(B7:B13)</f>
        <v>607830.15</v>
      </c>
      <c r="C14" s="57">
        <f t="shared" ref="C14:D14" si="1">SUM(C7:C13)</f>
        <v>523913.7</v>
      </c>
      <c r="D14" s="57">
        <f t="shared" si="1"/>
        <v>563249.15</v>
      </c>
      <c r="E14" s="57"/>
      <c r="F14" s="57">
        <f t="shared" ref="F14:J14" si="2">SUM(F7:F13)</f>
        <v>247100</v>
      </c>
      <c r="G14" s="57">
        <f t="shared" si="2"/>
        <v>211800</v>
      </c>
      <c r="H14" s="57">
        <f t="shared" si="2"/>
        <v>288764</v>
      </c>
      <c r="I14" s="57">
        <f>I11+I7</f>
        <v>31287</v>
      </c>
      <c r="J14" s="59">
        <f t="shared" si="2"/>
        <v>2442657</v>
      </c>
      <c r="K14" s="92"/>
      <c r="M14" s="30"/>
      <c r="N14" s="31"/>
      <c r="O14" s="31"/>
      <c r="P14" s="31"/>
      <c r="Q14" s="31"/>
      <c r="R14" s="31"/>
      <c r="S14" s="31"/>
      <c r="T14" s="31"/>
      <c r="U14" s="27"/>
      <c r="V14" s="27"/>
      <c r="W14" s="27"/>
      <c r="X14" s="27"/>
      <c r="Y14" s="27"/>
    </row>
    <row r="15" spans="1:25" x14ac:dyDescent="0.25">
      <c r="A15" s="35" t="s">
        <v>20</v>
      </c>
      <c r="B15" s="52">
        <f t="shared" ref="B15:H15" si="3">B14*0.07</f>
        <v>42548.110500000003</v>
      </c>
      <c r="C15" s="52">
        <f t="shared" si="3"/>
        <v>36673.959000000003</v>
      </c>
      <c r="D15" s="52">
        <f t="shared" si="3"/>
        <v>39427.440500000004</v>
      </c>
      <c r="E15" s="52"/>
      <c r="F15" s="52">
        <f t="shared" si="3"/>
        <v>17297</v>
      </c>
      <c r="G15" s="52">
        <f t="shared" si="3"/>
        <v>14826.000000000002</v>
      </c>
      <c r="H15" s="52">
        <f t="shared" si="3"/>
        <v>20213.480000000003</v>
      </c>
      <c r="I15" s="52">
        <f>I14*0.07</f>
        <v>2190.09</v>
      </c>
      <c r="J15" s="58">
        <f>J14*0.07</f>
        <v>170985.99000000002</v>
      </c>
      <c r="K15" s="90"/>
      <c r="M15" s="60"/>
      <c r="N15" s="26"/>
      <c r="O15" s="31"/>
      <c r="P15" s="31"/>
      <c r="Q15" s="31"/>
      <c r="R15" s="31"/>
      <c r="S15" s="31"/>
      <c r="T15" s="26"/>
      <c r="U15" s="27"/>
      <c r="V15" s="27"/>
      <c r="W15" s="27"/>
      <c r="X15" s="27"/>
      <c r="Y15" s="27"/>
    </row>
    <row r="16" spans="1:25" x14ac:dyDescent="0.25">
      <c r="A16" s="37" t="s">
        <v>1</v>
      </c>
      <c r="B16" s="57">
        <f>SUM(B14:B15)</f>
        <v>650378.26049999997</v>
      </c>
      <c r="C16" s="57">
        <f t="shared" ref="C16:H16" si="4">SUM(C14:C15)</f>
        <v>560587.65899999999</v>
      </c>
      <c r="D16" s="57">
        <f t="shared" si="4"/>
        <v>602676.59050000005</v>
      </c>
      <c r="E16" s="57"/>
      <c r="F16" s="57">
        <f t="shared" si="4"/>
        <v>264397</v>
      </c>
      <c r="G16" s="57">
        <f t="shared" si="4"/>
        <v>226626</v>
      </c>
      <c r="H16" s="57">
        <f t="shared" si="4"/>
        <v>308977.48</v>
      </c>
      <c r="I16" s="57">
        <f>I15+I14</f>
        <v>33477.089999999997</v>
      </c>
      <c r="J16" s="59">
        <f>SUM(J14:J15)</f>
        <v>2613642.9900000002</v>
      </c>
      <c r="K16" s="92"/>
      <c r="M16" s="61"/>
      <c r="N16" s="31"/>
      <c r="O16" s="31"/>
      <c r="P16" s="31"/>
      <c r="Q16" s="31"/>
      <c r="R16" s="31"/>
      <c r="S16" s="31"/>
      <c r="T16" s="31"/>
      <c r="U16" s="27"/>
      <c r="V16" s="27"/>
      <c r="W16" s="27"/>
      <c r="X16" s="27"/>
      <c r="Y16" s="27"/>
    </row>
    <row r="17" spans="1:12" x14ac:dyDescent="0.25">
      <c r="A17" s="38"/>
      <c r="B17" s="126"/>
      <c r="C17" s="127"/>
      <c r="D17" s="53">
        <f>B16+C16+D16</f>
        <v>1813642.5099999998</v>
      </c>
      <c r="E17" s="53"/>
      <c r="F17" s="126"/>
      <c r="G17" s="127"/>
      <c r="H17" s="54">
        <f>F16+G16+H16</f>
        <v>800000.48</v>
      </c>
      <c r="I17" s="85"/>
      <c r="J17" s="55"/>
      <c r="K17" s="93"/>
    </row>
    <row r="18" spans="1:12" ht="30.75" customHeight="1" x14ac:dyDescent="0.25">
      <c r="B18" s="62"/>
      <c r="C18" s="62"/>
      <c r="D18" s="62"/>
      <c r="E18" s="62"/>
      <c r="H18" s="56"/>
      <c r="I18" s="56"/>
    </row>
    <row r="19" spans="1:12" s="108" customFormat="1" x14ac:dyDescent="0.25">
      <c r="B19" s="109"/>
      <c r="F19" s="110"/>
      <c r="G19" s="111"/>
      <c r="H19" s="110"/>
      <c r="I19" s="110"/>
      <c r="J19" s="112"/>
      <c r="K19" s="112"/>
      <c r="L19" s="84"/>
    </row>
    <row r="20" spans="1:12" s="108" customFormat="1" x14ac:dyDescent="0.25">
      <c r="G20" s="112"/>
      <c r="J20" s="113"/>
      <c r="K20" s="113"/>
      <c r="L20" s="84"/>
    </row>
    <row r="21" spans="1:12" s="114" customFormat="1" x14ac:dyDescent="0.25">
      <c r="C21" s="115"/>
      <c r="L21" s="81"/>
    </row>
    <row r="22" spans="1:12" x14ac:dyDescent="0.25">
      <c r="B22" s="56"/>
      <c r="C22" s="56"/>
      <c r="G22" s="56"/>
    </row>
    <row r="23" spans="1:12" x14ac:dyDescent="0.25">
      <c r="G23" s="56"/>
    </row>
  </sheetData>
  <mergeCells count="10">
    <mergeCell ref="T5:T6"/>
    <mergeCell ref="M5:M6"/>
    <mergeCell ref="N5:P5"/>
    <mergeCell ref="Q5:S5"/>
    <mergeCell ref="J5:J6"/>
    <mergeCell ref="F17:G17"/>
    <mergeCell ref="B17:C17"/>
    <mergeCell ref="A5:A6"/>
    <mergeCell ref="B5:D5"/>
    <mergeCell ref="F5:H5"/>
  </mergeCells>
  <pageMargins left="0.7" right="0.7" top="0.75" bottom="0.75" header="0.3" footer="0.3"/>
  <pageSetup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Hamsatou</cp:lastModifiedBy>
  <cp:lastPrinted>2019-11-14T10:00:19Z</cp:lastPrinted>
  <dcterms:created xsi:type="dcterms:W3CDTF">2017-11-15T21:17:43Z</dcterms:created>
  <dcterms:modified xsi:type="dcterms:W3CDTF">2019-11-14T10:01:32Z</dcterms:modified>
</cp:coreProperties>
</file>