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appoline.uwimbabazi\Desktop\PBF Secretariat\PBF secretariat\Rapports et CR\FAO-PAM\"/>
    </mc:Choice>
  </mc:AlternateContent>
  <bookViews>
    <workbookView xWindow="0" yWindow="0" windowWidth="19200" windowHeight="8200" activeTab="1"/>
  </bookViews>
  <sheets>
    <sheet name="par activités" sheetId="5" r:id="rId1"/>
    <sheet name="par categorie" sheetId="7" r:id="rId2"/>
  </sheets>
  <externalReferences>
    <externalReference r:id="rId3"/>
  </externalReferences>
  <definedNames>
    <definedName name="New_Print" localSheetId="0">'par activités'!$A$1:$M$49</definedName>
    <definedName name="_xlnm.Print_Area" localSheetId="0">'par activités'!$A$1:$M$49</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8" i="5" l="1"/>
  <c r="D15" i="7"/>
  <c r="G20" i="7"/>
  <c r="D20" i="7"/>
  <c r="L16" i="7"/>
  <c r="M15" i="7"/>
  <c r="L15" i="7"/>
  <c r="K15" i="7"/>
  <c r="L14" i="7"/>
  <c r="M14" i="7"/>
  <c r="K14" i="7"/>
  <c r="H49" i="5"/>
  <c r="H50" i="5" s="1"/>
  <c r="I49" i="5"/>
  <c r="I50" i="5" s="1"/>
  <c r="J49" i="5"/>
  <c r="K48" i="5"/>
  <c r="J48" i="5"/>
  <c r="I48" i="5"/>
  <c r="H48" i="5"/>
  <c r="N14" i="7" l="1"/>
  <c r="K49" i="5"/>
  <c r="K50" i="5" s="1"/>
  <c r="D43" i="5"/>
  <c r="C48" i="5"/>
  <c r="E49" i="5"/>
  <c r="C55" i="5"/>
  <c r="F48" i="5"/>
  <c r="E48" i="5"/>
  <c r="D49" i="5"/>
  <c r="D47" i="5"/>
  <c r="E14" i="7" l="1"/>
  <c r="E15" i="7" s="1"/>
  <c r="E16" i="7" s="1"/>
  <c r="F14" i="7" l="1"/>
  <c r="F16" i="7" l="1"/>
  <c r="N15" i="7"/>
  <c r="C15" i="7"/>
  <c r="I15" i="7" s="1"/>
  <c r="B15" i="7"/>
  <c r="K16" i="7"/>
  <c r="G14" i="7"/>
  <c r="G16" i="7" s="1"/>
  <c r="D14" i="7"/>
  <c r="M13" i="7"/>
  <c r="N13" i="7" s="1"/>
  <c r="C13" i="7"/>
  <c r="I13" i="7" s="1"/>
  <c r="B13" i="7"/>
  <c r="H13" i="7" s="1"/>
  <c r="M12" i="7"/>
  <c r="N12" i="7" s="1"/>
  <c r="I12" i="7"/>
  <c r="H12" i="7"/>
  <c r="M11" i="7"/>
  <c r="L11" i="7"/>
  <c r="H11" i="7"/>
  <c r="C11" i="7"/>
  <c r="C14" i="7" s="1"/>
  <c r="B11" i="7"/>
  <c r="N10" i="7"/>
  <c r="I10" i="7"/>
  <c r="H10" i="7"/>
  <c r="M9" i="7"/>
  <c r="N9" i="7" s="1"/>
  <c r="I9" i="7"/>
  <c r="B9" i="7"/>
  <c r="B14" i="7" s="1"/>
  <c r="H14" i="7" s="1"/>
  <c r="M8" i="7"/>
  <c r="L8" i="7"/>
  <c r="I8" i="7"/>
  <c r="H8" i="7"/>
  <c r="M7" i="7"/>
  <c r="L7" i="7"/>
  <c r="I7" i="7"/>
  <c r="H7" i="7"/>
  <c r="J7" i="7" s="1"/>
  <c r="J10" i="7" l="1"/>
  <c r="N11" i="7"/>
  <c r="H15" i="7"/>
  <c r="J15" i="7" s="1"/>
  <c r="J8" i="7"/>
  <c r="N8" i="7"/>
  <c r="D16" i="7"/>
  <c r="E17" i="7" s="1"/>
  <c r="J12" i="7"/>
  <c r="J13" i="7"/>
  <c r="G17" i="7"/>
  <c r="I14" i="7"/>
  <c r="C16" i="7"/>
  <c r="B16" i="7"/>
  <c r="N7" i="7"/>
  <c r="H9" i="7"/>
  <c r="J9" i="7" s="1"/>
  <c r="I11" i="7"/>
  <c r="J11" i="7" s="1"/>
  <c r="H16" i="7" l="1"/>
  <c r="J16" i="7" s="1"/>
  <c r="M16" i="7"/>
  <c r="N16" i="7" s="1"/>
  <c r="J14" i="7"/>
  <c r="I16" i="7"/>
  <c r="C17" i="7"/>
  <c r="D19" i="7" s="1"/>
  <c r="G19" i="7"/>
  <c r="K19" i="7" l="1"/>
  <c r="K20" i="7"/>
  <c r="N19" i="7"/>
  <c r="N20" i="7"/>
  <c r="I46" i="5"/>
  <c r="I38" i="5"/>
  <c r="I33" i="5"/>
  <c r="I32" i="5" s="1"/>
  <c r="I25" i="5" s="1"/>
  <c r="I18" i="5"/>
  <c r="I14" i="5"/>
  <c r="I10" i="5"/>
  <c r="I9" i="5" l="1"/>
  <c r="I43" i="5" s="1"/>
  <c r="I47" i="5" s="1"/>
  <c r="J38" i="5"/>
  <c r="J34" i="5"/>
  <c r="J33" i="5" s="1"/>
  <c r="J32" i="5" s="1"/>
  <c r="J25" i="5"/>
  <c r="J18" i="5"/>
  <c r="J14" i="5"/>
  <c r="J10" i="5"/>
  <c r="J9" i="5" l="1"/>
  <c r="J43" i="5" s="1"/>
  <c r="J47" i="5" s="1"/>
  <c r="J50" i="5" s="1"/>
  <c r="E33" i="5" l="1"/>
  <c r="E10" i="5"/>
  <c r="N9" i="5" l="1"/>
  <c r="C10" i="5"/>
  <c r="D10" i="5"/>
  <c r="H10" i="5"/>
  <c r="N10" i="5"/>
  <c r="U10" i="5" s="1"/>
  <c r="K11" i="5"/>
  <c r="N11" i="5"/>
  <c r="Q11" i="5"/>
  <c r="K12" i="5"/>
  <c r="N12" i="5"/>
  <c r="U12" i="5" s="1"/>
  <c r="K13" i="5"/>
  <c r="N13" i="5"/>
  <c r="U13" i="5" s="1"/>
  <c r="C14" i="5"/>
  <c r="D14" i="5"/>
  <c r="E14" i="5"/>
  <c r="H14" i="5"/>
  <c r="N14" i="5"/>
  <c r="U14" i="5" s="1"/>
  <c r="F15" i="5"/>
  <c r="K15" i="5"/>
  <c r="N15" i="5"/>
  <c r="U15" i="5" s="1"/>
  <c r="F16" i="5"/>
  <c r="K16" i="5"/>
  <c r="N16" i="5"/>
  <c r="U16" i="5" s="1"/>
  <c r="F17" i="5"/>
  <c r="K17" i="5"/>
  <c r="N17" i="5"/>
  <c r="U17" i="5" s="1"/>
  <c r="C18" i="5"/>
  <c r="D18" i="5"/>
  <c r="E18" i="5"/>
  <c r="H18" i="5"/>
  <c r="N18" i="5"/>
  <c r="U18" i="5" s="1"/>
  <c r="F19" i="5"/>
  <c r="K19" i="5"/>
  <c r="M19" i="5"/>
  <c r="N19" i="5"/>
  <c r="U19" i="5" s="1"/>
  <c r="F20" i="5"/>
  <c r="K20" i="5"/>
  <c r="M20" i="5"/>
  <c r="N20" i="5" s="1"/>
  <c r="U20" i="5" s="1"/>
  <c r="F21" i="5"/>
  <c r="K21" i="5"/>
  <c r="M21" i="5"/>
  <c r="N21" i="5" s="1"/>
  <c r="U21" i="5" s="1"/>
  <c r="F22" i="5"/>
  <c r="K22" i="5"/>
  <c r="M22" i="5"/>
  <c r="N22" i="5" s="1"/>
  <c r="U22" i="5" s="1"/>
  <c r="F23" i="5"/>
  <c r="K23" i="5"/>
  <c r="M23" i="5"/>
  <c r="N23" i="5" s="1"/>
  <c r="U23" i="5" s="1"/>
  <c r="F24" i="5"/>
  <c r="K24" i="5"/>
  <c r="N24" i="5"/>
  <c r="U24" i="5"/>
  <c r="C25" i="5"/>
  <c r="D25" i="5"/>
  <c r="E25" i="5"/>
  <c r="N25" i="5"/>
  <c r="U25" i="5" s="1"/>
  <c r="F26" i="5"/>
  <c r="K26" i="5"/>
  <c r="N26" i="5"/>
  <c r="U26" i="5" s="1"/>
  <c r="F27" i="5"/>
  <c r="K27" i="5"/>
  <c r="N27" i="5"/>
  <c r="Y27" i="5"/>
  <c r="F28" i="5"/>
  <c r="K28" i="5"/>
  <c r="N28" i="5"/>
  <c r="U28" i="5" s="1"/>
  <c r="F29" i="5"/>
  <c r="K29" i="5"/>
  <c r="N29" i="5"/>
  <c r="U29" i="5" s="1"/>
  <c r="F30" i="5"/>
  <c r="K30" i="5"/>
  <c r="M30" i="5"/>
  <c r="N30" i="5" s="1"/>
  <c r="U30" i="5" s="1"/>
  <c r="F31" i="5"/>
  <c r="K31" i="5"/>
  <c r="N31" i="5"/>
  <c r="U31" i="5" s="1"/>
  <c r="N32" i="5"/>
  <c r="U32" i="5" s="1"/>
  <c r="C33" i="5"/>
  <c r="D33" i="5"/>
  <c r="H33" i="5"/>
  <c r="K33" i="5" s="1"/>
  <c r="N33" i="5"/>
  <c r="U33" i="5" s="1"/>
  <c r="F34" i="5"/>
  <c r="K34" i="5"/>
  <c r="N34" i="5"/>
  <c r="U34" i="5" s="1"/>
  <c r="F35" i="5"/>
  <c r="K35" i="5"/>
  <c r="N35" i="5"/>
  <c r="U35" i="5" s="1"/>
  <c r="F36" i="5"/>
  <c r="K36" i="5"/>
  <c r="N36" i="5"/>
  <c r="U36" i="5"/>
  <c r="F37" i="5"/>
  <c r="K37" i="5"/>
  <c r="N37" i="5"/>
  <c r="U37" i="5" s="1"/>
  <c r="C38" i="5"/>
  <c r="D38" i="5"/>
  <c r="E38" i="5"/>
  <c r="H38" i="5"/>
  <c r="K38" i="5" s="1"/>
  <c r="N38" i="5"/>
  <c r="U38" i="5" s="1"/>
  <c r="F39" i="5"/>
  <c r="K39" i="5"/>
  <c r="N39" i="5"/>
  <c r="U39" i="5" s="1"/>
  <c r="F40" i="5"/>
  <c r="K40" i="5"/>
  <c r="M40" i="5"/>
  <c r="N40" i="5" s="1"/>
  <c r="U40" i="5" s="1"/>
  <c r="F41" i="5"/>
  <c r="K41" i="5"/>
  <c r="N41" i="5"/>
  <c r="U41" i="5" s="1"/>
  <c r="F42" i="5"/>
  <c r="K42" i="5"/>
  <c r="U42" i="5"/>
  <c r="U43" i="5"/>
  <c r="F44" i="5"/>
  <c r="K44" i="5"/>
  <c r="U44" i="5"/>
  <c r="F45" i="5"/>
  <c r="K45" i="5"/>
  <c r="U45" i="5"/>
  <c r="F46" i="5"/>
  <c r="K46" i="5"/>
  <c r="U46" i="5"/>
  <c r="U47" i="5"/>
  <c r="U48" i="5"/>
  <c r="P52" i="5"/>
  <c r="F33" i="5" l="1"/>
  <c r="O27" i="5"/>
  <c r="U27" i="5" s="1"/>
  <c r="K18" i="5"/>
  <c r="M42" i="5"/>
  <c r="K14" i="5"/>
  <c r="F25" i="5"/>
  <c r="F18" i="5"/>
  <c r="C43" i="5"/>
  <c r="C47" i="5" s="1"/>
  <c r="C49" i="5" s="1"/>
  <c r="H32" i="5"/>
  <c r="F38" i="5"/>
  <c r="F32" i="5" s="1"/>
  <c r="U11" i="5"/>
  <c r="F14" i="5"/>
  <c r="N52" i="5"/>
  <c r="K10" i="5"/>
  <c r="H25" i="5" l="1"/>
  <c r="K32" i="5"/>
  <c r="K25" i="5" l="1"/>
  <c r="H9" i="5"/>
  <c r="K9" i="5" l="1"/>
  <c r="H43" i="5"/>
  <c r="K43" i="5" l="1"/>
  <c r="H47" i="5"/>
  <c r="K47" i="5" l="1"/>
  <c r="L54" i="5" s="1"/>
  <c r="F13" i="5" l="1"/>
  <c r="F11" i="5"/>
  <c r="F10" i="5"/>
  <c r="E43" i="5"/>
  <c r="F43" i="5" s="1"/>
  <c r="F12" i="5"/>
  <c r="E47" i="5" l="1"/>
  <c r="F47" i="5" l="1"/>
  <c r="F49" i="5" l="1"/>
  <c r="O9" i="5"/>
  <c r="U9" i="5"/>
  <c r="U52" i="5"/>
</calcChain>
</file>

<file path=xl/comments1.xml><?xml version="1.0" encoding="utf-8"?>
<comments xmlns="http://schemas.openxmlformats.org/spreadsheetml/2006/main">
  <authors>
    <author>Windows User</author>
  </authors>
  <commentList>
    <comment ref="Y27" authorId="0" shapeId="0">
      <text>
        <r>
          <rPr>
            <b/>
            <sz val="9"/>
            <color indexed="81"/>
            <rFont val="Tahoma"/>
            <family val="2"/>
          </rPr>
          <t>Windows User:</t>
        </r>
        <r>
          <rPr>
            <sz val="9"/>
            <color indexed="81"/>
            <rFont val="Tahoma"/>
            <family val="2"/>
          </rPr>
          <t xml:space="preserve">
formation cartographie </t>
        </r>
      </text>
    </comment>
  </commentList>
</comments>
</file>

<file path=xl/sharedStrings.xml><?xml version="1.0" encoding="utf-8"?>
<sst xmlns="http://schemas.openxmlformats.org/spreadsheetml/2006/main" count="140" uniqueCount="128">
  <si>
    <t>CATEGORIES</t>
  </si>
  <si>
    <t>TOTAL</t>
  </si>
  <si>
    <t>Tranche 1 (70%)</t>
  </si>
  <si>
    <t>Tranche 2 (30%)</t>
  </si>
  <si>
    <t>Total tranche 1</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</si>
  <si>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</si>
  <si>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</si>
  <si>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</si>
  <si>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</si>
  <si>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</si>
  <si>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Notes quelconque le cas echeant (.e.g sur types des entrants ou justification du budget)</t>
  </si>
  <si>
    <t>Produit 1.2:</t>
  </si>
  <si>
    <t>Couts indirects (7%):</t>
  </si>
  <si>
    <t>Tableau 2 - Budget de projet PBF par categorie de cout de l'ONU</t>
  </si>
  <si>
    <t>Note: S'il s'agit d'une revision budgetaire, veuillez inclure des colonnes additionnelles pour montrer les changements</t>
  </si>
  <si>
    <t xml:space="preserve"> TOTAL PROJET</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</si>
  <si>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</si>
  <si>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</si>
  <si>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</si>
  <si>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</si>
  <si>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</si>
  <si>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</si>
  <si>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</si>
  <si>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</si>
  <si>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Niveau de depense/ engagement actuel en USD (a remplir au moment des rapports de projet)</t>
  </si>
  <si>
    <t>Les activités de lancement, de communication  et d’évaluation relatives au projet sont assurées</t>
  </si>
  <si>
    <t>organisation d’ateliers de lancement du projet et finalisation de manière participative du ciblage géographique</t>
  </si>
  <si>
    <t xml:space="preserve"> Activités de communication et de dissémination de bonnes pratiques autour du projet</t>
  </si>
  <si>
    <t xml:space="preserve"> Mise en œuvre des mission évaluation et de l’évaluation externe du projet </t>
  </si>
  <si>
    <t xml:space="preserve">Une typologie des conflits es réalisée et des enquêtes relatives aux besoins spécificiques des femmes et des jeunes dans le contexte du pastoralisme sont dispoibles </t>
  </si>
  <si>
    <t xml:space="preserve"> Des études pilotes relatifs aux besoins et attentes des femmes et des jeunes dans le contexte du pastoralisme sont lancées et leurs résultats intégrés dans le plan de suivi évaluation du projet (FAO Tc/Nig)</t>
  </si>
  <si>
    <t>Identification et partage des bonnes pratiques en matière de résolution des conflits en appui aux priorités de la CEDEAO</t>
  </si>
  <si>
    <t>FAO TCHAD</t>
  </si>
  <si>
    <t>PAM TCHAD</t>
  </si>
  <si>
    <t>FAO NIGER</t>
  </si>
  <si>
    <t>Resultat 1:l</t>
  </si>
  <si>
    <t xml:space="preserve">les conflits communautaires , au niveau régional (Diffa et Kanem) et transfrontaliers liés à la transhumance sont réduits </t>
  </si>
  <si>
    <t>Produit 1.1.</t>
  </si>
  <si>
    <t xml:space="preserve">A. 1.1.1 </t>
  </si>
  <si>
    <t>A.1. 1.2</t>
  </si>
  <si>
    <t>A.1. 1.3</t>
  </si>
  <si>
    <t>A. 1.2.1</t>
  </si>
  <si>
    <t>:Une typologie des conflits est finalisée et ses résultats intégrés dans le plan de suivi évaluation du projet (FAO Tchad/ Niger)</t>
  </si>
  <si>
    <t>A 1.2.2</t>
  </si>
  <si>
    <t>A 1.2.3</t>
  </si>
  <si>
    <t>Produit 1.3.</t>
  </si>
  <si>
    <t xml:space="preserve">Les mécanismes de prévention, de gestion et de réponses aux conflits transfrontaliers liés à la transhumance sont renforcés </t>
  </si>
  <si>
    <t>A.1.3.1.:</t>
  </si>
  <si>
    <t>Renforcement des  cadres de concertation et de dialogue intercommunautaire, régional et transfrontaliers  pour la prévention et la gestion des conflits</t>
  </si>
  <si>
    <t>A. 1.3.2:</t>
  </si>
  <si>
    <t>Renforcement des capacités des cadres de concertation régional des unions d’éleveurs, de la délégation régionale de l’élevage des CRA et autorités régionales en matière de planification et suivi de la gestion des ressources (FAO Tchad/ Niger)</t>
  </si>
  <si>
    <t>A. 1.3.3.</t>
  </si>
  <si>
    <t>Organisation des rencontres transfrontalières de partage d’expériences et d’information sur les thématiques majeures de conflits d’accès aux ressources pastorales et de la transhumance (FAO Tchad/ Niger</t>
  </si>
  <si>
    <t>A.1.3.4.</t>
  </si>
  <si>
    <t>Organisation d’actions de sensibilisation sur la cohabitation pacifique et la cohésion sociale lors des rencontres annuelles de cure salée et aux frontières (Tchad et Niger) (FAO Tchad/ Niger</t>
  </si>
  <si>
    <t xml:space="preserve">A.1.3.5. </t>
  </si>
  <si>
    <t>Renforcement du dispositif communautaire d’alerte précoce sur les risques potentiels de conflit et mise en relation avec mécanismes de réponses. (FAO/PAM Tchad et FAO Niger)</t>
  </si>
  <si>
    <t>A 1.3.6.</t>
  </si>
  <si>
    <t>Renforcement de la participation des femmes et des jeunes dans les cadres de concertation et dialogue intercommunautaire et faciliter la prise en compte et l’intégration des besoins spécifiques des femmes et des jeunes à travers les planifications communautaires participatives (FAO/PAM Tchad et FAO Niger)</t>
  </si>
  <si>
    <t>Produit 1.4.</t>
  </si>
  <si>
    <t>Des conditions favorables à la mobilité sont créées et favorisent les mouvements de transhumants dans les deux régions.</t>
  </si>
  <si>
    <t>A.1.4.1.</t>
  </si>
  <si>
    <t>Renforcement des capacités des maires, autorités coutumières, personnel des services techniques décentralisés , les associations agropastorales sur la mise en œuvre des textes en matière de gestion pastorale, la gestion des conflits (FAO Tchad et FAO Niger)</t>
  </si>
  <si>
    <t>A.1.4.2.</t>
  </si>
  <si>
    <t>Renforcement des capacités des services locaux décentralisés en cartographie (FAO Tchad + Niger)</t>
  </si>
  <si>
    <t>A.1.4.3.</t>
  </si>
  <si>
    <t>Réhabilitation des points d’eau et protection des pâturages au Kanem et Diffa à travers le cash for asset via une approche visant la cohésion sociale (PAM/FAO Tchad et FAO Niger)</t>
  </si>
  <si>
    <t>A.1.4.4</t>
  </si>
  <si>
    <t>Sécurisation et réhabilitation des couloirs de transhumance et sensibilisation des agropasteurs sur l’utilisation des couloirs. (PAM/FAO Tchad et FAO Niger)</t>
  </si>
  <si>
    <t>A.1.4.5.</t>
  </si>
  <si>
    <t>Appui aux communautés à renforcer une gestion partagée et pérenne des aires de pâturages à travers le cash for asset associant les transhumant et les communautés hôtes (PAM/FAO Tchad et FAO Niger)</t>
  </si>
  <si>
    <t>A1.4.6.</t>
  </si>
  <si>
    <t>Renforcement des capacités opérationnelles des équipes de surveillance épidémiologique le long de la frontière. (FAO Tchad et FAO Niger)</t>
  </si>
  <si>
    <t>Résultats 2:</t>
  </si>
  <si>
    <t>Les jeunes et les femmes, notamment ceux qui se sentent marginalisés entreprennent des activités génératrices de revenus et sont de plus en plus impliqués dans les processus de prise de décision locaux.</t>
  </si>
  <si>
    <t>Produit 2.1.</t>
  </si>
  <si>
    <t>Les jeunes et les femmes sont formés et équipés afin d’augmenter les opportunités d’emploi et accroitre leurs revenus de manière durable</t>
  </si>
  <si>
    <t>A.2.1.1.</t>
  </si>
  <si>
    <t>Les femmes et les jeunes sont appuyées à la production et commercialisation du lait (techniques de transformation du lait en fromage et produits dérivés du lait) et production / transformation des cultures maraichères, production fourragère autour des points d’eau et transport (FAO/PAM Tchad et FAO Niger)</t>
  </si>
  <si>
    <t>A.2.1.2.</t>
  </si>
  <si>
    <t>Des kits de transformation et équipements sont fournis pour la transformation des produits et la réduction des pertes (FAO Tchad et FAO Niger)</t>
  </si>
  <si>
    <t>A.2.1.3.</t>
  </si>
  <si>
    <t>La valorisation des produits et l’accès aux marchés sont facilités entre autres à travers les clubs Dimitra (FAO Tchad et FAO Niger)</t>
  </si>
  <si>
    <t>A.2.1.4</t>
  </si>
  <si>
    <t>Des partenariats avec l’office pour l’emploi des jeunes et ses structures décentralisées sont promus pour assurer la durabilité des interventions. (FAO Tchad et FAO Niger)</t>
  </si>
  <si>
    <t>Produit 2.2.</t>
  </si>
  <si>
    <t>Les processus de concertation et de décision locaux sont plus représentatifs des besoins des femmes et des jeunes et ces derniers y participent de manière active</t>
  </si>
  <si>
    <t>A.2.2.1.</t>
  </si>
  <si>
    <t>Mise en place de clubs Dimitra (écoute, échange et communication) et renforcement des capacités de ses membres sur les différentes thématiques (FAO Tchad et FAO Niger)</t>
  </si>
  <si>
    <t>A.2.2.2.</t>
  </si>
  <si>
    <t>Réalisations de sessions d’échanges entre clubs d’écoute communautaires et inter communautaires et transfrontaliers (FAO Tchad et FAO Niger)</t>
  </si>
  <si>
    <t>A.2.2.3.</t>
  </si>
  <si>
    <t>Sensibiliser et former les autorités administratives, conseil régional et élus locaux et les services techniques aux questions de participation des femmes et des jeunes et l’élaboration et la mise en œuvre des plans de développement locaux inclusifs et participatifs. (FAO Tchad et FAO Niger)</t>
  </si>
  <si>
    <t xml:space="preserve">A.2.2.4. </t>
  </si>
  <si>
    <t>Dissémination par les radios communautaires des bonnes pratiques relatives aux questions de participation, gestion des ressources naturelles et accès à la terre, égalité entre les sexes, représentation des jeunes e</t>
  </si>
  <si>
    <t xml:space="preserve">SOUS TOTAL DU BUDGET DE PROJET:                             </t>
  </si>
  <si>
    <t xml:space="preserve">frais généraux de fontionnement:                                                                                      </t>
  </si>
  <si>
    <t xml:space="preserve">frais de voyage et missions mise en œuvre, suivi </t>
  </si>
  <si>
    <t xml:space="preserve">Cout personnel  si pas inclus dans les activites si-dessus                                                    </t>
  </si>
  <si>
    <t>Total cout direct</t>
  </si>
  <si>
    <t xml:space="preserve">TOTAL   </t>
  </si>
  <si>
    <t>FAO Niger</t>
  </si>
  <si>
    <t xml:space="preserve">% budget pour chaque activite reserve pour action directe sur le genre </t>
  </si>
  <si>
    <t>PA</t>
  </si>
  <si>
    <t>salaire consultants</t>
  </si>
  <si>
    <t>Voyages</t>
  </si>
  <si>
    <t>Formations</t>
  </si>
  <si>
    <t>Frais généraux</t>
  </si>
  <si>
    <t xml:space="preserve">Formation en cartographie </t>
  </si>
  <si>
    <t>Cout total direct</t>
  </si>
  <si>
    <t xml:space="preserve">% prevu pour le genre </t>
  </si>
  <si>
    <t>Montant effectivement consomé pour genre</t>
  </si>
  <si>
    <t xml:space="preserve">1. Personnel et autres employés </t>
  </si>
  <si>
    <t>Budget prévu pour les activités genre</t>
  </si>
  <si>
    <r>
      <t>Budget par agence recipiendiaire en USD - Veuillez ajouter une nouvelle colonne par agence recipiendiaire (</t>
    </r>
    <r>
      <rPr>
        <b/>
        <sz val="12"/>
        <color theme="1"/>
        <rFont val="Times New Roman"/>
        <family val="1"/>
      </rPr>
      <t>1ère tranche)</t>
    </r>
  </si>
  <si>
    <t xml:space="preserve">Taux de consommation du budget </t>
  </si>
  <si>
    <t>Taux de coonsommation budgetaire par rapport à la première tranche</t>
  </si>
  <si>
    <t>Taux consommation budget global</t>
  </si>
  <si>
    <t>Taux consommation budget par rapport tranche 1</t>
  </si>
  <si>
    <t>Agence Recipiendaire FAO TCHAD</t>
  </si>
  <si>
    <t>Agence Recipiendaire PAM TCHAD</t>
  </si>
  <si>
    <t xml:space="preserve"> Agence Recipiendaire FAO NIGER</t>
  </si>
  <si>
    <t>Total Tranche 2</t>
  </si>
  <si>
    <t>FAO Tchad</t>
  </si>
  <si>
    <t>PAM Tchad</t>
  </si>
  <si>
    <t>FAO Nger</t>
  </si>
  <si>
    <t>Average</t>
  </si>
  <si>
    <t xml:space="preserve">Dépenses réalisées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</si>
</sst>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 _€_-;\-* #,##0\ _€_-;_-* &quot;-&quot;\ _€_-;_-@_-"/>
    <numFmt numFmtId="165" formatCode="_-* #,##0\ _€_-;\-* #,##0\ _€_-;_-* \-??\ _€_-;_-@_-"/>
    <numFmt numFmtId="166" formatCode="_-* #,##0.00\ _€_-;\-* #,##0.00\ _€_-;_-* \-??\ _€_-;_-@_-"/>
    <numFmt numFmtId="167" formatCode="_-* #,##0\ _€_-;\-* #,##0\ _€_-;_-* &quot;-&quot;??\ _€_-;_-@_-"/>
    <numFmt numFmtId="168" formatCode="0.000000000000000%"/>
    <numFmt numFmtId="169" formatCode="#,##0_);[Red]\(#,##0\);\–\ "/>
    <numFmt numFmtId="170" formatCode="_(* #,##0_);_(* \(#,##0\);_(* &quot;-&quot;??_);_(@_)"/>
  </numFmts>
  <fonts count="38" x14ac:knownFonts="1">
    <font>
      <sz val="11"/>
      <color theme="1"/>
      <name val="Calibri"/>
      <family val="2"/>
      <scheme val="minor"/>
    </font>
    <font>
      <sz val="12"/>
      <color theme="1"/>
      <name val="Times New Roman"/>
      <family val="1"/>
    </font>
    <font>
      <sz val="10"/>
      <color theme="1"/>
      <name val="Calibri"/>
      <family val="2"/>
    </font>
    <font>
      <sz val="11"/>
      <color theme="1"/>
      <name val="Calibri"/>
      <family val="2"/>
      <scheme val="minor"/>
    </font>
    <font>
      <sz val="11"/>
      <color indexed="8"/>
      <name val="Calibri"/>
      <family val="2"/>
      <charset val="1"/>
    </font>
    <font>
      <b/>
      <sz val="12"/>
      <color indexed="8"/>
      <name val="Calibri"/>
      <family val="2"/>
      <charset val="1"/>
    </font>
    <font>
      <b/>
      <sz val="14"/>
      <color indexed="8"/>
      <name val="Calibri"/>
      <family val="2"/>
      <charset val="1"/>
    </font>
    <font>
      <b/>
      <sz val="16"/>
      <color indexed="8"/>
      <name val="Calibri"/>
      <family val="2"/>
      <charset val="1"/>
    </font>
    <font>
      <sz val="10"/>
      <name val="Arial"/>
      <family val="2"/>
    </font>
    <font>
      <sz val="9"/>
      <color indexed="81"/>
      <name val="Tahoma"/>
      <family val="2"/>
    </font>
    <font>
      <b/>
      <sz val="9"/>
      <color indexed="81"/>
      <name val="Tahoma"/>
      <family val="2"/>
    </font>
    <font>
      <b/>
      <sz val="12"/>
      <color indexed="8"/>
      <name val="Times New Roman"/>
      <family val="1"/>
    </font>
    <font>
      <sz val="12"/>
      <color indexed="8"/>
      <name val="Times New Roman"/>
      <family val="1"/>
    </font>
    <font>
      <sz val="11"/>
      <color rgb="FFFF0000"/>
      <name val="Calibri"/>
      <family val="2"/>
      <charset val="1"/>
    </font>
    <font>
      <sz val="10"/>
      <color indexed="8"/>
      <name val="Calibri"/>
      <family val="2"/>
      <charset val="1"/>
    </font>
    <font>
      <b/>
      <sz val="10"/>
      <color indexed="8"/>
      <name val="Times New Roman"/>
      <family val="1"/>
      <charset val="1"/>
    </font>
    <font>
      <sz val="10"/>
      <color indexed="8"/>
      <name val="Times New Roman"/>
      <family val="1"/>
      <charset val="1"/>
    </font>
    <font>
      <b/>
      <sz val="10"/>
      <color indexed="8"/>
      <name val="Calibri"/>
      <family val="2"/>
      <charset val="1"/>
    </font>
    <font>
      <b/>
      <sz val="11"/>
      <color indexed="8"/>
      <name val="Calibri"/>
      <family val="2"/>
      <charset val="1"/>
    </font>
    <font>
      <b/>
      <sz val="10"/>
      <color indexed="8"/>
      <name val="Calibri"/>
      <family val="2"/>
    </font>
    <font>
      <b/>
      <sz val="10"/>
      <color theme="1"/>
      <name val="Calibri"/>
      <family val="2"/>
    </font>
    <font>
      <b/>
      <sz val="14"/>
      <name val="Calibri"/>
      <family val="2"/>
      <charset val="1"/>
    </font>
    <font>
      <b/>
      <sz val="12"/>
      <name val="Calibri"/>
      <family val="2"/>
      <charset val="1"/>
    </font>
    <font>
      <sz val="11"/>
      <name val="Calibri"/>
      <family val="2"/>
      <charset val="1"/>
    </font>
    <font>
      <sz val="11"/>
      <color indexed="8"/>
      <name val="Times New Roman"/>
      <family val="1"/>
    </font>
    <font>
      <b/>
      <sz val="12"/>
      <name val="Times New Roman"/>
      <family val="1"/>
    </font>
    <font>
      <b/>
      <i/>
      <sz val="12"/>
      <color indexed="8"/>
      <name val="Times New Roman"/>
      <family val="1"/>
    </font>
    <font>
      <b/>
      <i/>
      <sz val="12"/>
      <name val="Times New Roman"/>
      <family val="1"/>
    </font>
    <font>
      <sz val="11"/>
      <color theme="1"/>
      <name val="Times New Roman"/>
      <family val="1"/>
    </font>
    <font>
      <sz val="12"/>
      <name val="Times New Roman"/>
      <family val="1"/>
    </font>
    <font>
      <sz val="11"/>
      <name val="Times New Roman"/>
      <family val="1"/>
    </font>
    <font>
      <b/>
      <sz val="11"/>
      <color theme="1"/>
      <name val="Times New Roman"/>
      <family val="1"/>
    </font>
    <font>
      <b/>
      <sz val="11"/>
      <name val="Times New Roman"/>
      <family val="1"/>
    </font>
    <font>
      <b/>
      <sz val="12"/>
      <color theme="1"/>
      <name val="Times New Roman"/>
      <family val="1"/>
    </font>
    <font>
      <b/>
      <sz val="11"/>
      <color indexed="8"/>
      <name val="Times New Roman"/>
      <family val="1"/>
    </font>
    <font>
      <b/>
      <sz val="12"/>
      <color indexed="8"/>
      <name val="Calibri"/>
      <family val="2"/>
    </font>
    <font>
      <sz val="10"/>
      <color indexed="8"/>
      <name val="Calibri"/>
      <family val="2"/>
    </font>
    <font>
      <b/>
      <sz val="14"/>
      <color indexed="8"/>
      <name val="Calibri"/>
      <family val="2"/>
    </font>
  </fonts>
  <fills count="15">
    <fill>
      <patternFill patternType="none"/>
    </fill>
    <fill>
      <patternFill patternType="gray125"/>
    </fill>
    <fill>
      <patternFill patternType="solid">
        <fgColor rgb="FFD9D9D9"/>
        <bgColor indexed="64"/>
      </patternFill>
    </fill>
    <fill>
      <patternFill patternType="solid">
        <fgColor indexed="26"/>
        <bgColor indexed="31"/>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indexed="31"/>
        <bgColor indexed="26"/>
      </patternFill>
    </fill>
    <fill>
      <patternFill patternType="solid">
        <fgColor indexed="55"/>
        <bgColor indexed="22"/>
      </patternFill>
    </fill>
    <fill>
      <patternFill patternType="solid">
        <fgColor indexed="22"/>
        <bgColor indexed="55"/>
      </patternFill>
    </fill>
    <fill>
      <patternFill patternType="solid">
        <fgColor theme="4" tint="0.79998168889431442"/>
        <bgColor indexed="64"/>
      </patternFill>
    </fill>
    <fill>
      <patternFill patternType="solid">
        <fgColor theme="4" tint="0.79998168889431442"/>
        <bgColor indexed="31"/>
      </patternFill>
    </fill>
    <fill>
      <patternFill patternType="solid">
        <fgColor theme="4" tint="0.79998168889431442"/>
        <bgColor indexed="26"/>
      </patternFill>
    </fill>
    <fill>
      <patternFill patternType="solid">
        <fgColor rgb="FFFFFF00"/>
        <bgColor indexed="31"/>
      </patternFill>
    </fill>
    <fill>
      <patternFill patternType="solid">
        <fgColor theme="8" tint="0.39997558519241921"/>
        <bgColor indexed="64"/>
      </patternFill>
    </fill>
  </fills>
  <borders count="15">
    <border>
      <left/>
      <right/>
      <top/>
      <bottom/>
      <diagonal/>
    </border>
    <border>
      <left/>
      <right style="medium">
        <color rgb="FF000000"/>
      </right>
      <top/>
      <bottom style="medium">
        <color rgb="FF000000"/>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style="thin">
        <color indexed="64"/>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style="medium">
        <color indexed="8"/>
      </top>
      <bottom/>
      <diagonal/>
    </border>
    <border>
      <left/>
      <right/>
      <top style="thin">
        <color indexed="64"/>
      </top>
      <bottom/>
      <diagonal/>
    </border>
    <border>
      <left style="medium">
        <color indexed="8"/>
      </left>
      <right style="medium">
        <color indexed="8"/>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64"/>
      </left>
      <right style="medium">
        <color indexed="64"/>
      </right>
      <top style="medium">
        <color indexed="64"/>
      </top>
      <bottom style="medium">
        <color indexed="64"/>
      </bottom>
      <diagonal/>
    </border>
    <border>
      <left/>
      <right/>
      <top style="medium">
        <color indexed="8"/>
      </top>
      <bottom style="medium">
        <color indexed="64"/>
      </bottom>
      <diagonal/>
    </border>
  </borders>
  <cellStyleXfs count="10">
    <xf numFmtId="0" fontId="0" fillId="0" borderId="0"/>
    <xf numFmtId="9" fontId="3" fillId="0" borderId="0" applyFont="0" applyFill="0" applyBorder="0" applyAlignment="0" applyProtection="0"/>
    <xf numFmtId="0" fontId="4" fillId="0" borderId="0"/>
    <xf numFmtId="166" fontId="4" fillId="0" borderId="0"/>
    <xf numFmtId="9" fontId="4" fillId="0" borderId="0"/>
    <xf numFmtId="166" fontId="4" fillId="0" borderId="0"/>
    <xf numFmtId="0" fontId="8" fillId="0" borderId="0"/>
    <xf numFmtId="9" fontId="4" fillId="0" borderId="0"/>
    <xf numFmtId="43" fontId="3" fillId="0" borderId="0" applyFont="0" applyFill="0" applyBorder="0" applyAlignment="0" applyProtection="0"/>
    <xf numFmtId="0" fontId="3" fillId="0" borderId="0"/>
  </cellStyleXfs>
  <cellXfs count="126">
    <xf numFmtId="0" fontId="0" fillId="0" borderId="0" xfId="0"/>
    <xf numFmtId="0" fontId="4" fillId="0" borderId="0" xfId="2"/>
    <xf numFmtId="0" fontId="5" fillId="0" borderId="0" xfId="2" applyFont="1"/>
    <xf numFmtId="0" fontId="6" fillId="0" borderId="0" xfId="2" applyFont="1"/>
    <xf numFmtId="0" fontId="7" fillId="0" borderId="0" xfId="2" applyFont="1"/>
    <xf numFmtId="0" fontId="4" fillId="4" borderId="0" xfId="2" applyFill="1"/>
    <xf numFmtId="164" fontId="4" fillId="0" borderId="0" xfId="2" applyNumberFormat="1"/>
    <xf numFmtId="0" fontId="4" fillId="6" borderId="0" xfId="2" applyFill="1"/>
    <xf numFmtId="0" fontId="11" fillId="0" borderId="3" xfId="2" applyFont="1" applyBorder="1" applyAlignment="1">
      <alignment vertical="center" wrapText="1"/>
    </xf>
    <xf numFmtId="165" fontId="12" fillId="0" borderId="3" xfId="2" applyNumberFormat="1" applyFont="1" applyBorder="1" applyAlignment="1">
      <alignment vertical="center" wrapText="1"/>
    </xf>
    <xf numFmtId="43" fontId="4" fillId="0" borderId="0" xfId="2" applyNumberFormat="1"/>
    <xf numFmtId="168" fontId="4" fillId="0" borderId="0" xfId="2" applyNumberFormat="1"/>
    <xf numFmtId="1" fontId="4" fillId="0" borderId="0" xfId="2" applyNumberFormat="1"/>
    <xf numFmtId="0" fontId="13" fillId="0" borderId="0" xfId="2" applyFont="1"/>
    <xf numFmtId="3" fontId="4" fillId="0" borderId="0" xfId="2" applyNumberFormat="1"/>
    <xf numFmtId="3" fontId="14" fillId="0" borderId="4" xfId="2" applyNumberFormat="1" applyFont="1" applyBorder="1" applyAlignment="1">
      <alignment horizontal="right" vertical="center" wrapText="1"/>
    </xf>
    <xf numFmtId="3" fontId="14" fillId="7" borderId="4" xfId="2" applyNumberFormat="1" applyFont="1" applyFill="1" applyBorder="1" applyAlignment="1">
      <alignment horizontal="right" vertical="center" wrapText="1"/>
    </xf>
    <xf numFmtId="0" fontId="15" fillId="7" borderId="6" xfId="2" applyFont="1" applyFill="1" applyBorder="1" applyAlignment="1">
      <alignment vertical="center" wrapText="1"/>
    </xf>
    <xf numFmtId="169" fontId="2" fillId="0" borderId="1" xfId="9" applyNumberFormat="1" applyFont="1" applyBorder="1" applyAlignment="1">
      <alignment horizontal="right" vertical="center"/>
    </xf>
    <xf numFmtId="0" fontId="16" fillId="0" borderId="6" xfId="2" applyFont="1" applyBorder="1" applyAlignment="1">
      <alignment vertical="center" wrapText="1"/>
    </xf>
    <xf numFmtId="169" fontId="2" fillId="2" borderId="1" xfId="9" applyNumberFormat="1" applyFont="1" applyFill="1" applyBorder="1" applyAlignment="1">
      <alignment horizontal="right" vertical="center"/>
    </xf>
    <xf numFmtId="3" fontId="14" fillId="3" borderId="4" xfId="2" applyNumberFormat="1" applyFont="1" applyFill="1" applyBorder="1" applyAlignment="1">
      <alignment horizontal="right" vertical="center" wrapText="1"/>
    </xf>
    <xf numFmtId="0" fontId="16" fillId="0" borderId="2" xfId="2" applyFont="1" applyBorder="1" applyAlignment="1">
      <alignment vertical="center" wrapText="1"/>
    </xf>
    <xf numFmtId="0" fontId="17" fillId="9" borderId="4" xfId="2" applyFont="1" applyFill="1" applyBorder="1" applyAlignment="1">
      <alignment horizontal="center" vertical="center" wrapText="1"/>
    </xf>
    <xf numFmtId="0" fontId="18" fillId="0" borderId="0" xfId="2" applyFont="1"/>
    <xf numFmtId="3" fontId="14" fillId="10" borderId="4" xfId="2" applyNumberFormat="1" applyFont="1" applyFill="1" applyBorder="1" applyAlignment="1">
      <alignment horizontal="right" vertical="center" wrapText="1"/>
    </xf>
    <xf numFmtId="3" fontId="14" fillId="11" borderId="4" xfId="2" applyNumberFormat="1" applyFont="1" applyFill="1" applyBorder="1" applyAlignment="1">
      <alignment horizontal="right" vertical="center" wrapText="1"/>
    </xf>
    <xf numFmtId="3" fontId="14" fillId="12" borderId="4" xfId="2" applyNumberFormat="1" applyFont="1" applyFill="1" applyBorder="1" applyAlignment="1">
      <alignment horizontal="right" vertical="center" wrapText="1"/>
    </xf>
    <xf numFmtId="169" fontId="2" fillId="10" borderId="1" xfId="9" applyNumberFormat="1" applyFont="1" applyFill="1" applyBorder="1" applyAlignment="1">
      <alignment horizontal="right" vertical="center"/>
    </xf>
    <xf numFmtId="3" fontId="19" fillId="12" borderId="4" xfId="2" applyNumberFormat="1" applyFont="1" applyFill="1" applyBorder="1" applyAlignment="1">
      <alignment horizontal="right" vertical="center" wrapText="1"/>
    </xf>
    <xf numFmtId="169" fontId="20" fillId="10" borderId="1" xfId="9" applyNumberFormat="1" applyFont="1" applyFill="1" applyBorder="1" applyAlignment="1">
      <alignment horizontal="right" vertical="center"/>
    </xf>
    <xf numFmtId="0" fontId="21" fillId="4" borderId="0" xfId="2" applyFont="1" applyFill="1"/>
    <xf numFmtId="0" fontId="22" fillId="4" borderId="0" xfId="2" applyFont="1" applyFill="1"/>
    <xf numFmtId="0" fontId="23" fillId="4" borderId="0" xfId="2" applyFont="1" applyFill="1"/>
    <xf numFmtId="165" fontId="23" fillId="4" borderId="0" xfId="2" applyNumberFormat="1" applyFont="1" applyFill="1"/>
    <xf numFmtId="0" fontId="24" fillId="0" borderId="0" xfId="2" applyFont="1"/>
    <xf numFmtId="0" fontId="12" fillId="0" borderId="3" xfId="2" applyFont="1" applyBorder="1" applyAlignment="1">
      <alignment vertical="center" wrapText="1"/>
    </xf>
    <xf numFmtId="164" fontId="24" fillId="0" borderId="5" xfId="2" applyNumberFormat="1" applyFont="1" applyBorder="1"/>
    <xf numFmtId="0" fontId="25" fillId="4" borderId="3" xfId="2" applyFont="1" applyFill="1" applyBorder="1" applyAlignment="1">
      <alignment horizontal="center" vertical="center" wrapText="1"/>
    </xf>
    <xf numFmtId="165" fontId="25" fillId="4" borderId="3" xfId="2" applyNumberFormat="1" applyFont="1" applyFill="1" applyBorder="1" applyAlignment="1">
      <alignment vertical="center" wrapText="1"/>
    </xf>
    <xf numFmtId="165" fontId="11" fillId="0" borderId="3" xfId="2" applyNumberFormat="1" applyFont="1" applyBorder="1" applyAlignment="1">
      <alignment vertical="center" wrapText="1"/>
    </xf>
    <xf numFmtId="164" fontId="24" fillId="0" borderId="0" xfId="2" applyNumberFormat="1" applyFont="1"/>
    <xf numFmtId="0" fontId="26" fillId="0" borderId="3" xfId="2" applyFont="1" applyBorder="1" applyAlignment="1">
      <alignment vertical="center" wrapText="1"/>
    </xf>
    <xf numFmtId="165" fontId="26" fillId="0" borderId="3" xfId="3" applyNumberFormat="1" applyFont="1" applyFill="1" applyBorder="1" applyAlignment="1" applyProtection="1">
      <alignment horizontal="center" vertical="center" wrapText="1"/>
    </xf>
    <xf numFmtId="165" fontId="27" fillId="4" borderId="3" xfId="2" applyNumberFormat="1" applyFont="1" applyFill="1" applyBorder="1" applyAlignment="1">
      <alignment vertical="center" wrapText="1"/>
    </xf>
    <xf numFmtId="9" fontId="12" fillId="0" borderId="3" xfId="4" applyFont="1" applyFill="1" applyBorder="1" applyAlignment="1" applyProtection="1">
      <alignment vertical="center" wrapText="1"/>
    </xf>
    <xf numFmtId="165" fontId="29" fillId="4" borderId="3" xfId="2" applyNumberFormat="1" applyFont="1" applyFill="1" applyBorder="1" applyAlignment="1">
      <alignment vertical="center" wrapText="1"/>
    </xf>
    <xf numFmtId="0" fontId="24" fillId="6" borderId="0" xfId="2" applyFont="1" applyFill="1"/>
    <xf numFmtId="0" fontId="30" fillId="4" borderId="3" xfId="2" applyFont="1" applyFill="1" applyBorder="1" applyAlignment="1">
      <alignment vertical="center" wrapText="1"/>
    </xf>
    <xf numFmtId="164" fontId="24" fillId="6" borderId="0" xfId="2" applyNumberFormat="1" applyFont="1" applyFill="1"/>
    <xf numFmtId="165" fontId="30" fillId="4" borderId="3" xfId="5" applyNumberFormat="1" applyFont="1" applyFill="1" applyBorder="1" applyAlignment="1" applyProtection="1">
      <alignment horizontal="center" vertical="center" wrapText="1"/>
    </xf>
    <xf numFmtId="165" fontId="11" fillId="0" borderId="3" xfId="3" applyNumberFormat="1" applyFont="1" applyFill="1" applyBorder="1" applyAlignment="1" applyProtection="1">
      <alignment horizontal="center" vertical="center" wrapText="1"/>
    </xf>
    <xf numFmtId="9" fontId="11" fillId="0" borderId="3" xfId="4" applyFont="1" applyFill="1" applyBorder="1" applyAlignment="1" applyProtection="1">
      <alignment vertical="center" wrapText="1"/>
    </xf>
    <xf numFmtId="0" fontId="25" fillId="4" borderId="3" xfId="2" applyFont="1" applyFill="1" applyBorder="1" applyAlignment="1">
      <alignment vertical="center" wrapText="1"/>
    </xf>
    <xf numFmtId="0" fontId="24" fillId="0" borderId="3" xfId="2" applyFont="1" applyBorder="1"/>
    <xf numFmtId="0" fontId="12" fillId="0" borderId="3" xfId="2" applyFont="1" applyBorder="1" applyAlignment="1">
      <alignment horizontal="center" vertical="center" wrapText="1"/>
    </xf>
    <xf numFmtId="0" fontId="11" fillId="0" borderId="3" xfId="2" applyFont="1" applyBorder="1" applyAlignment="1">
      <alignment horizontal="center" vertical="center" wrapText="1"/>
    </xf>
    <xf numFmtId="9" fontId="11" fillId="13" borderId="3" xfId="4" applyFont="1" applyFill="1" applyBorder="1" applyAlignment="1" applyProtection="1">
      <alignment vertical="center" wrapText="1"/>
    </xf>
    <xf numFmtId="0" fontId="11" fillId="13" borderId="3" xfId="2" applyFont="1" applyFill="1" applyBorder="1" applyAlignment="1">
      <alignment vertical="center" wrapText="1"/>
    </xf>
    <xf numFmtId="0" fontId="1" fillId="0" borderId="3" xfId="0" applyFont="1" applyBorder="1" applyAlignment="1">
      <alignment vertical="center" wrapText="1"/>
    </xf>
    <xf numFmtId="165" fontId="26" fillId="0" borderId="3" xfId="2" applyNumberFormat="1" applyFont="1" applyBorder="1" applyAlignment="1">
      <alignment horizontal="center" vertical="center" wrapText="1"/>
    </xf>
    <xf numFmtId="165" fontId="27" fillId="4" borderId="3" xfId="3" applyNumberFormat="1" applyFont="1" applyFill="1" applyBorder="1" applyAlignment="1" applyProtection="1">
      <alignment horizontal="center" vertical="center" wrapText="1"/>
    </xf>
    <xf numFmtId="165" fontId="26" fillId="0" borderId="3" xfId="3" applyNumberFormat="1" applyFont="1" applyFill="1" applyBorder="1" applyAlignment="1" applyProtection="1">
      <alignment vertical="center" wrapText="1"/>
    </xf>
    <xf numFmtId="3" fontId="28" fillId="0" borderId="3" xfId="0" applyNumberFormat="1" applyFont="1" applyBorder="1"/>
    <xf numFmtId="165" fontId="29" fillId="5" borderId="3" xfId="3" applyNumberFormat="1" applyFont="1" applyFill="1" applyBorder="1" applyAlignment="1" applyProtection="1">
      <alignment horizontal="center" vertical="center" wrapText="1"/>
    </xf>
    <xf numFmtId="165" fontId="12" fillId="0" borderId="3" xfId="3" applyNumberFormat="1" applyFont="1" applyFill="1" applyBorder="1" applyAlignment="1" applyProtection="1">
      <alignment vertical="center" wrapText="1"/>
    </xf>
    <xf numFmtId="0" fontId="11" fillId="0" borderId="3" xfId="2" applyFont="1" applyBorder="1"/>
    <xf numFmtId="165" fontId="29" fillId="4" borderId="3" xfId="3" applyNumberFormat="1" applyFont="1" applyFill="1" applyBorder="1" applyAlignment="1" applyProtection="1">
      <alignment horizontal="center" vertical="center"/>
    </xf>
    <xf numFmtId="165" fontId="29" fillId="4" borderId="3" xfId="3" applyNumberFormat="1" applyFont="1" applyFill="1" applyBorder="1" applyAlignment="1" applyProtection="1">
      <alignment horizontal="center" vertical="center" wrapText="1"/>
    </xf>
    <xf numFmtId="165" fontId="12" fillId="0" borderId="3" xfId="3" applyNumberFormat="1" applyFont="1" applyFill="1" applyBorder="1" applyAlignment="1" applyProtection="1">
      <alignment horizontal="center" vertical="center" wrapText="1"/>
    </xf>
    <xf numFmtId="0" fontId="24" fillId="0" borderId="3" xfId="2" applyFont="1" applyBorder="1" applyAlignment="1">
      <alignment horizontal="center"/>
    </xf>
    <xf numFmtId="0" fontId="12" fillId="0" borderId="3" xfId="2" applyFont="1" applyFill="1" applyBorder="1" applyAlignment="1">
      <alignment vertical="center" wrapText="1"/>
    </xf>
    <xf numFmtId="0" fontId="26" fillId="0" borderId="3" xfId="2" applyFont="1" applyFill="1" applyBorder="1" applyAlignment="1">
      <alignment vertical="center" wrapText="1"/>
    </xf>
    <xf numFmtId="165" fontId="25" fillId="4" borderId="3" xfId="3" applyNumberFormat="1" applyFont="1" applyFill="1" applyBorder="1" applyAlignment="1" applyProtection="1">
      <alignment horizontal="center" vertical="center" wrapText="1"/>
    </xf>
    <xf numFmtId="165" fontId="11" fillId="0" borderId="3" xfId="3" applyNumberFormat="1" applyFont="1" applyFill="1" applyBorder="1" applyAlignment="1" applyProtection="1">
      <alignment vertical="center" wrapText="1"/>
    </xf>
    <xf numFmtId="167" fontId="30" fillId="4" borderId="3" xfId="8" applyNumberFormat="1" applyFont="1" applyFill="1" applyBorder="1"/>
    <xf numFmtId="0" fontId="11" fillId="0" borderId="3" xfId="2" applyFont="1" applyFill="1" applyBorder="1" applyAlignment="1">
      <alignment vertical="center" wrapText="1"/>
    </xf>
    <xf numFmtId="3" fontId="31" fillId="0" borderId="3" xfId="0" applyNumberFormat="1" applyFont="1" applyBorder="1"/>
    <xf numFmtId="167" fontId="32" fillId="4" borderId="3" xfId="8" applyNumberFormat="1" applyFont="1" applyFill="1" applyBorder="1"/>
    <xf numFmtId="165" fontId="11" fillId="13" borderId="3" xfId="3" applyNumberFormat="1" applyFont="1" applyFill="1" applyBorder="1" applyAlignment="1" applyProtection="1">
      <alignment horizontal="center" vertical="center" wrapText="1"/>
    </xf>
    <xf numFmtId="165" fontId="25" fillId="13" borderId="3" xfId="3" applyNumberFormat="1" applyFont="1" applyFill="1" applyBorder="1" applyAlignment="1" applyProtection="1">
      <alignment horizontal="center" vertical="center" wrapText="1"/>
    </xf>
    <xf numFmtId="165" fontId="11" fillId="6" borderId="3" xfId="3" applyNumberFormat="1" applyFont="1" applyFill="1" applyBorder="1" applyAlignment="1" applyProtection="1">
      <alignment vertical="center" wrapText="1"/>
    </xf>
    <xf numFmtId="165" fontId="11" fillId="0" borderId="3" xfId="2" applyNumberFormat="1" applyFont="1" applyBorder="1" applyAlignment="1">
      <alignment horizontal="center" vertical="center" wrapText="1"/>
    </xf>
    <xf numFmtId="0" fontId="30" fillId="4" borderId="3" xfId="2" applyFont="1" applyFill="1" applyBorder="1"/>
    <xf numFmtId="170" fontId="25" fillId="4" borderId="3" xfId="8" applyNumberFormat="1" applyFont="1" applyFill="1" applyBorder="1" applyAlignment="1">
      <alignment vertical="center" wrapText="1"/>
    </xf>
    <xf numFmtId="170" fontId="29" fillId="4" borderId="3" xfId="8" applyNumberFormat="1" applyFont="1" applyFill="1" applyBorder="1" applyAlignment="1">
      <alignment vertical="center" wrapText="1"/>
    </xf>
    <xf numFmtId="170" fontId="30" fillId="4" borderId="3" xfId="8" applyNumberFormat="1" applyFont="1" applyFill="1" applyBorder="1" applyAlignment="1">
      <alignment vertical="center" wrapText="1"/>
    </xf>
    <xf numFmtId="0" fontId="23" fillId="0" borderId="0" xfId="2" applyFont="1"/>
    <xf numFmtId="9" fontId="23" fillId="0" borderId="0" xfId="1" applyFont="1"/>
    <xf numFmtId="9" fontId="34" fillId="14" borderId="3" xfId="1" applyFont="1" applyFill="1" applyBorder="1"/>
    <xf numFmtId="0" fontId="23" fillId="14" borderId="0" xfId="2" applyFont="1" applyFill="1"/>
    <xf numFmtId="9" fontId="32" fillId="14" borderId="3" xfId="1" applyFont="1" applyFill="1" applyBorder="1"/>
    <xf numFmtId="9" fontId="23" fillId="14" borderId="0" xfId="1" applyFont="1" applyFill="1"/>
    <xf numFmtId="3" fontId="23" fillId="14" borderId="0" xfId="2" applyNumberFormat="1" applyFont="1" applyFill="1"/>
    <xf numFmtId="0" fontId="11" fillId="0" borderId="3" xfId="2" applyFont="1" applyBorder="1" applyAlignment="1">
      <alignment horizontal="center" vertical="center" wrapText="1"/>
    </xf>
    <xf numFmtId="165" fontId="35" fillId="0" borderId="0" xfId="2" applyNumberFormat="1" applyFont="1"/>
    <xf numFmtId="0" fontId="35" fillId="0" borderId="0" xfId="2" applyFont="1"/>
    <xf numFmtId="0" fontId="36" fillId="8" borderId="9" xfId="2" applyFont="1" applyFill="1" applyBorder="1" applyAlignment="1">
      <alignment horizontal="center" vertical="center" wrapText="1"/>
    </xf>
    <xf numFmtId="0" fontId="36" fillId="8" borderId="10" xfId="2" applyFont="1" applyFill="1" applyBorder="1" applyAlignment="1">
      <alignment horizontal="center" vertical="center" wrapText="1"/>
    </xf>
    <xf numFmtId="43" fontId="23" fillId="4" borderId="0" xfId="2" applyNumberFormat="1" applyFont="1" applyFill="1"/>
    <xf numFmtId="170" fontId="11" fillId="0" borderId="3" xfId="3" applyNumberFormat="1" applyFont="1" applyFill="1" applyBorder="1" applyAlignment="1" applyProtection="1">
      <alignment horizontal="center" vertical="center" wrapText="1"/>
    </xf>
    <xf numFmtId="170" fontId="25" fillId="4" borderId="3" xfId="3" applyNumberFormat="1" applyFont="1" applyFill="1" applyBorder="1" applyAlignment="1" applyProtection="1">
      <alignment horizontal="center" vertical="center" wrapText="1"/>
    </xf>
    <xf numFmtId="0" fontId="12" fillId="0" borderId="3" xfId="2" applyFont="1" applyFill="1" applyBorder="1" applyAlignment="1">
      <alignment horizontal="center" vertical="center" wrapText="1"/>
    </xf>
    <xf numFmtId="165" fontId="12" fillId="0" borderId="3" xfId="3" applyNumberFormat="1" applyFont="1" applyFill="1" applyBorder="1" applyAlignment="1" applyProtection="1">
      <alignment horizontal="center" vertical="center" wrapText="1"/>
    </xf>
    <xf numFmtId="167" fontId="30" fillId="4" borderId="3" xfId="8" applyNumberFormat="1" applyFont="1" applyFill="1" applyBorder="1" applyAlignment="1">
      <alignment horizontal="center" vertical="center"/>
    </xf>
    <xf numFmtId="0" fontId="18" fillId="14" borderId="8" xfId="2" applyFont="1" applyFill="1" applyBorder="1" applyAlignment="1">
      <alignment horizontal="center"/>
    </xf>
    <xf numFmtId="0" fontId="1" fillId="0" borderId="3" xfId="0" applyFont="1" applyBorder="1" applyAlignment="1">
      <alignment horizontal="center" vertical="center" wrapText="1"/>
    </xf>
    <xf numFmtId="165" fontId="30" fillId="5" borderId="3" xfId="5" applyNumberFormat="1" applyFont="1" applyFill="1" applyBorder="1" applyAlignment="1" applyProtection="1">
      <alignment horizontal="center" vertical="center" wrapText="1"/>
    </xf>
    <xf numFmtId="0" fontId="12" fillId="0" borderId="3" xfId="2" applyFont="1" applyBorder="1" applyAlignment="1">
      <alignment horizontal="center" vertical="center" wrapText="1"/>
    </xf>
    <xf numFmtId="0" fontId="17" fillId="8" borderId="2" xfId="2" applyFont="1" applyFill="1" applyBorder="1" applyAlignment="1">
      <alignment horizontal="center" vertical="center" wrapText="1"/>
    </xf>
    <xf numFmtId="9" fontId="35" fillId="0" borderId="0" xfId="2" applyNumberFormat="1" applyFont="1"/>
    <xf numFmtId="3" fontId="35" fillId="0" borderId="0" xfId="2" applyNumberFormat="1" applyFont="1"/>
    <xf numFmtId="9" fontId="11" fillId="0" borderId="3" xfId="2" applyNumberFormat="1" applyFont="1" applyBorder="1" applyAlignment="1">
      <alignment vertical="center" wrapText="1"/>
    </xf>
    <xf numFmtId="3" fontId="25" fillId="4" borderId="3" xfId="2" applyNumberFormat="1" applyFont="1" applyFill="1" applyBorder="1" applyAlignment="1">
      <alignment vertical="center" wrapText="1"/>
    </xf>
    <xf numFmtId="3" fontId="25" fillId="4" borderId="3" xfId="8" applyNumberFormat="1" applyFont="1" applyFill="1" applyBorder="1" applyAlignment="1">
      <alignment vertical="center" wrapText="1"/>
    </xf>
    <xf numFmtId="3" fontId="11" fillId="0" borderId="3" xfId="2" applyNumberFormat="1" applyFont="1" applyBorder="1" applyAlignment="1">
      <alignment vertical="center" wrapText="1"/>
    </xf>
    <xf numFmtId="3" fontId="25" fillId="13" borderId="3" xfId="2" applyNumberFormat="1" applyFont="1" applyFill="1" applyBorder="1" applyAlignment="1">
      <alignment vertical="center" wrapText="1"/>
    </xf>
    <xf numFmtId="3" fontId="11" fillId="6" borderId="3" xfId="2" applyNumberFormat="1" applyFont="1" applyFill="1" applyBorder="1" applyAlignment="1">
      <alignment vertical="center" wrapText="1"/>
    </xf>
    <xf numFmtId="0" fontId="13" fillId="14" borderId="0" xfId="2" applyFont="1" applyFill="1" applyAlignment="1">
      <alignment horizontal="right"/>
    </xf>
    <xf numFmtId="3" fontId="19" fillId="10" borderId="4" xfId="2" applyNumberFormat="1" applyFont="1" applyFill="1" applyBorder="1" applyAlignment="1">
      <alignment horizontal="right" vertical="center" wrapText="1"/>
    </xf>
    <xf numFmtId="0" fontId="37" fillId="8" borderId="11" xfId="2" applyFont="1" applyFill="1" applyBorder="1" applyAlignment="1">
      <alignment horizontal="center" vertical="center" wrapText="1"/>
    </xf>
    <xf numFmtId="0" fontId="19" fillId="8" borderId="12" xfId="2" applyFont="1" applyFill="1" applyBorder="1" applyAlignment="1">
      <alignment horizontal="center" vertical="center" wrapText="1"/>
    </xf>
    <xf numFmtId="0" fontId="19" fillId="8" borderId="7" xfId="2" applyFont="1" applyFill="1" applyBorder="1" applyAlignment="1">
      <alignment horizontal="center" vertical="center" wrapText="1"/>
    </xf>
    <xf numFmtId="0" fontId="19" fillId="8" borderId="10" xfId="2" applyFont="1" applyFill="1" applyBorder="1" applyAlignment="1">
      <alignment horizontal="center" vertical="center" wrapText="1"/>
    </xf>
    <xf numFmtId="0" fontId="19" fillId="8" borderId="14" xfId="2" applyFont="1" applyFill="1" applyBorder="1" applyAlignment="1">
      <alignment horizontal="center" vertical="center" wrapText="1"/>
    </xf>
    <xf numFmtId="0" fontId="19" fillId="9" borderId="13" xfId="2" applyFont="1" applyFill="1" applyBorder="1" applyAlignment="1">
      <alignment horizontal="center" vertical="center" wrapText="1"/>
    </xf>
  </cellXfs>
  <cellStyles count="10">
    <cellStyle name="Comma" xfId="8" builtinId="3"/>
    <cellStyle name="Comma 2" xfId="3"/>
    <cellStyle name="Excel Built-in Normal" xfId="2"/>
    <cellStyle name="Milliers 2" xfId="5"/>
    <cellStyle name="Normal" xfId="0" builtinId="0"/>
    <cellStyle name="Normal 2" xfId="9"/>
    <cellStyle name="Normal 3" xfId="6"/>
    <cellStyle name="Percent" xfId="1" builtinId="5"/>
    <cellStyle name="Percent 2" xfId="4"/>
    <cellStyle name="Pourcentag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oul/Downloads/FI%20142a-TF%20PSR%20-%20Aggregate%20Valu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 142a-TF PSR - Aggregate Valu"/>
    </sheetNames>
    <sheetDataSet>
      <sheetData sheetId="0" refreshError="1">
        <row r="15">
          <cell r="P15">
            <v>23480</v>
          </cell>
        </row>
        <row r="16">
          <cell r="P16">
            <v>638330</v>
          </cell>
        </row>
        <row r="17">
          <cell r="P17">
            <v>13043</v>
          </cell>
        </row>
        <row r="18">
          <cell r="P18">
            <v>18692</v>
          </cell>
        </row>
        <row r="19">
          <cell r="P19">
            <v>12213</v>
          </cell>
        </row>
        <row r="20">
          <cell r="P20">
            <v>1097</v>
          </cell>
        </row>
        <row r="22">
          <cell r="P22">
            <v>19345</v>
          </cell>
        </row>
        <row r="24">
          <cell r="P24">
            <v>16470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9"/>
  <sheetViews>
    <sheetView topLeftCell="A42" zoomScale="70" zoomScaleNormal="70" zoomScaleSheetLayoutView="65" workbookViewId="0">
      <selection activeCell="E52" sqref="E52"/>
    </sheetView>
  </sheetViews>
  <sheetFormatPr defaultColWidth="9.1796875" defaultRowHeight="14.5" x14ac:dyDescent="0.35"/>
  <cols>
    <col min="1" max="1" width="18" style="1" customWidth="1"/>
    <col min="2" max="2" width="75.81640625" style="1" customWidth="1"/>
    <col min="3" max="3" width="15.81640625" style="1" customWidth="1"/>
    <col min="4" max="4" width="15" style="1" customWidth="1"/>
    <col min="5" max="5" width="15" style="33" customWidth="1"/>
    <col min="6" max="6" width="15" style="1" customWidth="1"/>
    <col min="7" max="7" width="15.1796875" style="1" customWidth="1"/>
    <col min="8" max="9" width="15" style="5" customWidth="1"/>
    <col min="10" max="10" width="15" style="1" customWidth="1"/>
    <col min="11" max="11" width="22.81640625" style="1" customWidth="1"/>
    <col min="12" max="12" width="21" style="1" customWidth="1"/>
    <col min="13" max="13" width="18" style="1" hidden="1" customWidth="1"/>
    <col min="14" max="14" width="15.453125" style="1" hidden="1" customWidth="1"/>
    <col min="15" max="15" width="18.1796875" style="1" hidden="1" customWidth="1"/>
    <col min="16" max="16" width="8.453125" style="1" hidden="1" customWidth="1"/>
    <col min="17" max="17" width="13.1796875" style="1" hidden="1" customWidth="1"/>
    <col min="18" max="18" width="18.1796875" style="1" hidden="1" customWidth="1"/>
    <col min="19" max="20" width="0" style="1" hidden="1" customWidth="1"/>
    <col min="21" max="21" width="12.1796875" style="1" hidden="1" customWidth="1"/>
    <col min="22" max="23" width="0" style="1" hidden="1" customWidth="1"/>
    <col min="24" max="24" width="0" style="7" hidden="1" customWidth="1"/>
    <col min="25" max="26" width="0" style="1" hidden="1" customWidth="1"/>
    <col min="27" max="27" width="9.1796875" style="1"/>
    <col min="28" max="28" width="20.1796875" style="1" bestFit="1" customWidth="1"/>
    <col min="29" max="16384" width="9.1796875" style="1"/>
  </cols>
  <sheetData>
    <row r="1" spans="1:24" ht="21" x14ac:dyDescent="0.5">
      <c r="A1" s="4" t="s">
        <v>5</v>
      </c>
      <c r="B1" s="3"/>
      <c r="C1" s="3"/>
      <c r="E1" s="31"/>
    </row>
    <row r="2" spans="1:24" ht="15.5" x14ac:dyDescent="0.35">
      <c r="A2" s="2"/>
      <c r="B2" s="2"/>
      <c r="C2" s="2"/>
      <c r="E2" s="32"/>
    </row>
    <row r="3" spans="1:24" ht="15.5" x14ac:dyDescent="0.35">
      <c r="A3" s="2" t="s">
        <v>6</v>
      </c>
      <c r="B3" s="2"/>
      <c r="C3" s="2"/>
      <c r="E3" s="32"/>
    </row>
    <row r="5" spans="1:24" ht="15.5" x14ac:dyDescent="0.35">
      <c r="A5" s="2" t="s">
        <v>7</v>
      </c>
    </row>
    <row r="7" spans="1:24" ht="93.65" customHeight="1" x14ac:dyDescent="0.35">
      <c r="A7" s="54"/>
      <c r="B7" s="54"/>
      <c r="C7" s="106" t="s">
        <v>114</v>
      </c>
      <c r="D7" s="106"/>
      <c r="E7" s="106"/>
      <c r="F7" s="106"/>
      <c r="G7" s="36" t="s">
        <v>102</v>
      </c>
      <c r="H7" s="108" t="s">
        <v>24</v>
      </c>
      <c r="I7" s="108"/>
      <c r="J7" s="108"/>
      <c r="K7" s="108"/>
      <c r="L7" s="36" t="s">
        <v>10</v>
      </c>
      <c r="M7" s="37" t="s">
        <v>103</v>
      </c>
      <c r="N7" s="35"/>
      <c r="O7" s="35" t="s">
        <v>104</v>
      </c>
      <c r="P7" s="35" t="s">
        <v>105</v>
      </c>
      <c r="Q7" s="35" t="s">
        <v>106</v>
      </c>
      <c r="R7" s="35" t="s">
        <v>107</v>
      </c>
      <c r="S7" s="35"/>
      <c r="X7" s="7" t="s">
        <v>108</v>
      </c>
    </row>
    <row r="8" spans="1:24" ht="79.5" customHeight="1" x14ac:dyDescent="0.35">
      <c r="A8" s="36" t="s">
        <v>8</v>
      </c>
      <c r="B8" s="59" t="s">
        <v>9</v>
      </c>
      <c r="C8" s="8" t="s">
        <v>32</v>
      </c>
      <c r="D8" s="8" t="s">
        <v>33</v>
      </c>
      <c r="E8" s="53" t="s">
        <v>34</v>
      </c>
      <c r="F8" s="8" t="s">
        <v>1</v>
      </c>
      <c r="G8" s="94"/>
      <c r="H8" s="38" t="s">
        <v>32</v>
      </c>
      <c r="I8" s="38" t="s">
        <v>33</v>
      </c>
      <c r="J8" s="38" t="s">
        <v>101</v>
      </c>
      <c r="K8" s="8" t="s">
        <v>1</v>
      </c>
      <c r="L8" s="36"/>
      <c r="M8" s="37"/>
      <c r="N8" s="35"/>
      <c r="O8" s="35"/>
      <c r="P8" s="35"/>
      <c r="Q8" s="35"/>
      <c r="R8" s="35"/>
      <c r="S8" s="35"/>
    </row>
    <row r="9" spans="1:24" ht="33" customHeight="1" x14ac:dyDescent="0.35">
      <c r="A9" s="8" t="s">
        <v>35</v>
      </c>
      <c r="B9" s="8" t="s">
        <v>36</v>
      </c>
      <c r="C9" s="8"/>
      <c r="D9" s="8"/>
      <c r="E9" s="53"/>
      <c r="F9" s="8"/>
      <c r="G9" s="8"/>
      <c r="H9" s="39">
        <f>H10+H14+H18+H25</f>
        <v>177423</v>
      </c>
      <c r="I9" s="39">
        <f>I10+I14+I18+I25</f>
        <v>413229</v>
      </c>
      <c r="J9" s="39">
        <f>J10+J14+J18+J25</f>
        <v>473898.37</v>
      </c>
      <c r="K9" s="40">
        <f t="shared" ref="K9:K49" si="0">H9+I9+J9</f>
        <v>1064550.3700000001</v>
      </c>
      <c r="L9" s="8"/>
      <c r="M9" s="37"/>
      <c r="N9" s="41">
        <f t="shared" ref="N9:N41" si="1">M9/587.123</f>
        <v>0</v>
      </c>
      <c r="O9" s="35">
        <f ca="1">+O9:SM34</f>
        <v>0</v>
      </c>
      <c r="P9" s="35"/>
      <c r="Q9" s="35"/>
      <c r="R9" s="35"/>
      <c r="S9" s="35"/>
      <c r="U9" s="6">
        <f t="shared" ref="U9:U48" ca="1" si="2">SUM(N9:T9)</f>
        <v>0</v>
      </c>
    </row>
    <row r="10" spans="1:24" ht="31" x14ac:dyDescent="0.35">
      <c r="A10" s="42" t="s">
        <v>37</v>
      </c>
      <c r="B10" s="42" t="s">
        <v>25</v>
      </c>
      <c r="C10" s="60">
        <f>SUM(C11:C13)</f>
        <v>33000</v>
      </c>
      <c r="D10" s="60">
        <f>SUM(D11:D13)</f>
        <v>0</v>
      </c>
      <c r="E10" s="61">
        <f>SUM(E11:E13)</f>
        <v>82740</v>
      </c>
      <c r="F10" s="62">
        <f t="shared" ref="F10:F30" si="3">E10+D10+C10</f>
        <v>115740</v>
      </c>
      <c r="G10" s="42"/>
      <c r="H10" s="44">
        <f>SUM(H11:H13)</f>
        <v>25761</v>
      </c>
      <c r="I10" s="44">
        <f>SUM(I11:I13)</f>
        <v>178</v>
      </c>
      <c r="J10" s="44">
        <f>SUM(J11:J13)</f>
        <v>11290</v>
      </c>
      <c r="K10" s="40">
        <f t="shared" si="0"/>
        <v>37229</v>
      </c>
      <c r="L10" s="42"/>
      <c r="M10" s="37"/>
      <c r="N10" s="41">
        <f t="shared" si="1"/>
        <v>0</v>
      </c>
      <c r="O10" s="35"/>
      <c r="P10" s="35"/>
      <c r="Q10" s="35"/>
      <c r="R10" s="35"/>
      <c r="S10" s="35"/>
      <c r="U10" s="6">
        <f t="shared" si="2"/>
        <v>0</v>
      </c>
    </row>
    <row r="11" spans="1:24" ht="31" x14ac:dyDescent="0.35">
      <c r="A11" s="8" t="s">
        <v>38</v>
      </c>
      <c r="B11" s="36" t="s">
        <v>26</v>
      </c>
      <c r="C11" s="63">
        <v>5000</v>
      </c>
      <c r="D11" s="56"/>
      <c r="E11" s="64">
        <v>19600</v>
      </c>
      <c r="F11" s="65">
        <f t="shared" si="3"/>
        <v>24600</v>
      </c>
      <c r="G11" s="45">
        <v>0.30000000000000004</v>
      </c>
      <c r="H11" s="46">
        <v>8693</v>
      </c>
      <c r="I11" s="46"/>
      <c r="J11" s="46">
        <v>11290</v>
      </c>
      <c r="K11" s="9">
        <f t="shared" si="0"/>
        <v>19983</v>
      </c>
      <c r="L11" s="8"/>
      <c r="M11" s="37"/>
      <c r="N11" s="41">
        <f t="shared" si="1"/>
        <v>0</v>
      </c>
      <c r="O11" s="35">
        <v>5983</v>
      </c>
      <c r="P11" s="35"/>
      <c r="Q11" s="47">
        <f>1679+1031</f>
        <v>2710</v>
      </c>
      <c r="R11" s="35"/>
      <c r="S11" s="35"/>
      <c r="U11" s="6">
        <f t="shared" si="2"/>
        <v>8693</v>
      </c>
    </row>
    <row r="12" spans="1:24" ht="31" x14ac:dyDescent="0.35">
      <c r="A12" s="8" t="s">
        <v>39</v>
      </c>
      <c r="B12" s="36" t="s">
        <v>27</v>
      </c>
      <c r="C12" s="63">
        <v>10000</v>
      </c>
      <c r="D12" s="56"/>
      <c r="E12" s="64">
        <v>25060</v>
      </c>
      <c r="F12" s="65">
        <f t="shared" si="3"/>
        <v>35060</v>
      </c>
      <c r="G12" s="45">
        <v>0.2</v>
      </c>
      <c r="H12" s="46">
        <v>7000</v>
      </c>
      <c r="I12" s="46">
        <v>178</v>
      </c>
      <c r="J12" s="46"/>
      <c r="K12" s="9">
        <f t="shared" si="0"/>
        <v>7178</v>
      </c>
      <c r="L12" s="8"/>
      <c r="M12" s="37"/>
      <c r="N12" s="41">
        <f t="shared" si="1"/>
        <v>0</v>
      </c>
      <c r="O12" s="35">
        <v>7000</v>
      </c>
      <c r="P12" s="35"/>
      <c r="Q12" s="35"/>
      <c r="R12" s="35"/>
      <c r="S12" s="35"/>
      <c r="U12" s="6">
        <f t="shared" si="2"/>
        <v>7000</v>
      </c>
    </row>
    <row r="13" spans="1:24" ht="25.5" customHeight="1" x14ac:dyDescent="0.35">
      <c r="A13" s="66" t="s">
        <v>40</v>
      </c>
      <c r="B13" s="36" t="s">
        <v>28</v>
      </c>
      <c r="C13" s="63">
        <v>18000</v>
      </c>
      <c r="D13" s="56"/>
      <c r="E13" s="64">
        <v>38080</v>
      </c>
      <c r="F13" s="65">
        <f t="shared" si="3"/>
        <v>56080</v>
      </c>
      <c r="G13" s="45">
        <v>0.2</v>
      </c>
      <c r="H13" s="46">
        <v>10068</v>
      </c>
      <c r="I13" s="46"/>
      <c r="J13" s="46"/>
      <c r="K13" s="9">
        <f t="shared" si="0"/>
        <v>10068</v>
      </c>
      <c r="L13" s="8"/>
      <c r="M13" s="37"/>
      <c r="N13" s="41">
        <f t="shared" si="1"/>
        <v>0</v>
      </c>
      <c r="O13" s="35">
        <v>10000</v>
      </c>
      <c r="P13" s="35"/>
      <c r="Q13" s="35"/>
      <c r="R13" s="35"/>
      <c r="S13" s="35"/>
      <c r="U13" s="6">
        <f t="shared" si="2"/>
        <v>10000</v>
      </c>
    </row>
    <row r="14" spans="1:24" ht="46.5" x14ac:dyDescent="0.35">
      <c r="A14" s="42" t="s">
        <v>11</v>
      </c>
      <c r="B14" s="42" t="s">
        <v>29</v>
      </c>
      <c r="C14" s="60">
        <f>SUM(C15:C17)</f>
        <v>38000</v>
      </c>
      <c r="D14" s="60">
        <f>SUM(D15:D17)</f>
        <v>0</v>
      </c>
      <c r="E14" s="61">
        <f>SUM(E15:E17)</f>
        <v>111160</v>
      </c>
      <c r="F14" s="62">
        <f t="shared" si="3"/>
        <v>149160</v>
      </c>
      <c r="G14" s="42"/>
      <c r="H14" s="44">
        <f>SUM(H15:H17)</f>
        <v>20917</v>
      </c>
      <c r="I14" s="44">
        <f>SUM(I15:I17)</f>
        <v>0</v>
      </c>
      <c r="J14" s="44">
        <f>SUM(J15:J17)</f>
        <v>52171</v>
      </c>
      <c r="K14" s="40">
        <f t="shared" si="0"/>
        <v>73088</v>
      </c>
      <c r="L14" s="42"/>
      <c r="M14" s="37"/>
      <c r="N14" s="41">
        <f t="shared" si="1"/>
        <v>0</v>
      </c>
      <c r="O14" s="35"/>
      <c r="P14" s="35"/>
      <c r="Q14" s="35"/>
      <c r="R14" s="35"/>
      <c r="S14" s="35"/>
      <c r="U14" s="6">
        <f t="shared" si="2"/>
        <v>0</v>
      </c>
    </row>
    <row r="15" spans="1:24" ht="31" x14ac:dyDescent="0.35">
      <c r="A15" s="8" t="s">
        <v>41</v>
      </c>
      <c r="B15" s="36" t="s">
        <v>42</v>
      </c>
      <c r="C15" s="63">
        <v>5000</v>
      </c>
      <c r="D15" s="56"/>
      <c r="E15" s="67">
        <v>70700</v>
      </c>
      <c r="F15" s="65">
        <f t="shared" si="3"/>
        <v>75700</v>
      </c>
      <c r="G15" s="45">
        <v>0.30000000000000004</v>
      </c>
      <c r="H15" s="46">
        <v>3017</v>
      </c>
      <c r="I15" s="46"/>
      <c r="J15" s="46">
        <v>18260</v>
      </c>
      <c r="K15" s="40">
        <f t="shared" si="0"/>
        <v>21277</v>
      </c>
      <c r="L15" s="8"/>
      <c r="M15" s="37"/>
      <c r="N15" s="41">
        <f t="shared" si="1"/>
        <v>0</v>
      </c>
      <c r="O15" s="35"/>
      <c r="P15" s="35"/>
      <c r="Q15" s="35"/>
      <c r="R15" s="35"/>
      <c r="S15" s="35"/>
      <c r="U15" s="6">
        <f t="shared" si="2"/>
        <v>0</v>
      </c>
    </row>
    <row r="16" spans="1:24" ht="46.5" x14ac:dyDescent="0.35">
      <c r="A16" s="8" t="s">
        <v>43</v>
      </c>
      <c r="B16" s="36" t="s">
        <v>30</v>
      </c>
      <c r="C16" s="63">
        <v>15000</v>
      </c>
      <c r="D16" s="56"/>
      <c r="E16" s="68">
        <v>24360</v>
      </c>
      <c r="F16" s="65">
        <f t="shared" si="3"/>
        <v>39360</v>
      </c>
      <c r="G16" s="45">
        <v>0.2</v>
      </c>
      <c r="H16" s="46">
        <v>7900</v>
      </c>
      <c r="I16" s="46"/>
      <c r="J16" s="46">
        <v>22400</v>
      </c>
      <c r="K16" s="9">
        <f t="shared" si="0"/>
        <v>30300</v>
      </c>
      <c r="L16" s="8"/>
      <c r="M16" s="37">
        <v>500000</v>
      </c>
      <c r="N16" s="41">
        <f t="shared" si="1"/>
        <v>851.61030993505608</v>
      </c>
      <c r="O16" s="35"/>
      <c r="P16" s="35"/>
      <c r="Q16" s="35"/>
      <c r="R16" s="35"/>
      <c r="S16" s="35"/>
      <c r="U16" s="6">
        <f t="shared" si="2"/>
        <v>851.61030993505608</v>
      </c>
    </row>
    <row r="17" spans="1:25" ht="31" x14ac:dyDescent="0.35">
      <c r="A17" s="8" t="s">
        <v>44</v>
      </c>
      <c r="B17" s="36" t="s">
        <v>31</v>
      </c>
      <c r="C17" s="63">
        <v>18000</v>
      </c>
      <c r="D17" s="56"/>
      <c r="E17" s="68">
        <v>16100</v>
      </c>
      <c r="F17" s="65">
        <f t="shared" si="3"/>
        <v>34100</v>
      </c>
      <c r="G17" s="45">
        <v>0.2</v>
      </c>
      <c r="H17" s="46">
        <v>10000</v>
      </c>
      <c r="I17" s="46"/>
      <c r="J17" s="46">
        <v>11511</v>
      </c>
      <c r="K17" s="40">
        <f t="shared" si="0"/>
        <v>21511</v>
      </c>
      <c r="L17" s="8"/>
      <c r="M17" s="37"/>
      <c r="N17" s="41">
        <f t="shared" si="1"/>
        <v>0</v>
      </c>
      <c r="O17" s="35"/>
      <c r="P17" s="35"/>
      <c r="Q17" s="35"/>
      <c r="R17" s="35"/>
      <c r="S17" s="35"/>
      <c r="U17" s="6">
        <f t="shared" si="2"/>
        <v>0</v>
      </c>
    </row>
    <row r="18" spans="1:25" ht="41.25" customHeight="1" x14ac:dyDescent="0.35">
      <c r="A18" s="42" t="s">
        <v>45</v>
      </c>
      <c r="B18" s="42" t="s">
        <v>46</v>
      </c>
      <c r="C18" s="60">
        <f>SUM(C19:C24)</f>
        <v>78500</v>
      </c>
      <c r="D18" s="60">
        <f>SUM(D19:D24)</f>
        <v>14231</v>
      </c>
      <c r="E18" s="61">
        <f>SUM(E19:E24)</f>
        <v>173950</v>
      </c>
      <c r="F18" s="62">
        <f t="shared" si="3"/>
        <v>266681</v>
      </c>
      <c r="G18" s="42"/>
      <c r="H18" s="44">
        <f>SUM(H19:H24)</f>
        <v>73338</v>
      </c>
      <c r="I18" s="44">
        <f>SUM(I19:I24)</f>
        <v>0</v>
      </c>
      <c r="J18" s="44">
        <f>SUM(J19:J24)</f>
        <v>106852</v>
      </c>
      <c r="K18" s="40">
        <f t="shared" si="0"/>
        <v>180190</v>
      </c>
      <c r="L18" s="42"/>
      <c r="M18" s="37"/>
      <c r="N18" s="41">
        <f t="shared" si="1"/>
        <v>0</v>
      </c>
      <c r="O18" s="35"/>
      <c r="P18" s="35"/>
      <c r="Q18" s="35"/>
      <c r="R18" s="35"/>
      <c r="S18" s="35"/>
      <c r="U18" s="6">
        <f t="shared" si="2"/>
        <v>0</v>
      </c>
    </row>
    <row r="19" spans="1:25" ht="45.75" customHeight="1" x14ac:dyDescent="0.35">
      <c r="A19" s="8" t="s">
        <v>47</v>
      </c>
      <c r="B19" s="36" t="s">
        <v>48</v>
      </c>
      <c r="C19" s="69">
        <v>20000</v>
      </c>
      <c r="D19" s="70"/>
      <c r="E19" s="68">
        <v>67900</v>
      </c>
      <c r="F19" s="65">
        <f t="shared" si="3"/>
        <v>87900</v>
      </c>
      <c r="G19" s="45">
        <v>0.2</v>
      </c>
      <c r="H19" s="46">
        <v>17384</v>
      </c>
      <c r="I19" s="46"/>
      <c r="J19" s="85">
        <v>62437</v>
      </c>
      <c r="K19" s="9">
        <f t="shared" si="0"/>
        <v>79821</v>
      </c>
      <c r="L19" s="36"/>
      <c r="M19" s="37">
        <f>1875000+3341250</f>
        <v>5216250</v>
      </c>
      <c r="N19" s="41">
        <f t="shared" si="1"/>
        <v>8884.4245583974734</v>
      </c>
      <c r="O19" s="35">
        <v>8500</v>
      </c>
      <c r="P19" s="35"/>
      <c r="Q19" s="35"/>
      <c r="R19" s="35"/>
      <c r="S19" s="35"/>
      <c r="U19" s="6">
        <f t="shared" si="2"/>
        <v>17384.424558397473</v>
      </c>
    </row>
    <row r="20" spans="1:25" ht="46.5" x14ac:dyDescent="0.35">
      <c r="A20" s="8" t="s">
        <v>49</v>
      </c>
      <c r="B20" s="36" t="s">
        <v>50</v>
      </c>
      <c r="C20" s="69">
        <v>12000</v>
      </c>
      <c r="D20" s="70"/>
      <c r="E20" s="68">
        <v>16100</v>
      </c>
      <c r="F20" s="65">
        <f t="shared" si="3"/>
        <v>28100</v>
      </c>
      <c r="G20" s="45">
        <v>0.2</v>
      </c>
      <c r="H20" s="46">
        <v>4454</v>
      </c>
      <c r="I20" s="46"/>
      <c r="J20" s="85">
        <v>14805</v>
      </c>
      <c r="K20" s="9">
        <f t="shared" si="0"/>
        <v>19259</v>
      </c>
      <c r="L20" s="36"/>
      <c r="M20" s="37">
        <f>1965000+650000</f>
        <v>2615000</v>
      </c>
      <c r="N20" s="41">
        <f t="shared" si="1"/>
        <v>4453.9219209603434</v>
      </c>
      <c r="O20" s="35"/>
      <c r="P20" s="35"/>
      <c r="Q20" s="35"/>
      <c r="R20" s="35"/>
      <c r="S20" s="35"/>
      <c r="U20" s="6">
        <f t="shared" si="2"/>
        <v>4453.9219209603434</v>
      </c>
    </row>
    <row r="21" spans="1:25" ht="46.5" x14ac:dyDescent="0.35">
      <c r="A21" s="8" t="s">
        <v>51</v>
      </c>
      <c r="B21" s="36" t="s">
        <v>52</v>
      </c>
      <c r="C21" s="69">
        <v>10000</v>
      </c>
      <c r="D21" s="70"/>
      <c r="E21" s="68">
        <v>57750</v>
      </c>
      <c r="F21" s="65">
        <f t="shared" si="3"/>
        <v>67750</v>
      </c>
      <c r="G21" s="45">
        <v>0.2</v>
      </c>
      <c r="H21" s="46">
        <v>20455</v>
      </c>
      <c r="I21" s="46"/>
      <c r="J21" s="85">
        <v>16736</v>
      </c>
      <c r="K21" s="9">
        <f t="shared" si="0"/>
        <v>37191</v>
      </c>
      <c r="L21" s="36"/>
      <c r="M21" s="41">
        <f>11256000+3341250</f>
        <v>14597250</v>
      </c>
      <c r="N21" s="41">
        <f t="shared" si="1"/>
        <v>24862.337193398995</v>
      </c>
      <c r="O21" s="35"/>
      <c r="P21" s="35"/>
      <c r="Q21" s="35"/>
      <c r="R21" s="35"/>
      <c r="S21" s="35"/>
      <c r="U21" s="6">
        <f t="shared" si="2"/>
        <v>24862.337193398995</v>
      </c>
    </row>
    <row r="22" spans="1:25" ht="46.5" x14ac:dyDescent="0.35">
      <c r="A22" s="8" t="s">
        <v>53</v>
      </c>
      <c r="B22" s="71" t="s">
        <v>54</v>
      </c>
      <c r="C22" s="69">
        <v>20000</v>
      </c>
      <c r="D22" s="70"/>
      <c r="E22" s="68">
        <v>18200</v>
      </c>
      <c r="F22" s="65">
        <f t="shared" si="3"/>
        <v>38200</v>
      </c>
      <c r="G22" s="45">
        <v>0.2</v>
      </c>
      <c r="H22" s="46">
        <v>20000</v>
      </c>
      <c r="I22" s="46"/>
      <c r="J22" s="85"/>
      <c r="K22" s="9">
        <f t="shared" si="0"/>
        <v>20000</v>
      </c>
      <c r="L22" s="36"/>
      <c r="M22" s="41">
        <f>10364000+3341250</f>
        <v>13705250</v>
      </c>
      <c r="N22" s="41">
        <f t="shared" si="1"/>
        <v>23343.064400474857</v>
      </c>
      <c r="O22" s="35"/>
      <c r="P22" s="35"/>
      <c r="Q22" s="35"/>
      <c r="R22" s="35"/>
      <c r="S22" s="35"/>
      <c r="U22" s="6">
        <f t="shared" si="2"/>
        <v>23343.064400474857</v>
      </c>
    </row>
    <row r="23" spans="1:25" ht="46.5" x14ac:dyDescent="0.35">
      <c r="A23" s="8" t="s">
        <v>55</v>
      </c>
      <c r="B23" s="36" t="s">
        <v>56</v>
      </c>
      <c r="C23" s="69">
        <v>10000</v>
      </c>
      <c r="D23" s="70"/>
      <c r="E23" s="68">
        <v>7000</v>
      </c>
      <c r="F23" s="65">
        <f t="shared" si="3"/>
        <v>17000</v>
      </c>
      <c r="G23" s="45">
        <v>0</v>
      </c>
      <c r="H23" s="46">
        <v>7000</v>
      </c>
      <c r="I23" s="46"/>
      <c r="J23" s="85">
        <v>6437</v>
      </c>
      <c r="K23" s="9">
        <f t="shared" si="0"/>
        <v>13437</v>
      </c>
      <c r="L23" s="36"/>
      <c r="M23" s="41">
        <f>1200000+3341250</f>
        <v>4541250</v>
      </c>
      <c r="N23" s="41">
        <f t="shared" si="1"/>
        <v>7734.7506399851472</v>
      </c>
      <c r="O23" s="35"/>
      <c r="P23" s="35"/>
      <c r="Q23" s="35"/>
      <c r="R23" s="35"/>
      <c r="S23" s="35"/>
      <c r="U23" s="6">
        <f t="shared" si="2"/>
        <v>7734.7506399851472</v>
      </c>
    </row>
    <row r="24" spans="1:25" ht="87.65" customHeight="1" x14ac:dyDescent="0.35">
      <c r="A24" s="66" t="s">
        <v>57</v>
      </c>
      <c r="B24" s="36" t="s">
        <v>58</v>
      </c>
      <c r="C24" s="69">
        <v>6500</v>
      </c>
      <c r="D24" s="69">
        <v>14231</v>
      </c>
      <c r="E24" s="68">
        <v>7000</v>
      </c>
      <c r="F24" s="65">
        <f t="shared" si="3"/>
        <v>27731</v>
      </c>
      <c r="G24" s="45">
        <v>1</v>
      </c>
      <c r="H24" s="46">
        <v>4045</v>
      </c>
      <c r="I24" s="46"/>
      <c r="J24" s="85">
        <v>6437</v>
      </c>
      <c r="K24" s="9">
        <f t="shared" si="0"/>
        <v>10482</v>
      </c>
      <c r="L24" s="36"/>
      <c r="M24" s="41"/>
      <c r="N24" s="41">
        <f t="shared" si="1"/>
        <v>0</v>
      </c>
      <c r="O24" s="35"/>
      <c r="P24" s="35"/>
      <c r="Q24" s="35"/>
      <c r="R24" s="35"/>
      <c r="S24" s="35"/>
      <c r="U24" s="6">
        <f t="shared" si="2"/>
        <v>0</v>
      </c>
    </row>
    <row r="25" spans="1:25" ht="37.5" customHeight="1" x14ac:dyDescent="0.35">
      <c r="A25" s="72" t="s">
        <v>59</v>
      </c>
      <c r="B25" s="42" t="s">
        <v>60</v>
      </c>
      <c r="C25" s="43">
        <f>SUM(C26:C31)</f>
        <v>105000</v>
      </c>
      <c r="D25" s="43">
        <f>SUM(D26:D31)</f>
        <v>394648</v>
      </c>
      <c r="E25" s="61">
        <f>SUM(E26:E31)</f>
        <v>198800</v>
      </c>
      <c r="F25" s="62">
        <f t="shared" si="3"/>
        <v>698448</v>
      </c>
      <c r="G25" s="42"/>
      <c r="H25" s="44">
        <f>SUM(H26:H32)</f>
        <v>57407</v>
      </c>
      <c r="I25" s="44">
        <f>SUM(I26:I32)</f>
        <v>413051</v>
      </c>
      <c r="J25" s="44">
        <f>SUM(J26:J31)</f>
        <v>303585.37</v>
      </c>
      <c r="K25" s="40">
        <f t="shared" si="0"/>
        <v>774043.37</v>
      </c>
      <c r="L25" s="42"/>
      <c r="M25" s="41"/>
      <c r="N25" s="41">
        <f t="shared" si="1"/>
        <v>0</v>
      </c>
      <c r="O25" s="35"/>
      <c r="P25" s="35"/>
      <c r="Q25" s="35"/>
      <c r="R25" s="35"/>
      <c r="S25" s="35"/>
      <c r="U25" s="6">
        <f t="shared" si="2"/>
        <v>0</v>
      </c>
    </row>
    <row r="26" spans="1:25" ht="62" x14ac:dyDescent="0.35">
      <c r="A26" s="71" t="s">
        <v>61</v>
      </c>
      <c r="B26" s="36" t="s">
        <v>62</v>
      </c>
      <c r="C26" s="69">
        <v>14000</v>
      </c>
      <c r="D26" s="55"/>
      <c r="E26" s="68">
        <v>17920</v>
      </c>
      <c r="F26" s="65">
        <f t="shared" si="3"/>
        <v>31920</v>
      </c>
      <c r="G26" s="45">
        <v>0.2</v>
      </c>
      <c r="H26" s="46"/>
      <c r="I26" s="46"/>
      <c r="J26" s="86">
        <v>17339</v>
      </c>
      <c r="K26" s="9">
        <f t="shared" si="0"/>
        <v>17339</v>
      </c>
      <c r="L26" s="36"/>
      <c r="M26" s="41">
        <v>0</v>
      </c>
      <c r="N26" s="41">
        <f t="shared" si="1"/>
        <v>0</v>
      </c>
      <c r="O26" s="35"/>
      <c r="P26" s="35"/>
      <c r="Q26" s="35"/>
      <c r="R26" s="35"/>
      <c r="S26" s="35"/>
      <c r="U26" s="6">
        <f t="shared" si="2"/>
        <v>0</v>
      </c>
    </row>
    <row r="27" spans="1:25" ht="31" x14ac:dyDescent="0.35">
      <c r="A27" s="71" t="s">
        <v>63</v>
      </c>
      <c r="B27" s="36" t="s">
        <v>64</v>
      </c>
      <c r="C27" s="69">
        <v>6000</v>
      </c>
      <c r="D27" s="55"/>
      <c r="E27" s="68">
        <v>10220</v>
      </c>
      <c r="F27" s="65">
        <f t="shared" si="3"/>
        <v>16220</v>
      </c>
      <c r="G27" s="45">
        <v>0</v>
      </c>
      <c r="H27" s="46">
        <v>7794</v>
      </c>
      <c r="I27" s="46"/>
      <c r="J27" s="86"/>
      <c r="K27" s="9">
        <f t="shared" si="0"/>
        <v>7794</v>
      </c>
      <c r="L27" s="36"/>
      <c r="M27" s="41">
        <v>1750000</v>
      </c>
      <c r="N27" s="41">
        <f t="shared" si="1"/>
        <v>2980.6360847726964</v>
      </c>
      <c r="O27" s="49" t="e">
        <f>N27+Y27+#REF!</f>
        <v>#REF!</v>
      </c>
      <c r="P27" s="35"/>
      <c r="Q27" s="35"/>
      <c r="R27" s="35"/>
      <c r="S27" s="41"/>
      <c r="U27" s="6" t="e">
        <f t="shared" si="2"/>
        <v>#REF!</v>
      </c>
      <c r="X27" s="7">
        <v>750000</v>
      </c>
      <c r="Y27" s="1">
        <f>X27/588</f>
        <v>1275.5102040816328</v>
      </c>
    </row>
    <row r="28" spans="1:25" ht="46.5" x14ac:dyDescent="0.35">
      <c r="A28" s="71" t="s">
        <v>65</v>
      </c>
      <c r="B28" s="36" t="s">
        <v>66</v>
      </c>
      <c r="C28" s="69">
        <v>15000</v>
      </c>
      <c r="D28" s="69">
        <v>193900</v>
      </c>
      <c r="E28" s="68">
        <v>85820</v>
      </c>
      <c r="F28" s="65">
        <f t="shared" si="3"/>
        <v>294720</v>
      </c>
      <c r="G28" s="45">
        <v>0.5</v>
      </c>
      <c r="H28" s="46">
        <v>3062</v>
      </c>
      <c r="I28" s="46">
        <v>412591</v>
      </c>
      <c r="J28" s="86">
        <v>70000</v>
      </c>
      <c r="K28" s="9">
        <f t="shared" si="0"/>
        <v>485653</v>
      </c>
      <c r="L28" s="36"/>
      <c r="M28" s="41">
        <v>1750000</v>
      </c>
      <c r="N28" s="41">
        <f t="shared" si="1"/>
        <v>2980.6360847726964</v>
      </c>
      <c r="O28" s="35"/>
      <c r="P28" s="35"/>
      <c r="Q28" s="35"/>
      <c r="R28" s="35"/>
      <c r="S28" s="35"/>
      <c r="U28" s="6">
        <f t="shared" si="2"/>
        <v>2980.6360847726964</v>
      </c>
    </row>
    <row r="29" spans="1:25" ht="55.75" customHeight="1" x14ac:dyDescent="0.35">
      <c r="A29" s="71" t="s">
        <v>67</v>
      </c>
      <c r="B29" s="36" t="s">
        <v>68</v>
      </c>
      <c r="C29" s="69">
        <v>40000</v>
      </c>
      <c r="D29" s="55"/>
      <c r="E29" s="68">
        <v>28700</v>
      </c>
      <c r="F29" s="65">
        <f t="shared" si="3"/>
        <v>68700</v>
      </c>
      <c r="G29" s="45">
        <v>0.5</v>
      </c>
      <c r="H29" s="46">
        <v>2827</v>
      </c>
      <c r="I29" s="46"/>
      <c r="J29" s="86">
        <v>86498.54800000001</v>
      </c>
      <c r="K29" s="9">
        <f t="shared" si="0"/>
        <v>89325.54800000001</v>
      </c>
      <c r="L29" s="36"/>
      <c r="M29" s="41">
        <v>1750000</v>
      </c>
      <c r="N29" s="41">
        <f t="shared" si="1"/>
        <v>2980.6360847726964</v>
      </c>
      <c r="O29" s="35"/>
      <c r="P29" s="35"/>
      <c r="Q29" s="35"/>
      <c r="R29" s="35"/>
      <c r="S29" s="35"/>
      <c r="U29" s="6">
        <f t="shared" si="2"/>
        <v>2980.6360847726964</v>
      </c>
    </row>
    <row r="30" spans="1:25" ht="46.5" x14ac:dyDescent="0.35">
      <c r="A30" s="71" t="s">
        <v>69</v>
      </c>
      <c r="B30" s="36" t="s">
        <v>70</v>
      </c>
      <c r="C30" s="69"/>
      <c r="D30" s="69">
        <v>200748</v>
      </c>
      <c r="E30" s="68">
        <v>41020</v>
      </c>
      <c r="F30" s="65">
        <f t="shared" si="3"/>
        <v>241768</v>
      </c>
      <c r="G30" s="45">
        <v>0.5</v>
      </c>
      <c r="H30" s="46">
        <v>2981</v>
      </c>
      <c r="I30" s="46"/>
      <c r="J30" s="86">
        <v>129747.82199999999</v>
      </c>
      <c r="K30" s="9">
        <f t="shared" si="0"/>
        <v>132728.82199999999</v>
      </c>
      <c r="L30" s="36"/>
      <c r="M30" s="41">
        <f>1750000</f>
        <v>1750000</v>
      </c>
      <c r="N30" s="41">
        <f t="shared" si="1"/>
        <v>2980.6360847726964</v>
      </c>
      <c r="O30" s="35"/>
      <c r="P30" s="35"/>
      <c r="Q30" s="35"/>
      <c r="R30" s="35"/>
      <c r="S30" s="35"/>
      <c r="U30" s="6">
        <f t="shared" si="2"/>
        <v>2980.6360847726964</v>
      </c>
    </row>
    <row r="31" spans="1:25" ht="40.75" customHeight="1" x14ac:dyDescent="0.35">
      <c r="A31" s="71" t="s">
        <v>71</v>
      </c>
      <c r="B31" s="36" t="s">
        <v>72</v>
      </c>
      <c r="C31" s="69">
        <v>30000</v>
      </c>
      <c r="D31" s="54"/>
      <c r="E31" s="68">
        <v>15120</v>
      </c>
      <c r="F31" s="65">
        <f>E31+C31</f>
        <v>45120</v>
      </c>
      <c r="G31" s="45">
        <v>0</v>
      </c>
      <c r="H31" s="46"/>
      <c r="I31" s="46"/>
      <c r="J31" s="86"/>
      <c r="K31" s="9">
        <f t="shared" si="0"/>
        <v>0</v>
      </c>
      <c r="L31" s="36"/>
      <c r="M31" s="41"/>
      <c r="N31" s="41">
        <f t="shared" si="1"/>
        <v>0</v>
      </c>
      <c r="O31" s="35"/>
      <c r="P31" s="35"/>
      <c r="Q31" s="35"/>
      <c r="R31" s="35"/>
      <c r="S31" s="35"/>
      <c r="U31" s="6">
        <f t="shared" si="2"/>
        <v>0</v>
      </c>
    </row>
    <row r="32" spans="1:25" ht="59.9" customHeight="1" x14ac:dyDescent="0.35">
      <c r="A32" s="8" t="s">
        <v>73</v>
      </c>
      <c r="B32" s="8" t="s">
        <v>74</v>
      </c>
      <c r="C32" s="56"/>
      <c r="D32" s="56"/>
      <c r="E32" s="73"/>
      <c r="F32" s="74">
        <f>F33+F38</f>
        <v>356620</v>
      </c>
      <c r="G32" s="8"/>
      <c r="H32" s="39">
        <f>H33+H38</f>
        <v>40743</v>
      </c>
      <c r="I32" s="39">
        <f>I33+I38</f>
        <v>460</v>
      </c>
      <c r="J32" s="39">
        <f>J33+J38</f>
        <v>199495.63</v>
      </c>
      <c r="K32" s="40">
        <f t="shared" si="0"/>
        <v>240698.63</v>
      </c>
      <c r="L32" s="8"/>
      <c r="M32" s="41"/>
      <c r="N32" s="41">
        <f t="shared" si="1"/>
        <v>0</v>
      </c>
      <c r="O32" s="35"/>
      <c r="P32" s="35"/>
      <c r="Q32" s="35"/>
      <c r="R32" s="35"/>
      <c r="S32" s="35"/>
      <c r="U32" s="6">
        <f t="shared" si="2"/>
        <v>0</v>
      </c>
    </row>
    <row r="33" spans="1:21" ht="36.75" customHeight="1" x14ac:dyDescent="0.35">
      <c r="A33" s="72" t="s">
        <v>75</v>
      </c>
      <c r="B33" s="42" t="s">
        <v>76</v>
      </c>
      <c r="C33" s="43">
        <f>SUM(C34:C37)</f>
        <v>75000</v>
      </c>
      <c r="D33" s="43">
        <f>SUM(D34:D36)</f>
        <v>0</v>
      </c>
      <c r="E33" s="61">
        <f>SUM(E34:E37)</f>
        <v>107800</v>
      </c>
      <c r="F33" s="62">
        <f t="shared" ref="F33:F47" si="4">E33+D33+C33</f>
        <v>182800</v>
      </c>
      <c r="G33" s="42"/>
      <c r="H33" s="44">
        <f>H34+H36</f>
        <v>5713</v>
      </c>
      <c r="I33" s="44">
        <f>I34+I36</f>
        <v>460</v>
      </c>
      <c r="J33" s="44">
        <f>J34+J36</f>
        <v>99114.63</v>
      </c>
      <c r="K33" s="40">
        <f t="shared" si="0"/>
        <v>105287.63</v>
      </c>
      <c r="L33" s="42"/>
      <c r="M33" s="41"/>
      <c r="N33" s="41">
        <f t="shared" si="1"/>
        <v>0</v>
      </c>
      <c r="O33" s="35"/>
      <c r="P33" s="35"/>
      <c r="Q33" s="35"/>
      <c r="R33" s="35"/>
      <c r="S33" s="35"/>
      <c r="U33" s="6">
        <f t="shared" si="2"/>
        <v>0</v>
      </c>
    </row>
    <row r="34" spans="1:21" ht="84.65" customHeight="1" x14ac:dyDescent="0.35">
      <c r="A34" s="71" t="s">
        <v>77</v>
      </c>
      <c r="B34" s="36" t="s">
        <v>78</v>
      </c>
      <c r="C34" s="103">
        <v>60000</v>
      </c>
      <c r="D34" s="55"/>
      <c r="E34" s="104">
        <v>98280</v>
      </c>
      <c r="F34" s="65">
        <f t="shared" si="4"/>
        <v>158280</v>
      </c>
      <c r="G34" s="45">
        <v>1</v>
      </c>
      <c r="H34" s="46">
        <v>3900</v>
      </c>
      <c r="I34" s="46">
        <v>460</v>
      </c>
      <c r="J34" s="107">
        <f>93977-11.3699999999953</f>
        <v>93965.63</v>
      </c>
      <c r="K34" s="40">
        <f t="shared" si="0"/>
        <v>98325.63</v>
      </c>
      <c r="L34" s="36"/>
      <c r="M34" s="41"/>
      <c r="N34" s="41">
        <f t="shared" si="1"/>
        <v>0</v>
      </c>
      <c r="O34" s="35"/>
      <c r="P34" s="35"/>
      <c r="Q34" s="35"/>
      <c r="R34" s="35"/>
      <c r="S34" s="35"/>
      <c r="U34" s="6">
        <f t="shared" si="2"/>
        <v>0</v>
      </c>
    </row>
    <row r="35" spans="1:21" ht="59.9" customHeight="1" x14ac:dyDescent="0.35">
      <c r="A35" s="71" t="s">
        <v>79</v>
      </c>
      <c r="B35" s="36" t="s">
        <v>80</v>
      </c>
      <c r="C35" s="103"/>
      <c r="D35" s="55"/>
      <c r="E35" s="104"/>
      <c r="F35" s="65">
        <f t="shared" si="4"/>
        <v>0</v>
      </c>
      <c r="G35" s="45">
        <v>1</v>
      </c>
      <c r="H35" s="46"/>
      <c r="I35" s="46"/>
      <c r="J35" s="107"/>
      <c r="K35" s="40">
        <f t="shared" si="0"/>
        <v>0</v>
      </c>
      <c r="L35" s="36"/>
      <c r="M35" s="41"/>
      <c r="N35" s="41">
        <f t="shared" si="1"/>
        <v>0</v>
      </c>
      <c r="O35" s="35"/>
      <c r="P35" s="35"/>
      <c r="Q35" s="35"/>
      <c r="R35" s="35"/>
      <c r="S35" s="35"/>
      <c r="U35" s="6">
        <f t="shared" si="2"/>
        <v>0</v>
      </c>
    </row>
    <row r="36" spans="1:21" ht="31" x14ac:dyDescent="0.35">
      <c r="A36" s="71" t="s">
        <v>81</v>
      </c>
      <c r="B36" s="36" t="s">
        <v>82</v>
      </c>
      <c r="C36" s="69">
        <v>9000</v>
      </c>
      <c r="D36" s="55"/>
      <c r="E36" s="75">
        <v>5600</v>
      </c>
      <c r="F36" s="65">
        <f t="shared" si="4"/>
        <v>14600</v>
      </c>
      <c r="G36" s="45">
        <v>1</v>
      </c>
      <c r="H36" s="46">
        <v>1813</v>
      </c>
      <c r="I36" s="46"/>
      <c r="J36" s="50">
        <v>5149</v>
      </c>
      <c r="K36" s="40">
        <f t="shared" si="0"/>
        <v>6962</v>
      </c>
      <c r="L36" s="36"/>
      <c r="M36" s="41"/>
      <c r="N36" s="41">
        <f t="shared" si="1"/>
        <v>0</v>
      </c>
      <c r="O36" s="35"/>
      <c r="P36" s="35"/>
      <c r="Q36" s="35"/>
      <c r="R36" s="35"/>
      <c r="S36" s="35"/>
      <c r="U36" s="6">
        <f t="shared" si="2"/>
        <v>0</v>
      </c>
    </row>
    <row r="37" spans="1:21" ht="46.5" x14ac:dyDescent="0.35">
      <c r="A37" s="71" t="s">
        <v>83</v>
      </c>
      <c r="B37" s="36" t="s">
        <v>84</v>
      </c>
      <c r="C37" s="69">
        <v>6000</v>
      </c>
      <c r="D37" s="55"/>
      <c r="E37" s="75">
        <v>3920</v>
      </c>
      <c r="F37" s="65">
        <f t="shared" si="4"/>
        <v>9920</v>
      </c>
      <c r="G37" s="45">
        <v>0</v>
      </c>
      <c r="H37" s="46"/>
      <c r="I37" s="46"/>
      <c r="J37" s="48"/>
      <c r="K37" s="40">
        <f t="shared" si="0"/>
        <v>0</v>
      </c>
      <c r="L37" s="36"/>
      <c r="M37" s="41"/>
      <c r="N37" s="41">
        <f t="shared" si="1"/>
        <v>0</v>
      </c>
      <c r="O37" s="35"/>
      <c r="P37" s="35"/>
      <c r="Q37" s="35"/>
      <c r="R37" s="35"/>
      <c r="S37" s="35"/>
      <c r="U37" s="6">
        <f t="shared" si="2"/>
        <v>0</v>
      </c>
    </row>
    <row r="38" spans="1:21" ht="48" customHeight="1" x14ac:dyDescent="0.35">
      <c r="A38" s="76" t="s">
        <v>85</v>
      </c>
      <c r="B38" s="8" t="s">
        <v>86</v>
      </c>
      <c r="C38" s="51">
        <f>SUM(C39:C42)</f>
        <v>70920</v>
      </c>
      <c r="D38" s="51">
        <f>SUM(D39:D42)</f>
        <v>0</v>
      </c>
      <c r="E38" s="73">
        <f>SUM(E39:E42)</f>
        <v>102900</v>
      </c>
      <c r="F38" s="74">
        <f t="shared" si="4"/>
        <v>173820</v>
      </c>
      <c r="G38" s="8"/>
      <c r="H38" s="39">
        <f>+H39+H40+H41+H42</f>
        <v>35030</v>
      </c>
      <c r="I38" s="39">
        <f>+I39+I40+I41+I42</f>
        <v>0</v>
      </c>
      <c r="J38" s="39">
        <f>+J39+J40+J41+J42</f>
        <v>100381</v>
      </c>
      <c r="K38" s="40">
        <f t="shared" si="0"/>
        <v>135411</v>
      </c>
      <c r="L38" s="8"/>
      <c r="M38" s="41"/>
      <c r="N38" s="41">
        <f t="shared" si="1"/>
        <v>0</v>
      </c>
      <c r="O38" s="35"/>
      <c r="P38" s="35"/>
      <c r="Q38" s="35"/>
      <c r="R38" s="35"/>
      <c r="S38" s="35"/>
      <c r="U38" s="6">
        <f t="shared" si="2"/>
        <v>0</v>
      </c>
    </row>
    <row r="39" spans="1:21" ht="46.5" x14ac:dyDescent="0.35">
      <c r="A39" s="71" t="s">
        <v>87</v>
      </c>
      <c r="B39" s="36" t="s">
        <v>88</v>
      </c>
      <c r="C39" s="69">
        <v>56000</v>
      </c>
      <c r="D39" s="55"/>
      <c r="E39" s="68">
        <v>74200</v>
      </c>
      <c r="F39" s="65">
        <f t="shared" si="4"/>
        <v>130200</v>
      </c>
      <c r="G39" s="45">
        <v>0.75</v>
      </c>
      <c r="H39" s="46">
        <v>23180</v>
      </c>
      <c r="I39" s="46"/>
      <c r="J39" s="48">
        <v>72615</v>
      </c>
      <c r="K39" s="40">
        <f t="shared" si="0"/>
        <v>95795</v>
      </c>
      <c r="L39" s="36"/>
      <c r="M39" s="41"/>
      <c r="N39" s="41">
        <f t="shared" si="1"/>
        <v>0</v>
      </c>
      <c r="O39" s="35"/>
      <c r="P39" s="35"/>
      <c r="Q39" s="35"/>
      <c r="R39" s="35"/>
      <c r="S39" s="35"/>
      <c r="U39" s="6">
        <f t="shared" si="2"/>
        <v>0</v>
      </c>
    </row>
    <row r="40" spans="1:21" ht="31" x14ac:dyDescent="0.35">
      <c r="A40" s="71" t="s">
        <v>89</v>
      </c>
      <c r="B40" s="36" t="s">
        <v>90</v>
      </c>
      <c r="C40" s="69">
        <v>8320</v>
      </c>
      <c r="D40" s="55"/>
      <c r="E40" s="68">
        <v>14700</v>
      </c>
      <c r="F40" s="65">
        <f t="shared" si="4"/>
        <v>23020</v>
      </c>
      <c r="G40" s="45">
        <v>0.75</v>
      </c>
      <c r="H40" s="46">
        <v>4200</v>
      </c>
      <c r="I40" s="46"/>
      <c r="J40" s="48">
        <v>14386</v>
      </c>
      <c r="K40" s="40">
        <f t="shared" si="0"/>
        <v>18586</v>
      </c>
      <c r="L40" s="36"/>
      <c r="M40" s="41">
        <f>650000+485950</f>
        <v>1135950</v>
      </c>
      <c r="N40" s="41">
        <f t="shared" si="1"/>
        <v>1934.7734631414539</v>
      </c>
      <c r="O40" s="35"/>
      <c r="P40" s="35"/>
      <c r="Q40" s="35"/>
      <c r="R40" s="35"/>
      <c r="S40" s="35"/>
      <c r="U40" s="6">
        <f t="shared" si="2"/>
        <v>1934.7734631414539</v>
      </c>
    </row>
    <row r="41" spans="1:21" ht="62" x14ac:dyDescent="0.35">
      <c r="A41" s="71" t="s">
        <v>91</v>
      </c>
      <c r="B41" s="36" t="s">
        <v>92</v>
      </c>
      <c r="C41" s="69">
        <v>3200</v>
      </c>
      <c r="D41" s="55"/>
      <c r="E41" s="68">
        <v>5600</v>
      </c>
      <c r="F41" s="65">
        <f t="shared" si="4"/>
        <v>8800</v>
      </c>
      <c r="G41" s="45">
        <v>1</v>
      </c>
      <c r="H41" s="46">
        <v>2891</v>
      </c>
      <c r="I41" s="46"/>
      <c r="J41" s="50">
        <v>5159</v>
      </c>
      <c r="K41" s="40">
        <f t="shared" si="0"/>
        <v>8050</v>
      </c>
      <c r="L41" s="36"/>
      <c r="M41" s="41"/>
      <c r="N41" s="41">
        <f t="shared" si="1"/>
        <v>0</v>
      </c>
      <c r="O41" s="35"/>
      <c r="P41" s="35"/>
      <c r="Q41" s="35"/>
      <c r="R41" s="35"/>
      <c r="S41" s="35"/>
      <c r="U41" s="6">
        <f t="shared" si="2"/>
        <v>0</v>
      </c>
    </row>
    <row r="42" spans="1:21" ht="46.5" x14ac:dyDescent="0.35">
      <c r="A42" s="71" t="s">
        <v>93</v>
      </c>
      <c r="B42" s="36" t="s">
        <v>94</v>
      </c>
      <c r="C42" s="69">
        <v>3400</v>
      </c>
      <c r="D42" s="56"/>
      <c r="E42" s="68">
        <v>8400</v>
      </c>
      <c r="F42" s="65">
        <f t="shared" si="4"/>
        <v>11800</v>
      </c>
      <c r="G42" s="45">
        <v>0.75</v>
      </c>
      <c r="H42" s="46">
        <v>4759</v>
      </c>
      <c r="I42" s="46"/>
      <c r="J42" s="48">
        <v>8221</v>
      </c>
      <c r="K42" s="40">
        <f t="shared" si="0"/>
        <v>12980</v>
      </c>
      <c r="L42" s="36"/>
      <c r="M42" s="41">
        <f>SUM(M8:M41)</f>
        <v>49310950</v>
      </c>
      <c r="N42" s="49">
        <v>0</v>
      </c>
      <c r="O42" s="49">
        <v>0</v>
      </c>
      <c r="P42" s="35"/>
      <c r="Q42" s="35"/>
      <c r="R42" s="35"/>
      <c r="S42" s="35"/>
      <c r="U42" s="6">
        <f t="shared" si="2"/>
        <v>0</v>
      </c>
    </row>
    <row r="43" spans="1:21" ht="63.75" customHeight="1" x14ac:dyDescent="0.35">
      <c r="A43" s="102" t="s">
        <v>95</v>
      </c>
      <c r="B43" s="102"/>
      <c r="C43" s="51">
        <f>C38+C33+C25+C18+C14+C10</f>
        <v>400420</v>
      </c>
      <c r="D43" s="51">
        <f>D38+D33+D25+D18+D14+D10</f>
        <v>408879</v>
      </c>
      <c r="E43" s="73">
        <f>E38+E33+E25+E18+E14+E10</f>
        <v>777350</v>
      </c>
      <c r="F43" s="74">
        <f t="shared" si="4"/>
        <v>1586649</v>
      </c>
      <c r="G43" s="52"/>
      <c r="H43" s="39">
        <f>+H9+H32</f>
        <v>218166</v>
      </c>
      <c r="I43" s="39">
        <f>+I9+I32</f>
        <v>413689</v>
      </c>
      <c r="J43" s="39">
        <f>+J9+J32</f>
        <v>673394</v>
      </c>
      <c r="K43" s="40">
        <f t="shared" si="0"/>
        <v>1305249</v>
      </c>
      <c r="L43" s="36"/>
      <c r="M43" s="41"/>
      <c r="N43" s="35"/>
      <c r="O43" s="35"/>
      <c r="P43" s="35"/>
      <c r="Q43" s="35"/>
      <c r="R43" s="35"/>
      <c r="S43" s="35"/>
      <c r="U43" s="6">
        <f t="shared" si="2"/>
        <v>0</v>
      </c>
    </row>
    <row r="44" spans="1:21" ht="38.25" customHeight="1" x14ac:dyDescent="0.35">
      <c r="A44" s="8"/>
      <c r="B44" s="8" t="s">
        <v>96</v>
      </c>
      <c r="C44" s="77">
        <v>61570</v>
      </c>
      <c r="D44" s="56"/>
      <c r="E44" s="78">
        <v>85555</v>
      </c>
      <c r="F44" s="74">
        <f t="shared" si="4"/>
        <v>147125</v>
      </c>
      <c r="G44" s="8"/>
      <c r="H44" s="53"/>
      <c r="I44" s="53">
        <v>0</v>
      </c>
      <c r="J44" s="84">
        <v>35815</v>
      </c>
      <c r="K44" s="40">
        <f t="shared" si="0"/>
        <v>35815</v>
      </c>
      <c r="L44" s="8"/>
      <c r="M44" s="41"/>
      <c r="N44" s="35"/>
      <c r="O44" s="35"/>
      <c r="P44" s="35"/>
      <c r="Q44" s="35"/>
      <c r="R44" s="35">
        <v>2474</v>
      </c>
      <c r="S44" s="35"/>
      <c r="U44" s="6">
        <f t="shared" si="2"/>
        <v>2474</v>
      </c>
    </row>
    <row r="45" spans="1:21" ht="38.25" customHeight="1" x14ac:dyDescent="0.35">
      <c r="A45" s="8"/>
      <c r="B45" s="8" t="s">
        <v>97</v>
      </c>
      <c r="C45" s="77">
        <v>27000</v>
      </c>
      <c r="D45" s="56"/>
      <c r="E45" s="78">
        <v>47600</v>
      </c>
      <c r="F45" s="74">
        <f t="shared" si="4"/>
        <v>74600</v>
      </c>
      <c r="G45" s="8"/>
      <c r="H45" s="113">
        <v>11700</v>
      </c>
      <c r="I45" s="113">
        <v>10967.4</v>
      </c>
      <c r="J45" s="114">
        <v>13043</v>
      </c>
      <c r="K45" s="115">
        <f t="shared" si="0"/>
        <v>35710.400000000001</v>
      </c>
      <c r="L45" s="8"/>
      <c r="M45" s="41"/>
      <c r="N45" s="35"/>
      <c r="O45" s="35"/>
      <c r="P45" s="47">
        <v>5776</v>
      </c>
      <c r="Q45" s="35"/>
      <c r="R45" s="35"/>
      <c r="S45" s="35"/>
      <c r="U45" s="6">
        <f t="shared" si="2"/>
        <v>5776</v>
      </c>
    </row>
    <row r="46" spans="1:21" ht="28.5" customHeight="1" x14ac:dyDescent="0.35">
      <c r="A46" s="8"/>
      <c r="B46" s="8" t="s">
        <v>98</v>
      </c>
      <c r="C46" s="77">
        <v>83440</v>
      </c>
      <c r="D46" s="56"/>
      <c r="E46" s="78">
        <v>70803</v>
      </c>
      <c r="F46" s="74">
        <f t="shared" si="4"/>
        <v>154243</v>
      </c>
      <c r="G46" s="8"/>
      <c r="H46" s="113">
        <v>37950</v>
      </c>
      <c r="I46" s="113">
        <f>43856928*30%/599.595</f>
        <v>21943.275711104994</v>
      </c>
      <c r="J46" s="114">
        <v>20418</v>
      </c>
      <c r="K46" s="115">
        <f t="shared" si="0"/>
        <v>80311.275711105001</v>
      </c>
      <c r="L46" s="8"/>
      <c r="M46" s="41"/>
      <c r="N46" s="35"/>
      <c r="O46" s="35"/>
      <c r="P46" s="35"/>
      <c r="Q46" s="35"/>
      <c r="R46" s="35"/>
      <c r="S46" s="35"/>
      <c r="U46" s="6">
        <f t="shared" si="2"/>
        <v>0</v>
      </c>
    </row>
    <row r="47" spans="1:21" ht="28.5" customHeight="1" x14ac:dyDescent="0.35">
      <c r="A47" s="58"/>
      <c r="B47" s="58" t="s">
        <v>99</v>
      </c>
      <c r="C47" s="79">
        <f>C43+C44+C45+C46</f>
        <v>572430</v>
      </c>
      <c r="D47" s="79">
        <f>D43+D44+D45+D46</f>
        <v>408879</v>
      </c>
      <c r="E47" s="80">
        <f>E43+E44+E45+E46</f>
        <v>981308</v>
      </c>
      <c r="F47" s="81">
        <f t="shared" si="4"/>
        <v>1962617</v>
      </c>
      <c r="G47" s="57"/>
      <c r="H47" s="116">
        <f>SUM(H43:H46)</f>
        <v>267816</v>
      </c>
      <c r="I47" s="116">
        <f>SUM(I43:I46)</f>
        <v>446599.675711105</v>
      </c>
      <c r="J47" s="116">
        <f>SUM(J43:J46)</f>
        <v>742670</v>
      </c>
      <c r="K47" s="117">
        <f t="shared" si="0"/>
        <v>1457085.6757111051</v>
      </c>
      <c r="L47" s="58"/>
      <c r="M47" s="41"/>
      <c r="N47" s="35"/>
      <c r="O47" s="35"/>
      <c r="P47" s="35"/>
      <c r="Q47" s="35"/>
      <c r="R47" s="35"/>
      <c r="S47" s="35"/>
      <c r="U47" s="6">
        <f t="shared" si="2"/>
        <v>0</v>
      </c>
    </row>
    <row r="48" spans="1:21" ht="15" x14ac:dyDescent="0.35">
      <c r="A48" s="8"/>
      <c r="B48" s="8" t="s">
        <v>12</v>
      </c>
      <c r="C48" s="100">
        <f>C47*7%</f>
        <v>40070.100000000006</v>
      </c>
      <c r="D48" s="100">
        <f>D47*7%-1</f>
        <v>28620.530000000002</v>
      </c>
      <c r="E48" s="101">
        <f>E47*0.07</f>
        <v>68691.560000000012</v>
      </c>
      <c r="F48" s="74">
        <f>F47*0.07</f>
        <v>137383.19</v>
      </c>
      <c r="G48" s="8"/>
      <c r="H48" s="113">
        <f>H47*7%</f>
        <v>18747.120000000003</v>
      </c>
      <c r="I48" s="113">
        <f>I47*7%</f>
        <v>31261.977299777354</v>
      </c>
      <c r="J48" s="113">
        <f>J47*7%</f>
        <v>51986.9</v>
      </c>
      <c r="K48" s="115">
        <f>H48+I48+J48</f>
        <v>101995.99729977736</v>
      </c>
      <c r="L48" s="8"/>
      <c r="M48" s="41"/>
      <c r="N48" s="35"/>
      <c r="O48" s="35"/>
      <c r="P48" s="35"/>
      <c r="Q48" s="35"/>
      <c r="R48" s="35"/>
      <c r="S48" s="35">
        <v>258</v>
      </c>
      <c r="U48" s="6">
        <f t="shared" si="2"/>
        <v>258</v>
      </c>
    </row>
    <row r="49" spans="1:28" ht="38.25" customHeight="1" x14ac:dyDescent="0.35">
      <c r="A49" s="8"/>
      <c r="B49" s="8" t="s">
        <v>100</v>
      </c>
      <c r="C49" s="51">
        <f>C48+C47</f>
        <v>612500.1</v>
      </c>
      <c r="D49" s="82">
        <f>D47+D48</f>
        <v>437499.53</v>
      </c>
      <c r="E49" s="73">
        <f>E48+E47</f>
        <v>1049999.56</v>
      </c>
      <c r="F49" s="74">
        <f>SUM(F47:F48)</f>
        <v>2100000.19</v>
      </c>
      <c r="G49" s="112">
        <v>0.38</v>
      </c>
      <c r="H49" s="113">
        <f>SUM(H47:H48)</f>
        <v>286563.12</v>
      </c>
      <c r="I49" s="113">
        <f>SUM(I47:I48)</f>
        <v>477861.65301088232</v>
      </c>
      <c r="J49" s="113">
        <f>SUM(J47:J48)</f>
        <v>794656.9</v>
      </c>
      <c r="K49" s="115">
        <f>H49+I49+J49</f>
        <v>1559081.6730108825</v>
      </c>
      <c r="L49" s="8"/>
      <c r="M49" s="41"/>
      <c r="N49" s="35"/>
      <c r="O49" s="35"/>
      <c r="P49" s="35"/>
      <c r="Q49" s="35"/>
      <c r="R49" s="35"/>
      <c r="S49" s="35"/>
      <c r="U49" s="6">
        <v>0</v>
      </c>
    </row>
    <row r="50" spans="1:28" ht="59.15" customHeight="1" x14ac:dyDescent="0.35">
      <c r="A50" s="54"/>
      <c r="B50" s="54" t="s">
        <v>115</v>
      </c>
      <c r="C50" s="54"/>
      <c r="D50" s="54"/>
      <c r="E50" s="83"/>
      <c r="F50" s="54"/>
      <c r="G50" s="54"/>
      <c r="H50" s="89">
        <f>H49/C49</f>
        <v>0.46785807871704838</v>
      </c>
      <c r="I50" s="89">
        <f>+I49/D49</f>
        <v>1.0922563802774423</v>
      </c>
      <c r="J50" s="91">
        <f>J49/E49</f>
        <v>0.75681641238021091</v>
      </c>
      <c r="K50" s="89">
        <f>K49/F49</f>
        <v>0.74241977711958329</v>
      </c>
      <c r="L50" s="54"/>
      <c r="M50" s="35"/>
      <c r="N50" s="35"/>
      <c r="O50" s="35"/>
      <c r="P50" s="35"/>
      <c r="Q50" s="35"/>
      <c r="R50" s="35"/>
      <c r="S50" s="35"/>
    </row>
    <row r="51" spans="1:28" x14ac:dyDescent="0.35">
      <c r="H51" s="105" t="s">
        <v>116</v>
      </c>
      <c r="I51" s="105"/>
      <c r="J51" s="105"/>
      <c r="K51" s="105"/>
    </row>
    <row r="52" spans="1:28" x14ac:dyDescent="0.35">
      <c r="J52" s="87"/>
      <c r="N52" s="6">
        <f>SUM(N9:N51)</f>
        <v>83987.426825384071</v>
      </c>
      <c r="O52" s="6">
        <v>31483</v>
      </c>
      <c r="P52" s="1">
        <f>SUM(P9:P51)</f>
        <v>5776</v>
      </c>
      <c r="Q52" s="1">
        <v>2710</v>
      </c>
      <c r="R52" s="1">
        <v>2474</v>
      </c>
      <c r="S52" s="1">
        <v>258</v>
      </c>
      <c r="U52" s="6" t="e">
        <f ca="1">SUM(U9:U51)</f>
        <v>#REF!</v>
      </c>
      <c r="AB52" s="11"/>
    </row>
    <row r="53" spans="1:28" ht="15.5" x14ac:dyDescent="0.35">
      <c r="A53" s="95" t="s">
        <v>113</v>
      </c>
      <c r="B53" s="96"/>
      <c r="C53" s="111">
        <v>1073255</v>
      </c>
      <c r="J53" s="88"/>
    </row>
    <row r="54" spans="1:28" ht="15.5" x14ac:dyDescent="0.35">
      <c r="A54" s="96" t="s">
        <v>109</v>
      </c>
      <c r="B54" s="95"/>
      <c r="C54" s="111">
        <v>2806956</v>
      </c>
      <c r="E54" s="34"/>
      <c r="J54" s="87" t="s">
        <v>111</v>
      </c>
      <c r="L54" s="12">
        <f>K47*C55/100</f>
        <v>5571.2468841168939</v>
      </c>
    </row>
    <row r="55" spans="1:28" ht="17.25" customHeight="1" x14ac:dyDescent="0.35">
      <c r="A55" s="96" t="s">
        <v>110</v>
      </c>
      <c r="B55" s="96"/>
      <c r="C55" s="110">
        <f>C53/C54</f>
        <v>0.38235547689383087</v>
      </c>
      <c r="E55" s="99"/>
      <c r="J55" s="87"/>
    </row>
    <row r="58" spans="1:28" x14ac:dyDescent="0.35">
      <c r="E58" s="99"/>
    </row>
    <row r="59" spans="1:28" x14ac:dyDescent="0.35">
      <c r="D59" s="10"/>
    </row>
  </sheetData>
  <sheetProtection selectLockedCells="1" selectUnlockedCells="1"/>
  <mergeCells count="7">
    <mergeCell ref="A43:B43"/>
    <mergeCell ref="C34:C35"/>
    <mergeCell ref="E34:E35"/>
    <mergeCell ref="H51:K51"/>
    <mergeCell ref="C7:F7"/>
    <mergeCell ref="J34:J35"/>
    <mergeCell ref="H7:K7"/>
  </mergeCells>
  <pageMargins left="0.7" right="0.7" top="0.75" bottom="0.75" header="0.51180555555555551" footer="0.51180555555555551"/>
  <pageSetup scale="50" firstPageNumber="0" orientation="landscape" horizontalDpi="300" verticalDpi="300" r:id="rId1"/>
  <headerFooter alignWithMargins="0"/>
  <rowBreaks count="2" manualBreakCount="2">
    <brk id="15" max="16383" man="1"/>
    <brk id="2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C5" workbookViewId="0">
      <selection activeCell="G14" sqref="G14"/>
    </sheetView>
  </sheetViews>
  <sheetFormatPr defaultRowHeight="14.5" x14ac:dyDescent="0.35"/>
  <cols>
    <col min="1" max="1" width="19.1796875" customWidth="1"/>
    <col min="3" max="3" width="17.453125" customWidth="1"/>
    <col min="4" max="4" width="15.54296875" customWidth="1"/>
    <col min="5" max="5" width="16.453125" customWidth="1"/>
    <col min="6" max="6" width="14.1796875" customWidth="1"/>
    <col min="7" max="7" width="17.1796875" customWidth="1"/>
    <col min="8" max="9" width="12.26953125" customWidth="1"/>
    <col min="10" max="10" width="14" customWidth="1"/>
    <col min="11" max="11" width="11.90625" customWidth="1"/>
    <col min="12" max="13" width="11.36328125" customWidth="1"/>
    <col min="14" max="14" width="11.1796875" customWidth="1"/>
  </cols>
  <sheetData>
    <row r="1" spans="1:14" ht="15.5" x14ac:dyDescent="0.35">
      <c r="A1" s="2" t="s">
        <v>13</v>
      </c>
      <c r="B1" s="2"/>
      <c r="C1" s="2"/>
      <c r="D1" s="2"/>
      <c r="E1" s="1"/>
      <c r="F1" s="1"/>
      <c r="G1" s="1"/>
      <c r="H1" s="1"/>
      <c r="I1" s="1"/>
      <c r="J1" s="1"/>
    </row>
    <row r="2" spans="1:14" x14ac:dyDescent="0.35">
      <c r="A2" s="24"/>
      <c r="B2" s="24"/>
      <c r="C2" s="24"/>
      <c r="D2" s="24"/>
      <c r="E2" s="1"/>
      <c r="F2" s="1"/>
      <c r="G2" s="1"/>
      <c r="H2" s="1"/>
      <c r="I2" s="1"/>
      <c r="J2" s="1"/>
    </row>
    <row r="3" spans="1:14" x14ac:dyDescent="0.35">
      <c r="A3" s="24" t="s">
        <v>14</v>
      </c>
      <c r="B3" s="24"/>
      <c r="C3" s="24"/>
      <c r="D3" s="24"/>
      <c r="E3" s="1"/>
      <c r="F3" s="1"/>
      <c r="G3" s="1"/>
      <c r="H3" s="1"/>
      <c r="I3" s="1"/>
      <c r="J3" s="1"/>
    </row>
    <row r="4" spans="1:14" ht="15" thickBot="1" x14ac:dyDescent="0.4">
      <c r="A4" s="1"/>
      <c r="B4" s="1"/>
      <c r="C4" s="1"/>
      <c r="D4" s="1"/>
      <c r="E4" s="1"/>
      <c r="F4" s="1"/>
      <c r="G4" s="1"/>
      <c r="H4" s="1"/>
      <c r="I4" s="1"/>
      <c r="J4" s="1"/>
    </row>
    <row r="5" spans="1:14" ht="26.5" thickBot="1" x14ac:dyDescent="0.4">
      <c r="A5" s="109" t="s">
        <v>0</v>
      </c>
      <c r="B5" s="109" t="s">
        <v>119</v>
      </c>
      <c r="C5" s="109"/>
      <c r="D5" s="109" t="s">
        <v>120</v>
      </c>
      <c r="E5" s="109"/>
      <c r="F5" s="109" t="s">
        <v>121</v>
      </c>
      <c r="G5" s="109"/>
      <c r="H5" s="97" t="s">
        <v>4</v>
      </c>
      <c r="I5" s="98" t="s">
        <v>122</v>
      </c>
      <c r="J5" s="109" t="s">
        <v>15</v>
      </c>
      <c r="K5" s="120" t="s">
        <v>127</v>
      </c>
      <c r="L5" s="121"/>
      <c r="M5" s="121"/>
      <c r="N5" s="122"/>
    </row>
    <row r="6" spans="1:14" ht="26.5" thickBot="1" x14ac:dyDescent="0.4">
      <c r="A6" s="109"/>
      <c r="B6" s="23" t="s">
        <v>2</v>
      </c>
      <c r="C6" s="23" t="s">
        <v>3</v>
      </c>
      <c r="D6" s="23" t="s">
        <v>2</v>
      </c>
      <c r="E6" s="23" t="s">
        <v>3</v>
      </c>
      <c r="F6" s="23" t="s">
        <v>2</v>
      </c>
      <c r="G6" s="23" t="s">
        <v>3</v>
      </c>
      <c r="H6" s="23"/>
      <c r="I6" s="23"/>
      <c r="J6" s="109"/>
      <c r="K6" s="123" t="s">
        <v>123</v>
      </c>
      <c r="L6" s="123" t="s">
        <v>33</v>
      </c>
      <c r="M6" s="124" t="s">
        <v>34</v>
      </c>
      <c r="N6" s="125" t="s">
        <v>1</v>
      </c>
    </row>
    <row r="7" spans="1:14" ht="35.25" customHeight="1" thickBot="1" x14ac:dyDescent="0.4">
      <c r="A7" s="22" t="s">
        <v>112</v>
      </c>
      <c r="B7" s="15">
        <v>55440</v>
      </c>
      <c r="C7" s="15">
        <v>23760</v>
      </c>
      <c r="D7" s="18"/>
      <c r="E7" s="18"/>
      <c r="F7" s="15">
        <v>179976</v>
      </c>
      <c r="G7" s="15">
        <v>77132</v>
      </c>
      <c r="H7" s="15">
        <f>F7+B7</f>
        <v>235416</v>
      </c>
      <c r="I7" s="15">
        <f t="shared" ref="I7:I16" si="0">C7+E7+G7</f>
        <v>100892</v>
      </c>
      <c r="J7" s="15">
        <f>+H7+I7</f>
        <v>336308</v>
      </c>
      <c r="K7" s="25">
        <v>37949.970000000008</v>
      </c>
      <c r="L7" s="28">
        <f>43856928*30%/599.595</f>
        <v>21943.275711104994</v>
      </c>
      <c r="M7" s="25">
        <f>+'[1]FI 142a-TF PSR - Aggregate Valu'!$P$15</f>
        <v>23480</v>
      </c>
      <c r="N7" s="25">
        <f>K7+L7+M7</f>
        <v>83373.245711105003</v>
      </c>
    </row>
    <row r="8" spans="1:14" ht="30" customHeight="1" thickBot="1" x14ac:dyDescent="0.4">
      <c r="A8" s="19" t="s">
        <v>16</v>
      </c>
      <c r="B8" s="15">
        <v>70000</v>
      </c>
      <c r="C8" s="15">
        <v>30000</v>
      </c>
      <c r="D8" s="18"/>
      <c r="E8" s="18"/>
      <c r="F8" s="15">
        <v>31808</v>
      </c>
      <c r="G8" s="15">
        <v>13632</v>
      </c>
      <c r="H8" s="15">
        <f>F8+B8</f>
        <v>101808</v>
      </c>
      <c r="I8" s="15">
        <f t="shared" si="0"/>
        <v>43632</v>
      </c>
      <c r="J8" s="15">
        <f>+H8+I8</f>
        <v>145440</v>
      </c>
      <c r="K8" s="25">
        <v>8460.1799999999985</v>
      </c>
      <c r="L8" s="28">
        <f>1699</f>
        <v>1699</v>
      </c>
      <c r="M8" s="25">
        <f>+'[1]FI 142a-TF PSR - Aggregate Valu'!$P$19</f>
        <v>12213</v>
      </c>
      <c r="N8" s="25">
        <f t="shared" ref="N8:N16" si="1">K8+L8+M8</f>
        <v>22372.18</v>
      </c>
    </row>
    <row r="9" spans="1:14" ht="36.75" customHeight="1" thickBot="1" x14ac:dyDescent="0.4">
      <c r="A9" s="19" t="s">
        <v>17</v>
      </c>
      <c r="B9" s="15">
        <f>100000*0.7</f>
        <v>70000</v>
      </c>
      <c r="C9" s="15">
        <v>30000</v>
      </c>
      <c r="D9" s="18">
        <v>105000</v>
      </c>
      <c r="E9" s="18">
        <v>45000</v>
      </c>
      <c r="F9" s="15">
        <v>3531</v>
      </c>
      <c r="G9" s="15">
        <v>1513</v>
      </c>
      <c r="H9" s="15">
        <f>F9+B9+D9</f>
        <v>178531</v>
      </c>
      <c r="I9" s="15">
        <f t="shared" si="0"/>
        <v>76513</v>
      </c>
      <c r="J9" s="15">
        <f>+H9+I9</f>
        <v>255044</v>
      </c>
      <c r="K9" s="25"/>
      <c r="L9" s="28"/>
      <c r="M9" s="25">
        <f>+'[1]FI 142a-TF PSR - Aggregate Valu'!$P$20</f>
        <v>1097</v>
      </c>
      <c r="N9" s="25">
        <f t="shared" si="1"/>
        <v>1097</v>
      </c>
    </row>
    <row r="10" spans="1:14" ht="25.5" customHeight="1" thickBot="1" x14ac:dyDescent="0.4">
      <c r="A10" s="19" t="s">
        <v>18</v>
      </c>
      <c r="B10" s="15">
        <v>28000</v>
      </c>
      <c r="C10" s="15">
        <v>12000</v>
      </c>
      <c r="D10" s="18">
        <v>62999.999999999993</v>
      </c>
      <c r="E10" s="18">
        <v>27000.000000000007</v>
      </c>
      <c r="F10" s="15">
        <v>73500</v>
      </c>
      <c r="G10" s="15">
        <v>31500</v>
      </c>
      <c r="H10" s="15">
        <f>F10+B10+D10</f>
        <v>164500</v>
      </c>
      <c r="I10" s="15">
        <f t="shared" si="0"/>
        <v>70500</v>
      </c>
      <c r="J10" s="15">
        <f>+H10+I10</f>
        <v>235000</v>
      </c>
      <c r="K10" s="25">
        <v>200</v>
      </c>
      <c r="L10" s="28">
        <v>0</v>
      </c>
      <c r="M10" s="25"/>
      <c r="N10" s="25">
        <f t="shared" si="1"/>
        <v>200</v>
      </c>
    </row>
    <row r="11" spans="1:14" ht="24" customHeight="1" thickBot="1" x14ac:dyDescent="0.4">
      <c r="A11" s="19" t="s">
        <v>19</v>
      </c>
      <c r="B11" s="15">
        <f>39000*0.7</f>
        <v>27300</v>
      </c>
      <c r="C11" s="15">
        <f>39000*0.3</f>
        <v>11700</v>
      </c>
      <c r="D11" s="18">
        <v>6648</v>
      </c>
      <c r="E11" s="18"/>
      <c r="F11" s="15">
        <v>47600</v>
      </c>
      <c r="G11" s="15">
        <v>20400</v>
      </c>
      <c r="H11" s="15">
        <f>F11+B11</f>
        <v>74900</v>
      </c>
      <c r="I11" s="15">
        <f t="shared" si="0"/>
        <v>32100</v>
      </c>
      <c r="J11" s="15">
        <f>+H11+I11</f>
        <v>107000</v>
      </c>
      <c r="K11" s="25">
        <v>12499.71</v>
      </c>
      <c r="L11" s="28">
        <f>20720289*30%/599.595</f>
        <v>10367.14232106672</v>
      </c>
      <c r="M11" s="25">
        <f>+'[1]FI 142a-TF PSR - Aggregate Valu'!$P$17</f>
        <v>13043</v>
      </c>
      <c r="N11" s="25">
        <f t="shared" si="1"/>
        <v>35909.852321066719</v>
      </c>
    </row>
    <row r="12" spans="1:14" ht="44.25" customHeight="1" thickBot="1" x14ac:dyDescent="0.4">
      <c r="A12" s="19" t="s">
        <v>20</v>
      </c>
      <c r="B12" s="15">
        <v>260120</v>
      </c>
      <c r="C12" s="15">
        <v>111480</v>
      </c>
      <c r="D12" s="18">
        <v>170531</v>
      </c>
      <c r="E12" s="18">
        <v>83799</v>
      </c>
      <c r="F12" s="15">
        <v>456854</v>
      </c>
      <c r="G12" s="15">
        <v>195794</v>
      </c>
      <c r="H12" s="15">
        <f>F12+B12+D12</f>
        <v>887505</v>
      </c>
      <c r="I12" s="15">
        <f t="shared" si="0"/>
        <v>391073</v>
      </c>
      <c r="J12" s="15">
        <f>+H12+I12</f>
        <v>1278578</v>
      </c>
      <c r="K12" s="25">
        <v>183161.48</v>
      </c>
      <c r="L12" s="28">
        <v>412591</v>
      </c>
      <c r="M12" s="25">
        <f>+'[1]FI 142a-TF PSR - Aggregate Valu'!$P$16</f>
        <v>638330</v>
      </c>
      <c r="N12" s="25">
        <f t="shared" si="1"/>
        <v>1234082.48</v>
      </c>
    </row>
    <row r="13" spans="1:14" ht="35.25" customHeight="1" thickBot="1" x14ac:dyDescent="0.4">
      <c r="A13" s="19" t="s">
        <v>21</v>
      </c>
      <c r="B13" s="15">
        <f>87957*0.7</f>
        <v>61569.899999999994</v>
      </c>
      <c r="C13" s="15">
        <f>87957*0.3</f>
        <v>26387.1</v>
      </c>
      <c r="D13" s="18">
        <v>63699.999999999993</v>
      </c>
      <c r="E13" s="18">
        <v>19436</v>
      </c>
      <c r="F13" s="15">
        <v>188040</v>
      </c>
      <c r="G13" s="15">
        <v>80589</v>
      </c>
      <c r="H13" s="15">
        <f>F13+B13+D13</f>
        <v>313309.89999999997</v>
      </c>
      <c r="I13" s="15">
        <f t="shared" si="0"/>
        <v>126412.1</v>
      </c>
      <c r="J13" s="15">
        <f>+H13+I13</f>
        <v>439722</v>
      </c>
      <c r="K13" s="25">
        <v>25544</v>
      </c>
      <c r="L13" s="28">
        <v>0</v>
      </c>
      <c r="M13" s="25">
        <f>+'[1]FI 142a-TF PSR - Aggregate Valu'!$P$18+'[1]FI 142a-TF PSR - Aggregate Valu'!$P$22+'[1]FI 142a-TF PSR - Aggregate Valu'!$P$24</f>
        <v>54507</v>
      </c>
      <c r="N13" s="25">
        <f t="shared" si="1"/>
        <v>80051</v>
      </c>
    </row>
    <row r="14" spans="1:14" ht="15" thickBot="1" x14ac:dyDescent="0.4">
      <c r="A14" s="17" t="s">
        <v>22</v>
      </c>
      <c r="B14" s="21">
        <f>SUM(B7:B13)</f>
        <v>572429.9</v>
      </c>
      <c r="C14" s="21">
        <f>SUM(C7:C13)</f>
        <v>245327.1</v>
      </c>
      <c r="D14" s="20">
        <f>SUM(D9:D13)</f>
        <v>408879</v>
      </c>
      <c r="E14" s="20">
        <f>SUM(E7:E13)</f>
        <v>175235</v>
      </c>
      <c r="F14" s="16">
        <f>SUM(F7:F13)-1</f>
        <v>981308</v>
      </c>
      <c r="G14" s="16">
        <f>SUM(G7:G13)</f>
        <v>420560</v>
      </c>
      <c r="H14" s="15">
        <f>F14+B14+D14</f>
        <v>1962616.9</v>
      </c>
      <c r="I14" s="15">
        <f t="shared" si="0"/>
        <v>841122.1</v>
      </c>
      <c r="J14" s="15">
        <f>+H14+I14</f>
        <v>2803739</v>
      </c>
      <c r="K14" s="26">
        <f>SUM(K7:K13)</f>
        <v>267815.34000000003</v>
      </c>
      <c r="L14" s="28">
        <f>SUM(L7:L13)</f>
        <v>446600.41803217173</v>
      </c>
      <c r="M14" s="27">
        <f>SUM(M7:M13)</f>
        <v>742670</v>
      </c>
      <c r="N14" s="25">
        <f t="shared" si="1"/>
        <v>1457085.7580321718</v>
      </c>
    </row>
    <row r="15" spans="1:14" ht="15" thickBot="1" x14ac:dyDescent="0.4">
      <c r="A15" s="19" t="s">
        <v>23</v>
      </c>
      <c r="B15" s="15">
        <f>57243*0.7</f>
        <v>40070.1</v>
      </c>
      <c r="C15" s="15">
        <f>57243*0.3</f>
        <v>17172.899999999998</v>
      </c>
      <c r="D15" s="15">
        <f>+D14*0.07-1</f>
        <v>28620.530000000002</v>
      </c>
      <c r="E15" s="15">
        <f>+E14*0.07-1</f>
        <v>12265.45</v>
      </c>
      <c r="F15" s="15">
        <v>68692</v>
      </c>
      <c r="G15" s="15">
        <v>29440</v>
      </c>
      <c r="H15" s="15">
        <f>F15+B15+D15</f>
        <v>137382.63</v>
      </c>
      <c r="I15" s="15">
        <f t="shared" si="0"/>
        <v>58878.35</v>
      </c>
      <c r="J15" s="15">
        <f>+H15+I15</f>
        <v>196260.98</v>
      </c>
      <c r="K15" s="25">
        <f>K14*7%</f>
        <v>18747.073800000002</v>
      </c>
      <c r="L15" s="28">
        <f>L14*7%</f>
        <v>31262.029262252025</v>
      </c>
      <c r="M15" s="25">
        <f>M14*7%</f>
        <v>51986.9</v>
      </c>
      <c r="N15" s="25">
        <f t="shared" si="1"/>
        <v>101996.00306225203</v>
      </c>
    </row>
    <row r="16" spans="1:14" ht="15" thickBot="1" x14ac:dyDescent="0.4">
      <c r="A16" s="17" t="s">
        <v>1</v>
      </c>
      <c r="B16" s="16">
        <f>B14+B15</f>
        <v>612500</v>
      </c>
      <c r="C16" s="16">
        <f>C14+C15</f>
        <v>262500</v>
      </c>
      <c r="D16" s="16">
        <f>D14+D15</f>
        <v>437499.53</v>
      </c>
      <c r="E16" s="16">
        <f>SUM(E14:E15)</f>
        <v>187500.45</v>
      </c>
      <c r="F16" s="16">
        <f>F14+F15</f>
        <v>1050000</v>
      </c>
      <c r="G16" s="16">
        <f>G14+G15</f>
        <v>450000</v>
      </c>
      <c r="H16" s="15">
        <f>SUM(H14:H15)</f>
        <v>2099999.5299999998</v>
      </c>
      <c r="I16" s="15">
        <f t="shared" si="0"/>
        <v>900000.45</v>
      </c>
      <c r="J16" s="15">
        <f>+H16+I16</f>
        <v>2999999.9799999995</v>
      </c>
      <c r="K16" s="29">
        <f>SUM(K14:K15)</f>
        <v>286562.41380000004</v>
      </c>
      <c r="L16" s="30">
        <f>SUM(L14:L15)</f>
        <v>477862.44729442376</v>
      </c>
      <c r="M16" s="29">
        <f>SUM(M14:M15)</f>
        <v>794656.9</v>
      </c>
      <c r="N16" s="119">
        <f t="shared" si="1"/>
        <v>1559081.7610944239</v>
      </c>
    </row>
    <row r="17" spans="1:14" x14ac:dyDescent="0.35">
      <c r="A17" s="1"/>
      <c r="B17" s="1"/>
      <c r="C17" s="14">
        <f>C16+B16</f>
        <v>875000</v>
      </c>
      <c r="D17" s="14"/>
      <c r="E17" s="14">
        <f>E16+D16</f>
        <v>624999.98</v>
      </c>
      <c r="F17" s="1"/>
      <c r="G17" s="14">
        <f>F16+G16</f>
        <v>1500000</v>
      </c>
      <c r="H17" s="1"/>
      <c r="I17" s="1"/>
      <c r="J17" s="13"/>
      <c r="K17" s="1"/>
      <c r="L17" s="1"/>
      <c r="M17" s="1"/>
      <c r="N17" s="1"/>
    </row>
    <row r="18" spans="1:14" x14ac:dyDescent="0.35">
      <c r="A18" s="13"/>
      <c r="B18" s="13"/>
      <c r="C18" s="13"/>
      <c r="D18" s="118" t="s">
        <v>123</v>
      </c>
      <c r="E18" s="13"/>
      <c r="F18" s="13"/>
      <c r="G18" s="118" t="s">
        <v>124</v>
      </c>
      <c r="H18" s="13"/>
      <c r="I18" s="13"/>
      <c r="J18" s="13"/>
      <c r="K18" s="118" t="s">
        <v>125</v>
      </c>
      <c r="L18" s="13"/>
      <c r="M18" s="13"/>
      <c r="N18" s="118" t="s">
        <v>126</v>
      </c>
    </row>
    <row r="19" spans="1:14" x14ac:dyDescent="0.35">
      <c r="A19" s="90" t="s">
        <v>117</v>
      </c>
      <c r="B19" s="90"/>
      <c r="C19" s="90"/>
      <c r="D19" s="92">
        <f>K16/C17</f>
        <v>0.32749990148571434</v>
      </c>
      <c r="E19" s="90"/>
      <c r="F19" s="90"/>
      <c r="G19" s="92">
        <f>L16/E17</f>
        <v>0.76457994013763608</v>
      </c>
      <c r="H19" s="90"/>
      <c r="I19" s="90"/>
      <c r="J19" s="90"/>
      <c r="K19" s="92">
        <f>M16/G17</f>
        <v>0.52977126666666663</v>
      </c>
      <c r="L19" s="90"/>
      <c r="M19" s="90"/>
      <c r="N19" s="92">
        <f>N16/J16</f>
        <v>0.51969392382943425</v>
      </c>
    </row>
    <row r="20" spans="1:14" x14ac:dyDescent="0.35">
      <c r="A20" s="90" t="s">
        <v>118</v>
      </c>
      <c r="B20" s="93"/>
      <c r="C20" s="93"/>
      <c r="D20" s="92">
        <f>K16/B16</f>
        <v>0.46785700212244902</v>
      </c>
      <c r="E20" s="90"/>
      <c r="F20" s="90"/>
      <c r="G20" s="92">
        <f>L16/D16</f>
        <v>1.0922581957846302</v>
      </c>
      <c r="H20" s="90"/>
      <c r="I20" s="90"/>
      <c r="J20" s="90"/>
      <c r="K20" s="92">
        <f>M16/F16</f>
        <v>0.75681609523809523</v>
      </c>
      <c r="L20" s="90"/>
      <c r="M20" s="90"/>
      <c r="N20" s="92">
        <f>N16/H16</f>
        <v>0.74242005239611841</v>
      </c>
    </row>
  </sheetData>
  <mergeCells count="6">
    <mergeCell ref="K5:N5"/>
    <mergeCell ref="A5:A6"/>
    <mergeCell ref="B5:C5"/>
    <mergeCell ref="D5:E5"/>
    <mergeCell ref="F5:G5"/>
    <mergeCell ref="J5:J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par activités</vt:lpstr>
      <vt:lpstr>par categorie</vt:lpstr>
      <vt:lpstr>'par activités'!New_Print</vt:lpstr>
      <vt:lpstr>'par activités'!Print_Area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2019-06-11T11:32:00Z</cp:lastPrinted>
  <dcterms:created xsi:type="dcterms:W3CDTF">2017-11-15T21:17:43Z</dcterms:created>
  <dcterms:modified xsi:type="dcterms:W3CDTF">2019-11-18T16:54:43Z</dcterms:modified>
</cp:coreProperties>
</file>