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10 Crises\CRISES\Financements PBF\Cross-Border Niger-Burkina-Mali\Rapports\"/>
    </mc:Choice>
  </mc:AlternateContent>
  <bookViews>
    <workbookView xWindow="0" yWindow="0" windowWidth="24000" windowHeight="9525"/>
  </bookViews>
  <sheets>
    <sheet name="Sheet1" sheetId="1" r:id="rId1"/>
    <sheet name="2016" sheetId="3" r:id="rId2"/>
    <sheet name="2017" sheetId="4" r:id="rId3"/>
    <sheet name="Sheet2" sheetId="2" r:id="rId4"/>
  </sheets>
  <definedNames>
    <definedName name="_xlnm._FilterDatabase" localSheetId="2" hidden="1">'2017'!$A$8:$AV$155</definedName>
    <definedName name="PTD_Projet_CROSSBORDER_2016" localSheetId="1">'2016'!$A$1:$AV$10</definedName>
    <definedName name="PTD_Projet_CROSSBORDER_2017" localSheetId="2">'2017'!$A$1:$AV$56</definedName>
    <definedName name="PTD_Projet_CROSSBORDER_2018" localSheetId="2">'2017'!$A$57:$AV$155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 r="E43" i="1" l="1"/>
  <c r="E65" i="1"/>
  <c r="E40" i="1" l="1"/>
  <c r="E36" i="1" l="1"/>
  <c r="E41" i="1"/>
  <c r="E62" i="1"/>
  <c r="E21" i="1"/>
  <c r="E25" i="1" l="1"/>
  <c r="E31" i="1" l="1"/>
  <c r="E16" i="1" l="1"/>
  <c r="E11" i="1"/>
  <c r="C68" i="1" l="1"/>
  <c r="C21" i="1" l="1"/>
  <c r="E14" i="1" l="1"/>
  <c r="E18" i="1" l="1"/>
  <c r="E15" i="1"/>
  <c r="E68" i="1" l="1"/>
  <c r="E67" i="1" l="1"/>
  <c r="C36" i="1" l="1"/>
  <c r="A57" i="4" l="1"/>
  <c r="B57" i="4"/>
  <c r="E57" i="4"/>
  <c r="F57" i="4"/>
  <c r="N57" i="4"/>
  <c r="O57" i="4"/>
  <c r="R57" i="4"/>
  <c r="U57" i="4"/>
  <c r="V57" i="4"/>
  <c r="W57" i="4"/>
  <c r="X57" i="4"/>
  <c r="AB57" i="4"/>
  <c r="AE57" i="4"/>
  <c r="AI57" i="4"/>
  <c r="AM57" i="4"/>
  <c r="AN57" i="4"/>
  <c r="AO57" i="4"/>
  <c r="AP57" i="4"/>
  <c r="AQ57" i="4"/>
  <c r="AR57" i="4"/>
  <c r="AS57" i="4"/>
  <c r="AU57" i="4"/>
  <c r="A58" i="4"/>
  <c r="B58" i="4"/>
  <c r="E58" i="4"/>
  <c r="F58" i="4"/>
  <c r="N58" i="4"/>
  <c r="O58" i="4"/>
  <c r="R58" i="4"/>
  <c r="U58" i="4"/>
  <c r="V58" i="4"/>
  <c r="W58" i="4"/>
  <c r="X58" i="4"/>
  <c r="AB58" i="4"/>
  <c r="AE58" i="4"/>
  <c r="AI58" i="4"/>
  <c r="AM58" i="4"/>
  <c r="AN58" i="4"/>
  <c r="AO58" i="4"/>
  <c r="AP58" i="4"/>
  <c r="AQ58" i="4"/>
  <c r="AR58" i="4"/>
  <c r="AS58" i="4"/>
  <c r="AU58" i="4"/>
  <c r="A59" i="4"/>
  <c r="B59" i="4"/>
  <c r="E59" i="4"/>
  <c r="F59" i="4"/>
  <c r="N59" i="4"/>
  <c r="O59" i="4"/>
  <c r="R59" i="4"/>
  <c r="U59" i="4"/>
  <c r="V59" i="4"/>
  <c r="W59" i="4"/>
  <c r="X59" i="4"/>
  <c r="AB59" i="4"/>
  <c r="AE59" i="4"/>
  <c r="AI59" i="4"/>
  <c r="AM59" i="4"/>
  <c r="AN59" i="4"/>
  <c r="AO59" i="4"/>
  <c r="AP59" i="4"/>
  <c r="AQ59" i="4"/>
  <c r="AR59" i="4"/>
  <c r="AS59" i="4"/>
  <c r="AU59" i="4"/>
  <c r="A60" i="4"/>
  <c r="B60" i="4"/>
  <c r="E60" i="4"/>
  <c r="F60" i="4"/>
  <c r="N60" i="4"/>
  <c r="O60" i="4"/>
  <c r="R60" i="4"/>
  <c r="U60" i="4"/>
  <c r="V60" i="4"/>
  <c r="W60" i="4"/>
  <c r="X60" i="4"/>
  <c r="AB60" i="4"/>
  <c r="AE60" i="4"/>
  <c r="AI60" i="4"/>
  <c r="AM60" i="4"/>
  <c r="AN60" i="4"/>
  <c r="AO60" i="4"/>
  <c r="AP60" i="4"/>
  <c r="AQ60" i="4"/>
  <c r="AR60" i="4"/>
  <c r="AS60" i="4"/>
  <c r="AU60" i="4"/>
  <c r="A61" i="4"/>
  <c r="B61" i="4"/>
  <c r="E61" i="4"/>
  <c r="F61" i="4"/>
  <c r="N61" i="4"/>
  <c r="O61" i="4"/>
  <c r="R61" i="4"/>
  <c r="U61" i="4"/>
  <c r="V61" i="4"/>
  <c r="W61" i="4"/>
  <c r="X61" i="4"/>
  <c r="AB61" i="4"/>
  <c r="AE61" i="4"/>
  <c r="AI61" i="4"/>
  <c r="AM61" i="4"/>
  <c r="AN61" i="4"/>
  <c r="AO61" i="4"/>
  <c r="AP61" i="4"/>
  <c r="AQ61" i="4"/>
  <c r="AR61" i="4"/>
  <c r="AS61" i="4"/>
  <c r="AU61" i="4"/>
  <c r="A62" i="4"/>
  <c r="B62" i="4"/>
  <c r="E62" i="4"/>
  <c r="F62" i="4"/>
  <c r="N62" i="4"/>
  <c r="O62" i="4"/>
  <c r="R62" i="4"/>
  <c r="U62" i="4"/>
  <c r="V62" i="4"/>
  <c r="W62" i="4"/>
  <c r="X62" i="4"/>
  <c r="AB62" i="4"/>
  <c r="AE62" i="4"/>
  <c r="AI62" i="4"/>
  <c r="AM62" i="4"/>
  <c r="AN62" i="4"/>
  <c r="AO62" i="4"/>
  <c r="AP62" i="4"/>
  <c r="AQ62" i="4"/>
  <c r="AR62" i="4"/>
  <c r="AS62" i="4"/>
  <c r="AU62" i="4"/>
  <c r="A63" i="4"/>
  <c r="B63" i="4"/>
  <c r="E63" i="4"/>
  <c r="F63" i="4"/>
  <c r="N63" i="4"/>
  <c r="O63" i="4"/>
  <c r="R63" i="4"/>
  <c r="U63" i="4"/>
  <c r="V63" i="4"/>
  <c r="W63" i="4"/>
  <c r="X63" i="4"/>
  <c r="AB63" i="4"/>
  <c r="AE63" i="4"/>
  <c r="AI63" i="4"/>
  <c r="AM63" i="4"/>
  <c r="AN63" i="4"/>
  <c r="AO63" i="4"/>
  <c r="AP63" i="4"/>
  <c r="AQ63" i="4"/>
  <c r="AR63" i="4"/>
  <c r="AS63" i="4"/>
  <c r="AU63" i="4"/>
  <c r="A64" i="4"/>
  <c r="B64" i="4"/>
  <c r="E64" i="4"/>
  <c r="F64" i="4"/>
  <c r="N64" i="4"/>
  <c r="O64" i="4"/>
  <c r="R64" i="4"/>
  <c r="U64" i="4"/>
  <c r="V64" i="4"/>
  <c r="W64" i="4"/>
  <c r="X64" i="4"/>
  <c r="AB64" i="4"/>
  <c r="AE64" i="4"/>
  <c r="AI64" i="4"/>
  <c r="AM64" i="4"/>
  <c r="AN64" i="4"/>
  <c r="AO64" i="4"/>
  <c r="AP64" i="4"/>
  <c r="AQ64" i="4"/>
  <c r="AR64" i="4"/>
  <c r="AS64" i="4"/>
  <c r="AU64" i="4"/>
  <c r="A65" i="4"/>
  <c r="B65" i="4"/>
  <c r="E65" i="4"/>
  <c r="F65" i="4"/>
  <c r="N65" i="4"/>
  <c r="O65" i="4"/>
  <c r="R65" i="4"/>
  <c r="U65" i="4"/>
  <c r="V65" i="4"/>
  <c r="W65" i="4"/>
  <c r="X65" i="4"/>
  <c r="AB65" i="4"/>
  <c r="AE65" i="4"/>
  <c r="AI65" i="4"/>
  <c r="AM65" i="4"/>
  <c r="AN65" i="4"/>
  <c r="AO65" i="4"/>
  <c r="AP65" i="4"/>
  <c r="AQ65" i="4"/>
  <c r="AR65" i="4"/>
  <c r="AS65" i="4"/>
  <c r="AU65" i="4"/>
  <c r="A66" i="4"/>
  <c r="B66" i="4"/>
  <c r="E66" i="4"/>
  <c r="F66" i="4"/>
  <c r="N66" i="4"/>
  <c r="O66" i="4"/>
  <c r="R66" i="4"/>
  <c r="U66" i="4"/>
  <c r="V66" i="4"/>
  <c r="W66" i="4"/>
  <c r="X66" i="4"/>
  <c r="AB66" i="4"/>
  <c r="AE66" i="4"/>
  <c r="AI66" i="4"/>
  <c r="AM66" i="4"/>
  <c r="AN66" i="4"/>
  <c r="AO66" i="4"/>
  <c r="AP66" i="4"/>
  <c r="AQ66" i="4"/>
  <c r="AR66" i="4"/>
  <c r="AS66" i="4"/>
  <c r="AU66" i="4"/>
  <c r="A67" i="4"/>
  <c r="B67" i="4"/>
  <c r="E67" i="4"/>
  <c r="F67" i="4"/>
  <c r="N67" i="4"/>
  <c r="O67" i="4"/>
  <c r="R67" i="4"/>
  <c r="U67" i="4"/>
  <c r="V67" i="4"/>
  <c r="W67" i="4"/>
  <c r="X67" i="4"/>
  <c r="AB67" i="4"/>
  <c r="AE67" i="4"/>
  <c r="AI67" i="4"/>
  <c r="AM67" i="4"/>
  <c r="AN67" i="4"/>
  <c r="AO67" i="4"/>
  <c r="AP67" i="4"/>
  <c r="AQ67" i="4"/>
  <c r="AR67" i="4"/>
  <c r="AS67" i="4"/>
  <c r="AU67" i="4"/>
  <c r="A68" i="4"/>
  <c r="B68" i="4"/>
  <c r="E68" i="4"/>
  <c r="F68" i="4"/>
  <c r="N68" i="4"/>
  <c r="O68" i="4"/>
  <c r="R68" i="4"/>
  <c r="U68" i="4"/>
  <c r="V68" i="4"/>
  <c r="W68" i="4"/>
  <c r="X68" i="4"/>
  <c r="AB68" i="4"/>
  <c r="AE68" i="4"/>
  <c r="AI68" i="4"/>
  <c r="AM68" i="4"/>
  <c r="AN68" i="4"/>
  <c r="AO68" i="4"/>
  <c r="AP68" i="4"/>
  <c r="AQ68" i="4"/>
  <c r="AR68" i="4"/>
  <c r="AS68" i="4"/>
  <c r="AU68" i="4"/>
  <c r="A69" i="4"/>
  <c r="B69" i="4"/>
  <c r="E69" i="4"/>
  <c r="F69" i="4"/>
  <c r="N69" i="4"/>
  <c r="O69" i="4"/>
  <c r="R69" i="4"/>
  <c r="U69" i="4"/>
  <c r="V69" i="4"/>
  <c r="W69" i="4"/>
  <c r="X69" i="4"/>
  <c r="AB69" i="4"/>
  <c r="AE69" i="4"/>
  <c r="AI69" i="4"/>
  <c r="AM69" i="4"/>
  <c r="AN69" i="4"/>
  <c r="AO69" i="4"/>
  <c r="AP69" i="4"/>
  <c r="AQ69" i="4"/>
  <c r="AR69" i="4"/>
  <c r="AS69" i="4"/>
  <c r="AU69" i="4"/>
  <c r="A70" i="4"/>
  <c r="B70" i="4"/>
  <c r="E70" i="4"/>
  <c r="F70" i="4"/>
  <c r="N70" i="4"/>
  <c r="O70" i="4"/>
  <c r="R70" i="4"/>
  <c r="U70" i="4"/>
  <c r="V70" i="4"/>
  <c r="W70" i="4"/>
  <c r="X70" i="4"/>
  <c r="AB70" i="4"/>
  <c r="AE70" i="4"/>
  <c r="AI70" i="4"/>
  <c r="AM70" i="4"/>
  <c r="AN70" i="4"/>
  <c r="AO70" i="4"/>
  <c r="AP70" i="4"/>
  <c r="AQ70" i="4"/>
  <c r="AR70" i="4"/>
  <c r="AS70" i="4"/>
  <c r="AU70" i="4"/>
  <c r="A71" i="4"/>
  <c r="B71" i="4"/>
  <c r="E71" i="4"/>
  <c r="F71" i="4"/>
  <c r="N71" i="4"/>
  <c r="O71" i="4"/>
  <c r="R71" i="4"/>
  <c r="U71" i="4"/>
  <c r="V71" i="4"/>
  <c r="W71" i="4"/>
  <c r="X71" i="4"/>
  <c r="AB71" i="4"/>
  <c r="AE71" i="4"/>
  <c r="AI71" i="4"/>
  <c r="AM71" i="4"/>
  <c r="AN71" i="4"/>
  <c r="AO71" i="4"/>
  <c r="AP71" i="4"/>
  <c r="AQ71" i="4"/>
  <c r="AR71" i="4"/>
  <c r="AS71" i="4"/>
  <c r="AU71" i="4"/>
  <c r="A72" i="4"/>
  <c r="B72" i="4"/>
  <c r="E72" i="4"/>
  <c r="F72" i="4"/>
  <c r="N72" i="4"/>
  <c r="O72" i="4"/>
  <c r="R72" i="4"/>
  <c r="U72" i="4"/>
  <c r="V72" i="4"/>
  <c r="W72" i="4"/>
  <c r="X72" i="4"/>
  <c r="AB72" i="4"/>
  <c r="AE72" i="4"/>
  <c r="AI72" i="4"/>
  <c r="AM72" i="4"/>
  <c r="AN72" i="4"/>
  <c r="AO72" i="4"/>
  <c r="AP72" i="4"/>
  <c r="AQ72" i="4"/>
  <c r="AR72" i="4"/>
  <c r="AS72" i="4"/>
  <c r="AU72" i="4"/>
  <c r="A73" i="4"/>
  <c r="B73" i="4"/>
  <c r="E73" i="4"/>
  <c r="F73" i="4"/>
  <c r="N73" i="4"/>
  <c r="O73" i="4"/>
  <c r="R73" i="4"/>
  <c r="U73" i="4"/>
  <c r="V73" i="4"/>
  <c r="W73" i="4"/>
  <c r="X73" i="4"/>
  <c r="AB73" i="4"/>
  <c r="AE73" i="4"/>
  <c r="AI73" i="4"/>
  <c r="AM73" i="4"/>
  <c r="AN73" i="4"/>
  <c r="AO73" i="4"/>
  <c r="AP73" i="4"/>
  <c r="AQ73" i="4"/>
  <c r="AR73" i="4"/>
  <c r="AS73" i="4"/>
  <c r="AU73" i="4"/>
  <c r="A74" i="4"/>
  <c r="B74" i="4"/>
  <c r="E74" i="4"/>
  <c r="F74" i="4"/>
  <c r="N74" i="4"/>
  <c r="O74" i="4"/>
  <c r="R74" i="4"/>
  <c r="U74" i="4"/>
  <c r="V74" i="4"/>
  <c r="W74" i="4"/>
  <c r="X74" i="4"/>
  <c r="AB74" i="4"/>
  <c r="AE74" i="4"/>
  <c r="AI74" i="4"/>
  <c r="AM74" i="4"/>
  <c r="AN74" i="4"/>
  <c r="AO74" i="4"/>
  <c r="AP74" i="4"/>
  <c r="AQ74" i="4"/>
  <c r="AR74" i="4"/>
  <c r="AS74" i="4"/>
  <c r="AU74" i="4"/>
  <c r="A75" i="4"/>
  <c r="B75" i="4"/>
  <c r="E75" i="4"/>
  <c r="F75" i="4"/>
  <c r="N75" i="4"/>
  <c r="O75" i="4"/>
  <c r="R75" i="4"/>
  <c r="U75" i="4"/>
  <c r="V75" i="4"/>
  <c r="W75" i="4"/>
  <c r="X75" i="4"/>
  <c r="AB75" i="4"/>
  <c r="AE75" i="4"/>
  <c r="AI75" i="4"/>
  <c r="AM75" i="4"/>
  <c r="AN75" i="4"/>
  <c r="AO75" i="4"/>
  <c r="AP75" i="4"/>
  <c r="AQ75" i="4"/>
  <c r="AR75" i="4"/>
  <c r="AS75" i="4"/>
  <c r="AU75" i="4"/>
  <c r="A76" i="4"/>
  <c r="B76" i="4"/>
  <c r="E76" i="4"/>
  <c r="F76" i="4"/>
  <c r="N76" i="4"/>
  <c r="O76" i="4"/>
  <c r="R76" i="4"/>
  <c r="U76" i="4"/>
  <c r="V76" i="4"/>
  <c r="W76" i="4"/>
  <c r="X76" i="4"/>
  <c r="AB76" i="4"/>
  <c r="AE76" i="4"/>
  <c r="AI76" i="4"/>
  <c r="AM76" i="4"/>
  <c r="AN76" i="4"/>
  <c r="AO76" i="4"/>
  <c r="AP76" i="4"/>
  <c r="AQ76" i="4"/>
  <c r="AR76" i="4"/>
  <c r="AS76" i="4"/>
  <c r="AU76" i="4"/>
  <c r="A77" i="4"/>
  <c r="B77" i="4"/>
  <c r="E77" i="4"/>
  <c r="F77" i="4"/>
  <c r="N77" i="4"/>
  <c r="O77" i="4"/>
  <c r="R77" i="4"/>
  <c r="U77" i="4"/>
  <c r="V77" i="4"/>
  <c r="W77" i="4"/>
  <c r="X77" i="4"/>
  <c r="AB77" i="4"/>
  <c r="AE77" i="4"/>
  <c r="AI77" i="4"/>
  <c r="AM77" i="4"/>
  <c r="AN77" i="4"/>
  <c r="AO77" i="4"/>
  <c r="AP77" i="4"/>
  <c r="AQ77" i="4"/>
  <c r="AR77" i="4"/>
  <c r="AS77" i="4"/>
  <c r="AU77" i="4"/>
  <c r="A78" i="4"/>
  <c r="B78" i="4"/>
  <c r="E78" i="4"/>
  <c r="F78" i="4"/>
  <c r="N78" i="4"/>
  <c r="O78" i="4"/>
  <c r="R78" i="4"/>
  <c r="U78" i="4"/>
  <c r="V78" i="4"/>
  <c r="W78" i="4"/>
  <c r="X78" i="4"/>
  <c r="AB78" i="4"/>
  <c r="AE78" i="4"/>
  <c r="AI78" i="4"/>
  <c r="AM78" i="4"/>
  <c r="AN78" i="4"/>
  <c r="AO78" i="4"/>
  <c r="AP78" i="4"/>
  <c r="AQ78" i="4"/>
  <c r="AR78" i="4"/>
  <c r="AS78" i="4"/>
  <c r="AU78" i="4"/>
  <c r="A79" i="4"/>
  <c r="B79" i="4"/>
  <c r="E79" i="4"/>
  <c r="F79" i="4"/>
  <c r="N79" i="4"/>
  <c r="O79" i="4"/>
  <c r="R79" i="4"/>
  <c r="U79" i="4"/>
  <c r="V79" i="4"/>
  <c r="W79" i="4"/>
  <c r="X79" i="4"/>
  <c r="AB79" i="4"/>
  <c r="AE79" i="4"/>
  <c r="AI79" i="4"/>
  <c r="AM79" i="4"/>
  <c r="AN79" i="4"/>
  <c r="AO79" i="4"/>
  <c r="AP79" i="4"/>
  <c r="AQ79" i="4"/>
  <c r="AR79" i="4"/>
  <c r="AS79" i="4"/>
  <c r="A80" i="4"/>
  <c r="B80" i="4"/>
  <c r="E80" i="4"/>
  <c r="F80" i="4"/>
  <c r="N80" i="4"/>
  <c r="O80" i="4"/>
  <c r="R80" i="4"/>
  <c r="U80" i="4"/>
  <c r="V80" i="4"/>
  <c r="W80" i="4"/>
  <c r="X80" i="4"/>
  <c r="AB80" i="4"/>
  <c r="AE80" i="4"/>
  <c r="AI80" i="4"/>
  <c r="AM80" i="4"/>
  <c r="AN80" i="4"/>
  <c r="AO80" i="4"/>
  <c r="AP80" i="4"/>
  <c r="AQ80" i="4"/>
  <c r="AR80" i="4"/>
  <c r="AS80" i="4"/>
  <c r="A81" i="4"/>
  <c r="B81" i="4"/>
  <c r="E81" i="4"/>
  <c r="F81" i="4"/>
  <c r="N81" i="4"/>
  <c r="O81" i="4"/>
  <c r="R81" i="4"/>
  <c r="U81" i="4"/>
  <c r="V81" i="4"/>
  <c r="W81" i="4"/>
  <c r="X81" i="4"/>
  <c r="AB81" i="4"/>
  <c r="AE81" i="4"/>
  <c r="AI81" i="4"/>
  <c r="AM81" i="4"/>
  <c r="AN81" i="4"/>
  <c r="AO81" i="4"/>
  <c r="AP81" i="4"/>
  <c r="AQ81" i="4"/>
  <c r="AR81" i="4"/>
  <c r="AS81" i="4"/>
  <c r="A82" i="4"/>
  <c r="B82" i="4"/>
  <c r="E82" i="4"/>
  <c r="F82" i="4"/>
  <c r="N82" i="4"/>
  <c r="O82" i="4"/>
  <c r="R82" i="4"/>
  <c r="U82" i="4"/>
  <c r="V82" i="4"/>
  <c r="W82" i="4"/>
  <c r="X82" i="4"/>
  <c r="AB82" i="4"/>
  <c r="AE82" i="4"/>
  <c r="AI82" i="4"/>
  <c r="AM82" i="4"/>
  <c r="AN82" i="4"/>
  <c r="AO82" i="4"/>
  <c r="AP82" i="4"/>
  <c r="AQ82" i="4"/>
  <c r="AR82" i="4"/>
  <c r="AS82" i="4"/>
  <c r="AU82" i="4"/>
  <c r="A83" i="4"/>
  <c r="B83" i="4"/>
  <c r="E83" i="4"/>
  <c r="F83" i="4"/>
  <c r="N83" i="4"/>
  <c r="O83" i="4"/>
  <c r="R83" i="4"/>
  <c r="U83" i="4"/>
  <c r="V83" i="4"/>
  <c r="W83" i="4"/>
  <c r="X83" i="4"/>
  <c r="AB83" i="4"/>
  <c r="AE83" i="4"/>
  <c r="AI83" i="4"/>
  <c r="AM83" i="4"/>
  <c r="AN83" i="4"/>
  <c r="AO83" i="4"/>
  <c r="AP83" i="4"/>
  <c r="AQ83" i="4"/>
  <c r="AR83" i="4"/>
  <c r="AS83" i="4"/>
  <c r="AU83" i="4"/>
  <c r="A84" i="4"/>
  <c r="B84" i="4"/>
  <c r="E84" i="4"/>
  <c r="F84" i="4"/>
  <c r="N84" i="4"/>
  <c r="O84" i="4"/>
  <c r="R84" i="4"/>
  <c r="U84" i="4"/>
  <c r="V84" i="4"/>
  <c r="W84" i="4"/>
  <c r="X84" i="4"/>
  <c r="AB84" i="4"/>
  <c r="AE84" i="4"/>
  <c r="AI84" i="4"/>
  <c r="AM84" i="4"/>
  <c r="AN84" i="4"/>
  <c r="AO84" i="4"/>
  <c r="AP84" i="4"/>
  <c r="AQ84" i="4"/>
  <c r="AR84" i="4"/>
  <c r="AS84" i="4"/>
  <c r="AU84" i="4"/>
  <c r="A85" i="4"/>
  <c r="B85" i="4"/>
  <c r="E85" i="4"/>
  <c r="F85" i="4"/>
  <c r="N85" i="4"/>
  <c r="O85" i="4"/>
  <c r="R85" i="4"/>
  <c r="U85" i="4"/>
  <c r="V85" i="4"/>
  <c r="W85" i="4"/>
  <c r="X85" i="4"/>
  <c r="AB85" i="4"/>
  <c r="AE85" i="4"/>
  <c r="AI85" i="4"/>
  <c r="AM85" i="4"/>
  <c r="AN85" i="4"/>
  <c r="AO85" i="4"/>
  <c r="AP85" i="4"/>
  <c r="AQ85" i="4"/>
  <c r="AR85" i="4"/>
  <c r="AS85" i="4"/>
  <c r="AU85" i="4"/>
  <c r="A86" i="4"/>
  <c r="B86" i="4"/>
  <c r="E86" i="4"/>
  <c r="F86" i="4"/>
  <c r="N86" i="4"/>
  <c r="O86" i="4"/>
  <c r="R86" i="4"/>
  <c r="U86" i="4"/>
  <c r="V86" i="4"/>
  <c r="W86" i="4"/>
  <c r="X86" i="4"/>
  <c r="AB86" i="4"/>
  <c r="AE86" i="4"/>
  <c r="AI86" i="4"/>
  <c r="AM86" i="4"/>
  <c r="AN86" i="4"/>
  <c r="AO86" i="4"/>
  <c r="AP86" i="4"/>
  <c r="AQ86" i="4"/>
  <c r="AR86" i="4"/>
  <c r="AS86" i="4"/>
  <c r="AU86" i="4"/>
  <c r="A87" i="4"/>
  <c r="B87" i="4"/>
  <c r="E87" i="4"/>
  <c r="F87" i="4"/>
  <c r="N87" i="4"/>
  <c r="O87" i="4"/>
  <c r="R87" i="4"/>
  <c r="U87" i="4"/>
  <c r="V87" i="4"/>
  <c r="W87" i="4"/>
  <c r="X87" i="4"/>
  <c r="AB87" i="4"/>
  <c r="AE87" i="4"/>
  <c r="AI87" i="4"/>
  <c r="AM87" i="4"/>
  <c r="AN87" i="4"/>
  <c r="AO87" i="4"/>
  <c r="AP87" i="4"/>
  <c r="AQ87" i="4"/>
  <c r="AR87" i="4"/>
  <c r="AS87" i="4"/>
  <c r="AU87" i="4"/>
  <c r="A88" i="4"/>
  <c r="B88" i="4"/>
  <c r="E88" i="4"/>
  <c r="F88" i="4"/>
  <c r="N88" i="4"/>
  <c r="O88" i="4"/>
  <c r="R88" i="4"/>
  <c r="U88" i="4"/>
  <c r="V88" i="4"/>
  <c r="W88" i="4"/>
  <c r="X88" i="4"/>
  <c r="AB88" i="4"/>
  <c r="AE88" i="4"/>
  <c r="AI88" i="4"/>
  <c r="AM88" i="4"/>
  <c r="AN88" i="4"/>
  <c r="AO88" i="4"/>
  <c r="AP88" i="4"/>
  <c r="AQ88" i="4"/>
  <c r="AR88" i="4"/>
  <c r="AS88" i="4"/>
  <c r="A89" i="4"/>
  <c r="B89" i="4"/>
  <c r="E89" i="4"/>
  <c r="F89" i="4"/>
  <c r="N89" i="4"/>
  <c r="O89" i="4"/>
  <c r="R89" i="4"/>
  <c r="U89" i="4"/>
  <c r="V89" i="4"/>
  <c r="W89" i="4"/>
  <c r="X89" i="4"/>
  <c r="AB89" i="4"/>
  <c r="AE89" i="4"/>
  <c r="AI89" i="4"/>
  <c r="AM89" i="4"/>
  <c r="AN89" i="4"/>
  <c r="AO89" i="4"/>
  <c r="AP89" i="4"/>
  <c r="AQ89" i="4"/>
  <c r="AR89" i="4"/>
  <c r="AS89" i="4"/>
  <c r="A90" i="4"/>
  <c r="B90" i="4"/>
  <c r="E90" i="4"/>
  <c r="F90" i="4"/>
  <c r="N90" i="4"/>
  <c r="O90" i="4"/>
  <c r="R90" i="4"/>
  <c r="U90" i="4"/>
  <c r="V90" i="4"/>
  <c r="W90" i="4"/>
  <c r="X90" i="4"/>
  <c r="AB90" i="4"/>
  <c r="AE90" i="4"/>
  <c r="AI90" i="4"/>
  <c r="AM90" i="4"/>
  <c r="AN90" i="4"/>
  <c r="AO90" i="4"/>
  <c r="AP90" i="4"/>
  <c r="AQ90" i="4"/>
  <c r="AR90" i="4"/>
  <c r="AS90" i="4"/>
  <c r="AU90" i="4"/>
  <c r="A91" i="4"/>
  <c r="B91" i="4"/>
  <c r="E91" i="4"/>
  <c r="F91" i="4"/>
  <c r="N91" i="4"/>
  <c r="O91" i="4"/>
  <c r="R91" i="4"/>
  <c r="U91" i="4"/>
  <c r="V91" i="4"/>
  <c r="W91" i="4"/>
  <c r="X91" i="4"/>
  <c r="AB91" i="4"/>
  <c r="AE91" i="4"/>
  <c r="AI91" i="4"/>
  <c r="AM91" i="4"/>
  <c r="AN91" i="4"/>
  <c r="AO91" i="4"/>
  <c r="AP91" i="4"/>
  <c r="AQ91" i="4"/>
  <c r="AR91" i="4"/>
  <c r="AS91" i="4"/>
  <c r="AU91" i="4"/>
  <c r="A92" i="4"/>
  <c r="B92" i="4"/>
  <c r="E92" i="4"/>
  <c r="F92" i="4"/>
  <c r="N92" i="4"/>
  <c r="O92" i="4"/>
  <c r="R92" i="4"/>
  <c r="U92" i="4"/>
  <c r="V92" i="4"/>
  <c r="W92" i="4"/>
  <c r="X92" i="4"/>
  <c r="AB92" i="4"/>
  <c r="AE92" i="4"/>
  <c r="AI92" i="4"/>
  <c r="AM92" i="4"/>
  <c r="AN92" i="4"/>
  <c r="AO92" i="4"/>
  <c r="AP92" i="4"/>
  <c r="AQ92" i="4"/>
  <c r="AR92" i="4"/>
  <c r="AS92" i="4"/>
  <c r="A93" i="4"/>
  <c r="B93" i="4"/>
  <c r="E93" i="4"/>
  <c r="F93" i="4"/>
  <c r="N93" i="4"/>
  <c r="O93" i="4"/>
  <c r="R93" i="4"/>
  <c r="U93" i="4"/>
  <c r="V93" i="4"/>
  <c r="W93" i="4"/>
  <c r="X93" i="4"/>
  <c r="AB93" i="4"/>
  <c r="AE93" i="4"/>
  <c r="AI93" i="4"/>
  <c r="AM93" i="4"/>
  <c r="AN93" i="4"/>
  <c r="AO93" i="4"/>
  <c r="AP93" i="4"/>
  <c r="AQ93" i="4"/>
  <c r="AR93" i="4"/>
  <c r="AS93" i="4"/>
  <c r="A94" i="4"/>
  <c r="B94" i="4"/>
  <c r="E94" i="4"/>
  <c r="F94" i="4"/>
  <c r="N94" i="4"/>
  <c r="O94" i="4"/>
  <c r="R94" i="4"/>
  <c r="U94" i="4"/>
  <c r="V94" i="4"/>
  <c r="W94" i="4"/>
  <c r="X94" i="4"/>
  <c r="AB94" i="4"/>
  <c r="AE94" i="4"/>
  <c r="AI94" i="4"/>
  <c r="AM94" i="4"/>
  <c r="AN94" i="4"/>
  <c r="AO94" i="4"/>
  <c r="AP94" i="4"/>
  <c r="AQ94" i="4"/>
  <c r="AR94" i="4"/>
  <c r="AS94" i="4"/>
  <c r="A95" i="4"/>
  <c r="B95" i="4"/>
  <c r="E95" i="4"/>
  <c r="F95" i="4"/>
  <c r="N95" i="4"/>
  <c r="O95" i="4"/>
  <c r="R95" i="4"/>
  <c r="U95" i="4"/>
  <c r="V95" i="4"/>
  <c r="W95" i="4"/>
  <c r="X95" i="4"/>
  <c r="AB95" i="4"/>
  <c r="AE95" i="4"/>
  <c r="AI95" i="4"/>
  <c r="AM95" i="4"/>
  <c r="AN95" i="4"/>
  <c r="AO95" i="4"/>
  <c r="AP95" i="4"/>
  <c r="AQ95" i="4"/>
  <c r="AR95" i="4"/>
  <c r="AS95" i="4"/>
  <c r="A96" i="4"/>
  <c r="B96" i="4"/>
  <c r="E96" i="4"/>
  <c r="F96" i="4"/>
  <c r="N96" i="4"/>
  <c r="O96" i="4"/>
  <c r="R96" i="4"/>
  <c r="U96" i="4"/>
  <c r="V96" i="4"/>
  <c r="W96" i="4"/>
  <c r="X96" i="4"/>
  <c r="AB96" i="4"/>
  <c r="AE96" i="4"/>
  <c r="AI96" i="4"/>
  <c r="AM96" i="4"/>
  <c r="AN96" i="4"/>
  <c r="AO96" i="4"/>
  <c r="AP96" i="4"/>
  <c r="AQ96" i="4"/>
  <c r="AR96" i="4"/>
  <c r="AS96" i="4"/>
  <c r="AU96" i="4"/>
  <c r="A97" i="4"/>
  <c r="B97" i="4"/>
  <c r="E97" i="4"/>
  <c r="F97" i="4"/>
  <c r="N97" i="4"/>
  <c r="O97" i="4"/>
  <c r="R97" i="4"/>
  <c r="U97" i="4"/>
  <c r="V97" i="4"/>
  <c r="W97" i="4"/>
  <c r="X97" i="4"/>
  <c r="AB97" i="4"/>
  <c r="AE97" i="4"/>
  <c r="AI97" i="4"/>
  <c r="AM97" i="4"/>
  <c r="AN97" i="4"/>
  <c r="AO97" i="4"/>
  <c r="AP97" i="4"/>
  <c r="AQ97" i="4"/>
  <c r="AR97" i="4"/>
  <c r="AS97" i="4"/>
  <c r="AU97" i="4"/>
  <c r="A98" i="4"/>
  <c r="B98" i="4"/>
  <c r="E98" i="4"/>
  <c r="F98" i="4"/>
  <c r="N98" i="4"/>
  <c r="O98" i="4"/>
  <c r="R98" i="4"/>
  <c r="U98" i="4"/>
  <c r="V98" i="4"/>
  <c r="W98" i="4"/>
  <c r="X98" i="4"/>
  <c r="AB98" i="4"/>
  <c r="AE98" i="4"/>
  <c r="AI98" i="4"/>
  <c r="AM98" i="4"/>
  <c r="AN98" i="4"/>
  <c r="AO98" i="4"/>
  <c r="AP98" i="4"/>
  <c r="AQ98" i="4"/>
  <c r="AR98" i="4"/>
  <c r="AS98" i="4"/>
  <c r="AU98" i="4"/>
  <c r="A99" i="4"/>
  <c r="B99" i="4"/>
  <c r="E99" i="4"/>
  <c r="F99" i="4"/>
  <c r="N99" i="4"/>
  <c r="O99" i="4"/>
  <c r="R99" i="4"/>
  <c r="U99" i="4"/>
  <c r="V99" i="4"/>
  <c r="W99" i="4"/>
  <c r="X99" i="4"/>
  <c r="AB99" i="4"/>
  <c r="AE99" i="4"/>
  <c r="AI99" i="4"/>
  <c r="AM99" i="4"/>
  <c r="AN99" i="4"/>
  <c r="AO99" i="4"/>
  <c r="AP99" i="4"/>
  <c r="AQ99" i="4"/>
  <c r="AR99" i="4"/>
  <c r="AS99" i="4"/>
  <c r="A100" i="4"/>
  <c r="B100" i="4"/>
  <c r="E100" i="4"/>
  <c r="F100" i="4"/>
  <c r="N100" i="4"/>
  <c r="O100" i="4"/>
  <c r="R100" i="4"/>
  <c r="U100" i="4"/>
  <c r="V100" i="4"/>
  <c r="W100" i="4"/>
  <c r="X100" i="4"/>
  <c r="AB100" i="4"/>
  <c r="AE100" i="4"/>
  <c r="AI100" i="4"/>
  <c r="AM100" i="4"/>
  <c r="AN100" i="4"/>
  <c r="AO100" i="4"/>
  <c r="AP100" i="4"/>
  <c r="AQ100" i="4"/>
  <c r="AR100" i="4"/>
  <c r="AS100" i="4"/>
  <c r="AU100" i="4"/>
  <c r="A101" i="4"/>
  <c r="B101" i="4"/>
  <c r="E101" i="4"/>
  <c r="F101" i="4"/>
  <c r="N101" i="4"/>
  <c r="O101" i="4"/>
  <c r="R101" i="4"/>
  <c r="U101" i="4"/>
  <c r="V101" i="4"/>
  <c r="W101" i="4"/>
  <c r="X101" i="4"/>
  <c r="AB101" i="4"/>
  <c r="AE101" i="4"/>
  <c r="AI101" i="4"/>
  <c r="AM101" i="4"/>
  <c r="AN101" i="4"/>
  <c r="AO101" i="4"/>
  <c r="AP101" i="4"/>
  <c r="AQ101" i="4"/>
  <c r="AR101" i="4"/>
  <c r="AS101" i="4"/>
  <c r="A102" i="4"/>
  <c r="B102" i="4"/>
  <c r="E102" i="4"/>
  <c r="F102" i="4"/>
  <c r="N102" i="4"/>
  <c r="O102" i="4"/>
  <c r="R102" i="4"/>
  <c r="U102" i="4"/>
  <c r="V102" i="4"/>
  <c r="W102" i="4"/>
  <c r="X102" i="4"/>
  <c r="AB102" i="4"/>
  <c r="AE102" i="4"/>
  <c r="AI102" i="4"/>
  <c r="AM102" i="4"/>
  <c r="AN102" i="4"/>
  <c r="AO102" i="4"/>
  <c r="AP102" i="4"/>
  <c r="AQ102" i="4"/>
  <c r="AR102" i="4"/>
  <c r="AS102" i="4"/>
  <c r="A103" i="4"/>
  <c r="B103" i="4"/>
  <c r="E103" i="4"/>
  <c r="F103" i="4"/>
  <c r="N103" i="4"/>
  <c r="O103" i="4"/>
  <c r="R103" i="4"/>
  <c r="U103" i="4"/>
  <c r="V103" i="4"/>
  <c r="W103" i="4"/>
  <c r="X103" i="4"/>
  <c r="AB103" i="4"/>
  <c r="AE103" i="4"/>
  <c r="AI103" i="4"/>
  <c r="AM103" i="4"/>
  <c r="AN103" i="4"/>
  <c r="AO103" i="4"/>
  <c r="AP103" i="4"/>
  <c r="AQ103" i="4"/>
  <c r="AR103" i="4"/>
  <c r="AS103" i="4"/>
  <c r="A104" i="4"/>
  <c r="B104" i="4"/>
  <c r="E104" i="4"/>
  <c r="F104" i="4"/>
  <c r="N104" i="4"/>
  <c r="O104" i="4"/>
  <c r="R104" i="4"/>
  <c r="U104" i="4"/>
  <c r="V104" i="4"/>
  <c r="W104" i="4"/>
  <c r="X104" i="4"/>
  <c r="AB104" i="4"/>
  <c r="AE104" i="4"/>
  <c r="AI104" i="4"/>
  <c r="AM104" i="4"/>
  <c r="AN104" i="4"/>
  <c r="AO104" i="4"/>
  <c r="AP104" i="4"/>
  <c r="AQ104" i="4"/>
  <c r="AR104" i="4"/>
  <c r="AS104" i="4"/>
  <c r="A105" i="4"/>
  <c r="B105" i="4"/>
  <c r="E105" i="4"/>
  <c r="F105" i="4"/>
  <c r="N105" i="4"/>
  <c r="O105" i="4"/>
  <c r="R105" i="4"/>
  <c r="U105" i="4"/>
  <c r="V105" i="4"/>
  <c r="W105" i="4"/>
  <c r="X105" i="4"/>
  <c r="AB105" i="4"/>
  <c r="AE105" i="4"/>
  <c r="AI105" i="4"/>
  <c r="AM105" i="4"/>
  <c r="AN105" i="4"/>
  <c r="AO105" i="4"/>
  <c r="AP105" i="4"/>
  <c r="AQ105" i="4"/>
  <c r="AR105" i="4"/>
  <c r="AS105" i="4"/>
  <c r="A106" i="4"/>
  <c r="B106" i="4"/>
  <c r="E106" i="4"/>
  <c r="F106" i="4"/>
  <c r="N106" i="4"/>
  <c r="O106" i="4"/>
  <c r="R106" i="4"/>
  <c r="U106" i="4"/>
  <c r="V106" i="4"/>
  <c r="W106" i="4"/>
  <c r="X106" i="4"/>
  <c r="AB106" i="4"/>
  <c r="AE106" i="4"/>
  <c r="AI106" i="4"/>
  <c r="AM106" i="4"/>
  <c r="AN106" i="4"/>
  <c r="AO106" i="4"/>
  <c r="AP106" i="4"/>
  <c r="AQ106" i="4"/>
  <c r="AR106" i="4"/>
  <c r="AS106" i="4"/>
  <c r="A107" i="4"/>
  <c r="B107" i="4"/>
  <c r="E107" i="4"/>
  <c r="F107" i="4"/>
  <c r="N107" i="4"/>
  <c r="O107" i="4"/>
  <c r="R107" i="4"/>
  <c r="U107" i="4"/>
  <c r="V107" i="4"/>
  <c r="W107" i="4"/>
  <c r="X107" i="4"/>
  <c r="AB107" i="4"/>
  <c r="AE107" i="4"/>
  <c r="AI107" i="4"/>
  <c r="AM107" i="4"/>
  <c r="AN107" i="4"/>
  <c r="AO107" i="4"/>
  <c r="AP107" i="4"/>
  <c r="AQ107" i="4"/>
  <c r="AR107" i="4"/>
  <c r="AS107" i="4"/>
  <c r="A108" i="4"/>
  <c r="B108" i="4"/>
  <c r="E108" i="4"/>
  <c r="F108" i="4"/>
  <c r="N108" i="4"/>
  <c r="O108" i="4"/>
  <c r="R108" i="4"/>
  <c r="U108" i="4"/>
  <c r="V108" i="4"/>
  <c r="W108" i="4"/>
  <c r="X108" i="4"/>
  <c r="AB108" i="4"/>
  <c r="AE108" i="4"/>
  <c r="AI108" i="4"/>
  <c r="AM108" i="4"/>
  <c r="AN108" i="4"/>
  <c r="AO108" i="4"/>
  <c r="AP108" i="4"/>
  <c r="AQ108" i="4"/>
  <c r="AR108" i="4"/>
  <c r="AS108" i="4"/>
  <c r="A109" i="4"/>
  <c r="B109" i="4"/>
  <c r="E109" i="4"/>
  <c r="F109" i="4"/>
  <c r="N109" i="4"/>
  <c r="O109" i="4"/>
  <c r="R109" i="4"/>
  <c r="U109" i="4"/>
  <c r="V109" i="4"/>
  <c r="W109" i="4"/>
  <c r="X109" i="4"/>
  <c r="AB109" i="4"/>
  <c r="AE109" i="4"/>
  <c r="AI109" i="4"/>
  <c r="AM109" i="4"/>
  <c r="AN109" i="4"/>
  <c r="AO109" i="4"/>
  <c r="AP109" i="4"/>
  <c r="AQ109" i="4"/>
  <c r="AR109" i="4"/>
  <c r="AS109" i="4"/>
  <c r="A110" i="4"/>
  <c r="B110" i="4"/>
  <c r="E110" i="4"/>
  <c r="F110" i="4"/>
  <c r="N110" i="4"/>
  <c r="O110" i="4"/>
  <c r="R110" i="4"/>
  <c r="U110" i="4"/>
  <c r="V110" i="4"/>
  <c r="W110" i="4"/>
  <c r="X110" i="4"/>
  <c r="AB110" i="4"/>
  <c r="AE110" i="4"/>
  <c r="AI110" i="4"/>
  <c r="AM110" i="4"/>
  <c r="AN110" i="4"/>
  <c r="AO110" i="4"/>
  <c r="AP110" i="4"/>
  <c r="AQ110" i="4"/>
  <c r="AR110" i="4"/>
  <c r="AS110" i="4"/>
  <c r="A111" i="4"/>
  <c r="B111" i="4"/>
  <c r="E111" i="4"/>
  <c r="F111" i="4"/>
  <c r="N111" i="4"/>
  <c r="O111" i="4"/>
  <c r="R111" i="4"/>
  <c r="U111" i="4"/>
  <c r="V111" i="4"/>
  <c r="W111" i="4"/>
  <c r="X111" i="4"/>
  <c r="AB111" i="4"/>
  <c r="AE111" i="4"/>
  <c r="AI111" i="4"/>
  <c r="AM111" i="4"/>
  <c r="AN111" i="4"/>
  <c r="AO111" i="4"/>
  <c r="AP111" i="4"/>
  <c r="AQ111" i="4"/>
  <c r="AR111" i="4"/>
  <c r="AS111" i="4"/>
  <c r="A112" i="4"/>
  <c r="B112" i="4"/>
  <c r="E112" i="4"/>
  <c r="F112" i="4"/>
  <c r="N112" i="4"/>
  <c r="O112" i="4"/>
  <c r="R112" i="4"/>
  <c r="U112" i="4"/>
  <c r="V112" i="4"/>
  <c r="W112" i="4"/>
  <c r="X112" i="4"/>
  <c r="AB112" i="4"/>
  <c r="AE112" i="4"/>
  <c r="AI112" i="4"/>
  <c r="AM112" i="4"/>
  <c r="AN112" i="4"/>
  <c r="AO112" i="4"/>
  <c r="AP112" i="4"/>
  <c r="AQ112" i="4"/>
  <c r="AR112" i="4"/>
  <c r="AS112" i="4"/>
  <c r="A113" i="4"/>
  <c r="B113" i="4"/>
  <c r="E113" i="4"/>
  <c r="F113" i="4"/>
  <c r="N113" i="4"/>
  <c r="O113" i="4"/>
  <c r="R113" i="4"/>
  <c r="U113" i="4"/>
  <c r="V113" i="4"/>
  <c r="W113" i="4"/>
  <c r="X113" i="4"/>
  <c r="AB113" i="4"/>
  <c r="AE113" i="4"/>
  <c r="AI113" i="4"/>
  <c r="AM113" i="4"/>
  <c r="AN113" i="4"/>
  <c r="AO113" i="4"/>
  <c r="AP113" i="4"/>
  <c r="AQ113" i="4"/>
  <c r="AR113" i="4"/>
  <c r="AS113" i="4"/>
  <c r="A114" i="4"/>
  <c r="B114" i="4"/>
  <c r="E114" i="4"/>
  <c r="F114" i="4"/>
  <c r="N114" i="4"/>
  <c r="O114" i="4"/>
  <c r="R114" i="4"/>
  <c r="U114" i="4"/>
  <c r="V114" i="4"/>
  <c r="W114" i="4"/>
  <c r="X114" i="4"/>
  <c r="AB114" i="4"/>
  <c r="AE114" i="4"/>
  <c r="AI114" i="4"/>
  <c r="AM114" i="4"/>
  <c r="AN114" i="4"/>
  <c r="AO114" i="4"/>
  <c r="AP114" i="4"/>
  <c r="AQ114" i="4"/>
  <c r="AR114" i="4"/>
  <c r="AS114" i="4"/>
  <c r="A115" i="4"/>
  <c r="B115" i="4"/>
  <c r="E115" i="4"/>
  <c r="F115" i="4"/>
  <c r="N115" i="4"/>
  <c r="O115" i="4"/>
  <c r="R115" i="4"/>
  <c r="U115" i="4"/>
  <c r="V115" i="4"/>
  <c r="W115" i="4"/>
  <c r="X115" i="4"/>
  <c r="AB115" i="4"/>
  <c r="AE115" i="4"/>
  <c r="AI115" i="4"/>
  <c r="AM115" i="4"/>
  <c r="AN115" i="4"/>
  <c r="AO115" i="4"/>
  <c r="AP115" i="4"/>
  <c r="AQ115" i="4"/>
  <c r="AR115" i="4"/>
  <c r="AS115" i="4"/>
  <c r="A116" i="4"/>
  <c r="B116" i="4"/>
  <c r="E116" i="4"/>
  <c r="F116" i="4"/>
  <c r="N116" i="4"/>
  <c r="O116" i="4"/>
  <c r="R116" i="4"/>
  <c r="U116" i="4"/>
  <c r="V116" i="4"/>
  <c r="W116" i="4"/>
  <c r="X116" i="4"/>
  <c r="AB116" i="4"/>
  <c r="AE116" i="4"/>
  <c r="AI116" i="4"/>
  <c r="AM116" i="4"/>
  <c r="AN116" i="4"/>
  <c r="AO116" i="4"/>
  <c r="AP116" i="4"/>
  <c r="AQ116" i="4"/>
  <c r="AR116" i="4"/>
  <c r="AS116" i="4"/>
  <c r="A117" i="4"/>
  <c r="B117" i="4"/>
  <c r="E117" i="4"/>
  <c r="F117" i="4"/>
  <c r="N117" i="4"/>
  <c r="O117" i="4"/>
  <c r="R117" i="4"/>
  <c r="U117" i="4"/>
  <c r="V117" i="4"/>
  <c r="W117" i="4"/>
  <c r="X117" i="4"/>
  <c r="AB117" i="4"/>
  <c r="AE117" i="4"/>
  <c r="AI117" i="4"/>
  <c r="AM117" i="4"/>
  <c r="AN117" i="4"/>
  <c r="AO117" i="4"/>
  <c r="AP117" i="4"/>
  <c r="AQ117" i="4"/>
  <c r="AR117" i="4"/>
  <c r="AS117" i="4"/>
  <c r="A118" i="4"/>
  <c r="B118" i="4"/>
  <c r="E118" i="4"/>
  <c r="F118" i="4"/>
  <c r="N118" i="4"/>
  <c r="O118" i="4"/>
  <c r="R118" i="4"/>
  <c r="U118" i="4"/>
  <c r="V118" i="4"/>
  <c r="W118" i="4"/>
  <c r="X118" i="4"/>
  <c r="AB118" i="4"/>
  <c r="AE118" i="4"/>
  <c r="AI118" i="4"/>
  <c r="AM118" i="4"/>
  <c r="AN118" i="4"/>
  <c r="AO118" i="4"/>
  <c r="AP118" i="4"/>
  <c r="AQ118" i="4"/>
  <c r="AR118" i="4"/>
  <c r="AS118" i="4"/>
  <c r="A119" i="4"/>
  <c r="B119" i="4"/>
  <c r="E119" i="4"/>
  <c r="F119" i="4"/>
  <c r="N119" i="4"/>
  <c r="O119" i="4"/>
  <c r="R119" i="4"/>
  <c r="U119" i="4"/>
  <c r="V119" i="4"/>
  <c r="W119" i="4"/>
  <c r="X119" i="4"/>
  <c r="AB119" i="4"/>
  <c r="AE119" i="4"/>
  <c r="AI119" i="4"/>
  <c r="AM119" i="4"/>
  <c r="AN119" i="4"/>
  <c r="AO119" i="4"/>
  <c r="AP119" i="4"/>
  <c r="AQ119" i="4"/>
  <c r="AR119" i="4"/>
  <c r="AS119" i="4"/>
  <c r="A120" i="4"/>
  <c r="B120" i="4"/>
  <c r="E120" i="4"/>
  <c r="F120" i="4"/>
  <c r="N120" i="4"/>
  <c r="O120" i="4"/>
  <c r="R120" i="4"/>
  <c r="U120" i="4"/>
  <c r="V120" i="4"/>
  <c r="W120" i="4"/>
  <c r="X120" i="4"/>
  <c r="AB120" i="4"/>
  <c r="AE120" i="4"/>
  <c r="AI120" i="4"/>
  <c r="AM120" i="4"/>
  <c r="AN120" i="4"/>
  <c r="AO120" i="4"/>
  <c r="AP120" i="4"/>
  <c r="AQ120" i="4"/>
  <c r="AR120" i="4"/>
  <c r="AS120" i="4"/>
  <c r="A121" i="4"/>
  <c r="B121" i="4"/>
  <c r="E121" i="4"/>
  <c r="F121" i="4"/>
  <c r="N121" i="4"/>
  <c r="O121" i="4"/>
  <c r="R121" i="4"/>
  <c r="U121" i="4"/>
  <c r="V121" i="4"/>
  <c r="W121" i="4"/>
  <c r="X121" i="4"/>
  <c r="AB121" i="4"/>
  <c r="AE121" i="4"/>
  <c r="AI121" i="4"/>
  <c r="AM121" i="4"/>
  <c r="AN121" i="4"/>
  <c r="AO121" i="4"/>
  <c r="AP121" i="4"/>
  <c r="AQ121" i="4"/>
  <c r="AR121" i="4"/>
  <c r="AS121" i="4"/>
  <c r="A122" i="4"/>
  <c r="B122" i="4"/>
  <c r="E122" i="4"/>
  <c r="F122" i="4"/>
  <c r="N122" i="4"/>
  <c r="O122" i="4"/>
  <c r="R122" i="4"/>
  <c r="U122" i="4"/>
  <c r="V122" i="4"/>
  <c r="W122" i="4"/>
  <c r="X122" i="4"/>
  <c r="AB122" i="4"/>
  <c r="AE122" i="4"/>
  <c r="AI122" i="4"/>
  <c r="AM122" i="4"/>
  <c r="AN122" i="4"/>
  <c r="AO122" i="4"/>
  <c r="AP122" i="4"/>
  <c r="AQ122" i="4"/>
  <c r="AR122" i="4"/>
  <c r="AS122" i="4"/>
  <c r="A123" i="4"/>
  <c r="B123" i="4"/>
  <c r="E123" i="4"/>
  <c r="F123" i="4"/>
  <c r="N123" i="4"/>
  <c r="O123" i="4"/>
  <c r="R123" i="4"/>
  <c r="U123" i="4"/>
  <c r="V123" i="4"/>
  <c r="W123" i="4"/>
  <c r="X123" i="4"/>
  <c r="AB123" i="4"/>
  <c r="AE123" i="4"/>
  <c r="AI123" i="4"/>
  <c r="AM123" i="4"/>
  <c r="AN123" i="4"/>
  <c r="AO123" i="4"/>
  <c r="AP123" i="4"/>
  <c r="AQ123" i="4"/>
  <c r="AR123" i="4"/>
  <c r="AS123" i="4"/>
  <c r="A124" i="4"/>
  <c r="B124" i="4"/>
  <c r="E124" i="4"/>
  <c r="F124" i="4"/>
  <c r="N124" i="4"/>
  <c r="O124" i="4"/>
  <c r="R124" i="4"/>
  <c r="U124" i="4"/>
  <c r="V124" i="4"/>
  <c r="W124" i="4"/>
  <c r="X124" i="4"/>
  <c r="AB124" i="4"/>
  <c r="AE124" i="4"/>
  <c r="AI124" i="4"/>
  <c r="AM124" i="4"/>
  <c r="AN124" i="4"/>
  <c r="AO124" i="4"/>
  <c r="AP124" i="4"/>
  <c r="AQ124" i="4"/>
  <c r="AR124" i="4"/>
  <c r="AS124" i="4"/>
  <c r="A125" i="4"/>
  <c r="B125" i="4"/>
  <c r="E125" i="4"/>
  <c r="F125" i="4"/>
  <c r="N125" i="4"/>
  <c r="O125" i="4"/>
  <c r="R125" i="4"/>
  <c r="U125" i="4"/>
  <c r="V125" i="4"/>
  <c r="W125" i="4"/>
  <c r="X125" i="4"/>
  <c r="AB125" i="4"/>
  <c r="AE125" i="4"/>
  <c r="AI125" i="4"/>
  <c r="AM125" i="4"/>
  <c r="AN125" i="4"/>
  <c r="AO125" i="4"/>
  <c r="AP125" i="4"/>
  <c r="AQ125" i="4"/>
  <c r="AR125" i="4"/>
  <c r="AS125" i="4"/>
  <c r="A126" i="4"/>
  <c r="B126" i="4"/>
  <c r="E126" i="4"/>
  <c r="F126" i="4"/>
  <c r="N126" i="4"/>
  <c r="O126" i="4"/>
  <c r="R126" i="4"/>
  <c r="U126" i="4"/>
  <c r="V126" i="4"/>
  <c r="W126" i="4"/>
  <c r="X126" i="4"/>
  <c r="AB126" i="4"/>
  <c r="AE126" i="4"/>
  <c r="AI126" i="4"/>
  <c r="AM126" i="4"/>
  <c r="AN126" i="4"/>
  <c r="AO126" i="4"/>
  <c r="AP126" i="4"/>
  <c r="AQ126" i="4"/>
  <c r="AR126" i="4"/>
  <c r="AS126" i="4"/>
  <c r="A127" i="4"/>
  <c r="B127" i="4"/>
  <c r="E127" i="4"/>
  <c r="F127" i="4"/>
  <c r="N127" i="4"/>
  <c r="O127" i="4"/>
  <c r="R127" i="4"/>
  <c r="U127" i="4"/>
  <c r="V127" i="4"/>
  <c r="W127" i="4"/>
  <c r="X127" i="4"/>
  <c r="AE127" i="4"/>
  <c r="AI127" i="4"/>
  <c r="AM127" i="4"/>
  <c r="AN127" i="4"/>
  <c r="AO127" i="4"/>
  <c r="AP127" i="4"/>
  <c r="AQ127" i="4"/>
  <c r="AR127" i="4"/>
  <c r="AS127" i="4"/>
  <c r="A128" i="4"/>
  <c r="B128" i="4"/>
  <c r="E128" i="4"/>
  <c r="F128" i="4"/>
  <c r="N128" i="4"/>
  <c r="O128" i="4"/>
  <c r="R128" i="4"/>
  <c r="U128" i="4"/>
  <c r="V128" i="4"/>
  <c r="W128" i="4"/>
  <c r="X128" i="4"/>
  <c r="AE128" i="4"/>
  <c r="AI128" i="4"/>
  <c r="AM128" i="4"/>
  <c r="AN128" i="4"/>
  <c r="AO128" i="4"/>
  <c r="AP128" i="4"/>
  <c r="AQ128" i="4"/>
  <c r="AR128" i="4"/>
  <c r="AS128" i="4"/>
  <c r="A129" i="4"/>
  <c r="B129" i="4"/>
  <c r="E129" i="4"/>
  <c r="F129" i="4"/>
  <c r="N129" i="4"/>
  <c r="O129" i="4"/>
  <c r="R129" i="4"/>
  <c r="U129" i="4"/>
  <c r="V129" i="4"/>
  <c r="W129" i="4"/>
  <c r="X129" i="4"/>
  <c r="AE129" i="4"/>
  <c r="AI129" i="4"/>
  <c r="AM129" i="4"/>
  <c r="AN129" i="4"/>
  <c r="AO129" i="4"/>
  <c r="AP129" i="4"/>
  <c r="AQ129" i="4"/>
  <c r="AR129" i="4"/>
  <c r="AS129" i="4"/>
  <c r="A130" i="4"/>
  <c r="B130" i="4"/>
  <c r="E130" i="4"/>
  <c r="F130" i="4"/>
  <c r="N130" i="4"/>
  <c r="O130" i="4"/>
  <c r="R130" i="4"/>
  <c r="U130" i="4"/>
  <c r="V130" i="4"/>
  <c r="W130" i="4"/>
  <c r="X130" i="4"/>
  <c r="AE130" i="4"/>
  <c r="AI130" i="4"/>
  <c r="AM130" i="4"/>
  <c r="AN130" i="4"/>
  <c r="AO130" i="4"/>
  <c r="AP130" i="4"/>
  <c r="AQ130" i="4"/>
  <c r="AR130" i="4"/>
  <c r="AS130" i="4"/>
  <c r="A131" i="4"/>
  <c r="B131" i="4"/>
  <c r="E131" i="4"/>
  <c r="F131" i="4"/>
  <c r="N131" i="4"/>
  <c r="O131" i="4"/>
  <c r="R131" i="4"/>
  <c r="U131" i="4"/>
  <c r="V131" i="4"/>
  <c r="W131" i="4"/>
  <c r="X131" i="4"/>
  <c r="AE131" i="4"/>
  <c r="AI131" i="4"/>
  <c r="AM131" i="4"/>
  <c r="AN131" i="4"/>
  <c r="AO131" i="4"/>
  <c r="AP131" i="4"/>
  <c r="AQ131" i="4"/>
  <c r="AR131" i="4"/>
  <c r="AS131" i="4"/>
  <c r="A132" i="4"/>
  <c r="B132" i="4"/>
  <c r="E132" i="4"/>
  <c r="F132" i="4"/>
  <c r="N132" i="4"/>
  <c r="O132" i="4"/>
  <c r="R132" i="4"/>
  <c r="U132" i="4"/>
  <c r="V132" i="4"/>
  <c r="W132" i="4"/>
  <c r="X132" i="4"/>
  <c r="AE132" i="4"/>
  <c r="AI132" i="4"/>
  <c r="AM132" i="4"/>
  <c r="AN132" i="4"/>
  <c r="AO132" i="4"/>
  <c r="AP132" i="4"/>
  <c r="AQ132" i="4"/>
  <c r="AR132" i="4"/>
  <c r="AS132" i="4"/>
  <c r="A133" i="4"/>
  <c r="B133" i="4"/>
  <c r="E133" i="4"/>
  <c r="F133" i="4"/>
  <c r="N133" i="4"/>
  <c r="O133" i="4"/>
  <c r="R133" i="4"/>
  <c r="U133" i="4"/>
  <c r="V133" i="4"/>
  <c r="W133" i="4"/>
  <c r="X133" i="4"/>
  <c r="AE133" i="4"/>
  <c r="AI133" i="4"/>
  <c r="AM133" i="4"/>
  <c r="AN133" i="4"/>
  <c r="AO133" i="4"/>
  <c r="AP133" i="4"/>
  <c r="AQ133" i="4"/>
  <c r="AR133" i="4"/>
  <c r="AS133" i="4"/>
  <c r="A134" i="4"/>
  <c r="B134" i="4"/>
  <c r="E134" i="4"/>
  <c r="F134" i="4"/>
  <c r="N134" i="4"/>
  <c r="O134" i="4"/>
  <c r="R134" i="4"/>
  <c r="U134" i="4"/>
  <c r="V134" i="4"/>
  <c r="W134" i="4"/>
  <c r="X134" i="4"/>
  <c r="AE134" i="4"/>
  <c r="AI134" i="4"/>
  <c r="AM134" i="4"/>
  <c r="AN134" i="4"/>
  <c r="AO134" i="4"/>
  <c r="AP134" i="4"/>
  <c r="AQ134" i="4"/>
  <c r="AR134" i="4"/>
  <c r="AS134" i="4"/>
  <c r="A135" i="4"/>
  <c r="B135" i="4"/>
  <c r="E135" i="4"/>
  <c r="F135" i="4"/>
  <c r="N135" i="4"/>
  <c r="O135" i="4"/>
  <c r="R135" i="4"/>
  <c r="U135" i="4"/>
  <c r="V135" i="4"/>
  <c r="W135" i="4"/>
  <c r="X135" i="4"/>
  <c r="AE135" i="4"/>
  <c r="AI135" i="4"/>
  <c r="AM135" i="4"/>
  <c r="AN135" i="4"/>
  <c r="AO135" i="4"/>
  <c r="AP135" i="4"/>
  <c r="AQ135" i="4"/>
  <c r="AR135" i="4"/>
  <c r="AS135" i="4"/>
  <c r="A136" i="4"/>
  <c r="B136" i="4"/>
  <c r="E136" i="4"/>
  <c r="F136" i="4"/>
  <c r="N136" i="4"/>
  <c r="O136" i="4"/>
  <c r="R136" i="4"/>
  <c r="U136" i="4"/>
  <c r="V136" i="4"/>
  <c r="W136" i="4"/>
  <c r="X136" i="4"/>
  <c r="AE136" i="4"/>
  <c r="AI136" i="4"/>
  <c r="AM136" i="4"/>
  <c r="AN136" i="4"/>
  <c r="AO136" i="4"/>
  <c r="AP136" i="4"/>
  <c r="AQ136" i="4"/>
  <c r="AR136" i="4"/>
  <c r="AS136" i="4"/>
  <c r="A137" i="4"/>
  <c r="B137" i="4"/>
  <c r="E137" i="4"/>
  <c r="F137" i="4"/>
  <c r="N137" i="4"/>
  <c r="O137" i="4"/>
  <c r="R137" i="4"/>
  <c r="U137" i="4"/>
  <c r="V137" i="4"/>
  <c r="W137" i="4"/>
  <c r="X137" i="4"/>
  <c r="AE137" i="4"/>
  <c r="AI137" i="4"/>
  <c r="AM137" i="4"/>
  <c r="AN137" i="4"/>
  <c r="AO137" i="4"/>
  <c r="AP137" i="4"/>
  <c r="AQ137" i="4"/>
  <c r="AR137" i="4"/>
  <c r="AS137" i="4"/>
  <c r="A138" i="4"/>
  <c r="B138" i="4"/>
  <c r="E138" i="4"/>
  <c r="F138" i="4"/>
  <c r="N138" i="4"/>
  <c r="O138" i="4"/>
  <c r="R138" i="4"/>
  <c r="U138" i="4"/>
  <c r="V138" i="4"/>
  <c r="W138" i="4"/>
  <c r="X138" i="4"/>
  <c r="AE138" i="4"/>
  <c r="AI138" i="4"/>
  <c r="AM138" i="4"/>
  <c r="AN138" i="4"/>
  <c r="AO138" i="4"/>
  <c r="AP138" i="4"/>
  <c r="AQ138" i="4"/>
  <c r="AR138" i="4"/>
  <c r="AS138" i="4"/>
  <c r="A139" i="4"/>
  <c r="B139" i="4"/>
  <c r="E139" i="4"/>
  <c r="F139" i="4"/>
  <c r="N139" i="4"/>
  <c r="O139" i="4"/>
  <c r="R139" i="4"/>
  <c r="U139" i="4"/>
  <c r="V139" i="4"/>
  <c r="W139" i="4"/>
  <c r="X139" i="4"/>
  <c r="AE139" i="4"/>
  <c r="AI139" i="4"/>
  <c r="AM139" i="4"/>
  <c r="AN139" i="4"/>
  <c r="AO139" i="4"/>
  <c r="AP139" i="4"/>
  <c r="AQ139" i="4"/>
  <c r="AR139" i="4"/>
  <c r="AS139" i="4"/>
  <c r="A140" i="4"/>
  <c r="B140" i="4"/>
  <c r="E140" i="4"/>
  <c r="F140" i="4"/>
  <c r="N140" i="4"/>
  <c r="O140" i="4"/>
  <c r="R140" i="4"/>
  <c r="U140" i="4"/>
  <c r="V140" i="4"/>
  <c r="W140" i="4"/>
  <c r="X140" i="4"/>
  <c r="AE140" i="4"/>
  <c r="AI140" i="4"/>
  <c r="AM140" i="4"/>
  <c r="AN140" i="4"/>
  <c r="AO140" i="4"/>
  <c r="AP140" i="4"/>
  <c r="AQ140" i="4"/>
  <c r="AR140" i="4"/>
  <c r="AS140" i="4"/>
  <c r="A141" i="4"/>
  <c r="B141" i="4"/>
  <c r="E141" i="4"/>
  <c r="F141" i="4"/>
  <c r="N141" i="4"/>
  <c r="O141" i="4"/>
  <c r="R141" i="4"/>
  <c r="U141" i="4"/>
  <c r="V141" i="4"/>
  <c r="W141" i="4"/>
  <c r="X141" i="4"/>
  <c r="AE141" i="4"/>
  <c r="AI141" i="4"/>
  <c r="AM141" i="4"/>
  <c r="AN141" i="4"/>
  <c r="AO141" i="4"/>
  <c r="AP141" i="4"/>
  <c r="AQ141" i="4"/>
  <c r="AR141" i="4"/>
  <c r="AS141" i="4"/>
  <c r="A142" i="4"/>
  <c r="B142" i="4"/>
  <c r="E142" i="4"/>
  <c r="F142" i="4"/>
  <c r="N142" i="4"/>
  <c r="O142" i="4"/>
  <c r="R142" i="4"/>
  <c r="U142" i="4"/>
  <c r="V142" i="4"/>
  <c r="W142" i="4"/>
  <c r="X142" i="4"/>
  <c r="AB142" i="4"/>
  <c r="AE142" i="4"/>
  <c r="AI142" i="4"/>
  <c r="AM142" i="4"/>
  <c r="AN142" i="4"/>
  <c r="AO142" i="4"/>
  <c r="AP142" i="4"/>
  <c r="AQ142" i="4"/>
  <c r="AR142" i="4"/>
  <c r="AS142" i="4"/>
  <c r="AU142" i="4"/>
  <c r="A143" i="4"/>
  <c r="B143" i="4"/>
  <c r="E143" i="4"/>
  <c r="F143" i="4"/>
  <c r="N143" i="4"/>
  <c r="O143" i="4"/>
  <c r="R143" i="4"/>
  <c r="U143" i="4"/>
  <c r="V143" i="4"/>
  <c r="W143" i="4"/>
  <c r="X143" i="4"/>
  <c r="AB143" i="4"/>
  <c r="AE143" i="4"/>
  <c r="AI143" i="4"/>
  <c r="AM143" i="4"/>
  <c r="AN143" i="4"/>
  <c r="AO143" i="4"/>
  <c r="AP143" i="4"/>
  <c r="AQ143" i="4"/>
  <c r="AR143" i="4"/>
  <c r="AS143" i="4"/>
  <c r="AU143" i="4"/>
  <c r="A144" i="4"/>
  <c r="B144" i="4"/>
  <c r="E144" i="4"/>
  <c r="F144" i="4"/>
  <c r="N144" i="4"/>
  <c r="O144" i="4"/>
  <c r="R144" i="4"/>
  <c r="U144" i="4"/>
  <c r="V144" i="4"/>
  <c r="W144" i="4"/>
  <c r="X144" i="4"/>
  <c r="AB144" i="4"/>
  <c r="AE144" i="4"/>
  <c r="AI144" i="4"/>
  <c r="AM144" i="4"/>
  <c r="AN144" i="4"/>
  <c r="AO144" i="4"/>
  <c r="AP144" i="4"/>
  <c r="AQ144" i="4"/>
  <c r="AR144" i="4"/>
  <c r="AS144" i="4"/>
  <c r="AU144" i="4"/>
  <c r="A145" i="4"/>
  <c r="B145" i="4"/>
  <c r="E145" i="4"/>
  <c r="F145" i="4"/>
  <c r="N145" i="4"/>
  <c r="O145" i="4"/>
  <c r="R145" i="4"/>
  <c r="U145" i="4"/>
  <c r="V145" i="4"/>
  <c r="W145" i="4"/>
  <c r="X145" i="4"/>
  <c r="AB145" i="4"/>
  <c r="AE145" i="4"/>
  <c r="AI145" i="4"/>
  <c r="AM145" i="4"/>
  <c r="AN145" i="4"/>
  <c r="AO145" i="4"/>
  <c r="AP145" i="4"/>
  <c r="AQ145" i="4"/>
  <c r="AR145" i="4"/>
  <c r="AS145" i="4"/>
  <c r="AU145" i="4"/>
  <c r="A146" i="4"/>
  <c r="B146" i="4"/>
  <c r="E146" i="4"/>
  <c r="F146" i="4"/>
  <c r="N146" i="4"/>
  <c r="O146" i="4"/>
  <c r="R146" i="4"/>
  <c r="U146" i="4"/>
  <c r="V146" i="4"/>
  <c r="W146" i="4"/>
  <c r="X146" i="4"/>
  <c r="AB146" i="4"/>
  <c r="AE146" i="4"/>
  <c r="AI146" i="4"/>
  <c r="AM146" i="4"/>
  <c r="AN146" i="4"/>
  <c r="AO146" i="4"/>
  <c r="AP146" i="4"/>
  <c r="AQ146" i="4"/>
  <c r="AR146" i="4"/>
  <c r="AS146" i="4"/>
  <c r="AU146" i="4"/>
  <c r="A147" i="4"/>
  <c r="B147" i="4"/>
  <c r="E147" i="4"/>
  <c r="F147" i="4"/>
  <c r="N147" i="4"/>
  <c r="O147" i="4"/>
  <c r="R147" i="4"/>
  <c r="U147" i="4"/>
  <c r="V147" i="4"/>
  <c r="W147" i="4"/>
  <c r="X147" i="4"/>
  <c r="AB147" i="4"/>
  <c r="AE147" i="4"/>
  <c r="AI147" i="4"/>
  <c r="AM147" i="4"/>
  <c r="AN147" i="4"/>
  <c r="AO147" i="4"/>
  <c r="AP147" i="4"/>
  <c r="AQ147" i="4"/>
  <c r="AR147" i="4"/>
  <c r="AS147" i="4"/>
  <c r="AU147" i="4"/>
  <c r="A148" i="4"/>
  <c r="B148" i="4"/>
  <c r="E148" i="4"/>
  <c r="F148" i="4"/>
  <c r="N148" i="4"/>
  <c r="O148" i="4"/>
  <c r="R148" i="4"/>
  <c r="U148" i="4"/>
  <c r="V148" i="4"/>
  <c r="W148" i="4"/>
  <c r="X148" i="4"/>
  <c r="AB148" i="4"/>
  <c r="AE148" i="4"/>
  <c r="AI148" i="4"/>
  <c r="AM148" i="4"/>
  <c r="AN148" i="4"/>
  <c r="AO148" i="4"/>
  <c r="AP148" i="4"/>
  <c r="AQ148" i="4"/>
  <c r="AR148" i="4"/>
  <c r="AS148" i="4"/>
  <c r="AU148" i="4"/>
  <c r="A149" i="4"/>
  <c r="B149" i="4"/>
  <c r="E149" i="4"/>
  <c r="F149" i="4"/>
  <c r="N149" i="4"/>
  <c r="O149" i="4"/>
  <c r="R149" i="4"/>
  <c r="U149" i="4"/>
  <c r="V149" i="4"/>
  <c r="W149" i="4"/>
  <c r="X149" i="4"/>
  <c r="AB149" i="4"/>
  <c r="AE149" i="4"/>
  <c r="AI149" i="4"/>
  <c r="AM149" i="4"/>
  <c r="AN149" i="4"/>
  <c r="AO149" i="4"/>
  <c r="AP149" i="4"/>
  <c r="AQ149" i="4"/>
  <c r="AR149" i="4"/>
  <c r="AS149" i="4"/>
  <c r="AU149" i="4"/>
  <c r="A150" i="4"/>
  <c r="B150" i="4"/>
  <c r="E150" i="4"/>
  <c r="F150" i="4"/>
  <c r="N150" i="4"/>
  <c r="O150" i="4"/>
  <c r="R150" i="4"/>
  <c r="U150" i="4"/>
  <c r="V150" i="4"/>
  <c r="W150" i="4"/>
  <c r="X150" i="4"/>
  <c r="AB150" i="4"/>
  <c r="AE150" i="4"/>
  <c r="AI150" i="4"/>
  <c r="AM150" i="4"/>
  <c r="AN150" i="4"/>
  <c r="AO150" i="4"/>
  <c r="AP150" i="4"/>
  <c r="AQ150" i="4"/>
  <c r="AR150" i="4"/>
  <c r="AS150" i="4"/>
  <c r="AU150" i="4"/>
  <c r="A151" i="4"/>
  <c r="B151" i="4"/>
  <c r="E151" i="4"/>
  <c r="F151" i="4"/>
  <c r="N151" i="4"/>
  <c r="O151" i="4"/>
  <c r="R151" i="4"/>
  <c r="U151" i="4"/>
  <c r="V151" i="4"/>
  <c r="W151" i="4"/>
  <c r="X151" i="4"/>
  <c r="AB151" i="4"/>
  <c r="AE151" i="4"/>
  <c r="AI151" i="4"/>
  <c r="AM151" i="4"/>
  <c r="AN151" i="4"/>
  <c r="AO151" i="4"/>
  <c r="AP151" i="4"/>
  <c r="AQ151" i="4"/>
  <c r="AR151" i="4"/>
  <c r="AS151" i="4"/>
  <c r="AU151" i="4"/>
  <c r="A152" i="4"/>
  <c r="B152" i="4"/>
  <c r="E152" i="4"/>
  <c r="F152" i="4"/>
  <c r="N152" i="4"/>
  <c r="O152" i="4"/>
  <c r="R152" i="4"/>
  <c r="U152" i="4"/>
  <c r="V152" i="4"/>
  <c r="W152" i="4"/>
  <c r="X152" i="4"/>
  <c r="AB152" i="4"/>
  <c r="AE152" i="4"/>
  <c r="AI152" i="4"/>
  <c r="AM152" i="4"/>
  <c r="AN152" i="4"/>
  <c r="AO152" i="4"/>
  <c r="AP152" i="4"/>
  <c r="AQ152" i="4"/>
  <c r="AR152" i="4"/>
  <c r="AS152" i="4"/>
  <c r="AU152" i="4"/>
  <c r="A153" i="4"/>
  <c r="B153" i="4"/>
  <c r="E153" i="4"/>
  <c r="F153" i="4"/>
  <c r="N153" i="4"/>
  <c r="O153" i="4"/>
  <c r="R153" i="4"/>
  <c r="U153" i="4"/>
  <c r="V153" i="4"/>
  <c r="W153" i="4"/>
  <c r="X153" i="4"/>
  <c r="AB153" i="4"/>
  <c r="AE153" i="4"/>
  <c r="AI153" i="4"/>
  <c r="AM153" i="4"/>
  <c r="AN153" i="4"/>
  <c r="AO153" i="4"/>
  <c r="AP153" i="4"/>
  <c r="AQ153" i="4"/>
  <c r="AR153" i="4"/>
  <c r="AS153" i="4"/>
  <c r="AU153" i="4"/>
  <c r="A154" i="4"/>
  <c r="B154" i="4"/>
  <c r="E154" i="4"/>
  <c r="F154" i="4"/>
  <c r="N154" i="4"/>
  <c r="O154" i="4"/>
  <c r="R154" i="4"/>
  <c r="U154" i="4"/>
  <c r="V154" i="4"/>
  <c r="W154" i="4"/>
  <c r="X154" i="4"/>
  <c r="AB154" i="4"/>
  <c r="AE154" i="4"/>
  <c r="AI154" i="4"/>
  <c r="AM154" i="4"/>
  <c r="AN154" i="4"/>
  <c r="AO154" i="4"/>
  <c r="AP154" i="4"/>
  <c r="AQ154" i="4"/>
  <c r="AR154" i="4"/>
  <c r="AS154" i="4"/>
  <c r="AU154" i="4"/>
  <c r="A155" i="4"/>
  <c r="B155" i="4"/>
  <c r="E155" i="4"/>
  <c r="F155" i="4"/>
  <c r="N155" i="4"/>
  <c r="O155" i="4"/>
  <c r="R155" i="4"/>
  <c r="U155" i="4"/>
  <c r="V155" i="4"/>
  <c r="W155" i="4"/>
  <c r="X155" i="4"/>
  <c r="AE155" i="4"/>
  <c r="AI155" i="4"/>
  <c r="AM155" i="4"/>
  <c r="AN155" i="4"/>
  <c r="AO155" i="4"/>
  <c r="AP155" i="4"/>
  <c r="AQ155" i="4"/>
  <c r="AR155" i="4"/>
  <c r="AS155" i="4"/>
  <c r="B2" i="3" l="1"/>
  <c r="C70" i="1" l="1"/>
  <c r="B2" i="4"/>
  <c r="A9" i="4"/>
  <c r="B9" i="4"/>
  <c r="E9" i="4"/>
  <c r="F9" i="4"/>
  <c r="N9" i="4"/>
  <c r="O9" i="4"/>
  <c r="R9" i="4"/>
  <c r="U9" i="4"/>
  <c r="V9" i="4"/>
  <c r="W9" i="4"/>
  <c r="X9" i="4"/>
  <c r="AB9" i="4"/>
  <c r="AE9" i="4"/>
  <c r="AI9" i="4"/>
  <c r="AM9" i="4"/>
  <c r="AN9" i="4"/>
  <c r="AO9" i="4"/>
  <c r="AP9" i="4"/>
  <c r="AQ9" i="4"/>
  <c r="AR9" i="4"/>
  <c r="AS9" i="4"/>
  <c r="AU9" i="4"/>
  <c r="A10" i="4"/>
  <c r="B10" i="4"/>
  <c r="E10" i="4"/>
  <c r="F10" i="4"/>
  <c r="N10" i="4"/>
  <c r="O10" i="4"/>
  <c r="R10" i="4"/>
  <c r="U10" i="4"/>
  <c r="V10" i="4"/>
  <c r="W10" i="4"/>
  <c r="X10" i="4"/>
  <c r="AB10" i="4"/>
  <c r="AE10" i="4"/>
  <c r="AI10" i="4"/>
  <c r="AM10" i="4"/>
  <c r="AN10" i="4"/>
  <c r="AO10" i="4"/>
  <c r="AP10" i="4"/>
  <c r="AQ10" i="4"/>
  <c r="AR10" i="4"/>
  <c r="AS10" i="4"/>
  <c r="AU10" i="4"/>
  <c r="A11" i="4"/>
  <c r="B11" i="4"/>
  <c r="E11" i="4"/>
  <c r="F11" i="4"/>
  <c r="N11" i="4"/>
  <c r="O11" i="4"/>
  <c r="R11" i="4"/>
  <c r="U11" i="4"/>
  <c r="V11" i="4"/>
  <c r="W11" i="4"/>
  <c r="X11" i="4"/>
  <c r="AB11" i="4"/>
  <c r="AE11" i="4"/>
  <c r="AI11" i="4"/>
  <c r="AM11" i="4"/>
  <c r="AN11" i="4"/>
  <c r="AO11" i="4"/>
  <c r="AP11" i="4"/>
  <c r="AQ11" i="4"/>
  <c r="AR11" i="4"/>
  <c r="AS11" i="4"/>
  <c r="A12" i="4"/>
  <c r="B12" i="4"/>
  <c r="E12" i="4"/>
  <c r="F12" i="4"/>
  <c r="N12" i="4"/>
  <c r="O12" i="4"/>
  <c r="R12" i="4"/>
  <c r="U12" i="4"/>
  <c r="V12" i="4"/>
  <c r="W12" i="4"/>
  <c r="X12" i="4"/>
  <c r="AB12" i="4"/>
  <c r="AE12" i="4"/>
  <c r="AI12" i="4"/>
  <c r="AM12" i="4"/>
  <c r="AN12" i="4"/>
  <c r="AO12" i="4"/>
  <c r="AP12" i="4"/>
  <c r="AQ12" i="4"/>
  <c r="AR12" i="4"/>
  <c r="AS12" i="4"/>
  <c r="AU12" i="4"/>
  <c r="A13" i="4"/>
  <c r="B13" i="4"/>
  <c r="E13" i="4"/>
  <c r="F13" i="4"/>
  <c r="N13" i="4"/>
  <c r="O13" i="4"/>
  <c r="R13" i="4"/>
  <c r="U13" i="4"/>
  <c r="V13" i="4"/>
  <c r="W13" i="4"/>
  <c r="X13" i="4"/>
  <c r="AB13" i="4"/>
  <c r="AE13" i="4"/>
  <c r="AI13" i="4"/>
  <c r="AM13" i="4"/>
  <c r="AN13" i="4"/>
  <c r="AO13" i="4"/>
  <c r="AP13" i="4"/>
  <c r="AQ13" i="4"/>
  <c r="AR13" i="4"/>
  <c r="AS13" i="4"/>
  <c r="AU13" i="4"/>
  <c r="A14" i="4"/>
  <c r="B14" i="4"/>
  <c r="E14" i="4"/>
  <c r="F14" i="4"/>
  <c r="N14" i="4"/>
  <c r="O14" i="4"/>
  <c r="R14" i="4"/>
  <c r="U14" i="4"/>
  <c r="V14" i="4"/>
  <c r="W14" i="4"/>
  <c r="X14" i="4"/>
  <c r="AB14" i="4"/>
  <c r="AE14" i="4"/>
  <c r="AI14" i="4"/>
  <c r="AM14" i="4"/>
  <c r="AN14" i="4"/>
  <c r="AO14" i="4"/>
  <c r="AP14" i="4"/>
  <c r="AQ14" i="4"/>
  <c r="AR14" i="4"/>
  <c r="AS14" i="4"/>
  <c r="AU14" i="4"/>
  <c r="A15" i="4"/>
  <c r="B15" i="4"/>
  <c r="E15" i="4"/>
  <c r="F15" i="4"/>
  <c r="N15" i="4"/>
  <c r="O15" i="4"/>
  <c r="R15" i="4"/>
  <c r="U15" i="4"/>
  <c r="V15" i="4"/>
  <c r="W15" i="4"/>
  <c r="X15" i="4"/>
  <c r="AB15" i="4"/>
  <c r="AE15" i="4"/>
  <c r="AI15" i="4"/>
  <c r="AM15" i="4"/>
  <c r="AN15" i="4"/>
  <c r="AO15" i="4"/>
  <c r="AP15" i="4"/>
  <c r="AQ15" i="4"/>
  <c r="AR15" i="4"/>
  <c r="AS15" i="4"/>
  <c r="AU15" i="4"/>
  <c r="A16" i="4"/>
  <c r="B16" i="4"/>
  <c r="E16" i="4"/>
  <c r="F16" i="4"/>
  <c r="N16" i="4"/>
  <c r="O16" i="4"/>
  <c r="R16" i="4"/>
  <c r="U16" i="4"/>
  <c r="V16" i="4"/>
  <c r="W16" i="4"/>
  <c r="X16" i="4"/>
  <c r="AB16" i="4"/>
  <c r="AE16" i="4"/>
  <c r="AI16" i="4"/>
  <c r="AM16" i="4"/>
  <c r="AN16" i="4"/>
  <c r="AO16" i="4"/>
  <c r="AP16" i="4"/>
  <c r="AQ16" i="4"/>
  <c r="AR16" i="4"/>
  <c r="AS16" i="4"/>
  <c r="AU16" i="4"/>
  <c r="A17" i="4"/>
  <c r="B17" i="4"/>
  <c r="E17" i="4"/>
  <c r="F17" i="4"/>
  <c r="N17" i="4"/>
  <c r="O17" i="4"/>
  <c r="R17" i="4"/>
  <c r="U17" i="4"/>
  <c r="V17" i="4"/>
  <c r="W17" i="4"/>
  <c r="X17" i="4"/>
  <c r="AB17" i="4"/>
  <c r="AE17" i="4"/>
  <c r="AI17" i="4"/>
  <c r="AM17" i="4"/>
  <c r="AN17" i="4"/>
  <c r="AO17" i="4"/>
  <c r="AP17" i="4"/>
  <c r="AQ17" i="4"/>
  <c r="AR17" i="4"/>
  <c r="AS17" i="4"/>
  <c r="AU17" i="4"/>
  <c r="A18" i="4"/>
  <c r="B18" i="4"/>
  <c r="E18" i="4"/>
  <c r="F18" i="4"/>
  <c r="N18" i="4"/>
  <c r="O18" i="4"/>
  <c r="R18" i="4"/>
  <c r="U18" i="4"/>
  <c r="V18" i="4"/>
  <c r="W18" i="4"/>
  <c r="X18" i="4"/>
  <c r="AB18" i="4"/>
  <c r="AE18" i="4"/>
  <c r="AI18" i="4"/>
  <c r="AM18" i="4"/>
  <c r="AN18" i="4"/>
  <c r="AO18" i="4"/>
  <c r="AP18" i="4"/>
  <c r="AQ18" i="4"/>
  <c r="AR18" i="4"/>
  <c r="AS18" i="4"/>
  <c r="AU18" i="4"/>
  <c r="A19" i="4"/>
  <c r="B19" i="4"/>
  <c r="E19" i="4"/>
  <c r="F19" i="4"/>
  <c r="N19" i="4"/>
  <c r="O19" i="4"/>
  <c r="R19" i="4"/>
  <c r="U19" i="4"/>
  <c r="V19" i="4"/>
  <c r="W19" i="4"/>
  <c r="X19" i="4"/>
  <c r="AB19" i="4"/>
  <c r="AE19" i="4"/>
  <c r="AI19" i="4"/>
  <c r="AM19" i="4"/>
  <c r="AN19" i="4"/>
  <c r="AO19" i="4"/>
  <c r="AP19" i="4"/>
  <c r="AQ19" i="4"/>
  <c r="AR19" i="4"/>
  <c r="AS19" i="4"/>
  <c r="AU19" i="4"/>
  <c r="A20" i="4"/>
  <c r="B20" i="4"/>
  <c r="E20" i="4"/>
  <c r="F20" i="4"/>
  <c r="N20" i="4"/>
  <c r="O20" i="4"/>
  <c r="R20" i="4"/>
  <c r="U20" i="4"/>
  <c r="V20" i="4"/>
  <c r="W20" i="4"/>
  <c r="X20" i="4"/>
  <c r="AB20" i="4"/>
  <c r="AE20" i="4"/>
  <c r="AI20" i="4"/>
  <c r="AM20" i="4"/>
  <c r="AN20" i="4"/>
  <c r="AO20" i="4"/>
  <c r="AP20" i="4"/>
  <c r="AQ20" i="4"/>
  <c r="AR20" i="4"/>
  <c r="AS20" i="4"/>
  <c r="AU20" i="4"/>
  <c r="A21" i="4"/>
  <c r="B21" i="4"/>
  <c r="E21" i="4"/>
  <c r="F21" i="4"/>
  <c r="N21" i="4"/>
  <c r="O21" i="4"/>
  <c r="R21" i="4"/>
  <c r="U21" i="4"/>
  <c r="V21" i="4"/>
  <c r="W21" i="4"/>
  <c r="X21" i="4"/>
  <c r="AB21" i="4"/>
  <c r="AE21" i="4"/>
  <c r="AI21" i="4"/>
  <c r="AM21" i="4"/>
  <c r="AN21" i="4"/>
  <c r="AO21" i="4"/>
  <c r="AP21" i="4"/>
  <c r="AQ21" i="4"/>
  <c r="AR21" i="4"/>
  <c r="AS21" i="4"/>
  <c r="AU21" i="4"/>
  <c r="A22" i="4"/>
  <c r="B22" i="4"/>
  <c r="E22" i="4"/>
  <c r="F22" i="4"/>
  <c r="N22" i="4"/>
  <c r="O22" i="4"/>
  <c r="R22" i="4"/>
  <c r="U22" i="4"/>
  <c r="V22" i="4"/>
  <c r="W22" i="4"/>
  <c r="X22" i="4"/>
  <c r="AB22" i="4"/>
  <c r="AE22" i="4"/>
  <c r="AI22" i="4"/>
  <c r="AM22" i="4"/>
  <c r="AN22" i="4"/>
  <c r="AO22" i="4"/>
  <c r="AP22" i="4"/>
  <c r="AQ22" i="4"/>
  <c r="AR22" i="4"/>
  <c r="AS22" i="4"/>
  <c r="AU22" i="4"/>
  <c r="A23" i="4"/>
  <c r="B23" i="4"/>
  <c r="E23" i="4"/>
  <c r="F23" i="4"/>
  <c r="N23" i="4"/>
  <c r="O23" i="4"/>
  <c r="R23" i="4"/>
  <c r="U23" i="4"/>
  <c r="V23" i="4"/>
  <c r="W23" i="4"/>
  <c r="X23" i="4"/>
  <c r="AB23" i="4"/>
  <c r="AE23" i="4"/>
  <c r="AI23" i="4"/>
  <c r="AM23" i="4"/>
  <c r="AN23" i="4"/>
  <c r="AO23" i="4"/>
  <c r="AP23" i="4"/>
  <c r="AQ23" i="4"/>
  <c r="AR23" i="4"/>
  <c r="AS23" i="4"/>
  <c r="AU23" i="4"/>
  <c r="A24" i="4"/>
  <c r="B24" i="4"/>
  <c r="E24" i="4"/>
  <c r="F24" i="4"/>
  <c r="N24" i="4"/>
  <c r="O24" i="4"/>
  <c r="R24" i="4"/>
  <c r="U24" i="4"/>
  <c r="V24" i="4"/>
  <c r="W24" i="4"/>
  <c r="X24" i="4"/>
  <c r="AB24" i="4"/>
  <c r="AE24" i="4"/>
  <c r="AI24" i="4"/>
  <c r="AM24" i="4"/>
  <c r="AN24" i="4"/>
  <c r="AO24" i="4"/>
  <c r="AP24" i="4"/>
  <c r="AQ24" i="4"/>
  <c r="AR24" i="4"/>
  <c r="AS24" i="4"/>
  <c r="AU24" i="4"/>
  <c r="A25" i="4"/>
  <c r="B25" i="4"/>
  <c r="E25" i="4"/>
  <c r="F25" i="4"/>
  <c r="N25" i="4"/>
  <c r="O25" i="4"/>
  <c r="R25" i="4"/>
  <c r="U25" i="4"/>
  <c r="V25" i="4"/>
  <c r="W25" i="4"/>
  <c r="X25" i="4"/>
  <c r="AB25" i="4"/>
  <c r="AE25" i="4"/>
  <c r="AI25" i="4"/>
  <c r="AM25" i="4"/>
  <c r="AN25" i="4"/>
  <c r="AO25" i="4"/>
  <c r="AP25" i="4"/>
  <c r="AQ25" i="4"/>
  <c r="AR25" i="4"/>
  <c r="AS25" i="4"/>
  <c r="AU25" i="4"/>
  <c r="A26" i="4"/>
  <c r="B26" i="4"/>
  <c r="E26" i="4"/>
  <c r="F26" i="4"/>
  <c r="N26" i="4"/>
  <c r="O26" i="4"/>
  <c r="R26" i="4"/>
  <c r="U26" i="4"/>
  <c r="V26" i="4"/>
  <c r="W26" i="4"/>
  <c r="X26" i="4"/>
  <c r="AB26" i="4"/>
  <c r="AE26" i="4"/>
  <c r="AI26" i="4"/>
  <c r="AM26" i="4"/>
  <c r="AN26" i="4"/>
  <c r="AO26" i="4"/>
  <c r="AP26" i="4"/>
  <c r="AQ26" i="4"/>
  <c r="AR26" i="4"/>
  <c r="AS26" i="4"/>
  <c r="AU26" i="4"/>
  <c r="A27" i="4"/>
  <c r="B27" i="4"/>
  <c r="E27" i="4"/>
  <c r="F27" i="4"/>
  <c r="N27" i="4"/>
  <c r="O27" i="4"/>
  <c r="R27" i="4"/>
  <c r="U27" i="4"/>
  <c r="V27" i="4"/>
  <c r="W27" i="4"/>
  <c r="X27" i="4"/>
  <c r="AB27" i="4"/>
  <c r="AE27" i="4"/>
  <c r="AI27" i="4"/>
  <c r="AM27" i="4"/>
  <c r="AN27" i="4"/>
  <c r="AO27" i="4"/>
  <c r="AP27" i="4"/>
  <c r="AQ27" i="4"/>
  <c r="AR27" i="4"/>
  <c r="AS27" i="4"/>
  <c r="AU27" i="4"/>
  <c r="A28" i="4"/>
  <c r="B28" i="4"/>
  <c r="E28" i="4"/>
  <c r="F28" i="4"/>
  <c r="N28" i="4"/>
  <c r="O28" i="4"/>
  <c r="R28" i="4"/>
  <c r="U28" i="4"/>
  <c r="V28" i="4"/>
  <c r="W28" i="4"/>
  <c r="X28" i="4"/>
  <c r="AB28" i="4"/>
  <c r="AE28" i="4"/>
  <c r="AI28" i="4"/>
  <c r="AM28" i="4"/>
  <c r="AN28" i="4"/>
  <c r="AO28" i="4"/>
  <c r="AP28" i="4"/>
  <c r="AQ28" i="4"/>
  <c r="AR28" i="4"/>
  <c r="AS28" i="4"/>
  <c r="A29" i="4"/>
  <c r="B29" i="4"/>
  <c r="E29" i="4"/>
  <c r="F29" i="4"/>
  <c r="N29" i="4"/>
  <c r="O29" i="4"/>
  <c r="R29" i="4"/>
  <c r="U29" i="4"/>
  <c r="V29" i="4"/>
  <c r="W29" i="4"/>
  <c r="X29" i="4"/>
  <c r="AB29" i="4"/>
  <c r="AE29" i="4"/>
  <c r="AI29" i="4"/>
  <c r="AM29" i="4"/>
  <c r="AN29" i="4"/>
  <c r="AO29" i="4"/>
  <c r="AP29" i="4"/>
  <c r="AQ29" i="4"/>
  <c r="AR29" i="4"/>
  <c r="AS29" i="4"/>
  <c r="A30" i="4"/>
  <c r="B30" i="4"/>
  <c r="E30" i="4"/>
  <c r="F30" i="4"/>
  <c r="N30" i="4"/>
  <c r="O30" i="4"/>
  <c r="R30" i="4"/>
  <c r="U30" i="4"/>
  <c r="V30" i="4"/>
  <c r="W30" i="4"/>
  <c r="X30" i="4"/>
  <c r="AB30" i="4"/>
  <c r="AE30" i="4"/>
  <c r="AI30" i="4"/>
  <c r="AM30" i="4"/>
  <c r="AN30" i="4"/>
  <c r="AO30" i="4"/>
  <c r="AP30" i="4"/>
  <c r="AQ30" i="4"/>
  <c r="AR30" i="4"/>
  <c r="AS30" i="4"/>
  <c r="A31" i="4"/>
  <c r="B31" i="4"/>
  <c r="E31" i="4"/>
  <c r="F31" i="4"/>
  <c r="N31" i="4"/>
  <c r="O31" i="4"/>
  <c r="R31" i="4"/>
  <c r="U31" i="4"/>
  <c r="V31" i="4"/>
  <c r="W31" i="4"/>
  <c r="X31" i="4"/>
  <c r="AE31" i="4"/>
  <c r="AI31" i="4"/>
  <c r="AM31" i="4"/>
  <c r="AN31" i="4"/>
  <c r="AO31" i="4"/>
  <c r="AP31" i="4"/>
  <c r="AQ31" i="4"/>
  <c r="AR31" i="4"/>
  <c r="AS31" i="4"/>
  <c r="A32" i="4"/>
  <c r="B32" i="4"/>
  <c r="E32" i="4"/>
  <c r="F32" i="4"/>
  <c r="N32" i="4"/>
  <c r="O32" i="4"/>
  <c r="R32" i="4"/>
  <c r="U32" i="4"/>
  <c r="V32" i="4"/>
  <c r="W32" i="4"/>
  <c r="X32" i="4"/>
  <c r="AE32" i="4"/>
  <c r="AI32" i="4"/>
  <c r="AM32" i="4"/>
  <c r="AN32" i="4"/>
  <c r="AO32" i="4"/>
  <c r="AP32" i="4"/>
  <c r="AQ32" i="4"/>
  <c r="AR32" i="4"/>
  <c r="AS32" i="4"/>
  <c r="A33" i="4"/>
  <c r="B33" i="4"/>
  <c r="E33" i="4"/>
  <c r="F33" i="4"/>
  <c r="N33" i="4"/>
  <c r="O33" i="4"/>
  <c r="R33" i="4"/>
  <c r="U33" i="4"/>
  <c r="V33" i="4"/>
  <c r="W33" i="4"/>
  <c r="X33" i="4"/>
  <c r="AE33" i="4"/>
  <c r="AI33" i="4"/>
  <c r="AM33" i="4"/>
  <c r="AN33" i="4"/>
  <c r="AO33" i="4"/>
  <c r="AP33" i="4"/>
  <c r="AQ33" i="4"/>
  <c r="AR33" i="4"/>
  <c r="AS33" i="4"/>
  <c r="A34" i="4"/>
  <c r="B34" i="4"/>
  <c r="E34" i="4"/>
  <c r="F34" i="4"/>
  <c r="N34" i="4"/>
  <c r="O34" i="4"/>
  <c r="R34" i="4"/>
  <c r="U34" i="4"/>
  <c r="V34" i="4"/>
  <c r="W34" i="4"/>
  <c r="X34" i="4"/>
  <c r="AE34" i="4"/>
  <c r="AI34" i="4"/>
  <c r="AM34" i="4"/>
  <c r="AN34" i="4"/>
  <c r="AO34" i="4"/>
  <c r="AP34" i="4"/>
  <c r="AQ34" i="4"/>
  <c r="AR34" i="4"/>
  <c r="AS34" i="4"/>
  <c r="A35" i="4"/>
  <c r="B35" i="4"/>
  <c r="E35" i="4"/>
  <c r="F35" i="4"/>
  <c r="N35" i="4"/>
  <c r="O35" i="4"/>
  <c r="R35" i="4"/>
  <c r="U35" i="4"/>
  <c r="V35" i="4"/>
  <c r="W35" i="4"/>
  <c r="X35" i="4"/>
  <c r="AE35" i="4"/>
  <c r="AI35" i="4"/>
  <c r="AM35" i="4"/>
  <c r="AN35" i="4"/>
  <c r="AO35" i="4"/>
  <c r="AP35" i="4"/>
  <c r="AQ35" i="4"/>
  <c r="AR35" i="4"/>
  <c r="AS35" i="4"/>
  <c r="A36" i="4"/>
  <c r="B36" i="4"/>
  <c r="E36" i="4"/>
  <c r="F36" i="4"/>
  <c r="N36" i="4"/>
  <c r="O36" i="4"/>
  <c r="R36" i="4"/>
  <c r="U36" i="4"/>
  <c r="V36" i="4"/>
  <c r="W36" i="4"/>
  <c r="X36" i="4"/>
  <c r="AE36" i="4"/>
  <c r="AI36" i="4"/>
  <c r="AM36" i="4"/>
  <c r="AN36" i="4"/>
  <c r="AO36" i="4"/>
  <c r="AP36" i="4"/>
  <c r="AQ36" i="4"/>
  <c r="AR36" i="4"/>
  <c r="AS36" i="4"/>
  <c r="A37" i="4"/>
  <c r="B37" i="4"/>
  <c r="E37" i="4"/>
  <c r="F37" i="4"/>
  <c r="N37" i="4"/>
  <c r="O37" i="4"/>
  <c r="R37" i="4"/>
  <c r="U37" i="4"/>
  <c r="V37" i="4"/>
  <c r="W37" i="4"/>
  <c r="X37" i="4"/>
  <c r="AE37" i="4"/>
  <c r="AI37" i="4"/>
  <c r="AM37" i="4"/>
  <c r="AN37" i="4"/>
  <c r="AO37" i="4"/>
  <c r="AP37" i="4"/>
  <c r="AQ37" i="4"/>
  <c r="AR37" i="4"/>
  <c r="AS37" i="4"/>
  <c r="A38" i="4"/>
  <c r="B38" i="4"/>
  <c r="E38" i="4"/>
  <c r="F38" i="4"/>
  <c r="N38" i="4"/>
  <c r="O38" i="4"/>
  <c r="R38" i="4"/>
  <c r="U38" i="4"/>
  <c r="V38" i="4"/>
  <c r="W38" i="4"/>
  <c r="X38" i="4"/>
  <c r="AE38" i="4"/>
  <c r="AI38" i="4"/>
  <c r="AM38" i="4"/>
  <c r="AN38" i="4"/>
  <c r="AO38" i="4"/>
  <c r="AP38" i="4"/>
  <c r="AQ38" i="4"/>
  <c r="AR38" i="4"/>
  <c r="AS38" i="4"/>
  <c r="A39" i="4"/>
  <c r="B39" i="4"/>
  <c r="E39" i="4"/>
  <c r="F39" i="4"/>
  <c r="N39" i="4"/>
  <c r="O39" i="4"/>
  <c r="R39" i="4"/>
  <c r="U39" i="4"/>
  <c r="V39" i="4"/>
  <c r="W39" i="4"/>
  <c r="X39" i="4"/>
  <c r="AE39" i="4"/>
  <c r="AI39" i="4"/>
  <c r="AM39" i="4"/>
  <c r="AN39" i="4"/>
  <c r="AO39" i="4"/>
  <c r="AP39" i="4"/>
  <c r="AQ39" i="4"/>
  <c r="AR39" i="4"/>
  <c r="AS39" i="4"/>
  <c r="A40" i="4"/>
  <c r="B40" i="4"/>
  <c r="E40" i="4"/>
  <c r="F40" i="4"/>
  <c r="N40" i="4"/>
  <c r="O40" i="4"/>
  <c r="R40" i="4"/>
  <c r="U40" i="4"/>
  <c r="V40" i="4"/>
  <c r="W40" i="4"/>
  <c r="X40" i="4"/>
  <c r="AE40" i="4"/>
  <c r="AI40" i="4"/>
  <c r="AM40" i="4"/>
  <c r="AN40" i="4"/>
  <c r="AO40" i="4"/>
  <c r="AP40" i="4"/>
  <c r="AQ40" i="4"/>
  <c r="AR40" i="4"/>
  <c r="AS40" i="4"/>
  <c r="A41" i="4"/>
  <c r="B41" i="4"/>
  <c r="E41" i="4"/>
  <c r="F41" i="4"/>
  <c r="N41" i="4"/>
  <c r="O41" i="4"/>
  <c r="R41" i="4"/>
  <c r="U41" i="4"/>
  <c r="V41" i="4"/>
  <c r="W41" i="4"/>
  <c r="X41" i="4"/>
  <c r="AE41" i="4"/>
  <c r="AI41" i="4"/>
  <c r="AM41" i="4"/>
  <c r="AN41" i="4"/>
  <c r="AO41" i="4"/>
  <c r="AP41" i="4"/>
  <c r="AQ41" i="4"/>
  <c r="AR41" i="4"/>
  <c r="AS41" i="4"/>
  <c r="A42" i="4"/>
  <c r="B42" i="4"/>
  <c r="E42" i="4"/>
  <c r="F42" i="4"/>
  <c r="N42" i="4"/>
  <c r="O42" i="4"/>
  <c r="R42" i="4"/>
  <c r="U42" i="4"/>
  <c r="V42" i="4"/>
  <c r="W42" i="4"/>
  <c r="X42" i="4"/>
  <c r="AE42" i="4"/>
  <c r="AI42" i="4"/>
  <c r="AM42" i="4"/>
  <c r="AN42" i="4"/>
  <c r="AO42" i="4"/>
  <c r="AP42" i="4"/>
  <c r="AQ42" i="4"/>
  <c r="AR42" i="4"/>
  <c r="AS42" i="4"/>
  <c r="A43" i="4"/>
  <c r="B43" i="4"/>
  <c r="E43" i="4"/>
  <c r="F43" i="4"/>
  <c r="N43" i="4"/>
  <c r="O43" i="4"/>
  <c r="R43" i="4"/>
  <c r="U43" i="4"/>
  <c r="V43" i="4"/>
  <c r="W43" i="4"/>
  <c r="X43" i="4"/>
  <c r="AE43" i="4"/>
  <c r="AI43" i="4"/>
  <c r="AM43" i="4"/>
  <c r="AN43" i="4"/>
  <c r="AO43" i="4"/>
  <c r="AP43" i="4"/>
  <c r="AQ43" i="4"/>
  <c r="AR43" i="4"/>
  <c r="AS43" i="4"/>
  <c r="A44" i="4"/>
  <c r="B44" i="4"/>
  <c r="E44" i="4"/>
  <c r="F44" i="4"/>
  <c r="N44" i="4"/>
  <c r="O44" i="4"/>
  <c r="R44" i="4"/>
  <c r="U44" i="4"/>
  <c r="V44" i="4"/>
  <c r="W44" i="4"/>
  <c r="X44" i="4"/>
  <c r="AB44" i="4"/>
  <c r="AE44" i="4"/>
  <c r="AI44" i="4"/>
  <c r="AM44" i="4"/>
  <c r="AN44" i="4"/>
  <c r="AO44" i="4"/>
  <c r="AP44" i="4"/>
  <c r="AQ44" i="4"/>
  <c r="AR44" i="4"/>
  <c r="AS44" i="4"/>
  <c r="AU44" i="4"/>
  <c r="A45" i="4"/>
  <c r="B45" i="4"/>
  <c r="E45" i="4"/>
  <c r="F45" i="4"/>
  <c r="N45" i="4"/>
  <c r="O45" i="4"/>
  <c r="R45" i="4"/>
  <c r="U45" i="4"/>
  <c r="V45" i="4"/>
  <c r="W45" i="4"/>
  <c r="X45" i="4"/>
  <c r="AB45" i="4"/>
  <c r="AE45" i="4"/>
  <c r="AI45" i="4"/>
  <c r="AM45" i="4"/>
  <c r="AN45" i="4"/>
  <c r="AO45" i="4"/>
  <c r="AP45" i="4"/>
  <c r="AQ45" i="4"/>
  <c r="AR45" i="4"/>
  <c r="AS45" i="4"/>
  <c r="AU45" i="4"/>
  <c r="A46" i="4"/>
  <c r="B46" i="4"/>
  <c r="E46" i="4"/>
  <c r="F46" i="4"/>
  <c r="N46" i="4"/>
  <c r="O46" i="4"/>
  <c r="R46" i="4"/>
  <c r="U46" i="4"/>
  <c r="V46" i="4"/>
  <c r="W46" i="4"/>
  <c r="X46" i="4"/>
  <c r="AB46" i="4"/>
  <c r="AE46" i="4"/>
  <c r="AI46" i="4"/>
  <c r="AM46" i="4"/>
  <c r="AN46" i="4"/>
  <c r="AO46" i="4"/>
  <c r="AP46" i="4"/>
  <c r="AQ46" i="4"/>
  <c r="AR46" i="4"/>
  <c r="AS46" i="4"/>
  <c r="AU46" i="4"/>
  <c r="A47" i="4"/>
  <c r="B47" i="4"/>
  <c r="E47" i="4"/>
  <c r="F47" i="4"/>
  <c r="N47" i="4"/>
  <c r="O47" i="4"/>
  <c r="R47" i="4"/>
  <c r="U47" i="4"/>
  <c r="V47" i="4"/>
  <c r="W47" i="4"/>
  <c r="X47" i="4"/>
  <c r="AB47" i="4"/>
  <c r="AE47" i="4"/>
  <c r="AI47" i="4"/>
  <c r="AM47" i="4"/>
  <c r="AN47" i="4"/>
  <c r="AO47" i="4"/>
  <c r="AP47" i="4"/>
  <c r="AQ47" i="4"/>
  <c r="AR47" i="4"/>
  <c r="AS47" i="4"/>
  <c r="AU47" i="4"/>
  <c r="A48" i="4"/>
  <c r="B48" i="4"/>
  <c r="E48" i="4"/>
  <c r="F48" i="4"/>
  <c r="N48" i="4"/>
  <c r="O48" i="4"/>
  <c r="R48" i="4"/>
  <c r="U48" i="4"/>
  <c r="V48" i="4"/>
  <c r="W48" i="4"/>
  <c r="X48" i="4"/>
  <c r="AB48" i="4"/>
  <c r="AE48" i="4"/>
  <c r="AI48" i="4"/>
  <c r="AM48" i="4"/>
  <c r="AN48" i="4"/>
  <c r="AO48" i="4"/>
  <c r="AP48" i="4"/>
  <c r="AQ48" i="4"/>
  <c r="AR48" i="4"/>
  <c r="AS48" i="4"/>
  <c r="AU48" i="4"/>
  <c r="A49" i="4"/>
  <c r="B49" i="4"/>
  <c r="E49" i="4"/>
  <c r="F49" i="4"/>
  <c r="N49" i="4"/>
  <c r="O49" i="4"/>
  <c r="R49" i="4"/>
  <c r="U49" i="4"/>
  <c r="V49" i="4"/>
  <c r="W49" i="4"/>
  <c r="X49" i="4"/>
  <c r="AB49" i="4"/>
  <c r="AE49" i="4"/>
  <c r="AI49" i="4"/>
  <c r="AM49" i="4"/>
  <c r="AN49" i="4"/>
  <c r="AO49" i="4"/>
  <c r="AP49" i="4"/>
  <c r="AQ49" i="4"/>
  <c r="AR49" i="4"/>
  <c r="AS49" i="4"/>
  <c r="AU49" i="4"/>
  <c r="A50" i="4"/>
  <c r="B50" i="4"/>
  <c r="E50" i="4"/>
  <c r="F50" i="4"/>
  <c r="N50" i="4"/>
  <c r="O50" i="4"/>
  <c r="R50" i="4"/>
  <c r="U50" i="4"/>
  <c r="V50" i="4"/>
  <c r="W50" i="4"/>
  <c r="X50" i="4"/>
  <c r="AB50" i="4"/>
  <c r="AE50" i="4"/>
  <c r="AI50" i="4"/>
  <c r="AM50" i="4"/>
  <c r="AN50" i="4"/>
  <c r="AO50" i="4"/>
  <c r="AP50" i="4"/>
  <c r="AQ50" i="4"/>
  <c r="AR50" i="4"/>
  <c r="AS50" i="4"/>
  <c r="AU50" i="4"/>
  <c r="A51" i="4"/>
  <c r="B51" i="4"/>
  <c r="E51" i="4"/>
  <c r="F51" i="4"/>
  <c r="N51" i="4"/>
  <c r="O51" i="4"/>
  <c r="R51" i="4"/>
  <c r="U51" i="4"/>
  <c r="V51" i="4"/>
  <c r="W51" i="4"/>
  <c r="X51" i="4"/>
  <c r="AB51" i="4"/>
  <c r="AE51" i="4"/>
  <c r="AI51" i="4"/>
  <c r="AM51" i="4"/>
  <c r="AN51" i="4"/>
  <c r="AO51" i="4"/>
  <c r="AP51" i="4"/>
  <c r="AQ51" i="4"/>
  <c r="AR51" i="4"/>
  <c r="AS51" i="4"/>
  <c r="AU51" i="4"/>
  <c r="A52" i="4"/>
  <c r="B52" i="4"/>
  <c r="E52" i="4"/>
  <c r="F52" i="4"/>
  <c r="N52" i="4"/>
  <c r="O52" i="4"/>
  <c r="R52" i="4"/>
  <c r="U52" i="4"/>
  <c r="V52" i="4"/>
  <c r="W52" i="4"/>
  <c r="X52" i="4"/>
  <c r="AB52" i="4"/>
  <c r="AE52" i="4"/>
  <c r="AI52" i="4"/>
  <c r="AM52" i="4"/>
  <c r="AN52" i="4"/>
  <c r="AO52" i="4"/>
  <c r="AP52" i="4"/>
  <c r="AQ52" i="4"/>
  <c r="AR52" i="4"/>
  <c r="AS52" i="4"/>
  <c r="AU52" i="4"/>
  <c r="A53" i="4"/>
  <c r="B53" i="4"/>
  <c r="E53" i="4"/>
  <c r="F53" i="4"/>
  <c r="N53" i="4"/>
  <c r="O53" i="4"/>
  <c r="R53" i="4"/>
  <c r="U53" i="4"/>
  <c r="V53" i="4"/>
  <c r="W53" i="4"/>
  <c r="X53" i="4"/>
  <c r="AB53" i="4"/>
  <c r="AE53" i="4"/>
  <c r="AI53" i="4"/>
  <c r="AM53" i="4"/>
  <c r="AN53" i="4"/>
  <c r="AO53" i="4"/>
  <c r="AP53" i="4"/>
  <c r="AQ53" i="4"/>
  <c r="AR53" i="4"/>
  <c r="AS53" i="4"/>
  <c r="AU53" i="4"/>
  <c r="A54" i="4"/>
  <c r="B54" i="4"/>
  <c r="E54" i="4"/>
  <c r="F54" i="4"/>
  <c r="N54" i="4"/>
  <c r="O54" i="4"/>
  <c r="R54" i="4"/>
  <c r="U54" i="4"/>
  <c r="V54" i="4"/>
  <c r="W54" i="4"/>
  <c r="X54" i="4"/>
  <c r="AB54" i="4"/>
  <c r="AE54" i="4"/>
  <c r="AI54" i="4"/>
  <c r="AM54" i="4"/>
  <c r="AN54" i="4"/>
  <c r="AO54" i="4"/>
  <c r="AP54" i="4"/>
  <c r="AQ54" i="4"/>
  <c r="AR54" i="4"/>
  <c r="AS54" i="4"/>
  <c r="AU54" i="4"/>
  <c r="A55" i="4"/>
  <c r="B55" i="4"/>
  <c r="E55" i="4"/>
  <c r="F55" i="4"/>
  <c r="N55" i="4"/>
  <c r="O55" i="4"/>
  <c r="R55" i="4"/>
  <c r="U55" i="4"/>
  <c r="V55" i="4"/>
  <c r="W55" i="4"/>
  <c r="X55" i="4"/>
  <c r="AB55" i="4"/>
  <c r="AE55" i="4"/>
  <c r="AI55" i="4"/>
  <c r="AM55" i="4"/>
  <c r="AN55" i="4"/>
  <c r="AO55" i="4"/>
  <c r="AP55" i="4"/>
  <c r="AQ55" i="4"/>
  <c r="AR55" i="4"/>
  <c r="AS55" i="4"/>
  <c r="AU55" i="4"/>
  <c r="A56" i="4"/>
  <c r="B56" i="4"/>
  <c r="E56" i="4"/>
  <c r="F56" i="4"/>
  <c r="N56" i="4"/>
  <c r="O56" i="4"/>
  <c r="R56" i="4"/>
  <c r="U56" i="4"/>
  <c r="V56" i="4"/>
  <c r="W56" i="4"/>
  <c r="X56" i="4"/>
  <c r="AB56" i="4"/>
  <c r="AE56" i="4"/>
  <c r="AI56" i="4"/>
  <c r="AM56" i="4"/>
  <c r="AN56" i="4"/>
  <c r="AO56" i="4"/>
  <c r="AP56" i="4"/>
  <c r="AQ56" i="4"/>
  <c r="AR56" i="4"/>
  <c r="AS56" i="4"/>
  <c r="AU56" i="4"/>
</calcChain>
</file>

<file path=xl/connections.xml><?xml version="1.0" encoding="utf-8"?>
<connections xmlns="http://schemas.openxmlformats.org/spreadsheetml/2006/main">
  <connection id="1" name="PTD Projet CROSSBORDER 2016" type="6" refreshedVersion="5" background="1" saveData="1">
    <textPr codePage="850" sourceFile="C:\Users\CHAWEYE\Documents\PTD Projet CROSSBORDER 2016.csv" decimal="," thousands=" " comma="1">
      <textFields count="4">
        <textField/>
        <textField/>
        <textField/>
        <textField/>
      </textFields>
    </textPr>
  </connection>
  <connection id="2" name="PTD Projet CROSSBORDER 2017" type="6" refreshedVersion="5" background="1" saveData="1">
    <textPr codePage="932" sourceFile="C:\Users\CHAWEYE\Documents\PTD Projet CROSSBORDER 2017.csv" decimal="," thousands=" " comma="1">
      <textFields count="48">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3" name="PTD Projet CROSSBORDER 2018" type="6" refreshedVersion="5" background="1" saveData="1">
    <textPr codePage="932" sourceFile="C:\Users\CHAWEYE\Documents\PTD Projet CROSSBORDER 2018.csv" decimal="," thousands=" " comma="1">
      <textFields count="4">
        <textField/>
        <textField/>
        <textField/>
        <textField/>
      </textFields>
    </textPr>
  </connection>
</connections>
</file>

<file path=xl/sharedStrings.xml><?xml version="1.0" encoding="utf-8"?>
<sst xmlns="http://schemas.openxmlformats.org/spreadsheetml/2006/main" count="3470" uniqueCount="542">
  <si>
    <t xml:space="preserve"> </t>
  </si>
  <si>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</si>
  <si>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</si>
  <si>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</si>
  <si>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</si>
  <si>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</si>
  <si>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</si>
  <si>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</si>
  <si>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</si>
  <si>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</si>
  <si>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</si>
  <si>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</si>
  <si>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</si>
  <si>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</si>
  <si>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Produit 1.1:</t>
  </si>
  <si>
    <t>Produit 1.2:</t>
  </si>
  <si>
    <t>Produit 1.3:</t>
  </si>
  <si>
    <t>Produit 2.1:</t>
  </si>
  <si>
    <t>Produit 2.2:</t>
  </si>
  <si>
    <t>Produit 2.3:</t>
  </si>
  <si>
    <t>Produit 3.1:</t>
  </si>
  <si>
    <t>Produit 3.2:</t>
  </si>
  <si>
    <t>Produit 3.3:</t>
  </si>
  <si>
    <t>Produit 4.1:</t>
  </si>
  <si>
    <t>Produit 4.2:</t>
  </si>
  <si>
    <t>Produit 4.3:</t>
  </si>
  <si>
    <t>Activite 1.1.1:</t>
  </si>
  <si>
    <t>Activite 1.1.2:</t>
  </si>
  <si>
    <t>Activite 1.1.3:</t>
  </si>
  <si>
    <t>Activite 1.2.1:</t>
  </si>
  <si>
    <t>Activite 1.2.2:</t>
  </si>
  <si>
    <t>Activite 1.2.3:</t>
  </si>
  <si>
    <t>Activite 1.3.1:</t>
  </si>
  <si>
    <t>Activite 1.3.2:</t>
  </si>
  <si>
    <t>Activite 2.1.1:</t>
  </si>
  <si>
    <t>Activite 2.1.2:</t>
  </si>
  <si>
    <t>Activite 2.1.3:</t>
  </si>
  <si>
    <t>Activite 2.2.1:</t>
  </si>
  <si>
    <t>Activite 2.2.2:</t>
  </si>
  <si>
    <t>Activite 2.2.3:</t>
  </si>
  <si>
    <t>Activite 2.3.1:</t>
  </si>
  <si>
    <t>Activite 2.3.2:</t>
  </si>
  <si>
    <t>Activite 2.3.3:</t>
  </si>
  <si>
    <t>Activite 3.1.1:</t>
  </si>
  <si>
    <t>Activite 3.1.2:</t>
  </si>
  <si>
    <t>Activite 3.1.3:</t>
  </si>
  <si>
    <t>Activite 3.2.1:</t>
  </si>
  <si>
    <t>Activite 3.2.2:</t>
  </si>
  <si>
    <t>Activite 3.2.3:</t>
  </si>
  <si>
    <t>Activite 3.3.1:</t>
  </si>
  <si>
    <t>Activite 3.3.2:</t>
  </si>
  <si>
    <t>Activite 3.3.3:</t>
  </si>
  <si>
    <t>Activite 4.1.1:</t>
  </si>
  <si>
    <t>Activite 4.1.2:</t>
  </si>
  <si>
    <t>Activite 4.1.3:</t>
  </si>
  <si>
    <t>Activite 4.2.1:</t>
  </si>
  <si>
    <t>Activite 4.2.2:</t>
  </si>
  <si>
    <t>Activite 4.2.3:</t>
  </si>
  <si>
    <t>Activite 4.3.1:</t>
  </si>
  <si>
    <t>Activite 4.3.2:</t>
  </si>
  <si>
    <t>Activite 4.3.3:</t>
  </si>
  <si>
    <t>Cout de personnel du projet si pas inclus dans les activites si-dessus</t>
  </si>
  <si>
    <t>Couts operationnels si pas inclus dans les activites si-dessus</t>
  </si>
  <si>
    <t>Couts indirects (7%):</t>
  </si>
  <si>
    <t>Tableau 2 - Budget de projet PBF par categorie de cout de l'ONU</t>
  </si>
  <si>
    <t>Note: S'il s'agit d'une revision budgetaire, veuillez inclure des colonnes additionnelles pour montrer les changements</t>
  </si>
  <si>
    <t xml:space="preserve">Agence Recipiendiaire </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</si>
  <si>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</si>
  <si>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</si>
  <si>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</si>
  <si>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</si>
  <si>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</si>
  <si>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</si>
  <si>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</si>
  <si>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</si>
  <si>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</si>
  <si>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</si>
  <si>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</si>
  <si>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</si>
  <si>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</si>
  <si>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TOTAL $ pour Resultat 3:</t>
  </si>
  <si>
    <t>Budget par agence recipiendiaire en USD - Veuillez ajouter une nouvelle colonne par agence recipiendiaire</t>
  </si>
  <si>
    <t>Niveau de depense/ engagement actuel en USD (a remplir au moment des rapports de projet)</t>
  </si>
  <si>
    <t>Développer et mettre en œuvre un plan de communication et de sensibilisation à la résolution des conflits et à la consolidation de la paix</t>
  </si>
  <si>
    <t>Les mécanismes transfrontaliers de sensibilisation à l’engagement civique et social sont renforcés</t>
  </si>
  <si>
    <t>Resultat 1:  Les jeunes et les femmes, notamment ceux qui se sentent marginalisés sont de plus en plus impliqués dans les processus de prise
 de décision, adoptent des comportements civiques et entreprennent des activités génératrices de revenus.</t>
  </si>
  <si>
    <t>Organiser 02 ateliers  de dialogue par pays entre jeunes et autorités locales et coutumières sur les défis liés à la marginalisation socio-politique et la sécurité et mettre en œuvre des recommandations</t>
  </si>
  <si>
    <t>Identifier et renforcer les capacités de 6 associations et structures de jeunes (2 par pays) et de femmes existantes et actives dans le domaine de la résolution des conflits et/ou de la consolidation de la paix</t>
  </si>
  <si>
    <t xml:space="preserve">Renforcer les capacités (en personnel, matériel, réhabilitation d’infrastructures, gestion de centre de jeunes, activités sociales…) de 3 centres multifonctionnels. </t>
  </si>
  <si>
    <t>Renforcer l'employabilité et l'entrepreunariat de 150 jeunes hommes et femmes dans chacun des trois pays à travers la consolidation des initiaitives de 50 jeunes (20 femmes et 30 hommes) déjà installés (équipement, perfectionnement, mise en relation avec les institutions financières),  l'appui à l'installation de 50 jeunes (20 femmes, 30 hommes) déjà formés au métier (équipement, recyclage, encadrement, mise en relation avec les institutions financières), la formation et l'équipement de 50 jeunes (25 femmes, 25 hommes) à divers métiers</t>
  </si>
  <si>
    <t>Project Transactional Detail Report (PTD)</t>
  </si>
  <si>
    <t xml:space="preserve">Business Unit  : </t>
  </si>
  <si>
    <t xml:space="preserve">Budget Period  : </t>
  </si>
  <si>
    <t xml:space="preserve">Project  : </t>
  </si>
  <si>
    <t xml:space="preserve">Output : </t>
  </si>
  <si>
    <t>'00106986'</t>
  </si>
  <si>
    <t>Budget Department :</t>
  </si>
  <si>
    <t>'B0362'</t>
  </si>
  <si>
    <t>Project</t>
  </si>
  <si>
    <t>Output</t>
  </si>
  <si>
    <t>Project Start Date</t>
  </si>
  <si>
    <t>Project End Date</t>
  </si>
  <si>
    <t>Project Manager</t>
  </si>
  <si>
    <t>Implementing Partner</t>
  </si>
  <si>
    <t xml:space="preserve"> Activity </t>
  </si>
  <si>
    <t>Payee Name (Vendor Name)</t>
  </si>
  <si>
    <t>Description of the payment</t>
  </si>
  <si>
    <t xml:space="preserve"> USD Amount </t>
  </si>
  <si>
    <t>Transaction Type</t>
  </si>
  <si>
    <t>Period/Month</t>
  </si>
  <si>
    <t>Source Tran/Descr</t>
  </si>
  <si>
    <t xml:space="preserve">Voucher </t>
  </si>
  <si>
    <t xml:space="preserve">PO No </t>
  </si>
  <si>
    <t xml:space="preserve">PO Status </t>
  </si>
  <si>
    <t>Accounting Date</t>
  </si>
  <si>
    <t>PC Unit</t>
  </si>
  <si>
    <t>Oper Unit</t>
  </si>
  <si>
    <t>DeptID</t>
  </si>
  <si>
    <t xml:space="preserve">Impl Agent </t>
  </si>
  <si>
    <t>Fund</t>
  </si>
  <si>
    <t>Donor</t>
  </si>
  <si>
    <t>Account</t>
  </si>
  <si>
    <t>LC Amount</t>
  </si>
  <si>
    <t>Currency</t>
  </si>
  <si>
    <t>Exchange Rate</t>
  </si>
  <si>
    <t>Vendor ID</t>
  </si>
  <si>
    <t>Address1</t>
  </si>
  <si>
    <t>City</t>
  </si>
  <si>
    <t>AP Unit</t>
  </si>
  <si>
    <t>Vchr Line</t>
  </si>
  <si>
    <t>Voucher Invoice</t>
  </si>
  <si>
    <t>PO Line Descr</t>
  </si>
  <si>
    <t>Journal ID</t>
  </si>
  <si>
    <t>Journal Line Num</t>
  </si>
  <si>
    <t>Jrnl Line Descr</t>
  </si>
  <si>
    <t>Journal Date</t>
  </si>
  <si>
    <t>Period</t>
  </si>
  <si>
    <t>Sheet ID</t>
  </si>
  <si>
    <t>Invoice</t>
  </si>
  <si>
    <t>Deposit BU</t>
  </si>
  <si>
    <t>Deposit ID</t>
  </si>
  <si>
    <t>Receiver ID</t>
  </si>
  <si>
    <t>KK Tran ID</t>
  </si>
  <si>
    <t>KK Tran Date</t>
  </si>
  <si>
    <t>payment Reference</t>
  </si>
  <si>
    <t>Payment Date</t>
  </si>
  <si>
    <t>31-DEC-2019</t>
  </si>
  <si>
    <t>ACTIVITY5</t>
  </si>
  <si>
    <t>RADIO TELEVISION TENERE</t>
  </si>
  <si>
    <t>COUVERTURE MEDIATIQUE</t>
  </si>
  <si>
    <t>Expenses + Full Asset Cost</t>
  </si>
  <si>
    <t>2017-10</t>
  </si>
  <si>
    <t>AP_VOUCHER (Voucher)</t>
  </si>
  <si>
    <t>NER</t>
  </si>
  <si>
    <t>B0362</t>
  </si>
  <si>
    <t>XOF</t>
  </si>
  <si>
    <t>NIAMEY</t>
  </si>
  <si>
    <t>FACTURE Nｰ 283/09/2017/CM</t>
  </si>
  <si>
    <t>GROUPE PAPETERIE CADEAUX</t>
  </si>
  <si>
    <t>FOURNITURE DE BUREAU</t>
  </si>
  <si>
    <t>S/C CTN</t>
  </si>
  <si>
    <t>FACTURE NｰF00506/GPCNY/10-2017</t>
  </si>
  <si>
    <t>BALDE ABDOULAYE</t>
  </si>
  <si>
    <t>JUSTIFICATIFS VR 73443</t>
  </si>
  <si>
    <t>C/O UNDP NIGER</t>
  </si>
  <si>
    <t>F10 REMBOURSEMENT DSA OM 106/</t>
  </si>
  <si>
    <t>PAM (PROGRAMME ALIMENTAIRE MONDIAL)</t>
  </si>
  <si>
    <t>S) Air Tickets - Domestic</t>
  </si>
  <si>
    <t>Commitments</t>
  </si>
  <si>
    <t>2017-11</t>
  </si>
  <si>
    <t>C/O NATIONS UNIES</t>
  </si>
  <si>
    <t>TOTAL NIGER</t>
  </si>
  <si>
    <t>TOMCARD 16OI171RN (09/11/2017)</t>
  </si>
  <si>
    <t>REPRO-SERVICES</t>
  </si>
  <si>
    <t>REPRODUCTION DOCUMENTS</t>
  </si>
  <si>
    <t>2017-12</t>
  </si>
  <si>
    <t>02-DEC-2017</t>
  </si>
  <si>
    <t>RUE CLINIQUE BARKA</t>
  </si>
  <si>
    <t>FACTURE Nｰ 0180</t>
  </si>
  <si>
    <t>04-DEC-2017</t>
  </si>
  <si>
    <t>S) DSA UNDP Local</t>
  </si>
  <si>
    <t>05-DEC-2017</t>
  </si>
  <si>
    <t>5 DAYS DSA DIFFA/REINS EX COMB</t>
  </si>
  <si>
    <t>OUMAROU MAMAN MATAFA</t>
  </si>
  <si>
    <t>F10 MISSION DIFFA/ 06-11/12/17</t>
  </si>
  <si>
    <t>12-DEC-2017</t>
  </si>
  <si>
    <t>QUARTIER BASSORA</t>
  </si>
  <si>
    <t>13-DEC-2017</t>
  </si>
  <si>
    <t>F10 CARBURANT RETOUR DIFFA/ADM</t>
  </si>
  <si>
    <t>20-DEC-2017</t>
  </si>
  <si>
    <t>JUSTIFICATIFS VR 73973/ DIFFA</t>
  </si>
  <si>
    <t>SN DEAL</t>
  </si>
  <si>
    <t>G) Paper products</t>
  </si>
  <si>
    <t>21-DEC-2017</t>
  </si>
  <si>
    <t>USD</t>
  </si>
  <si>
    <t>64 RUE ANATOLE FRANCE</t>
  </si>
  <si>
    <t>FRANCE</t>
  </si>
  <si>
    <t>FACTURE Nｰ 006 REF KITS</t>
  </si>
  <si>
    <t>PO_POENC (Purchase Order)</t>
  </si>
  <si>
    <t>Complete</t>
  </si>
  <si>
    <t>26-DEC-2017</t>
  </si>
  <si>
    <t>GL_JOURNAL (General Ledger Journal)</t>
  </si>
  <si>
    <t>UNDP GMS Oct 2017 - Journal 4</t>
  </si>
  <si>
    <t>UNDP GMS Nov 2017 - Journal 4</t>
  </si>
  <si>
    <t>09-DEC-2017</t>
  </si>
  <si>
    <t>TO REVERSAL FUND 04000 EXPENDITURES TO FUND 30000</t>
  </si>
  <si>
    <t>15-DEC-2017</t>
  </si>
  <si>
    <t>UNDP GMS Dec 2017 - Journal 3 - Run1</t>
  </si>
  <si>
    <t>31-DEC-2017</t>
  </si>
  <si>
    <t>23-DEC-2017</t>
  </si>
  <si>
    <t>Cash arrangements FX December-to clear off USD where local currency is zerorised</t>
  </si>
  <si>
    <t>30-DEC-2017</t>
  </si>
  <si>
    <t>CORRECTED DEFICIT ON TRAC</t>
  </si>
  <si>
    <t>ACTIVITY1</t>
  </si>
  <si>
    <t>REGUL TRANSFERT ASSET PROJET GFCF</t>
  </si>
  <si>
    <t>01-DEC-2017</t>
  </si>
  <si>
    <t>UNDP GMS Dec 2017 - Run4</t>
  </si>
  <si>
    <t>REGULARISATION COST SHARE DEFICIT</t>
  </si>
  <si>
    <t>02-FEB-2018</t>
  </si>
  <si>
    <t>UNDP GMS Dec 2017 - Run6</t>
  </si>
  <si>
    <t>DSA (Standard)</t>
  </si>
  <si>
    <t>EX_EXSHEET (Expense Sheet)</t>
  </si>
  <si>
    <t>ISMARIL ALMOCTAR</t>
  </si>
  <si>
    <t>S/C PNUD 428 AVENUE DU FLEUVE NIGER</t>
  </si>
  <si>
    <t>SOULEY HABSATOU</t>
  </si>
  <si>
    <t>CO_UNDP</t>
  </si>
  <si>
    <t>DJALLAMI HADIZATOU KOUBRA BADERI</t>
  </si>
  <si>
    <t>8001 PLATEAU</t>
  </si>
  <si>
    <t>ALI MOUSTAPHA</t>
  </si>
  <si>
    <t>QUARTIER BOBIEL</t>
  </si>
  <si>
    <t>06-DEC-2017</t>
  </si>
  <si>
    <t>KOUASSI NICOLE</t>
  </si>
  <si>
    <t>08-DEC-2017</t>
  </si>
  <si>
    <t>10323 SNOWPINE WAY</t>
  </si>
  <si>
    <t>POTOMAC</t>
  </si>
  <si>
    <t>SEYNI YAHAYA</t>
  </si>
  <si>
    <t>BP 13650 DIFFA</t>
  </si>
  <si>
    <t>DIFFA</t>
  </si>
  <si>
    <t>AISSA RIBA</t>
  </si>
  <si>
    <t>S/C DU PNUD 428 AVENUE DU FLEUVE NIGER</t>
  </si>
  <si>
    <t>KONTE DIAWOYE</t>
  </si>
  <si>
    <t>S/C PNUD NIAMEY</t>
  </si>
  <si>
    <t>BENGONO PIERRE CELESTIN</t>
  </si>
  <si>
    <t>JPO PNUD</t>
  </si>
  <si>
    <t>Balance Due to Traveler</t>
  </si>
  <si>
    <t>14-DEC-2017</t>
  </si>
  <si>
    <t>MISSION TILLABERY/PRJ, PBF</t>
  </si>
  <si>
    <t>1BILLET NIAMEY DIFFA /A, BALDE</t>
  </si>
  <si>
    <t>CHAWEYE M,M,MOUSTAPHA</t>
  </si>
  <si>
    <t>Diagnostiquer les infrastructures existantes, les opportunités en formation et la cartographie des acteurs associatifs sur la zone cible</t>
  </si>
  <si>
    <t>Conduire 3 campagnes de sensibilisation dans les radios communautaires et zones de rencontres transfrontalières ssur l'engagement civique, la paix et la sécurité</t>
  </si>
  <si>
    <t>Appuyer la mise en place d'une cellule de veille et d'alerte précoce par les jeunes</t>
  </si>
  <si>
    <t>Organiser 3 réunions tripartites de concertation et de coordination</t>
  </si>
  <si>
    <t>Organiser 3 réunions des municipalités frontalières</t>
  </si>
  <si>
    <t>Organiser 3 travaux d'intérêts communautaire impliquant les FDS et les populations</t>
  </si>
  <si>
    <t>Organiser 3 activités bilatérales (transfrontalières) sociosportives entre les FDS et les populations</t>
  </si>
  <si>
    <t>Organiser des ateliers conjoints de formation des FDS/ des populations réfugiées</t>
  </si>
  <si>
    <t>**********No Data found for the search criteria*********</t>
  </si>
  <si>
    <t>Unité de Gestion du Projet :    174 333</t>
  </si>
  <si>
    <t>GMS</t>
  </si>
  <si>
    <t>Formation des acteurs des radios communautaires à la production des messages</t>
  </si>
  <si>
    <t>Organiser deux tribunes citoyennes dans chaque pays</t>
  </si>
  <si>
    <t>Mettre en place et renforcer les capacités des comités locaux d'alert précoce</t>
  </si>
  <si>
    <t>Réaliser une étude de faisabilité d'identification et de traçage des couloirs de transhumance</t>
  </si>
  <si>
    <t>Réaliser un balisage de couloirs de transhumance</t>
  </si>
  <si>
    <t>Créer 12 comités locaux mixtes de gestion des infrastructures</t>
  </si>
  <si>
    <t>Organiser 6 sessions de vulgarisation des textes relatifs à la transhumance</t>
  </si>
  <si>
    <t>Réaliser 6 sessions de formation aux acteurs</t>
  </si>
  <si>
    <t>Réaliser 6 campagnes de sensibilisation</t>
  </si>
  <si>
    <t>Créer/renforcer des cadres de concertation esxistants</t>
  </si>
  <si>
    <t>Elaborer une stratégie de gestion des conflits liés à la transhumance  commune aux trois pays</t>
  </si>
  <si>
    <t>Organiser 3 rencontres d'échange ou des foras entre eleveurs/transhumants</t>
  </si>
  <si>
    <t>Organiser/redynamiser les marchés transfrontaliers</t>
  </si>
  <si>
    <t>Organiser une caravane de la paix</t>
  </si>
  <si>
    <t>Organiser 3 rencontres culturelles regroupant les communautés des trois pays</t>
  </si>
  <si>
    <t>AMADOU ABDOULAYE</t>
  </si>
  <si>
    <t>REUNION PROJET CROSS-BOR</t>
  </si>
  <si>
    <t>273.71000000000000000000000000000000000000000000000000</t>
  </si>
  <si>
    <t>2018-03</t>
  </si>
  <si>
    <t>146400.00000000000000000000000000000000000000000000000</t>
  </si>
  <si>
    <t>534.86400000000000000000000000000000000000000000000000</t>
  </si>
  <si>
    <t>RUE DES DALLOLS</t>
  </si>
  <si>
    <t>1.0000000000000000000000000000000000000000000000000000</t>
  </si>
  <si>
    <t>REUNION CADRE PROJET CROSS-BOR</t>
  </si>
  <si>
    <t>0.000000000000000000000000000000000000</t>
  </si>
  <si>
    <t>RESTAURANT LE REGAL AU COIN DU LAF</t>
  </si>
  <si>
    <t>PAUSE CAFE&amp;EAU MINERALE</t>
  </si>
  <si>
    <t>58.430000000000000000000000000000000000000000000000000</t>
  </si>
  <si>
    <t>31250.000000000000000000000000000000000000000000000000</t>
  </si>
  <si>
    <t>A COTE DU LYCEE LA FONTAINE</t>
  </si>
  <si>
    <t>FACTURE Nｰ 000244</t>
  </si>
  <si>
    <t>FOURNITURE</t>
  </si>
  <si>
    <t>187.22000000000000000000000000000000000000000000000000</t>
  </si>
  <si>
    <t>100138.00000000000000000000000000000000000000000000000</t>
  </si>
  <si>
    <t>FACTURE NｰF00255/GPCNY/03-2018</t>
  </si>
  <si>
    <t>DIRECTION CENTRALE DU GENIE MILITAIRE</t>
  </si>
  <si>
    <t>TRAV REHABIL PRJ CROSS BORDER</t>
  </si>
  <si>
    <t>30662.480000000000000000000000000000000000000000000000</t>
  </si>
  <si>
    <t>2018-04</t>
  </si>
  <si>
    <t>06-APR-2018</t>
  </si>
  <si>
    <t>16288676.000000000000000000000000000000000000000000000</t>
  </si>
  <si>
    <t>531.22500000000000000000000000000000000000000000000000</t>
  </si>
  <si>
    <t>DIRECTION GENERALE GENIE MILITAIRE</t>
  </si>
  <si>
    <t>TRANCHE LOA PNUD-GENIE MILIT.</t>
  </si>
  <si>
    <t>07-APR-2018</t>
  </si>
  <si>
    <t>09-APR-2018</t>
  </si>
  <si>
    <t>ABDOU SOUMAILA</t>
  </si>
  <si>
    <t>E) DSA UNDP International</t>
  </si>
  <si>
    <t>326.98000000000000000000000000000000000000000000000000</t>
  </si>
  <si>
    <t>24-APR-2018</t>
  </si>
  <si>
    <t>173700.00000000000000000000000000000000000000000000000</t>
  </si>
  <si>
    <t>QUARTIER SAGA</t>
  </si>
  <si>
    <t>DSA MISSION DORI 24-27/04/2018</t>
  </si>
  <si>
    <t>-326.9800000000000000000000000000000000000000000000000</t>
  </si>
  <si>
    <t>-173700.0000000000000000000000000000000000000000000000</t>
  </si>
  <si>
    <t>MAMOUDOU AMADOU</t>
  </si>
  <si>
    <t>BOBIEL BOUTIQUE SAMIRA</t>
  </si>
  <si>
    <t>-658.8500000000000000000000000000000000000000000000000</t>
  </si>
  <si>
    <t>30-APR-2018</t>
  </si>
  <si>
    <t>-350000.0000000000000000000000000000000000000000000000</t>
  </si>
  <si>
    <t>DSA MISSION TERA02-06 MAI2018</t>
  </si>
  <si>
    <t>658.85000000000000000000000000000000000000000000000000</t>
  </si>
  <si>
    <t>350000.00000000000000000000000000000000000000000000000</t>
  </si>
  <si>
    <t>ATELIER PLAN COMMUNICATION</t>
  </si>
  <si>
    <t>142.10000000000000000000000000000000000000000000000000</t>
  </si>
  <si>
    <t>2018-05</t>
  </si>
  <si>
    <t>AP_ACCT_LN (Voucher (Gain or   Loss or   Close))</t>
  </si>
  <si>
    <t>11-MAY-2018</t>
  </si>
  <si>
    <t>0.000000000000000000000000</t>
  </si>
  <si>
    <t>JUSTIFICATIF VR 75104/PLAN COM</t>
  </si>
  <si>
    <t>-148.2100000000000000000000000000000000000000000000000</t>
  </si>
  <si>
    <t>6849.2600000000000000000000000000000000000000000000000</t>
  </si>
  <si>
    <t>26-APR-2018</t>
  </si>
  <si>
    <t>3638500.0000000000000000000000000000000000000000000000</t>
  </si>
  <si>
    <t>10-MAY-2018</t>
  </si>
  <si>
    <t>STE MULTICOM SARL</t>
  </si>
  <si>
    <t>A) Desks</t>
  </si>
  <si>
    <t>-692.4900000000000000000000000000000000000000000000000</t>
  </si>
  <si>
    <t>19-MAY-2018</t>
  </si>
  <si>
    <t>-367867.0000000000000000000000000000000000000000000000</t>
  </si>
  <si>
    <t>542.96600000000000000000000000000000000000000000000000</t>
  </si>
  <si>
    <t>AVENUE DE L'AMITIE</t>
  </si>
  <si>
    <t>5.0000000000000000000000000000000000000000000000000000</t>
  </si>
  <si>
    <t>FACTURE Nｰ 14002</t>
  </si>
  <si>
    <t>21-MAY-2018</t>
  </si>
  <si>
    <t>A) Chairs</t>
  </si>
  <si>
    <t>-957.7000000000000000000000000000000000000000000000000</t>
  </si>
  <si>
    <t>-508754.0000000000000000000000000000000000000000000000</t>
  </si>
  <si>
    <t>6.0000000000000000000000000000000000000000000000000000</t>
  </si>
  <si>
    <t>692.49000000000000000000000000000000000000000000000000</t>
  </si>
  <si>
    <t>376000.00000000000000000000000000000000000000000000000</t>
  </si>
  <si>
    <t>957.70000000000000000000000000000000000000000000000000</t>
  </si>
  <si>
    <t>520000.00000000000000000000000000000000000000000000000</t>
  </si>
  <si>
    <t>LIBRAIRIE NIGEMAT</t>
  </si>
  <si>
    <t>324.15000000000000000000000000000000000000000000000000</t>
  </si>
  <si>
    <t>176000.00000000000000000000000000000000000000000000000</t>
  </si>
  <si>
    <t>4.0000000000000000000000000000000000000000000000000000</t>
  </si>
  <si>
    <t>FACTURE Nｰ 0023/NGT/2018</t>
  </si>
  <si>
    <t>22-MAY-2018</t>
  </si>
  <si>
    <t>-324.1500000000000000000000000000000000000000000000000</t>
  </si>
  <si>
    <t>-176000.0000000000000000000000000000000000000000000000</t>
  </si>
  <si>
    <t>-322.3000000000000000000000000000000000000000000000000</t>
  </si>
  <si>
    <t>-175000.0000000000000000000000000000000000000000000000</t>
  </si>
  <si>
    <t>DSA MISSION TILLABERY18-20MAI</t>
  </si>
  <si>
    <t>322.30000000000000000000000000000000000000000000000000</t>
  </si>
  <si>
    <t>175000.00000000000000000000000000000000000000000000000</t>
  </si>
  <si>
    <t>ATELIER ROLES DES FEMMES</t>
  </si>
  <si>
    <t>2598.5400000000000000000000000000000000000000000000000</t>
  </si>
  <si>
    <t>18-MAY-2018</t>
  </si>
  <si>
    <t>1410920.0000000000000000000000000000000000000000000000</t>
  </si>
  <si>
    <t>JUSTIFICATIFS VR 75281/TILLABE</t>
  </si>
  <si>
    <t>28-MAY-2018</t>
  </si>
  <si>
    <t>ALOU FATI</t>
  </si>
  <si>
    <t>JUSTIFICATIFS VR 74806/TERA</t>
  </si>
  <si>
    <t>717.94000000000000000000000000000000000000000000000000</t>
  </si>
  <si>
    <t>384000.00000000000000000000000000000000000000000000000</t>
  </si>
  <si>
    <t>QUARTIER WADATA</t>
  </si>
  <si>
    <t>ATELIER DEFIS MARGINALISATION</t>
  </si>
  <si>
    <t>17163.510000000000000000000000000000000000000000000000</t>
  </si>
  <si>
    <t>9180144.0000000000000000000000000000000000000000000000</t>
  </si>
  <si>
    <t>JUSTIFICATIFS VR 74770/TERA</t>
  </si>
  <si>
    <t>HP Inc Danmark ApS</t>
  </si>
  <si>
    <t>A) Notebook computers</t>
  </si>
  <si>
    <t>-4518.780000000000000000000000000000000000000000000000</t>
  </si>
  <si>
    <t>-27270.86000000000000000000000000000000000000000000000</t>
  </si>
  <si>
    <t>DKK</t>
  </si>
  <si>
    <t>6.1670000000000000000000000000000000000000000000000000</t>
  </si>
  <si>
    <t>ENGHOLM PARKVEJ 8</t>
  </si>
  <si>
    <t>ALLEROD</t>
  </si>
  <si>
    <t>10.000000000000000000000000000000000000000000000000000</t>
  </si>
  <si>
    <t>1681813 (930081811)</t>
  </si>
  <si>
    <t>30-MAY-2018</t>
  </si>
  <si>
    <t>-2387.240000000000000000000000000000000000000000000000</t>
  </si>
  <si>
    <t>-14406.97000000000000000000000000000000000000000000000</t>
  </si>
  <si>
    <t>3.0000000000000000000000000000000000000000000000000000</t>
  </si>
  <si>
    <t>-99.78000000000000000000000000000000000000000000000000</t>
  </si>
  <si>
    <t>2018-07</t>
  </si>
  <si>
    <t>-188.8700000000000000000000000000000000000000000000000</t>
  </si>
  <si>
    <t>4518.7800000000000000000000000000000000000000000000000</t>
  </si>
  <si>
    <t>27867.300000000000000000000000000000000000000000000000</t>
  </si>
  <si>
    <t>2387.2400000000000000000000000000000000000000000000000</t>
  </si>
  <si>
    <t>14722.120000000000000000000000000000000000000000000000</t>
  </si>
  <si>
    <t>4510.7300000000000000000000000000000000000000000000000</t>
  </si>
  <si>
    <t>2018-06</t>
  </si>
  <si>
    <t>2509200.0000000000000000000000000000000000000000000000</t>
  </si>
  <si>
    <t>556.27300000000000000000000000000000000000000000000000</t>
  </si>
  <si>
    <t>JUSTIFICATIFS VR 00075456</t>
  </si>
  <si>
    <t>388.69000000000000000000000000000000000000000000000000</t>
  </si>
  <si>
    <t>216216.00000000000000000000000000000000000000000000000</t>
  </si>
  <si>
    <t>PAIEMENT DES PARTICIPANTS</t>
  </si>
  <si>
    <t>157.30000000000000000000000000000000000000000000000000</t>
  </si>
  <si>
    <t>87500.000000000000000000000000000000000000000000000000</t>
  </si>
  <si>
    <t>F10 MISSION TERA 19 JUIN 2018</t>
  </si>
  <si>
    <t>MISSION RENCONTRE MUNICIPALITE</t>
  </si>
  <si>
    <t>JUSTIFICATIFS COMITE PILOTAGE</t>
  </si>
  <si>
    <t>50.830000000000000000000000000000000000000000000000000</t>
  </si>
  <si>
    <t>16-APR-2018</t>
  </si>
  <si>
    <t>27000.000000000000000000000000000000000000000000000000</t>
  </si>
  <si>
    <t>JUSTIFICATIFS VR 75051</t>
  </si>
  <si>
    <t>1205.8200000000000000000000000000000000000000000000000</t>
  </si>
  <si>
    <t>640560.00000000000000000000000000000000000000000000000</t>
  </si>
  <si>
    <t>JUSTIFICATIFS VR 75042</t>
  </si>
  <si>
    <t>1015.5000000000000000000000000000000000000000000000000</t>
  </si>
  <si>
    <t>539460.00000000000000000000000000000000000000000000000</t>
  </si>
  <si>
    <t>-12.72000000000000000000000000000000000000000000000000</t>
  </si>
  <si>
    <t>FACT.Nｰ460GP23-05-18</t>
  </si>
  <si>
    <t>701.14000000000000000000000000000000000000000000000000</t>
  </si>
  <si>
    <t>390023.00000000000000000000000000000000000000000000000</t>
  </si>
  <si>
    <t>REMBOURSEMENT CARBURANT/TERA</t>
  </si>
  <si>
    <t>44.130000000000000000000000000000000000000000000000000</t>
  </si>
  <si>
    <t>25000.000000000000000000000000000000000000000000000000</t>
  </si>
  <si>
    <t>566.55500000000000000000000000000000000000000000000000</t>
  </si>
  <si>
    <t>ABOUBACAR NOMAO HADIZA</t>
  </si>
  <si>
    <t>JUSTIF PETITE CAISSE 75185</t>
  </si>
  <si>
    <t>3.6800000000000000000000000000000000000000000000000000</t>
  </si>
  <si>
    <t>07-MAY-2018</t>
  </si>
  <si>
    <t>2000.0000000000000000000000000000000000000000000000000</t>
  </si>
  <si>
    <t>PNUD</t>
  </si>
  <si>
    <t>UN CAPITAL DEV FUND</t>
  </si>
  <si>
    <t>MOU PNUD UNCDF PROJECT PSCCS</t>
  </si>
  <si>
    <t>100000.00000000000000000000000000000000000000000000000</t>
  </si>
  <si>
    <t>2 UN Plaza</t>
  </si>
  <si>
    <t>New York</t>
  </si>
  <si>
    <t>SATGURU TRAVEL</t>
  </si>
  <si>
    <t>2672.0800000000000000000000000000000000000000000000000</t>
  </si>
  <si>
    <t>2018-01</t>
  </si>
  <si>
    <t>Dispatched</t>
  </si>
  <si>
    <t>1467000.0000000000000000000000000000000000000000000000</t>
  </si>
  <si>
    <t>549.01000000000000000000000000000000000000000000000000</t>
  </si>
  <si>
    <t>SATGURU TRAVEL &amp; Tour Services</t>
  </si>
  <si>
    <t>S) Air Tickets - International</t>
  </si>
  <si>
    <t>2439.4600000000000000000000000000000000000000000000000</t>
  </si>
  <si>
    <t>6.3180000000000000000000000000000000000000000000000000</t>
  </si>
  <si>
    <t>17-APR-2018</t>
  </si>
  <si>
    <t>4617.6100000000000000000000000000000000000000000000000</t>
  </si>
  <si>
    <t>564.60400000000000000000000000000000000000000000000000</t>
  </si>
  <si>
    <t>978.87000000000000000000000000000000000000000000000000</t>
  </si>
  <si>
    <t>03-MAY-2018</t>
  </si>
  <si>
    <t>-707.8000000000000000000000000000000000000000000000000</t>
  </si>
  <si>
    <t>-376000.0000000000000000000000000000000000000000000000</t>
  </si>
  <si>
    <t>508754.00000000000000000000000000000000000000000000000</t>
  </si>
  <si>
    <t>367867.00000000000000000000000000000000000000000000000</t>
  </si>
  <si>
    <t>-978.8700000000000000000000000000000000000000000000000</t>
  </si>
  <si>
    <t>-520000.0000000000000000000000000000000000000000000000</t>
  </si>
  <si>
    <t>707.80000000000000000000000000000000000000000000000000</t>
  </si>
  <si>
    <t>DANIMEX COMMUNICATION A/S</t>
  </si>
  <si>
    <t>3332.7200000000000000000000000000000000000000000000000</t>
  </si>
  <si>
    <t>Elholm 4</t>
  </si>
  <si>
    <t>Sonderborg</t>
  </si>
  <si>
    <t>DSS) Wireless Security Comm.</t>
  </si>
  <si>
    <t>9.0000000000000000000000000000000000000000000000000000</t>
  </si>
  <si>
    <t>TO REVERSE GLJE Nｰ 0007292282 (FUND 04000 EXPENDITURES TO FUND 30000)</t>
  </si>
  <si>
    <t>-14670.00000000000000000000000000000000000000000000000</t>
  </si>
  <si>
    <t>2018-02</t>
  </si>
  <si>
    <t>REMBOURSEMENT FONDS PDES</t>
  </si>
  <si>
    <t>09-FEB-2018</t>
  </si>
  <si>
    <t>12-FEB-2018</t>
  </si>
  <si>
    <t>-24500.00000000000000000000000000000000000000000000000</t>
  </si>
  <si>
    <t>3410.0000000000000000000000000000000000000000000000000</t>
  </si>
  <si>
    <t>UNDP GMS Jan 2018 - Journal 3</t>
  </si>
  <si>
    <t>28-FEB-2018</t>
  </si>
  <si>
    <t>-1026.900000000000000000000000000000000000000000000000</t>
  </si>
  <si>
    <t>2893.0000000000000000000000000000000000000000000000000</t>
  </si>
  <si>
    <t>UNDP GMS Feb 2018 - Journal 4</t>
  </si>
  <si>
    <t>242.13000000000000000000000000000000000000000000000000</t>
  </si>
  <si>
    <t>2307.0000000000000000000000000000000000000000000000000</t>
  </si>
  <si>
    <t>UNDP GMS Mar 2018 - Journal 4</t>
  </si>
  <si>
    <t>04-APR-2018</t>
  </si>
  <si>
    <t>19.560000000000000000000000000000000000000000000000000</t>
  </si>
  <si>
    <t>2308.0000000000000000000000000000000000000000000000000</t>
  </si>
  <si>
    <t>-33.20000000000000000000000000000000000000000000000000</t>
  </si>
  <si>
    <t>3124.0000000000000000000000000000000000000000000000000</t>
  </si>
  <si>
    <t>UNDP GMS Mar 2018 - Run2 - Journal 2</t>
  </si>
  <si>
    <t>2146.3700000000000000000000000000000000000000000000000</t>
  </si>
  <si>
    <t>1735.0000000000000000000000000000000000000000000000000</t>
  </si>
  <si>
    <t>UNDP GMS April 2018 - Run1 - Journal5</t>
  </si>
  <si>
    <t>130.04000000000000000000000000000000000000000000000000</t>
  </si>
  <si>
    <t>1736.0000000000000000000000000000000000000000000000000</t>
  </si>
  <si>
    <t>1478.7200000000000000000000000000000000000000000000000</t>
  </si>
  <si>
    <t>2263.0000000000000000000000000000000000000000000000000</t>
  </si>
  <si>
    <t>UNDP GMS May 2018 - Journal 4</t>
  </si>
  <si>
    <t>31-MAY-2018</t>
  </si>
  <si>
    <t>1236.4400000000000000000000000000000000000000000000000</t>
  </si>
  <si>
    <t>2264.0000000000000000000000000000000000000000000000000</t>
  </si>
  <si>
    <t>7000.0000000000000000000000000000000000000000000000000</t>
  </si>
  <si>
    <t>1567.0000000000000000000000000000000000000000000000000</t>
  </si>
  <si>
    <t>UNDP GMS June 2018 - Journal 4</t>
  </si>
  <si>
    <t>654.32000000000000000000000000000000000000000000000000</t>
  </si>
  <si>
    <t>1568.0000000000000000000000000000000000000000000000000</t>
  </si>
  <si>
    <t>21.280000000000000000000000000000000000000000000000000</t>
  </si>
  <si>
    <t>265.00000000000000000000000000000000000000000000000000</t>
  </si>
  <si>
    <t>Cash arrangements FX June18 - to clear off USD amount where LC is zerorised</t>
  </si>
  <si>
    <t>2.6100000000000000000000000000000000000000000000000000</t>
  </si>
  <si>
    <t>281.00000000000000000000000000000000000000000000000000</t>
  </si>
  <si>
    <t>817.96000000000000000000000000000000000000000000000000</t>
  </si>
  <si>
    <t>437500.00000000000000000000000000000000000000000000000</t>
  </si>
  <si>
    <t>CHAWEYE M.M.MOUSTAPHA</t>
  </si>
  <si>
    <t>544.97000000000000000000000000000000000000000000000000</t>
  </si>
  <si>
    <t>22-APR-2018</t>
  </si>
  <si>
    <t>289500.00000000000000000000000000000000000000000000000</t>
  </si>
  <si>
    <t>13-APR-2018</t>
  </si>
  <si>
    <t>DJIBO AMADOU</t>
  </si>
  <si>
    <t>02-MAY-2018</t>
  </si>
  <si>
    <t>65 RUE KOUARAME</t>
  </si>
  <si>
    <t>23-MAY-2018</t>
  </si>
  <si>
    <t>81.380000000000000000000000000000000000000000000000000</t>
  </si>
  <si>
    <t>45945.000000000000000000000000000000000000000000000000</t>
  </si>
  <si>
    <t>375.89000000000000000000000000000000000000000000000000</t>
  </si>
  <si>
    <t>209100.00000000000000000000000000000000000000000000000</t>
  </si>
  <si>
    <t>BOUCARI OUMAROU</t>
  </si>
  <si>
    <t>RIVE DROITE GAWEYE</t>
  </si>
  <si>
    <t>-52.72000000000000000000000000000000000000000000000000</t>
  </si>
  <si>
    <t>AR_MISCPAY (Miscellaneous Payment)</t>
  </si>
  <si>
    <t>-28200.00000000000000000000000000000000000000000000000</t>
  </si>
  <si>
    <t>RELIQUAT VR 00074682</t>
  </si>
  <si>
    <t>Activite 2.2.4:</t>
  </si>
  <si>
    <t>Gestion locale du projet</t>
  </si>
  <si>
    <t xml:space="preserve">BUDGET TOTAL DU PROJET:  </t>
  </si>
  <si>
    <t>Resultat 2: La sécurité transfrontalière est renforcée à travers une collaboration entre les FDS et les autorités frontalières d'une part et entre les FDS et les populations locales</t>
  </si>
  <si>
    <t>Résultats 3 : les conflits liés à la transhumance entre les communautés tranfrontalières sont réduits par une meilleure gestion des ressources naturelles</t>
  </si>
  <si>
    <t>Organiser trois ateliers sur la vulgarisation des textes régissant la coopération transfrontalière à l'intention des leaders communautaires et OSC</t>
  </si>
  <si>
    <t>Organiser 3 sessions de formation conjointe sur les thématique en lien avec la gestion des frontières au profit des FDS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</si>
</sst>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4">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sz val="11"/>
      <color theme="1"/>
      <name val="Calibri (Corps)"/>
    </font>
    <font>
      <b/>
      <sz val="12"/>
      <color rgb="FFFF0000"/>
      <name val="Times New Roman"/>
      <family val="1"/>
    </font>
  </fonts>
  <fills count="5">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s>
  <borders count="22">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right/>
      <top/>
      <bottom style="medium">
        <color auto="1"/>
      </bottom>
      <diagonal/>
    </border>
    <border>
      <left style="medium">
        <color auto="1"/>
      </left>
      <right style="medium">
        <color auto="1"/>
      </right>
      <top/>
      <bottom/>
      <diagonal/>
    </border>
    <border>
      <left style="medium">
        <color auto="1"/>
      </left>
      <right/>
      <top/>
      <bottom style="medium">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1" fillId="0" borderId="0" applyFont="0" applyFill="0" applyBorder="0" applyAlignment="0" applyProtection="0"/>
    <xf numFmtId="9" fontId="11" fillId="0" borderId="0" applyFont="0" applyFill="0" applyBorder="0" applyAlignment="0" applyProtection="0"/>
  </cellStyleXfs>
  <cellXfs count="60">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4" borderId="10"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0" fontId="2" fillId="0" borderId="1" xfId="0" applyFont="1" applyBorder="1" applyAlignment="1">
      <alignment vertical="center" wrapText="1"/>
    </xf>
    <xf numFmtId="164" fontId="1" fillId="0" borderId="4" xfId="1" applyNumberFormat="1" applyFont="1" applyBorder="1" applyAlignment="1">
      <alignment vertical="center" wrapText="1"/>
    </xf>
    <xf numFmtId="0" fontId="1" fillId="0" borderId="4" xfId="0" applyFont="1" applyBorder="1" applyAlignment="1">
      <alignment vertical="top" wrapText="1"/>
    </xf>
    <xf numFmtId="164" fontId="0" fillId="0" borderId="0" xfId="0" applyNumberFormat="1"/>
    <xf numFmtId="0" fontId="0" fillId="0" borderId="0" xfId="0" applyFont="1"/>
    <xf numFmtId="0" fontId="12" fillId="0" borderId="0" xfId="0" applyFont="1"/>
    <xf numFmtId="0" fontId="2" fillId="0" borderId="2" xfId="0" applyFont="1" applyBorder="1" applyAlignment="1">
      <alignment vertical="center" wrapText="1"/>
    </xf>
    <xf numFmtId="15" fontId="0" fillId="0" borderId="0" xfId="0" applyNumberFormat="1"/>
    <xf numFmtId="43" fontId="0" fillId="0" borderId="0" xfId="1" applyFont="1"/>
    <xf numFmtId="164" fontId="0" fillId="0" borderId="0" xfId="1" applyNumberFormat="1" applyFont="1"/>
    <xf numFmtId="164" fontId="1" fillId="0" borderId="2" xfId="1" applyNumberFormat="1" applyFont="1" applyBorder="1" applyAlignment="1">
      <alignment vertical="center" wrapText="1"/>
    </xf>
    <xf numFmtId="164" fontId="2" fillId="0" borderId="4" xfId="1" applyNumberFormat="1" applyFont="1" applyBorder="1" applyAlignment="1">
      <alignment vertical="center" wrapText="1"/>
    </xf>
    <xf numFmtId="164" fontId="2" fillId="0" borderId="1" xfId="1" applyNumberFormat="1" applyFont="1" applyBorder="1" applyAlignment="1">
      <alignment vertical="center" wrapText="1"/>
    </xf>
    <xf numFmtId="164" fontId="2" fillId="0" borderId="6" xfId="0" applyNumberFormat="1" applyFont="1" applyBorder="1" applyAlignment="1">
      <alignment vertical="center" wrapText="1"/>
    </xf>
    <xf numFmtId="164" fontId="1" fillId="0" borderId="15" xfId="1" applyNumberFormat="1" applyFont="1" applyBorder="1" applyAlignment="1">
      <alignment vertical="center" wrapText="1"/>
    </xf>
    <xf numFmtId="0" fontId="2" fillId="0" borderId="14" xfId="0" applyFont="1" applyBorder="1" applyAlignment="1">
      <alignment vertical="center" wrapText="1"/>
    </xf>
    <xf numFmtId="0" fontId="2" fillId="0" borderId="2" xfId="0" applyFont="1" applyBorder="1" applyAlignment="1">
      <alignment vertical="center" wrapText="1"/>
    </xf>
    <xf numFmtId="164" fontId="2" fillId="0" borderId="14" xfId="0" applyNumberFormat="1" applyFont="1" applyBorder="1" applyAlignment="1">
      <alignment vertical="center" wrapText="1"/>
    </xf>
    <xf numFmtId="9" fontId="0" fillId="0" borderId="0" xfId="2" applyFont="1"/>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16" xfId="0" applyFont="1" applyBorder="1" applyAlignment="1">
      <alignment vertical="center" wrapText="1"/>
    </xf>
    <xf numFmtId="164" fontId="13" fillId="0" borderId="14" xfId="1" applyNumberFormat="1" applyFont="1" applyBorder="1" applyAlignment="1">
      <alignment vertical="center" wrapText="1"/>
    </xf>
    <xf numFmtId="164" fontId="2" fillId="0" borderId="14" xfId="1" applyNumberFormat="1" applyFont="1" applyBorder="1" applyAlignment="1">
      <alignment vertical="center" wrapText="1"/>
    </xf>
    <xf numFmtId="164" fontId="1" fillId="0" borderId="16" xfId="1" applyNumberFormat="1" applyFont="1" applyBorder="1" applyAlignment="1">
      <alignment vertical="center" wrapText="1"/>
    </xf>
    <xf numFmtId="164" fontId="1" fillId="0" borderId="19" xfId="1" applyNumberFormat="1" applyFont="1" applyBorder="1" applyAlignment="1">
      <alignment vertical="center" wrapText="1"/>
    </xf>
    <xf numFmtId="164" fontId="2" fillId="0" borderId="20" xfId="0" applyNumberFormat="1" applyFont="1" applyBorder="1" applyAlignment="1">
      <alignment vertical="center" wrapText="1"/>
    </xf>
    <xf numFmtId="164" fontId="2" fillId="0" borderId="21" xfId="0" applyNumberFormat="1" applyFont="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16" xfId="0" applyFont="1" applyBorder="1" applyAlignment="1">
      <alignmen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PTD Projet CROSSBORDER 2016" connectionId="1"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PTD Projet CROSSBORDER 2018" connectionId="3" autoFormatId="16" applyNumberFormats="0" applyBorderFormats="0" applyFontFormats="0" applyPatternFormats="0" applyAlignmentFormats="0" applyWidthHeightFormats="0"/>
</file>

<file path=xl/queryTables/queryTable3.xml><?xml version="1.0" encoding="utf-8"?>
<queryTable xmlns="http://schemas.openxmlformats.org/spreadsheetml/2006/main" name="PTD Projet CROSSBORDER 2017" connectionId="2"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queryTable" Target="../queryTables/query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tabSelected="1" view="pageBreakPreview" topLeftCell="A58" zoomScaleSheetLayoutView="100" workbookViewId="0">
      <selection activeCell="E20" sqref="E20"/>
    </sheetView>
  </sheetViews>
  <sheetFormatPr baseColWidth="10" defaultColWidth="9.140625" defaultRowHeight="15"/>
  <cols>
    <col min="1" max="1" width="29.5703125" customWidth="1"/>
    <col min="2" max="2" width="29.28515625" customWidth="1"/>
    <col min="3" max="3" width="25.42578125" style="27" customWidth="1"/>
    <col min="4" max="5" width="22.42578125" style="27" customWidth="1"/>
    <col min="6" max="6" width="20.85546875" style="27" customWidth="1"/>
    <col min="7" max="7" width="22.7109375" customWidth="1"/>
    <col min="8" max="10" width="28.7109375" customWidth="1"/>
    <col min="11" max="11" width="34.140625" customWidth="1"/>
  </cols>
  <sheetData>
    <row r="1" spans="1:8" ht="21">
      <c r="A1" s="14" t="s">
        <v>7</v>
      </c>
      <c r="B1" s="13"/>
    </row>
    <row r="2" spans="1:8" ht="15.75">
      <c r="A2" s="6"/>
      <c r="B2" s="6"/>
    </row>
    <row r="3" spans="1:8" ht="15.75">
      <c r="A3" s="6" t="s">
        <v>8</v>
      </c>
      <c r="B3" s="6"/>
    </row>
    <row r="5" spans="1:8" ht="15.75">
      <c r="A5" s="6" t="s">
        <v>9</v>
      </c>
    </row>
    <row r="6" spans="1:8" ht="15.75" thickBot="1"/>
    <row r="7" spans="1:8" ht="119.25" customHeight="1" thickBot="1">
      <c r="A7" s="1" t="s">
        <v>10</v>
      </c>
      <c r="B7" s="2" t="s">
        <v>11</v>
      </c>
      <c r="C7" s="28" t="s">
        <v>81</v>
      </c>
      <c r="D7" s="28" t="s">
        <v>12</v>
      </c>
      <c r="E7" s="28" t="s">
        <v>82</v>
      </c>
      <c r="F7" s="28" t="s">
        <v>13</v>
      </c>
    </row>
    <row r="8" spans="1:8" ht="16.5" thickBot="1">
      <c r="A8" s="49" t="s">
        <v>85</v>
      </c>
      <c r="B8" s="50"/>
      <c r="C8" s="50"/>
      <c r="D8" s="50"/>
      <c r="E8" s="50"/>
      <c r="F8" s="51"/>
    </row>
    <row r="9" spans="1:8" ht="16.5" thickBot="1">
      <c r="A9" s="3" t="s">
        <v>14</v>
      </c>
      <c r="B9" s="4"/>
      <c r="C9" s="19"/>
      <c r="D9" s="19"/>
      <c r="E9" s="19"/>
      <c r="F9" s="19"/>
    </row>
    <row r="10" spans="1:8" ht="79.5" thickBot="1">
      <c r="A10" s="5" t="s">
        <v>26</v>
      </c>
      <c r="B10" s="4" t="s">
        <v>249</v>
      </c>
      <c r="C10" s="19">
        <v>10000</v>
      </c>
      <c r="D10" s="19"/>
      <c r="E10" s="19">
        <v>10000</v>
      </c>
      <c r="F10" s="19"/>
    </row>
    <row r="11" spans="1:8" ht="104.25" customHeight="1" thickBot="1">
      <c r="A11" s="5" t="s">
        <v>27</v>
      </c>
      <c r="B11" s="4" t="s">
        <v>88</v>
      </c>
      <c r="C11" s="19">
        <v>50000</v>
      </c>
      <c r="D11" s="19">
        <v>40</v>
      </c>
      <c r="E11" s="19">
        <f>30663+1054+30667.39</f>
        <v>62384.39</v>
      </c>
      <c r="F11" s="19"/>
    </row>
    <row r="12" spans="1:8" ht="300" thickBot="1">
      <c r="A12" s="5" t="s">
        <v>28</v>
      </c>
      <c r="B12" s="20" t="s">
        <v>89</v>
      </c>
      <c r="C12" s="19">
        <v>100000</v>
      </c>
      <c r="D12" s="19">
        <v>40</v>
      </c>
      <c r="E12" s="19">
        <v>100000</v>
      </c>
      <c r="F12" s="19"/>
    </row>
    <row r="13" spans="1:8" ht="34.5" customHeight="1" thickBot="1">
      <c r="A13" s="3" t="s">
        <v>15</v>
      </c>
      <c r="B13" s="53" t="s">
        <v>84</v>
      </c>
      <c r="C13" s="54"/>
      <c r="D13" s="54"/>
      <c r="E13" s="54"/>
      <c r="F13" s="55"/>
    </row>
    <row r="14" spans="1:8" ht="79.5" thickBot="1">
      <c r="A14" s="5" t="s">
        <v>29</v>
      </c>
      <c r="B14" s="4" t="s">
        <v>83</v>
      </c>
      <c r="C14" s="19">
        <v>15000</v>
      </c>
      <c r="D14" s="19">
        <v>48</v>
      </c>
      <c r="E14" s="19">
        <f>6849+659+659+659+89</f>
        <v>8915</v>
      </c>
      <c r="F14" s="19"/>
      <c r="G14" s="21"/>
    </row>
    <row r="15" spans="1:8" ht="111" thickBot="1">
      <c r="A15" s="5" t="s">
        <v>30</v>
      </c>
      <c r="B15" s="4" t="s">
        <v>87</v>
      </c>
      <c r="C15" s="19">
        <v>20000</v>
      </c>
      <c r="D15" s="19">
        <v>50</v>
      </c>
      <c r="E15" s="19">
        <f>2599+646</f>
        <v>3245</v>
      </c>
      <c r="F15" s="19"/>
      <c r="G15" s="21"/>
      <c r="H15" s="23"/>
    </row>
    <row r="16" spans="1:8" ht="95.25" thickBot="1">
      <c r="A16" s="5" t="s">
        <v>31</v>
      </c>
      <c r="B16" s="4" t="s">
        <v>250</v>
      </c>
      <c r="C16" s="19">
        <v>20000</v>
      </c>
      <c r="D16" s="19"/>
      <c r="E16" s="19">
        <f>6119.74</f>
        <v>6119.74</v>
      </c>
      <c r="F16" s="19"/>
      <c r="H16" s="21"/>
    </row>
    <row r="17" spans="1:8" ht="16.5" thickBot="1">
      <c r="A17" s="3" t="s">
        <v>16</v>
      </c>
      <c r="B17" s="4"/>
      <c r="C17" s="19"/>
      <c r="D17" s="19"/>
      <c r="E17" s="19"/>
      <c r="F17" s="19"/>
      <c r="H17" s="22"/>
    </row>
    <row r="18" spans="1:8" ht="111" thickBot="1">
      <c r="A18" s="5" t="s">
        <v>32</v>
      </c>
      <c r="B18" s="4" t="s">
        <v>86</v>
      </c>
      <c r="C18" s="19">
        <v>13300</v>
      </c>
      <c r="D18" s="19">
        <v>50</v>
      </c>
      <c r="E18" s="19">
        <f>718+17164+((817.96*4))+187.22</f>
        <v>21341.06</v>
      </c>
      <c r="F18" s="19"/>
    </row>
    <row r="19" spans="1:8" ht="48" thickBot="1">
      <c r="A19" s="5" t="s">
        <v>33</v>
      </c>
      <c r="B19" s="4" t="s">
        <v>251</v>
      </c>
      <c r="C19" s="19">
        <v>15000</v>
      </c>
      <c r="D19" s="19"/>
      <c r="E19" s="19">
        <v>14000</v>
      </c>
      <c r="F19" s="19"/>
    </row>
    <row r="20" spans="1:8" ht="16.5" thickBot="1">
      <c r="A20" s="5"/>
      <c r="B20" s="4"/>
      <c r="C20" s="19"/>
      <c r="D20" s="19"/>
      <c r="E20" s="19"/>
      <c r="F20" s="19"/>
    </row>
    <row r="21" spans="1:8" ht="16.5" thickBot="1">
      <c r="A21" s="47" t="s">
        <v>78</v>
      </c>
      <c r="B21" s="48"/>
      <c r="C21" s="31">
        <f>+C19+C18+C16+C15+C14+C12+C11+C10</f>
        <v>243300</v>
      </c>
      <c r="D21" s="31"/>
      <c r="E21" s="31">
        <f>+E19+E18+E16+E15+E14+E12+E11+E10</f>
        <v>226005.19</v>
      </c>
      <c r="F21" s="24"/>
    </row>
    <row r="22" spans="1:8" ht="16.5" thickBot="1">
      <c r="A22" s="49" t="s">
        <v>538</v>
      </c>
      <c r="B22" s="50"/>
      <c r="C22" s="50"/>
      <c r="D22" s="50"/>
      <c r="E22" s="50"/>
      <c r="F22" s="51"/>
    </row>
    <row r="23" spans="1:8" ht="16.5" thickBot="1">
      <c r="A23" s="3" t="s">
        <v>17</v>
      </c>
      <c r="B23" s="4"/>
      <c r="C23" s="19"/>
      <c r="D23" s="19"/>
      <c r="E23" s="19"/>
      <c r="F23" s="19"/>
    </row>
    <row r="24" spans="1:8" ht="48" thickBot="1">
      <c r="A24" s="5" t="s">
        <v>34</v>
      </c>
      <c r="B24" s="4" t="s">
        <v>252</v>
      </c>
      <c r="C24" s="19">
        <v>50000</v>
      </c>
      <c r="D24" s="19"/>
      <c r="E24" s="19"/>
      <c r="F24" s="19"/>
    </row>
    <row r="25" spans="1:8" ht="32.25" thickBot="1">
      <c r="A25" s="5" t="s">
        <v>35</v>
      </c>
      <c r="B25" s="4" t="s">
        <v>253</v>
      </c>
      <c r="C25" s="19">
        <v>15000</v>
      </c>
      <c r="D25" s="19"/>
      <c r="E25" s="19">
        <f>4511+157+157+274+389+44+376+8446</f>
        <v>14354</v>
      </c>
      <c r="F25" s="19"/>
    </row>
    <row r="26" spans="1:8" ht="79.5" thickBot="1">
      <c r="A26" s="5" t="s">
        <v>36</v>
      </c>
      <c r="B26" s="4" t="s">
        <v>541</v>
      </c>
      <c r="C26" s="19">
        <v>30000</v>
      </c>
      <c r="D26" s="19"/>
      <c r="E26" s="19"/>
      <c r="F26" s="19"/>
    </row>
    <row r="27" spans="1:8" ht="16.5" thickBot="1">
      <c r="A27" s="3" t="s">
        <v>18</v>
      </c>
      <c r="B27" s="4"/>
      <c r="C27" s="19"/>
      <c r="D27" s="19"/>
      <c r="E27" s="19"/>
      <c r="F27" s="19"/>
    </row>
    <row r="28" spans="1:8" ht="48" thickBot="1">
      <c r="A28" s="5" t="s">
        <v>37</v>
      </c>
      <c r="B28" s="4" t="s">
        <v>254</v>
      </c>
      <c r="C28" s="19">
        <v>40000</v>
      </c>
      <c r="D28" s="19"/>
      <c r="E28" s="19">
        <f>1717.71+4412</f>
        <v>6129.71</v>
      </c>
      <c r="F28" s="19"/>
    </row>
    <row r="29" spans="1:8" ht="48" thickBot="1">
      <c r="A29" s="5" t="s">
        <v>38</v>
      </c>
      <c r="B29" s="4" t="s">
        <v>255</v>
      </c>
      <c r="C29" s="19">
        <v>23333</v>
      </c>
      <c r="D29" s="19"/>
      <c r="E29" s="19"/>
      <c r="F29" s="19"/>
    </row>
    <row r="30" spans="1:8" ht="48" thickBot="1">
      <c r="A30" s="5" t="s">
        <v>39</v>
      </c>
      <c r="B30" s="4" t="s">
        <v>256</v>
      </c>
      <c r="C30" s="19">
        <v>10000</v>
      </c>
      <c r="D30" s="19"/>
      <c r="E30" s="19"/>
      <c r="F30" s="19"/>
    </row>
    <row r="31" spans="1:8" ht="48" thickBot="1">
      <c r="A31" s="5" t="s">
        <v>535</v>
      </c>
      <c r="B31" s="4" t="s">
        <v>260</v>
      </c>
      <c r="C31" s="19">
        <v>16667</v>
      </c>
      <c r="D31" s="19"/>
      <c r="E31" s="19">
        <f>6119.74+499.59+499.59+624.49+187.35+104.5</f>
        <v>8035.26</v>
      </c>
      <c r="F31" s="19"/>
    </row>
    <row r="32" spans="1:8" ht="16.5" thickBot="1">
      <c r="A32" s="3" t="s">
        <v>19</v>
      </c>
      <c r="B32" s="4"/>
      <c r="C32" s="19"/>
      <c r="D32" s="19"/>
      <c r="E32" s="19"/>
      <c r="F32" s="19"/>
    </row>
    <row r="33" spans="1:6" ht="16.5" thickBot="1">
      <c r="A33" s="5" t="s">
        <v>40</v>
      </c>
      <c r="B33" s="4"/>
      <c r="C33" s="19"/>
      <c r="D33" s="19"/>
      <c r="E33" s="19"/>
      <c r="F33" s="19"/>
    </row>
    <row r="34" spans="1:6" ht="48" customHeight="1" thickBot="1">
      <c r="A34" s="5" t="s">
        <v>41</v>
      </c>
      <c r="B34" s="4"/>
      <c r="C34" s="19"/>
      <c r="D34" s="19"/>
      <c r="E34" s="19"/>
      <c r="F34" s="19"/>
    </row>
    <row r="35" spans="1:6" ht="16.5" thickBot="1">
      <c r="A35" s="5" t="s">
        <v>42</v>
      </c>
      <c r="B35" s="4"/>
      <c r="C35" s="32"/>
      <c r="D35" s="19"/>
      <c r="E35" s="19"/>
      <c r="F35" s="19"/>
    </row>
    <row r="36" spans="1:6" ht="16.5" thickBot="1">
      <c r="A36" s="47" t="s">
        <v>79</v>
      </c>
      <c r="B36" s="48"/>
      <c r="C36" s="35">
        <f>SUM(C23:C35)</f>
        <v>185000</v>
      </c>
      <c r="D36" s="35"/>
      <c r="E36" s="35">
        <f>SUM(E24:E35)</f>
        <v>28518.97</v>
      </c>
      <c r="F36" s="24"/>
    </row>
    <row r="37" spans="1:6" ht="16.5" thickBot="1">
      <c r="A37" s="49" t="s">
        <v>539</v>
      </c>
      <c r="B37" s="50"/>
      <c r="C37" s="52"/>
      <c r="D37" s="51"/>
      <c r="E37" s="29"/>
      <c r="F37" s="19"/>
    </row>
    <row r="38" spans="1:6" ht="16.5" thickBot="1">
      <c r="A38" s="3" t="s">
        <v>20</v>
      </c>
      <c r="B38" s="4"/>
      <c r="C38" s="19"/>
      <c r="D38" s="19"/>
      <c r="E38" s="19"/>
      <c r="F38" s="19"/>
    </row>
    <row r="39" spans="1:6" ht="79.5" thickBot="1">
      <c r="A39" s="5" t="s">
        <v>43</v>
      </c>
      <c r="B39" s="4" t="s">
        <v>540</v>
      </c>
      <c r="C39" s="19">
        <v>30000</v>
      </c>
      <c r="D39" s="19"/>
      <c r="E39" s="19"/>
      <c r="F39" s="19"/>
    </row>
    <row r="40" spans="1:6" ht="32.25" thickBot="1">
      <c r="A40" s="5" t="s">
        <v>44</v>
      </c>
      <c r="B40" s="4" t="s">
        <v>261</v>
      </c>
      <c r="C40" s="19">
        <v>20000</v>
      </c>
      <c r="D40" s="19"/>
      <c r="E40" s="19">
        <f>762.01+762.01+762.0124384+304.8+304.8+4229.85</f>
        <v>7125.4824384000003</v>
      </c>
      <c r="F40" s="19"/>
    </row>
    <row r="41" spans="1:6" ht="48" thickBot="1">
      <c r="A41" s="5" t="s">
        <v>45</v>
      </c>
      <c r="B41" s="4" t="s">
        <v>262</v>
      </c>
      <c r="C41" s="19">
        <v>30000</v>
      </c>
      <c r="D41" s="19"/>
      <c r="E41" s="19">
        <f>17528+711</f>
        <v>18239</v>
      </c>
      <c r="F41" s="19"/>
    </row>
    <row r="42" spans="1:6" ht="16.5" thickBot="1">
      <c r="A42" s="3" t="s">
        <v>21</v>
      </c>
      <c r="B42" s="4"/>
      <c r="C42" s="19"/>
      <c r="D42" s="19"/>
      <c r="E42" s="19"/>
      <c r="F42" s="19"/>
    </row>
    <row r="43" spans="1:6" ht="48" thickBot="1">
      <c r="A43" s="5" t="s">
        <v>46</v>
      </c>
      <c r="B43" s="4" t="s">
        <v>263</v>
      </c>
      <c r="C43" s="19">
        <v>16667</v>
      </c>
      <c r="D43" s="19"/>
      <c r="E43" s="19">
        <f>1452.64</f>
        <v>1452.64</v>
      </c>
      <c r="F43" s="19"/>
    </row>
    <row r="44" spans="1:6" ht="32.25" thickBot="1">
      <c r="A44" s="5" t="s">
        <v>47</v>
      </c>
      <c r="B44" s="4" t="s">
        <v>264</v>
      </c>
      <c r="C44" s="19">
        <v>60000</v>
      </c>
      <c r="D44" s="19"/>
      <c r="E44" s="19"/>
      <c r="F44" s="19"/>
    </row>
    <row r="45" spans="1:6" ht="32.25" thickBot="1">
      <c r="A45" s="5" t="s">
        <v>48</v>
      </c>
      <c r="B45" s="4" t="s">
        <v>265</v>
      </c>
      <c r="C45" s="19">
        <v>10666</v>
      </c>
      <c r="D45" s="19"/>
      <c r="E45" s="19"/>
      <c r="F45" s="19"/>
    </row>
    <row r="46" spans="1:6" ht="16.5" thickBot="1">
      <c r="A46" s="3" t="s">
        <v>22</v>
      </c>
      <c r="B46" s="4"/>
      <c r="C46" s="19"/>
      <c r="D46" s="19"/>
      <c r="E46" s="19"/>
      <c r="F46" s="19"/>
    </row>
    <row r="47" spans="1:6" ht="48" thickBot="1">
      <c r="A47" s="5" t="s">
        <v>49</v>
      </c>
      <c r="B47" s="4" t="s">
        <v>266</v>
      </c>
      <c r="C47" s="19">
        <v>20000</v>
      </c>
      <c r="D47" s="19"/>
      <c r="E47" s="19"/>
      <c r="F47" s="19"/>
    </row>
    <row r="48" spans="1:6" ht="32.25" thickBot="1">
      <c r="A48" s="5" t="s">
        <v>50</v>
      </c>
      <c r="B48" s="19" t="s">
        <v>267</v>
      </c>
      <c r="C48" s="19">
        <v>15000</v>
      </c>
      <c r="D48" s="19"/>
      <c r="E48" s="19"/>
      <c r="F48" s="19"/>
    </row>
    <row r="49" spans="1:6" ht="32.25" thickBot="1">
      <c r="A49" s="5" t="s">
        <v>51</v>
      </c>
      <c r="B49" s="4" t="s">
        <v>268</v>
      </c>
      <c r="C49" s="19">
        <v>10000</v>
      </c>
      <c r="D49" s="19"/>
      <c r="E49" s="19"/>
      <c r="F49" s="19"/>
    </row>
    <row r="50" spans="1:6" ht="16.5" thickBot="1">
      <c r="A50" s="3" t="s">
        <v>23</v>
      </c>
      <c r="B50" s="4"/>
      <c r="C50" s="19"/>
      <c r="D50" s="19"/>
      <c r="E50" s="19"/>
      <c r="F50" s="19"/>
    </row>
    <row r="51" spans="1:6" ht="32.25" thickBot="1">
      <c r="A51" s="5" t="s">
        <v>52</v>
      </c>
      <c r="B51" s="4" t="s">
        <v>269</v>
      </c>
      <c r="C51" s="19">
        <v>10000</v>
      </c>
      <c r="D51" s="19"/>
      <c r="E51" s="19"/>
      <c r="F51" s="19"/>
    </row>
    <row r="52" spans="1:6" ht="63.75" thickBot="1">
      <c r="A52" s="5" t="s">
        <v>53</v>
      </c>
      <c r="B52" s="4" t="s">
        <v>270</v>
      </c>
      <c r="C52" s="19">
        <v>30000</v>
      </c>
      <c r="D52" s="19"/>
      <c r="E52" s="19"/>
      <c r="F52" s="19"/>
    </row>
    <row r="53" spans="1:6" ht="48" thickBot="1">
      <c r="A53" s="5" t="s">
        <v>54</v>
      </c>
      <c r="B53" s="4" t="s">
        <v>271</v>
      </c>
      <c r="C53" s="19">
        <v>10000</v>
      </c>
      <c r="D53" s="19"/>
      <c r="E53" s="19"/>
      <c r="F53" s="19"/>
    </row>
    <row r="54" spans="1:6" ht="16.5" thickBot="1">
      <c r="A54" s="3" t="s">
        <v>24</v>
      </c>
      <c r="B54" s="4"/>
      <c r="C54" s="19"/>
      <c r="D54" s="19"/>
      <c r="E54" s="19"/>
      <c r="F54" s="19"/>
    </row>
    <row r="55" spans="1:6" ht="32.25" thickBot="1">
      <c r="A55" s="5" t="s">
        <v>55</v>
      </c>
      <c r="B55" s="4" t="s">
        <v>272</v>
      </c>
      <c r="C55" s="19">
        <v>15000</v>
      </c>
      <c r="D55" s="19"/>
      <c r="E55" s="19"/>
      <c r="F55" s="19"/>
    </row>
    <row r="56" spans="1:6" ht="32.25" thickBot="1">
      <c r="A56" s="5" t="s">
        <v>56</v>
      </c>
      <c r="B56" s="4" t="s">
        <v>273</v>
      </c>
      <c r="C56" s="19">
        <v>10000</v>
      </c>
      <c r="D56" s="19"/>
      <c r="E56" s="19">
        <v>11009</v>
      </c>
      <c r="F56" s="19"/>
    </row>
    <row r="57" spans="1:6" ht="48" thickBot="1">
      <c r="A57" s="5" t="s">
        <v>57</v>
      </c>
      <c r="B57" s="4" t="s">
        <v>274</v>
      </c>
      <c r="C57" s="19">
        <v>10000</v>
      </c>
      <c r="D57" s="19"/>
      <c r="E57" s="19"/>
      <c r="F57" s="19"/>
    </row>
    <row r="58" spans="1:6" ht="16.5" thickBot="1">
      <c r="A58" s="3" t="s">
        <v>25</v>
      </c>
      <c r="B58" s="4"/>
      <c r="C58" s="19"/>
      <c r="D58" s="19"/>
      <c r="E58" s="19"/>
      <c r="F58" s="19"/>
    </row>
    <row r="59" spans="1:6" ht="16.5" thickBot="1">
      <c r="A59" s="5" t="s">
        <v>58</v>
      </c>
      <c r="B59" s="4"/>
      <c r="C59" s="19"/>
      <c r="D59" s="19"/>
      <c r="E59" s="19"/>
      <c r="F59" s="19"/>
    </row>
    <row r="60" spans="1:6" ht="16.5" thickBot="1">
      <c r="A60" s="5" t="s">
        <v>59</v>
      </c>
      <c r="B60" s="4"/>
      <c r="C60" s="19"/>
      <c r="D60" s="19"/>
      <c r="E60" s="19"/>
      <c r="F60" s="19"/>
    </row>
    <row r="61" spans="1:6" ht="16.5" thickBot="1">
      <c r="A61" s="5" t="s">
        <v>60</v>
      </c>
      <c r="B61" s="4"/>
      <c r="C61" s="19"/>
      <c r="D61" s="19"/>
      <c r="E61" s="19"/>
      <c r="F61" s="19"/>
    </row>
    <row r="62" spans="1:6" ht="16.5" thickBot="1">
      <c r="A62" s="47" t="s">
        <v>80</v>
      </c>
      <c r="B62" s="48"/>
      <c r="C62" s="31">
        <v>297333</v>
      </c>
      <c r="D62" s="31"/>
      <c r="E62" s="31">
        <f>SUM(E39:E61)</f>
        <v>37826.122438400002</v>
      </c>
      <c r="F62" s="34"/>
    </row>
    <row r="63" spans="1:6" ht="70.5" customHeight="1" thickBot="1">
      <c r="A63" s="1" t="s">
        <v>61</v>
      </c>
      <c r="B63" s="18"/>
      <c r="C63" s="30"/>
      <c r="D63" s="30"/>
      <c r="E63" s="30"/>
      <c r="F63" s="30"/>
    </row>
    <row r="64" spans="1:6" ht="50.25" customHeight="1" thickBot="1">
      <c r="A64" s="1" t="s">
        <v>62</v>
      </c>
      <c r="B64" s="18"/>
      <c r="C64" s="30"/>
      <c r="D64" s="30"/>
      <c r="E64" s="30"/>
      <c r="F64" s="30"/>
    </row>
    <row r="65" spans="1:6" ht="36" customHeight="1">
      <c r="A65" s="37" t="s">
        <v>536</v>
      </c>
      <c r="B65" s="38" t="s">
        <v>0</v>
      </c>
      <c r="C65" s="32">
        <v>34613</v>
      </c>
      <c r="D65" s="32"/>
      <c r="E65" s="32">
        <f>246+481+481+481+481+481+481+327+327+545+545+81+2000+4+134+270+327+1206+1015-53+51+58+692+958+324+1063+701+4519+2387-284+682.61+682.61+682.61+3332.72+50.34+246.62+246.62+246.62+14976</f>
        <v>41475.75</v>
      </c>
      <c r="F65" s="32"/>
    </row>
    <row r="66" spans="1:6" ht="72" customHeight="1">
      <c r="A66" s="33" t="s">
        <v>258</v>
      </c>
      <c r="B66" s="33"/>
      <c r="C66" s="41">
        <v>174333</v>
      </c>
      <c r="D66" s="41"/>
      <c r="E66" s="41">
        <v>174261</v>
      </c>
      <c r="F66" s="42"/>
    </row>
    <row r="67" spans="1:6" ht="16.5" thickBot="1">
      <c r="A67" s="39" t="s">
        <v>63</v>
      </c>
      <c r="B67" s="40" t="s">
        <v>259</v>
      </c>
      <c r="C67" s="44">
        <v>65421</v>
      </c>
      <c r="D67" s="44"/>
      <c r="E67" s="43">
        <f>10941+6815</f>
        <v>17756</v>
      </c>
      <c r="F67" s="4"/>
    </row>
    <row r="68" spans="1:6" ht="16.5" customHeight="1" thickBot="1">
      <c r="A68" s="47" t="s">
        <v>537</v>
      </c>
      <c r="B68" s="48"/>
      <c r="C68" s="45">
        <f>+C67+C66+C65+C64+C63+C62+C36+C21</f>
        <v>1000000</v>
      </c>
      <c r="D68" s="46"/>
      <c r="E68" s="31">
        <f>+E67+E66+E65+E64+E63+E62+E36+E21</f>
        <v>525843.03243839997</v>
      </c>
      <c r="F68" s="34"/>
    </row>
    <row r="70" spans="1:6">
      <c r="C70" s="36">
        <f>+E68/C68</f>
        <v>0.52584303243839992</v>
      </c>
    </row>
    <row r="74" spans="1:6" ht="25.5" customHeight="1"/>
  </sheetData>
  <mergeCells count="8">
    <mergeCell ref="A62:B62"/>
    <mergeCell ref="A68:B68"/>
    <mergeCell ref="A8:F8"/>
    <mergeCell ref="A22:F22"/>
    <mergeCell ref="A37:D37"/>
    <mergeCell ref="B13:F13"/>
    <mergeCell ref="A21:B21"/>
    <mergeCell ref="A36:B36"/>
  </mergeCells>
  <pageMargins left="0.7" right="0.7" top="0.75" bottom="0.75" header="0.3" footer="0.3"/>
  <pageSetup scale="74" orientation="landscape" r:id="rId1"/>
  <rowBreaks count="2" manualBreakCount="2">
    <brk id="36" max="16383" man="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workbookViewId="0"/>
  </sheetViews>
  <sheetFormatPr baseColWidth="10" defaultRowHeight="15"/>
  <cols>
    <col min="1" max="1" width="53.140625" bestFit="1" customWidth="1"/>
    <col min="2" max="2" width="9.85546875" bestFit="1" customWidth="1"/>
    <col min="3" max="3" width="16.5703125" bestFit="1" customWidth="1"/>
    <col min="4" max="4" width="37.5703125" bestFit="1" customWidth="1"/>
    <col min="5" max="5" width="15.42578125" bestFit="1" customWidth="1"/>
    <col min="6" max="6" width="20.7109375" bestFit="1" customWidth="1"/>
    <col min="7" max="7" width="8.5703125" bestFit="1" customWidth="1"/>
    <col min="8" max="8" width="26.7109375" bestFit="1" customWidth="1"/>
    <col min="9" max="9" width="25.42578125" bestFit="1" customWidth="1"/>
    <col min="10" max="10" width="13" bestFit="1" customWidth="1"/>
    <col min="11" max="11" width="15.85546875" bestFit="1" customWidth="1"/>
    <col min="12" max="12" width="13.5703125" bestFit="1" customWidth="1"/>
    <col min="13" max="13" width="17.140625" bestFit="1" customWidth="1"/>
    <col min="14" max="14" width="8.85546875" bestFit="1" customWidth="1"/>
    <col min="15" max="15" width="7" bestFit="1" customWidth="1"/>
    <col min="16" max="16" width="9.85546875" bestFit="1" customWidth="1"/>
    <col min="17" max="17" width="15.42578125" bestFit="1" customWidth="1"/>
    <col min="18" max="18" width="7.42578125" bestFit="1" customWidth="1"/>
    <col min="19" max="19" width="9.5703125" bestFit="1" customWidth="1"/>
    <col min="20" max="20" width="7.140625" bestFit="1" customWidth="1"/>
    <col min="21" max="21" width="11.140625" bestFit="1" customWidth="1"/>
    <col min="22" max="22" width="5.42578125" bestFit="1" customWidth="1"/>
    <col min="23" max="23" width="6.42578125" bestFit="1" customWidth="1"/>
    <col min="24" max="24" width="8.140625" bestFit="1" customWidth="1"/>
    <col min="25" max="25" width="10.5703125" bestFit="1" customWidth="1"/>
    <col min="26" max="26" width="8.85546875" bestFit="1" customWidth="1"/>
    <col min="27" max="27" width="13.7109375" bestFit="1" customWidth="1"/>
    <col min="28" max="28" width="9.85546875" bestFit="1" customWidth="1"/>
    <col min="29" max="29" width="9.140625" bestFit="1" customWidth="1"/>
    <col min="30" max="30" width="4.42578125" bestFit="1" customWidth="1"/>
    <col min="31" max="31" width="7.5703125" bestFit="1" customWidth="1"/>
    <col min="32" max="32" width="9.140625" bestFit="1" customWidth="1"/>
    <col min="33" max="33" width="15.28515625" bestFit="1" customWidth="1"/>
    <col min="34" max="34" width="13" bestFit="1" customWidth="1"/>
    <col min="35" max="35" width="9.7109375" bestFit="1" customWidth="1"/>
    <col min="36" max="36" width="16.42578125" bestFit="1" customWidth="1"/>
    <col min="37" max="37" width="13.5703125" bestFit="1" customWidth="1"/>
    <col min="38" max="38" width="12" bestFit="1" customWidth="1"/>
    <col min="39" max="39" width="6.85546875" bestFit="1" customWidth="1"/>
    <col min="40" max="40" width="8.42578125" bestFit="1" customWidth="1"/>
    <col min="41" max="41" width="7.42578125" bestFit="1" customWidth="1"/>
    <col min="42" max="42" width="10.7109375" bestFit="1" customWidth="1"/>
    <col min="43" max="43" width="10.140625" bestFit="1" customWidth="1"/>
    <col min="44" max="44" width="11" bestFit="1" customWidth="1"/>
    <col min="45" max="45" width="9.85546875" bestFit="1" customWidth="1"/>
    <col min="46" max="46" width="12.140625" bestFit="1" customWidth="1"/>
    <col min="47" max="47" width="18.5703125" bestFit="1" customWidth="1"/>
    <col min="48" max="48" width="13.42578125" bestFit="1" customWidth="1"/>
  </cols>
  <sheetData>
    <row r="1" spans="1:48">
      <c r="D1" t="s">
        <v>90</v>
      </c>
    </row>
    <row r="2" spans="1:48">
      <c r="A2" t="s">
        <v>91</v>
      </c>
      <c r="B2" t="str">
        <f>"NER10"</f>
        <v>NER10</v>
      </c>
    </row>
    <row r="3" spans="1:48">
      <c r="A3" t="s">
        <v>92</v>
      </c>
      <c r="B3">
        <v>2016</v>
      </c>
    </row>
    <row r="4" spans="1:48">
      <c r="A4" t="s">
        <v>93</v>
      </c>
      <c r="B4" t="s">
        <v>0</v>
      </c>
    </row>
    <row r="5" spans="1:48">
      <c r="A5" t="s">
        <v>94</v>
      </c>
      <c r="B5" t="s">
        <v>95</v>
      </c>
    </row>
    <row r="6" spans="1:48">
      <c r="A6" t="s">
        <v>96</v>
      </c>
      <c r="B6" t="s">
        <v>0</v>
      </c>
    </row>
    <row r="7" spans="1:48">
      <c r="A7" t="s">
        <v>0</v>
      </c>
    </row>
    <row r="8" spans="1:48">
      <c r="A8" t="s">
        <v>98</v>
      </c>
      <c r="B8" t="s">
        <v>99</v>
      </c>
      <c r="C8" t="s">
        <v>100</v>
      </c>
      <c r="D8" t="s">
        <v>101</v>
      </c>
      <c r="E8" t="s">
        <v>102</v>
      </c>
      <c r="F8" t="s">
        <v>103</v>
      </c>
      <c r="G8" t="s">
        <v>104</v>
      </c>
      <c r="H8" t="s">
        <v>105</v>
      </c>
      <c r="I8" t="s">
        <v>106</v>
      </c>
      <c r="J8" t="s">
        <v>107</v>
      </c>
      <c r="K8" t="s">
        <v>108</v>
      </c>
      <c r="L8" t="s">
        <v>109</v>
      </c>
      <c r="M8" t="s">
        <v>110</v>
      </c>
      <c r="N8" t="s">
        <v>111</v>
      </c>
      <c r="O8" t="s">
        <v>112</v>
      </c>
      <c r="P8" t="s">
        <v>113</v>
      </c>
      <c r="Q8" t="s">
        <v>114</v>
      </c>
      <c r="R8" t="s">
        <v>115</v>
      </c>
      <c r="S8" t="s">
        <v>116</v>
      </c>
      <c r="T8" t="s">
        <v>117</v>
      </c>
      <c r="U8" t="s">
        <v>118</v>
      </c>
      <c r="V8" t="s">
        <v>119</v>
      </c>
      <c r="W8" t="s">
        <v>120</v>
      </c>
      <c r="X8" t="s">
        <v>121</v>
      </c>
      <c r="Y8" t="s">
        <v>122</v>
      </c>
      <c r="Z8" t="s">
        <v>123</v>
      </c>
      <c r="AA8" t="s">
        <v>124</v>
      </c>
      <c r="AB8" t="s">
        <v>125</v>
      </c>
      <c r="AC8" t="s">
        <v>126</v>
      </c>
      <c r="AD8" t="s">
        <v>127</v>
      </c>
      <c r="AE8" t="s">
        <v>128</v>
      </c>
      <c r="AF8" t="s">
        <v>129</v>
      </c>
      <c r="AG8" t="s">
        <v>130</v>
      </c>
      <c r="AH8" t="s">
        <v>131</v>
      </c>
      <c r="AI8" t="s">
        <v>132</v>
      </c>
      <c r="AJ8" t="s">
        <v>133</v>
      </c>
      <c r="AK8" t="s">
        <v>134</v>
      </c>
      <c r="AL8" t="s">
        <v>135</v>
      </c>
      <c r="AM8" t="s">
        <v>136</v>
      </c>
      <c r="AN8" t="s">
        <v>137</v>
      </c>
      <c r="AO8" t="s">
        <v>138</v>
      </c>
      <c r="AP8" t="s">
        <v>139</v>
      </c>
      <c r="AQ8" t="s">
        <v>140</v>
      </c>
      <c r="AR8" t="s">
        <v>141</v>
      </c>
      <c r="AS8" t="s">
        <v>142</v>
      </c>
      <c r="AT8" t="s">
        <v>143</v>
      </c>
      <c r="AU8" t="s">
        <v>144</v>
      </c>
      <c r="AV8" t="s">
        <v>145</v>
      </c>
    </row>
    <row r="9" spans="1:48">
      <c r="A9" t="s">
        <v>0</v>
      </c>
    </row>
    <row r="10" spans="1:48">
      <c r="A10" t="s">
        <v>257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5"/>
  <sheetViews>
    <sheetView topLeftCell="G134" workbookViewId="0">
      <selection activeCell="J55" sqref="J54:J55"/>
    </sheetView>
  </sheetViews>
  <sheetFormatPr baseColWidth="10" defaultRowHeight="15"/>
  <cols>
    <col min="1" max="1" width="19.5703125" bestFit="1" customWidth="1"/>
    <col min="2" max="2" width="9.85546875" bestFit="1" customWidth="1"/>
    <col min="3" max="3" width="16.5703125" bestFit="1" customWidth="1"/>
    <col min="4" max="4" width="37.5703125" customWidth="1"/>
    <col min="5" max="5" width="19.85546875" bestFit="1" customWidth="1"/>
    <col min="6" max="6" width="28.5703125" bestFit="1" customWidth="1"/>
    <col min="7" max="7" width="9.85546875" bestFit="1" customWidth="1"/>
    <col min="8" max="8" width="38.42578125" customWidth="1"/>
    <col min="9" max="9" width="34.140625" bestFit="1" customWidth="1"/>
    <col min="10" max="10" width="57.28515625" style="26" bestFit="1" customWidth="1"/>
    <col min="11" max="11" width="24.28515625" bestFit="1" customWidth="1"/>
    <col min="12" max="12" width="13.5703125" bestFit="1" customWidth="1"/>
    <col min="13" max="13" width="44" bestFit="1" customWidth="1"/>
    <col min="14" max="14" width="9" bestFit="1" customWidth="1"/>
    <col min="15" max="15" width="11" bestFit="1" customWidth="1"/>
    <col min="16" max="16" width="10.85546875" bestFit="1" customWidth="1"/>
    <col min="17" max="17" width="15.42578125" bestFit="1" customWidth="1"/>
    <col min="18" max="18" width="7.42578125" bestFit="1" customWidth="1"/>
    <col min="19" max="19" width="9.5703125" bestFit="1" customWidth="1"/>
    <col min="20" max="20" width="7.140625" bestFit="1" customWidth="1"/>
    <col min="21" max="21" width="11.140625" bestFit="1" customWidth="1"/>
    <col min="22" max="22" width="6" bestFit="1" customWidth="1"/>
    <col min="23" max="23" width="6.42578125" bestFit="1" customWidth="1"/>
    <col min="24" max="24" width="8.140625" bestFit="1" customWidth="1"/>
    <col min="25" max="25" width="55.7109375" bestFit="1" customWidth="1"/>
    <col min="26" max="26" width="8.85546875" bestFit="1" customWidth="1"/>
    <col min="27" max="27" width="55.7109375" bestFit="1" customWidth="1"/>
    <col min="28" max="28" width="11.7109375" bestFit="1" customWidth="1"/>
    <col min="29" max="29" width="40.140625" bestFit="1" customWidth="1"/>
    <col min="30" max="30" width="11.28515625" bestFit="1" customWidth="1"/>
    <col min="31" max="31" width="7.5703125" bestFit="1" customWidth="1"/>
    <col min="32" max="32" width="55.7109375" bestFit="1" customWidth="1"/>
    <col min="33" max="33" width="34.140625" bestFit="1" customWidth="1"/>
    <col min="34" max="34" width="27.85546875" bestFit="1" customWidth="1"/>
    <col min="35" max="35" width="11" bestFit="1" customWidth="1"/>
    <col min="36" max="36" width="55.7109375" bestFit="1" customWidth="1"/>
    <col min="37" max="37" width="70.140625" customWidth="1"/>
    <col min="38" max="38" width="12.42578125" bestFit="1" customWidth="1"/>
    <col min="39" max="39" width="6.85546875" bestFit="1" customWidth="1"/>
    <col min="40" max="40" width="11" bestFit="1" customWidth="1"/>
    <col min="41" max="41" width="7.42578125" bestFit="1" customWidth="1"/>
    <col min="42" max="42" width="10.7109375" bestFit="1" customWidth="1"/>
    <col min="43" max="43" width="10.140625" bestFit="1" customWidth="1"/>
    <col min="44" max="45" width="11" bestFit="1" customWidth="1"/>
    <col min="46" max="46" width="12.42578125" bestFit="1" customWidth="1"/>
    <col min="47" max="47" width="18.5703125" bestFit="1" customWidth="1"/>
    <col min="48" max="48" width="13.42578125" bestFit="1" customWidth="1"/>
  </cols>
  <sheetData>
    <row r="1" spans="1:48">
      <c r="D1" t="s">
        <v>90</v>
      </c>
    </row>
    <row r="2" spans="1:48">
      <c r="A2" t="s">
        <v>91</v>
      </c>
      <c r="B2" t="str">
        <f>"NER10"</f>
        <v>NER10</v>
      </c>
    </row>
    <row r="3" spans="1:48">
      <c r="A3" t="s">
        <v>92</v>
      </c>
      <c r="B3">
        <v>2017</v>
      </c>
    </row>
    <row r="4" spans="1:48">
      <c r="A4" t="s">
        <v>93</v>
      </c>
      <c r="B4" t="s">
        <v>0</v>
      </c>
    </row>
    <row r="5" spans="1:48">
      <c r="A5" t="s">
        <v>94</v>
      </c>
      <c r="B5" t="s">
        <v>95</v>
      </c>
    </row>
    <row r="6" spans="1:48">
      <c r="A6" t="s">
        <v>96</v>
      </c>
      <c r="B6" t="s">
        <v>97</v>
      </c>
    </row>
    <row r="7" spans="1:48">
      <c r="A7" t="s">
        <v>0</v>
      </c>
    </row>
    <row r="8" spans="1:48">
      <c r="A8" t="s">
        <v>98</v>
      </c>
      <c r="B8" t="s">
        <v>99</v>
      </c>
      <c r="C8" t="s">
        <v>100</v>
      </c>
      <c r="D8" t="s">
        <v>101</v>
      </c>
      <c r="E8" t="s">
        <v>102</v>
      </c>
      <c r="F8" t="s">
        <v>103</v>
      </c>
      <c r="G8" t="s">
        <v>104</v>
      </c>
      <c r="H8" t="s">
        <v>105</v>
      </c>
      <c r="I8" t="s">
        <v>106</v>
      </c>
      <c r="J8" s="26" t="s">
        <v>107</v>
      </c>
      <c r="K8" t="s">
        <v>108</v>
      </c>
      <c r="L8" t="s">
        <v>109</v>
      </c>
      <c r="M8" t="s">
        <v>110</v>
      </c>
      <c r="N8" t="s">
        <v>111</v>
      </c>
      <c r="O8" t="s">
        <v>112</v>
      </c>
      <c r="P8" t="s">
        <v>113</v>
      </c>
      <c r="Q8" t="s">
        <v>114</v>
      </c>
      <c r="R8" t="s">
        <v>115</v>
      </c>
      <c r="S8" t="s">
        <v>116</v>
      </c>
      <c r="T8" t="s">
        <v>117</v>
      </c>
      <c r="U8" t="s">
        <v>118</v>
      </c>
      <c r="V8" t="s">
        <v>119</v>
      </c>
      <c r="W8" t="s">
        <v>120</v>
      </c>
      <c r="X8" t="s">
        <v>121</v>
      </c>
      <c r="Y8" t="s">
        <v>122</v>
      </c>
      <c r="Z8" t="s">
        <v>123</v>
      </c>
      <c r="AA8" t="s">
        <v>124</v>
      </c>
      <c r="AB8" t="s">
        <v>125</v>
      </c>
      <c r="AC8" t="s">
        <v>126</v>
      </c>
      <c r="AD8" t="s">
        <v>127</v>
      </c>
      <c r="AE8" t="s">
        <v>128</v>
      </c>
      <c r="AF8" t="s">
        <v>129</v>
      </c>
      <c r="AG8" t="s">
        <v>130</v>
      </c>
      <c r="AH8" t="s">
        <v>131</v>
      </c>
      <c r="AI8" t="s">
        <v>132</v>
      </c>
      <c r="AJ8" t="s">
        <v>133</v>
      </c>
      <c r="AK8" t="s">
        <v>134</v>
      </c>
      <c r="AL8" t="s">
        <v>135</v>
      </c>
      <c r="AM8" t="s">
        <v>136</v>
      </c>
      <c r="AN8" t="s">
        <v>137</v>
      </c>
      <c r="AO8" t="s">
        <v>138</v>
      </c>
      <c r="AP8" t="s">
        <v>139</v>
      </c>
      <c r="AQ8" t="s">
        <v>140</v>
      </c>
      <c r="AR8" t="s">
        <v>141</v>
      </c>
      <c r="AS8" t="s">
        <v>142</v>
      </c>
      <c r="AT8" t="s">
        <v>143</v>
      </c>
      <c r="AU8" t="s">
        <v>144</v>
      </c>
      <c r="AV8" t="s">
        <v>145</v>
      </c>
    </row>
    <row r="9" spans="1:48">
      <c r="A9" t="str">
        <f t="shared" ref="A9:A40" si="0">"00106074"</f>
        <v>00106074</v>
      </c>
      <c r="B9" t="str">
        <f t="shared" ref="B9:B40" si="1">"00106986"</f>
        <v>00106986</v>
      </c>
      <c r="C9" s="25">
        <v>42997</v>
      </c>
      <c r="D9" t="s">
        <v>146</v>
      </c>
      <c r="E9" t="str">
        <f t="shared" ref="E9:E40" si="2">"KOUASSI Nicole Flora"</f>
        <v>KOUASSI Nicole Flora</v>
      </c>
      <c r="F9" t="str">
        <f t="shared" ref="F9:F40" si="3">"02252-UNDP (Direct Execution)"</f>
        <v>02252-UNDP (Direct Execution)</v>
      </c>
      <c r="G9" t="s">
        <v>147</v>
      </c>
      <c r="H9" t="s">
        <v>148</v>
      </c>
      <c r="I9" t="s">
        <v>149</v>
      </c>
      <c r="J9" s="26">
        <v>269.74</v>
      </c>
      <c r="K9" t="s">
        <v>150</v>
      </c>
      <c r="L9" t="s">
        <v>151</v>
      </c>
      <c r="M9" t="s">
        <v>152</v>
      </c>
      <c r="N9" t="str">
        <f>"00073489"</f>
        <v>00073489</v>
      </c>
      <c r="O9" t="str">
        <f>" "</f>
        <v xml:space="preserve"> </v>
      </c>
      <c r="Q9" s="25">
        <v>43014</v>
      </c>
      <c r="R9" t="str">
        <f t="shared" ref="R9:R40" si="4">"NER10"</f>
        <v>NER10</v>
      </c>
      <c r="S9" t="s">
        <v>153</v>
      </c>
      <c r="T9" t="s">
        <v>154</v>
      </c>
      <c r="U9" t="str">
        <f t="shared" ref="U9:U40" si="5">"001981"</f>
        <v>001981</v>
      </c>
      <c r="V9" t="str">
        <f t="shared" ref="V9:V40" si="6">"30000"</f>
        <v>30000</v>
      </c>
      <c r="W9" t="str">
        <f t="shared" ref="W9:W40" si="7">"11363"</f>
        <v>11363</v>
      </c>
      <c r="X9" t="str">
        <f>"74225"</f>
        <v>74225</v>
      </c>
      <c r="Y9">
        <v>150000</v>
      </c>
      <c r="Z9" t="s">
        <v>155</v>
      </c>
      <c r="AA9">
        <v>556.08399999999995</v>
      </c>
      <c r="AB9" t="str">
        <f>"0000000150"</f>
        <v>0000000150</v>
      </c>
      <c r="AC9" t="s">
        <v>156</v>
      </c>
      <c r="AD9" t="s">
        <v>156</v>
      </c>
      <c r="AE9" t="str">
        <f t="shared" ref="AE9:AE30" si="8">"NER10"</f>
        <v>NER10</v>
      </c>
      <c r="AF9">
        <v>1</v>
      </c>
      <c r="AG9" t="s">
        <v>157</v>
      </c>
      <c r="AI9" t="str">
        <f t="shared" ref="AI9:AI30" si="9">" "</f>
        <v xml:space="preserve"> </v>
      </c>
      <c r="AJ9">
        <v>0</v>
      </c>
      <c r="AM9" t="str">
        <f>"10"</f>
        <v>10</v>
      </c>
      <c r="AN9" t="str">
        <f t="shared" ref="AN9:AR18" si="10">" "</f>
        <v xml:space="preserve"> </v>
      </c>
      <c r="AO9" t="str">
        <f t="shared" si="10"/>
        <v xml:space="preserve"> </v>
      </c>
      <c r="AP9" t="str">
        <f t="shared" si="10"/>
        <v xml:space="preserve"> </v>
      </c>
      <c r="AQ9" t="str">
        <f t="shared" si="10"/>
        <v xml:space="preserve"> </v>
      </c>
      <c r="AR9" t="str">
        <f t="shared" si="10"/>
        <v xml:space="preserve"> </v>
      </c>
      <c r="AS9" t="str">
        <f>"0162504997"</f>
        <v>0162504997</v>
      </c>
      <c r="AT9" s="25">
        <v>43014</v>
      </c>
      <c r="AU9" t="str">
        <f>"1188011994"</f>
        <v>1188011994</v>
      </c>
      <c r="AV9" s="25">
        <v>43014</v>
      </c>
    </row>
    <row r="10" spans="1:48">
      <c r="A10" t="str">
        <f t="shared" si="0"/>
        <v>00106074</v>
      </c>
      <c r="B10" t="str">
        <f t="shared" si="1"/>
        <v>00106986</v>
      </c>
      <c r="C10" s="25">
        <v>42997</v>
      </c>
      <c r="D10" t="s">
        <v>146</v>
      </c>
      <c r="E10" t="str">
        <f t="shared" si="2"/>
        <v>KOUASSI Nicole Flora</v>
      </c>
      <c r="F10" t="str">
        <f t="shared" si="3"/>
        <v>02252-UNDP (Direct Execution)</v>
      </c>
      <c r="G10" t="s">
        <v>147</v>
      </c>
      <c r="H10" t="s">
        <v>158</v>
      </c>
      <c r="I10" t="s">
        <v>159</v>
      </c>
      <c r="J10" s="26">
        <v>89.34</v>
      </c>
      <c r="K10" t="s">
        <v>150</v>
      </c>
      <c r="L10" t="s">
        <v>151</v>
      </c>
      <c r="M10" t="s">
        <v>152</v>
      </c>
      <c r="N10" t="str">
        <f>"00073515"</f>
        <v>00073515</v>
      </c>
      <c r="O10" t="str">
        <f>" "</f>
        <v xml:space="preserve"> </v>
      </c>
      <c r="P10" t="s">
        <v>0</v>
      </c>
      <c r="Q10" s="25">
        <v>43018</v>
      </c>
      <c r="R10" t="str">
        <f t="shared" si="4"/>
        <v>NER10</v>
      </c>
      <c r="S10" t="s">
        <v>153</v>
      </c>
      <c r="T10" t="s">
        <v>154</v>
      </c>
      <c r="U10" t="str">
        <f t="shared" si="5"/>
        <v>001981</v>
      </c>
      <c r="V10" t="str">
        <f t="shared" si="6"/>
        <v>30000</v>
      </c>
      <c r="W10" t="str">
        <f t="shared" si="7"/>
        <v>11363</v>
      </c>
      <c r="X10" t="str">
        <f>"72505"</f>
        <v>72505</v>
      </c>
      <c r="Y10">
        <v>49682</v>
      </c>
      <c r="Z10" t="s">
        <v>155</v>
      </c>
      <c r="AA10">
        <v>556.08399999999995</v>
      </c>
      <c r="AB10" t="str">
        <f>"0000001380"</f>
        <v>0000001380</v>
      </c>
      <c r="AC10" t="s">
        <v>160</v>
      </c>
      <c r="AD10" t="s">
        <v>156</v>
      </c>
      <c r="AE10" t="str">
        <f t="shared" si="8"/>
        <v>NER10</v>
      </c>
      <c r="AF10">
        <v>1</v>
      </c>
      <c r="AG10" t="s">
        <v>161</v>
      </c>
      <c r="AH10" t="s">
        <v>0</v>
      </c>
      <c r="AI10" t="str">
        <f t="shared" si="9"/>
        <v xml:space="preserve"> </v>
      </c>
      <c r="AJ10">
        <v>0</v>
      </c>
      <c r="AK10" t="s">
        <v>0</v>
      </c>
      <c r="AM10" t="str">
        <f>"10"</f>
        <v>10</v>
      </c>
      <c r="AN10" t="str">
        <f t="shared" si="10"/>
        <v xml:space="preserve"> </v>
      </c>
      <c r="AO10" t="str">
        <f t="shared" si="10"/>
        <v xml:space="preserve"> </v>
      </c>
      <c r="AP10" t="str">
        <f t="shared" si="10"/>
        <v xml:space="preserve"> </v>
      </c>
      <c r="AQ10" t="str">
        <f t="shared" si="10"/>
        <v xml:space="preserve"> </v>
      </c>
      <c r="AR10" t="str">
        <f t="shared" si="10"/>
        <v xml:space="preserve"> </v>
      </c>
      <c r="AS10" t="str">
        <f>"0162659208"</f>
        <v>0162659208</v>
      </c>
      <c r="AT10" s="25">
        <v>43018</v>
      </c>
      <c r="AU10" t="str">
        <f>"1188012016"</f>
        <v>1188012016</v>
      </c>
      <c r="AV10" s="25">
        <v>43018</v>
      </c>
    </row>
    <row r="11" spans="1:48">
      <c r="A11" t="str">
        <f t="shared" si="0"/>
        <v>00106074</v>
      </c>
      <c r="B11" t="str">
        <f t="shared" si="1"/>
        <v>00106986</v>
      </c>
      <c r="C11" s="25">
        <v>42997</v>
      </c>
      <c r="D11" t="s">
        <v>146</v>
      </c>
      <c r="E11" t="str">
        <f t="shared" si="2"/>
        <v>KOUASSI Nicole Flora</v>
      </c>
      <c r="F11" t="str">
        <f t="shared" si="3"/>
        <v>02252-UNDP (Direct Execution)</v>
      </c>
      <c r="G11" t="s">
        <v>147</v>
      </c>
      <c r="H11" t="s">
        <v>162</v>
      </c>
      <c r="I11" t="s">
        <v>163</v>
      </c>
      <c r="J11" s="26">
        <v>8545.0300000000007</v>
      </c>
      <c r="K11" t="s">
        <v>150</v>
      </c>
      <c r="L11" t="s">
        <v>151</v>
      </c>
      <c r="M11" t="s">
        <v>152</v>
      </c>
      <c r="N11" t="str">
        <f>"00073538"</f>
        <v>00073538</v>
      </c>
      <c r="O11" t="str">
        <f>" "</f>
        <v xml:space="preserve"> </v>
      </c>
      <c r="P11" t="s">
        <v>0</v>
      </c>
      <c r="Q11" s="25">
        <v>43011</v>
      </c>
      <c r="R11" t="str">
        <f t="shared" si="4"/>
        <v>NER10</v>
      </c>
      <c r="S11" t="s">
        <v>153</v>
      </c>
      <c r="T11" t="s">
        <v>154</v>
      </c>
      <c r="U11" t="str">
        <f t="shared" si="5"/>
        <v>001981</v>
      </c>
      <c r="V11" t="str">
        <f t="shared" si="6"/>
        <v>30000</v>
      </c>
      <c r="W11" t="str">
        <f t="shared" si="7"/>
        <v>11363</v>
      </c>
      <c r="X11" t="str">
        <f>"75707"</f>
        <v>75707</v>
      </c>
      <c r="Y11">
        <v>4751752</v>
      </c>
      <c r="Z11" t="s">
        <v>155</v>
      </c>
      <c r="AA11">
        <v>556.08399999999995</v>
      </c>
      <c r="AB11" t="str">
        <f>"0000007120"</f>
        <v>0000007120</v>
      </c>
      <c r="AC11" t="s">
        <v>164</v>
      </c>
      <c r="AD11" t="s">
        <v>156</v>
      </c>
      <c r="AE11" t="str">
        <f t="shared" si="8"/>
        <v>NER10</v>
      </c>
      <c r="AF11">
        <v>1</v>
      </c>
      <c r="AG11" t="s">
        <v>163</v>
      </c>
      <c r="AH11" t="s">
        <v>0</v>
      </c>
      <c r="AI11" t="str">
        <f t="shared" si="9"/>
        <v xml:space="preserve"> </v>
      </c>
      <c r="AJ11">
        <v>0</v>
      </c>
      <c r="AK11" t="s">
        <v>0</v>
      </c>
      <c r="AM11" t="str">
        <f>"10"</f>
        <v>10</v>
      </c>
      <c r="AN11" t="str">
        <f t="shared" si="10"/>
        <v xml:space="preserve"> </v>
      </c>
      <c r="AO11" t="str">
        <f t="shared" si="10"/>
        <v xml:space="preserve"> </v>
      </c>
      <c r="AP11" t="str">
        <f t="shared" si="10"/>
        <v xml:space="preserve"> </v>
      </c>
      <c r="AQ11" t="str">
        <f t="shared" si="10"/>
        <v xml:space="preserve"> </v>
      </c>
      <c r="AR11" t="str">
        <f t="shared" si="10"/>
        <v xml:space="preserve"> </v>
      </c>
      <c r="AS11" t="str">
        <f>"0162766075"</f>
        <v>0162766075</v>
      </c>
      <c r="AT11" s="25">
        <v>43020</v>
      </c>
      <c r="AU11" t="s">
        <v>0</v>
      </c>
      <c r="AV11" t="s">
        <v>0</v>
      </c>
    </row>
    <row r="12" spans="1:48">
      <c r="A12" t="str">
        <f t="shared" si="0"/>
        <v>00106074</v>
      </c>
      <c r="B12" t="str">
        <f t="shared" si="1"/>
        <v>00106986</v>
      </c>
      <c r="C12" s="25">
        <v>42997</v>
      </c>
      <c r="D12" t="s">
        <v>146</v>
      </c>
      <c r="E12" t="str">
        <f t="shared" si="2"/>
        <v>KOUASSI Nicole Flora</v>
      </c>
      <c r="F12" t="str">
        <f t="shared" si="3"/>
        <v>02252-UNDP (Direct Execution)</v>
      </c>
      <c r="G12" t="s">
        <v>147</v>
      </c>
      <c r="H12" t="s">
        <v>162</v>
      </c>
      <c r="I12" t="s">
        <v>246</v>
      </c>
      <c r="J12" s="26">
        <v>472.05</v>
      </c>
      <c r="K12" t="s">
        <v>150</v>
      </c>
      <c r="L12" t="s">
        <v>151</v>
      </c>
      <c r="M12" t="s">
        <v>152</v>
      </c>
      <c r="N12" t="str">
        <f>"00073542"</f>
        <v>00073542</v>
      </c>
      <c r="O12" t="str">
        <f>" "</f>
        <v xml:space="preserve"> </v>
      </c>
      <c r="P12" t="s">
        <v>0</v>
      </c>
      <c r="Q12" s="25">
        <v>43020</v>
      </c>
      <c r="R12" t="str">
        <f t="shared" si="4"/>
        <v>NER10</v>
      </c>
      <c r="S12" t="s">
        <v>153</v>
      </c>
      <c r="T12" t="s">
        <v>154</v>
      </c>
      <c r="U12" t="str">
        <f t="shared" si="5"/>
        <v>001981</v>
      </c>
      <c r="V12" t="str">
        <f t="shared" si="6"/>
        <v>30000</v>
      </c>
      <c r="W12" t="str">
        <f t="shared" si="7"/>
        <v>11363</v>
      </c>
      <c r="X12" t="str">
        <f>"71620"</f>
        <v>71620</v>
      </c>
      <c r="Y12">
        <v>262500</v>
      </c>
      <c r="Z12" t="s">
        <v>155</v>
      </c>
      <c r="AA12">
        <v>556.08399999999995</v>
      </c>
      <c r="AB12" t="str">
        <f>"0000007120"</f>
        <v>0000007120</v>
      </c>
      <c r="AC12" t="s">
        <v>164</v>
      </c>
      <c r="AD12" t="s">
        <v>156</v>
      </c>
      <c r="AE12" t="str">
        <f t="shared" si="8"/>
        <v>NER10</v>
      </c>
      <c r="AF12">
        <v>1</v>
      </c>
      <c r="AG12" t="s">
        <v>165</v>
      </c>
      <c r="AH12" t="s">
        <v>0</v>
      </c>
      <c r="AI12" t="str">
        <f t="shared" si="9"/>
        <v xml:space="preserve"> </v>
      </c>
      <c r="AJ12">
        <v>0</v>
      </c>
      <c r="AK12" t="s">
        <v>0</v>
      </c>
      <c r="AM12" t="str">
        <f>"10"</f>
        <v>10</v>
      </c>
      <c r="AN12" t="str">
        <f t="shared" si="10"/>
        <v xml:space="preserve"> </v>
      </c>
      <c r="AO12" t="str">
        <f t="shared" si="10"/>
        <v xml:space="preserve"> </v>
      </c>
      <c r="AP12" t="str">
        <f t="shared" si="10"/>
        <v xml:space="preserve"> </v>
      </c>
      <c r="AQ12" t="str">
        <f t="shared" si="10"/>
        <v xml:space="preserve"> </v>
      </c>
      <c r="AR12" t="str">
        <f t="shared" si="10"/>
        <v xml:space="preserve"> </v>
      </c>
      <c r="AS12" t="str">
        <f>"0162766022"</f>
        <v>0162766022</v>
      </c>
      <c r="AT12" s="25">
        <v>43020</v>
      </c>
      <c r="AU12" t="str">
        <f>"0006440318"</f>
        <v>0006440318</v>
      </c>
      <c r="AV12" s="25">
        <v>43021</v>
      </c>
    </row>
    <row r="13" spans="1:48">
      <c r="A13" t="str">
        <f t="shared" si="0"/>
        <v>00106074</v>
      </c>
      <c r="B13" t="str">
        <f t="shared" si="1"/>
        <v>00106986</v>
      </c>
      <c r="C13" s="25">
        <v>42997</v>
      </c>
      <c r="D13" t="s">
        <v>146</v>
      </c>
      <c r="E13" t="str">
        <f t="shared" si="2"/>
        <v>KOUASSI Nicole Flora</v>
      </c>
      <c r="F13" t="str">
        <f t="shared" si="3"/>
        <v>02252-UNDP (Direct Execution)</v>
      </c>
      <c r="G13" t="s">
        <v>147</v>
      </c>
      <c r="H13" t="s">
        <v>166</v>
      </c>
      <c r="I13" t="s">
        <v>167</v>
      </c>
      <c r="J13" s="26">
        <v>-246.21</v>
      </c>
      <c r="K13" t="s">
        <v>168</v>
      </c>
      <c r="L13" t="s">
        <v>169</v>
      </c>
      <c r="M13" t="s">
        <v>152</v>
      </c>
      <c r="N13" t="str">
        <f>"00073732"</f>
        <v>00073732</v>
      </c>
      <c r="O13" t="str">
        <f>"0000009742"</f>
        <v>0000009742</v>
      </c>
      <c r="P13" t="s">
        <v>0</v>
      </c>
      <c r="Q13" s="25">
        <v>43045</v>
      </c>
      <c r="R13" t="str">
        <f t="shared" si="4"/>
        <v>NER10</v>
      </c>
      <c r="S13" t="s">
        <v>153</v>
      </c>
      <c r="T13" t="s">
        <v>154</v>
      </c>
      <c r="U13" t="str">
        <f t="shared" si="5"/>
        <v>001981</v>
      </c>
      <c r="V13" t="str">
        <f t="shared" si="6"/>
        <v>30000</v>
      </c>
      <c r="W13" t="str">
        <f t="shared" si="7"/>
        <v>11363</v>
      </c>
      <c r="X13" t="str">
        <f>"71610"</f>
        <v>71610</v>
      </c>
      <c r="Y13">
        <v>-139021</v>
      </c>
      <c r="Z13" t="s">
        <v>155</v>
      </c>
      <c r="AA13">
        <v>564.65300000000002</v>
      </c>
      <c r="AB13" t="str">
        <f>"0000003572"</f>
        <v>0000003572</v>
      </c>
      <c r="AC13" t="s">
        <v>170</v>
      </c>
      <c r="AD13" t="s">
        <v>156</v>
      </c>
      <c r="AE13" t="str">
        <f t="shared" si="8"/>
        <v>NER10</v>
      </c>
      <c r="AF13">
        <v>1</v>
      </c>
      <c r="AG13" t="s">
        <v>247</v>
      </c>
      <c r="AH13" t="s">
        <v>0</v>
      </c>
      <c r="AI13" t="str">
        <f t="shared" si="9"/>
        <v xml:space="preserve"> </v>
      </c>
      <c r="AJ13">
        <v>0</v>
      </c>
      <c r="AK13" t="s">
        <v>0</v>
      </c>
      <c r="AM13" t="str">
        <f>"11"</f>
        <v>11</v>
      </c>
      <c r="AN13" t="str">
        <f t="shared" si="10"/>
        <v xml:space="preserve"> </v>
      </c>
      <c r="AO13" t="str">
        <f t="shared" si="10"/>
        <v xml:space="preserve"> </v>
      </c>
      <c r="AP13" t="str">
        <f t="shared" si="10"/>
        <v xml:space="preserve"> </v>
      </c>
      <c r="AQ13" t="str">
        <f t="shared" si="10"/>
        <v xml:space="preserve"> </v>
      </c>
      <c r="AR13" t="str">
        <f t="shared" si="10"/>
        <v xml:space="preserve"> </v>
      </c>
      <c r="AS13" t="str">
        <f>"0163768741"</f>
        <v>0163768741</v>
      </c>
      <c r="AT13" s="25">
        <v>43045</v>
      </c>
      <c r="AU13" t="str">
        <f>"0006440547"</f>
        <v>0006440547</v>
      </c>
      <c r="AV13" s="25">
        <v>43045</v>
      </c>
    </row>
    <row r="14" spans="1:48">
      <c r="A14" t="str">
        <f t="shared" si="0"/>
        <v>00106074</v>
      </c>
      <c r="B14" t="str">
        <f t="shared" si="1"/>
        <v>00106986</v>
      </c>
      <c r="C14" s="25">
        <v>42997</v>
      </c>
      <c r="D14" t="s">
        <v>146</v>
      </c>
      <c r="E14" t="str">
        <f t="shared" si="2"/>
        <v>KOUASSI Nicole Flora</v>
      </c>
      <c r="F14" t="str">
        <f t="shared" si="3"/>
        <v>02252-UNDP (Direct Execution)</v>
      </c>
      <c r="G14" t="s">
        <v>147</v>
      </c>
      <c r="H14" t="s">
        <v>166</v>
      </c>
      <c r="I14" t="s">
        <v>167</v>
      </c>
      <c r="J14" s="26">
        <v>246.21</v>
      </c>
      <c r="K14" t="s">
        <v>150</v>
      </c>
      <c r="L14" t="s">
        <v>169</v>
      </c>
      <c r="M14" t="s">
        <v>152</v>
      </c>
      <c r="N14" t="str">
        <f>"00073732"</f>
        <v>00073732</v>
      </c>
      <c r="O14" t="str">
        <f>"0000009742"</f>
        <v>0000009742</v>
      </c>
      <c r="P14" t="s">
        <v>0</v>
      </c>
      <c r="Q14" s="25">
        <v>43045</v>
      </c>
      <c r="R14" t="str">
        <f t="shared" si="4"/>
        <v>NER10</v>
      </c>
      <c r="S14" t="s">
        <v>153</v>
      </c>
      <c r="T14" t="s">
        <v>154</v>
      </c>
      <c r="U14" t="str">
        <f t="shared" si="5"/>
        <v>001981</v>
      </c>
      <c r="V14" t="str">
        <f t="shared" si="6"/>
        <v>30000</v>
      </c>
      <c r="W14" t="str">
        <f t="shared" si="7"/>
        <v>11363</v>
      </c>
      <c r="X14" t="str">
        <f>"71610"</f>
        <v>71610</v>
      </c>
      <c r="Y14">
        <v>139021</v>
      </c>
      <c r="Z14" t="s">
        <v>155</v>
      </c>
      <c r="AA14">
        <v>564.65300000000002</v>
      </c>
      <c r="AB14" t="str">
        <f>"0000003572"</f>
        <v>0000003572</v>
      </c>
      <c r="AC14" t="s">
        <v>170</v>
      </c>
      <c r="AD14" t="s">
        <v>156</v>
      </c>
      <c r="AE14" t="str">
        <f t="shared" si="8"/>
        <v>NER10</v>
      </c>
      <c r="AF14">
        <v>1</v>
      </c>
      <c r="AG14" t="s">
        <v>247</v>
      </c>
      <c r="AH14" t="s">
        <v>0</v>
      </c>
      <c r="AI14" t="str">
        <f t="shared" si="9"/>
        <v xml:space="preserve"> </v>
      </c>
      <c r="AJ14">
        <v>0</v>
      </c>
      <c r="AK14" t="s">
        <v>0</v>
      </c>
      <c r="AM14" t="str">
        <f>"11"</f>
        <v>11</v>
      </c>
      <c r="AN14" t="str">
        <f t="shared" si="10"/>
        <v xml:space="preserve"> </v>
      </c>
      <c r="AO14" t="str">
        <f t="shared" si="10"/>
        <v xml:space="preserve"> </v>
      </c>
      <c r="AP14" t="str">
        <f t="shared" si="10"/>
        <v xml:space="preserve"> </v>
      </c>
      <c r="AQ14" t="str">
        <f t="shared" si="10"/>
        <v xml:space="preserve"> </v>
      </c>
      <c r="AR14" t="str">
        <f t="shared" si="10"/>
        <v xml:space="preserve"> </v>
      </c>
      <c r="AS14" t="str">
        <f>"0163768741"</f>
        <v>0163768741</v>
      </c>
      <c r="AT14" s="25">
        <v>43045</v>
      </c>
      <c r="AU14" t="str">
        <f>"0006440547"</f>
        <v>0006440547</v>
      </c>
      <c r="AV14" s="25">
        <v>43045</v>
      </c>
    </row>
    <row r="15" spans="1:48">
      <c r="A15" t="str">
        <f t="shared" si="0"/>
        <v>00106074</v>
      </c>
      <c r="B15" t="str">
        <f t="shared" si="1"/>
        <v>00106986</v>
      </c>
      <c r="C15" s="25">
        <v>42997</v>
      </c>
      <c r="D15" t="s">
        <v>146</v>
      </c>
      <c r="E15" t="str">
        <f t="shared" si="2"/>
        <v>KOUASSI Nicole Flora</v>
      </c>
      <c r="F15" t="str">
        <f t="shared" si="3"/>
        <v>02252-UNDP (Direct Execution)</v>
      </c>
      <c r="G15" t="s">
        <v>147</v>
      </c>
      <c r="H15" t="s">
        <v>171</v>
      </c>
      <c r="I15" t="s">
        <v>172</v>
      </c>
      <c r="J15" s="26">
        <v>1062.5999999999999</v>
      </c>
      <c r="K15" t="s">
        <v>150</v>
      </c>
      <c r="L15" t="s">
        <v>169</v>
      </c>
      <c r="M15" t="s">
        <v>152</v>
      </c>
      <c r="N15" t="str">
        <f>"00073759"</f>
        <v>00073759</v>
      </c>
      <c r="O15" t="str">
        <f>" "</f>
        <v xml:space="preserve"> </v>
      </c>
      <c r="P15" t="s">
        <v>0</v>
      </c>
      <c r="Q15" s="25">
        <v>43048</v>
      </c>
      <c r="R15" t="str">
        <f t="shared" si="4"/>
        <v>NER10</v>
      </c>
      <c r="S15" t="s">
        <v>153</v>
      </c>
      <c r="T15" t="s">
        <v>154</v>
      </c>
      <c r="U15" t="str">
        <f t="shared" si="5"/>
        <v>001981</v>
      </c>
      <c r="V15" t="str">
        <f t="shared" si="6"/>
        <v>30000</v>
      </c>
      <c r="W15" t="str">
        <f t="shared" si="7"/>
        <v>11363</v>
      </c>
      <c r="X15" t="str">
        <f>"72311"</f>
        <v>72311</v>
      </c>
      <c r="Y15">
        <v>600000</v>
      </c>
      <c r="Z15" t="s">
        <v>155</v>
      </c>
      <c r="AA15">
        <v>564.65300000000002</v>
      </c>
      <c r="AB15" t="str">
        <f>"0000000202"</f>
        <v>0000000202</v>
      </c>
      <c r="AC15" t="s">
        <v>156</v>
      </c>
      <c r="AD15" t="s">
        <v>156</v>
      </c>
      <c r="AE15" t="str">
        <f t="shared" si="8"/>
        <v>NER10</v>
      </c>
      <c r="AF15">
        <v>1</v>
      </c>
      <c r="AG15" t="s">
        <v>172</v>
      </c>
      <c r="AH15" t="s">
        <v>0</v>
      </c>
      <c r="AI15" t="str">
        <f t="shared" si="9"/>
        <v xml:space="preserve"> </v>
      </c>
      <c r="AJ15">
        <v>0</v>
      </c>
      <c r="AK15" t="s">
        <v>0</v>
      </c>
      <c r="AM15" t="str">
        <f>"11"</f>
        <v>11</v>
      </c>
      <c r="AN15" t="str">
        <f t="shared" si="10"/>
        <v xml:space="preserve"> </v>
      </c>
      <c r="AO15" t="str">
        <f t="shared" si="10"/>
        <v xml:space="preserve"> </v>
      </c>
      <c r="AP15" t="str">
        <f t="shared" si="10"/>
        <v xml:space="preserve"> </v>
      </c>
      <c r="AQ15" t="str">
        <f t="shared" si="10"/>
        <v xml:space="preserve"> </v>
      </c>
      <c r="AR15" t="str">
        <f t="shared" si="10"/>
        <v xml:space="preserve"> </v>
      </c>
      <c r="AS15" t="str">
        <f>"0163931118"</f>
        <v>0163931118</v>
      </c>
      <c r="AT15" s="25">
        <v>43048</v>
      </c>
      <c r="AU15" t="str">
        <f>"0006440559"</f>
        <v>0006440559</v>
      </c>
      <c r="AV15" s="25">
        <v>43048</v>
      </c>
    </row>
    <row r="16" spans="1:48">
      <c r="A16" t="str">
        <f t="shared" si="0"/>
        <v>00106074</v>
      </c>
      <c r="B16" t="str">
        <f t="shared" si="1"/>
        <v>00106986</v>
      </c>
      <c r="C16" s="25">
        <v>42997</v>
      </c>
      <c r="D16" t="s">
        <v>146</v>
      </c>
      <c r="E16" t="str">
        <f t="shared" si="2"/>
        <v>KOUASSI Nicole Flora</v>
      </c>
      <c r="F16" t="str">
        <f t="shared" si="3"/>
        <v>02252-UNDP (Direct Execution)</v>
      </c>
      <c r="G16" t="s">
        <v>147</v>
      </c>
      <c r="H16" t="s">
        <v>173</v>
      </c>
      <c r="I16" t="s">
        <v>174</v>
      </c>
      <c r="J16" s="26">
        <v>134.37</v>
      </c>
      <c r="K16" t="s">
        <v>150</v>
      </c>
      <c r="L16" t="s">
        <v>175</v>
      </c>
      <c r="M16" t="s">
        <v>152</v>
      </c>
      <c r="N16" t="str">
        <f>"00073970"</f>
        <v>00073970</v>
      </c>
      <c r="O16" t="str">
        <f>" "</f>
        <v xml:space="preserve"> </v>
      </c>
      <c r="P16" t="s">
        <v>0</v>
      </c>
      <c r="Q16" t="s">
        <v>176</v>
      </c>
      <c r="R16" t="str">
        <f t="shared" si="4"/>
        <v>NER10</v>
      </c>
      <c r="S16" t="s">
        <v>153</v>
      </c>
      <c r="T16" t="s">
        <v>154</v>
      </c>
      <c r="U16" t="str">
        <f t="shared" si="5"/>
        <v>001981</v>
      </c>
      <c r="V16" t="str">
        <f t="shared" si="6"/>
        <v>30000</v>
      </c>
      <c r="W16" t="str">
        <f t="shared" si="7"/>
        <v>11363</v>
      </c>
      <c r="X16" t="str">
        <f>"74210"</f>
        <v>74210</v>
      </c>
      <c r="Y16">
        <v>74375</v>
      </c>
      <c r="Z16" t="s">
        <v>155</v>
      </c>
      <c r="AA16">
        <v>553.50400000000002</v>
      </c>
      <c r="AB16" t="str">
        <f>"0000000445"</f>
        <v>0000000445</v>
      </c>
      <c r="AC16" t="s">
        <v>177</v>
      </c>
      <c r="AD16" t="s">
        <v>156</v>
      </c>
      <c r="AE16" t="str">
        <f t="shared" si="8"/>
        <v>NER10</v>
      </c>
      <c r="AF16">
        <v>1</v>
      </c>
      <c r="AG16" t="s">
        <v>178</v>
      </c>
      <c r="AH16" t="s">
        <v>0</v>
      </c>
      <c r="AI16" t="str">
        <f t="shared" si="9"/>
        <v xml:space="preserve"> </v>
      </c>
      <c r="AJ16">
        <v>0</v>
      </c>
      <c r="AK16" t="s">
        <v>0</v>
      </c>
      <c r="AM16" t="str">
        <f t="shared" ref="AM16:AM27" si="11">"12"</f>
        <v>12</v>
      </c>
      <c r="AN16" t="str">
        <f t="shared" si="10"/>
        <v xml:space="preserve"> </v>
      </c>
      <c r="AO16" t="str">
        <f t="shared" si="10"/>
        <v xml:space="preserve"> </v>
      </c>
      <c r="AP16" t="str">
        <f t="shared" si="10"/>
        <v xml:space="preserve"> </v>
      </c>
      <c r="AQ16" t="str">
        <f t="shared" si="10"/>
        <v xml:space="preserve"> </v>
      </c>
      <c r="AR16" t="str">
        <f t="shared" si="10"/>
        <v xml:space="preserve"> </v>
      </c>
      <c r="AS16" t="str">
        <f>"0164895651"</f>
        <v>0164895651</v>
      </c>
      <c r="AT16" t="s">
        <v>179</v>
      </c>
      <c r="AU16" t="str">
        <f>"1188012276"</f>
        <v>1188012276</v>
      </c>
      <c r="AV16" t="s">
        <v>179</v>
      </c>
    </row>
    <row r="17" spans="1:48">
      <c r="A17" t="str">
        <f t="shared" si="0"/>
        <v>00106074</v>
      </c>
      <c r="B17" t="str">
        <f t="shared" si="1"/>
        <v>00106986</v>
      </c>
      <c r="C17" s="25">
        <v>42997</v>
      </c>
      <c r="D17" t="s">
        <v>146</v>
      </c>
      <c r="E17" t="str">
        <f t="shared" si="2"/>
        <v>KOUASSI Nicole Flora</v>
      </c>
      <c r="F17" t="str">
        <f t="shared" si="3"/>
        <v>02252-UNDP (Direct Execution)</v>
      </c>
      <c r="G17" t="s">
        <v>147</v>
      </c>
      <c r="H17" t="s">
        <v>162</v>
      </c>
      <c r="I17" t="s">
        <v>180</v>
      </c>
      <c r="J17" s="26">
        <v>-790.42</v>
      </c>
      <c r="K17" t="s">
        <v>168</v>
      </c>
      <c r="L17" t="s">
        <v>175</v>
      </c>
      <c r="M17" t="s">
        <v>152</v>
      </c>
      <c r="N17" t="str">
        <f>"00073991"</f>
        <v>00073991</v>
      </c>
      <c r="O17" t="str">
        <f>"0000009823"</f>
        <v>0000009823</v>
      </c>
      <c r="P17" t="s">
        <v>0</v>
      </c>
      <c r="Q17" t="s">
        <v>181</v>
      </c>
      <c r="R17" t="str">
        <f t="shared" si="4"/>
        <v>NER10</v>
      </c>
      <c r="S17" t="s">
        <v>153</v>
      </c>
      <c r="T17" t="s">
        <v>154</v>
      </c>
      <c r="U17" t="str">
        <f t="shared" si="5"/>
        <v>001981</v>
      </c>
      <c r="V17" t="str">
        <f t="shared" si="6"/>
        <v>30000</v>
      </c>
      <c r="W17" t="str">
        <f t="shared" si="7"/>
        <v>11363</v>
      </c>
      <c r="X17" t="str">
        <f>"71620"</f>
        <v>71620</v>
      </c>
      <c r="Y17">
        <v>-437500</v>
      </c>
      <c r="Z17" t="s">
        <v>155</v>
      </c>
      <c r="AA17">
        <v>553.50400000000002</v>
      </c>
      <c r="AB17" t="str">
        <f>"0000007120"</f>
        <v>0000007120</v>
      </c>
      <c r="AC17" t="s">
        <v>164</v>
      </c>
      <c r="AD17" t="s">
        <v>156</v>
      </c>
      <c r="AE17" t="str">
        <f t="shared" si="8"/>
        <v>NER10</v>
      </c>
      <c r="AF17">
        <v>1</v>
      </c>
      <c r="AG17" t="s">
        <v>182</v>
      </c>
      <c r="AH17" t="s">
        <v>0</v>
      </c>
      <c r="AI17" t="str">
        <f t="shared" si="9"/>
        <v xml:space="preserve"> </v>
      </c>
      <c r="AJ17">
        <v>0</v>
      </c>
      <c r="AK17" t="s">
        <v>0</v>
      </c>
      <c r="AM17" t="str">
        <f t="shared" si="11"/>
        <v>12</v>
      </c>
      <c r="AN17" t="str">
        <f t="shared" si="10"/>
        <v xml:space="preserve"> </v>
      </c>
      <c r="AO17" t="str">
        <f t="shared" si="10"/>
        <v xml:space="preserve"> </v>
      </c>
      <c r="AP17" t="str">
        <f t="shared" si="10"/>
        <v xml:space="preserve"> </v>
      </c>
      <c r="AQ17" t="str">
        <f t="shared" si="10"/>
        <v xml:space="preserve"> </v>
      </c>
      <c r="AR17" t="str">
        <f t="shared" si="10"/>
        <v xml:space="preserve"> </v>
      </c>
      <c r="AS17" t="str">
        <f>"0164947723"</f>
        <v>0164947723</v>
      </c>
      <c r="AT17" t="s">
        <v>181</v>
      </c>
      <c r="AU17" t="str">
        <f>"0006440791"</f>
        <v>0006440791</v>
      </c>
      <c r="AV17" t="s">
        <v>181</v>
      </c>
    </row>
    <row r="18" spans="1:48">
      <c r="A18" t="str">
        <f t="shared" si="0"/>
        <v>00106074</v>
      </c>
      <c r="B18" t="str">
        <f t="shared" si="1"/>
        <v>00106986</v>
      </c>
      <c r="C18" s="25">
        <v>42997</v>
      </c>
      <c r="D18" t="s">
        <v>146</v>
      </c>
      <c r="E18" t="str">
        <f t="shared" si="2"/>
        <v>KOUASSI Nicole Flora</v>
      </c>
      <c r="F18" t="str">
        <f t="shared" si="3"/>
        <v>02252-UNDP (Direct Execution)</v>
      </c>
      <c r="G18" t="s">
        <v>147</v>
      </c>
      <c r="H18" t="s">
        <v>162</v>
      </c>
      <c r="I18" t="s">
        <v>180</v>
      </c>
      <c r="J18" s="26">
        <v>790.42</v>
      </c>
      <c r="K18" t="s">
        <v>150</v>
      </c>
      <c r="L18" t="s">
        <v>175</v>
      </c>
      <c r="M18" t="s">
        <v>152</v>
      </c>
      <c r="N18" t="str">
        <f>"00073991"</f>
        <v>00073991</v>
      </c>
      <c r="O18" t="str">
        <f>"0000009823"</f>
        <v>0000009823</v>
      </c>
      <c r="P18" t="s">
        <v>0</v>
      </c>
      <c r="Q18" t="s">
        <v>181</v>
      </c>
      <c r="R18" t="str">
        <f t="shared" si="4"/>
        <v>NER10</v>
      </c>
      <c r="S18" t="s">
        <v>153</v>
      </c>
      <c r="T18" t="s">
        <v>154</v>
      </c>
      <c r="U18" t="str">
        <f t="shared" si="5"/>
        <v>001981</v>
      </c>
      <c r="V18" t="str">
        <f t="shared" si="6"/>
        <v>30000</v>
      </c>
      <c r="W18" t="str">
        <f t="shared" si="7"/>
        <v>11363</v>
      </c>
      <c r="X18" t="str">
        <f>"71620"</f>
        <v>71620</v>
      </c>
      <c r="Y18">
        <v>437500</v>
      </c>
      <c r="Z18" t="s">
        <v>155</v>
      </c>
      <c r="AA18">
        <v>553.50400000000002</v>
      </c>
      <c r="AB18" t="str">
        <f>"0000007120"</f>
        <v>0000007120</v>
      </c>
      <c r="AC18" t="s">
        <v>164</v>
      </c>
      <c r="AD18" t="s">
        <v>156</v>
      </c>
      <c r="AE18" t="str">
        <f t="shared" si="8"/>
        <v>NER10</v>
      </c>
      <c r="AF18">
        <v>1</v>
      </c>
      <c r="AG18" t="s">
        <v>182</v>
      </c>
      <c r="AH18" t="s">
        <v>0</v>
      </c>
      <c r="AI18" t="str">
        <f t="shared" si="9"/>
        <v xml:space="preserve"> </v>
      </c>
      <c r="AJ18">
        <v>0</v>
      </c>
      <c r="AK18" t="s">
        <v>0</v>
      </c>
      <c r="AM18" t="str">
        <f t="shared" si="11"/>
        <v>12</v>
      </c>
      <c r="AN18" t="str">
        <f t="shared" si="10"/>
        <v xml:space="preserve"> </v>
      </c>
      <c r="AO18" t="str">
        <f t="shared" si="10"/>
        <v xml:space="preserve"> </v>
      </c>
      <c r="AP18" t="str">
        <f t="shared" si="10"/>
        <v xml:space="preserve"> </v>
      </c>
      <c r="AQ18" t="str">
        <f t="shared" si="10"/>
        <v xml:space="preserve"> </v>
      </c>
      <c r="AR18" t="str">
        <f t="shared" si="10"/>
        <v xml:space="preserve"> </v>
      </c>
      <c r="AS18" t="str">
        <f>"0164947723"</f>
        <v>0164947723</v>
      </c>
      <c r="AT18" t="s">
        <v>181</v>
      </c>
      <c r="AU18" t="str">
        <f>"0006440791"</f>
        <v>0006440791</v>
      </c>
      <c r="AV18" t="s">
        <v>181</v>
      </c>
    </row>
    <row r="19" spans="1:48">
      <c r="A19" t="str">
        <f t="shared" si="0"/>
        <v>00106074</v>
      </c>
      <c r="B19" t="str">
        <f t="shared" si="1"/>
        <v>00106986</v>
      </c>
      <c r="C19" s="25">
        <v>42997</v>
      </c>
      <c r="D19" t="s">
        <v>146</v>
      </c>
      <c r="E19" t="str">
        <f t="shared" si="2"/>
        <v>KOUASSI Nicole Flora</v>
      </c>
      <c r="F19" t="str">
        <f t="shared" si="3"/>
        <v>02252-UNDP (Direct Execution)</v>
      </c>
      <c r="G19" t="s">
        <v>147</v>
      </c>
      <c r="H19" t="s">
        <v>183</v>
      </c>
      <c r="I19" t="s">
        <v>184</v>
      </c>
      <c r="J19" s="26">
        <v>790.42</v>
      </c>
      <c r="K19" t="s">
        <v>150</v>
      </c>
      <c r="L19" t="s">
        <v>175</v>
      </c>
      <c r="M19" t="s">
        <v>152</v>
      </c>
      <c r="N19" t="str">
        <f>"00074092"</f>
        <v>00074092</v>
      </c>
      <c r="O19" t="str">
        <f t="shared" ref="O19:O25" si="12">" "</f>
        <v xml:space="preserve"> </v>
      </c>
      <c r="P19" t="s">
        <v>0</v>
      </c>
      <c r="Q19" t="s">
        <v>185</v>
      </c>
      <c r="R19" t="str">
        <f t="shared" si="4"/>
        <v>NER10</v>
      </c>
      <c r="S19" t="s">
        <v>153</v>
      </c>
      <c r="T19" t="s">
        <v>154</v>
      </c>
      <c r="U19" t="str">
        <f t="shared" si="5"/>
        <v>001981</v>
      </c>
      <c r="V19" t="str">
        <f t="shared" si="6"/>
        <v>30000</v>
      </c>
      <c r="W19" t="str">
        <f t="shared" si="7"/>
        <v>11363</v>
      </c>
      <c r="X19" t="str">
        <f>"71620"</f>
        <v>71620</v>
      </c>
      <c r="Y19">
        <v>437500</v>
      </c>
      <c r="Z19" t="s">
        <v>155</v>
      </c>
      <c r="AA19">
        <v>553.50400000000002</v>
      </c>
      <c r="AB19" t="str">
        <f>"0000006243"</f>
        <v>0000006243</v>
      </c>
      <c r="AC19" t="s">
        <v>186</v>
      </c>
      <c r="AD19">
        <v>8</v>
      </c>
      <c r="AE19" t="str">
        <f t="shared" si="8"/>
        <v>NER10</v>
      </c>
      <c r="AF19">
        <v>1</v>
      </c>
      <c r="AG19" t="s">
        <v>184</v>
      </c>
      <c r="AH19" t="s">
        <v>0</v>
      </c>
      <c r="AI19" t="str">
        <f t="shared" si="9"/>
        <v xml:space="preserve"> </v>
      </c>
      <c r="AJ19">
        <v>0</v>
      </c>
      <c r="AK19" t="s">
        <v>0</v>
      </c>
      <c r="AM19" t="str">
        <f t="shared" si="11"/>
        <v>12</v>
      </c>
      <c r="AN19" t="str">
        <f t="shared" ref="AN19:AR28" si="13">" "</f>
        <v xml:space="preserve"> </v>
      </c>
      <c r="AO19" t="str">
        <f t="shared" si="13"/>
        <v xml:space="preserve"> </v>
      </c>
      <c r="AP19" t="str">
        <f t="shared" si="13"/>
        <v xml:space="preserve"> </v>
      </c>
      <c r="AQ19" t="str">
        <f t="shared" si="13"/>
        <v xml:space="preserve"> </v>
      </c>
      <c r="AR19" t="str">
        <f t="shared" si="13"/>
        <v xml:space="preserve"> </v>
      </c>
      <c r="AS19" t="str">
        <f>"0165250783"</f>
        <v>0165250783</v>
      </c>
      <c r="AT19" t="s">
        <v>185</v>
      </c>
      <c r="AU19" t="str">
        <f>"0006440885"</f>
        <v>0006440885</v>
      </c>
      <c r="AV19" t="s">
        <v>187</v>
      </c>
    </row>
    <row r="20" spans="1:48">
      <c r="A20" t="str">
        <f t="shared" si="0"/>
        <v>00106074</v>
      </c>
      <c r="B20" t="str">
        <f t="shared" si="1"/>
        <v>00106986</v>
      </c>
      <c r="C20" s="25">
        <v>42997</v>
      </c>
      <c r="D20" t="s">
        <v>146</v>
      </c>
      <c r="E20" t="str">
        <f t="shared" si="2"/>
        <v>KOUASSI Nicole Flora</v>
      </c>
      <c r="F20" t="str">
        <f t="shared" si="3"/>
        <v>02252-UNDP (Direct Execution)</v>
      </c>
      <c r="G20" t="s">
        <v>147</v>
      </c>
      <c r="H20" t="s">
        <v>162</v>
      </c>
      <c r="I20" t="s">
        <v>188</v>
      </c>
      <c r="J20" s="26">
        <v>930.11</v>
      </c>
      <c r="K20" t="s">
        <v>150</v>
      </c>
      <c r="L20" t="s">
        <v>175</v>
      </c>
      <c r="M20" t="s">
        <v>152</v>
      </c>
      <c r="N20" t="str">
        <f>"00074188"</f>
        <v>00074188</v>
      </c>
      <c r="O20" t="str">
        <f t="shared" si="12"/>
        <v xml:space="preserve"> </v>
      </c>
      <c r="P20" t="s">
        <v>0</v>
      </c>
      <c r="Q20" t="s">
        <v>189</v>
      </c>
      <c r="R20" t="str">
        <f t="shared" si="4"/>
        <v>NER10</v>
      </c>
      <c r="S20" t="s">
        <v>153</v>
      </c>
      <c r="T20" t="s">
        <v>154</v>
      </c>
      <c r="U20" t="str">
        <f t="shared" si="5"/>
        <v>001981</v>
      </c>
      <c r="V20" t="str">
        <f t="shared" si="6"/>
        <v>30000</v>
      </c>
      <c r="W20" t="str">
        <f t="shared" si="7"/>
        <v>11363</v>
      </c>
      <c r="X20" t="str">
        <f>"73410"</f>
        <v>73410</v>
      </c>
      <c r="Y20">
        <v>514818</v>
      </c>
      <c r="Z20" t="s">
        <v>155</v>
      </c>
      <c r="AA20">
        <v>553.50400000000002</v>
      </c>
      <c r="AB20" t="str">
        <f t="shared" ref="AB20:AB25" si="14">"0000007120"</f>
        <v>0000007120</v>
      </c>
      <c r="AC20" t="s">
        <v>164</v>
      </c>
      <c r="AD20" t="s">
        <v>156</v>
      </c>
      <c r="AE20" t="str">
        <f t="shared" si="8"/>
        <v>NER10</v>
      </c>
      <c r="AF20">
        <v>1</v>
      </c>
      <c r="AG20" t="s">
        <v>188</v>
      </c>
      <c r="AH20" t="s">
        <v>0</v>
      </c>
      <c r="AI20" t="str">
        <f t="shared" si="9"/>
        <v xml:space="preserve"> </v>
      </c>
      <c r="AJ20">
        <v>0</v>
      </c>
      <c r="AK20" t="s">
        <v>0</v>
      </c>
      <c r="AM20" t="str">
        <f t="shared" si="11"/>
        <v>12</v>
      </c>
      <c r="AN20" t="str">
        <f t="shared" si="13"/>
        <v xml:space="preserve"> </v>
      </c>
      <c r="AO20" t="str">
        <f t="shared" si="13"/>
        <v xml:space="preserve"> </v>
      </c>
      <c r="AP20" t="str">
        <f t="shared" si="13"/>
        <v xml:space="preserve"> </v>
      </c>
      <c r="AQ20" t="str">
        <f t="shared" si="13"/>
        <v xml:space="preserve"> </v>
      </c>
      <c r="AR20" t="str">
        <f t="shared" si="13"/>
        <v xml:space="preserve"> </v>
      </c>
      <c r="AS20" t="str">
        <f>"0165610461"</f>
        <v>0165610461</v>
      </c>
      <c r="AT20" t="s">
        <v>189</v>
      </c>
      <c r="AU20" t="str">
        <f>"0006440989"</f>
        <v>0006440989</v>
      </c>
      <c r="AV20" t="s">
        <v>189</v>
      </c>
    </row>
    <row r="21" spans="1:48">
      <c r="A21" t="str">
        <f t="shared" si="0"/>
        <v>00106074</v>
      </c>
      <c r="B21" t="str">
        <f t="shared" si="1"/>
        <v>00106986</v>
      </c>
      <c r="C21" s="25">
        <v>42997</v>
      </c>
      <c r="D21" t="s">
        <v>146</v>
      </c>
      <c r="E21" t="str">
        <f t="shared" si="2"/>
        <v>KOUASSI Nicole Flora</v>
      </c>
      <c r="F21" t="str">
        <f t="shared" si="3"/>
        <v>02252-UNDP (Direct Execution)</v>
      </c>
      <c r="G21" t="s">
        <v>147</v>
      </c>
      <c r="H21" t="s">
        <v>162</v>
      </c>
      <c r="I21" t="s">
        <v>190</v>
      </c>
      <c r="J21" s="26">
        <v>379.4</v>
      </c>
      <c r="K21" t="s">
        <v>150</v>
      </c>
      <c r="L21" t="s">
        <v>175</v>
      </c>
      <c r="M21" t="s">
        <v>152</v>
      </c>
      <c r="N21" t="str">
        <f>"00074191"</f>
        <v>00074191</v>
      </c>
      <c r="O21" t="str">
        <f t="shared" si="12"/>
        <v xml:space="preserve"> </v>
      </c>
      <c r="P21" t="s">
        <v>0</v>
      </c>
      <c r="Q21" t="s">
        <v>176</v>
      </c>
      <c r="R21" t="str">
        <f t="shared" si="4"/>
        <v>NER10</v>
      </c>
      <c r="S21" t="s">
        <v>153</v>
      </c>
      <c r="T21" t="s">
        <v>154</v>
      </c>
      <c r="U21" t="str">
        <f t="shared" si="5"/>
        <v>001981</v>
      </c>
      <c r="V21" t="str">
        <f t="shared" si="6"/>
        <v>30000</v>
      </c>
      <c r="W21" t="str">
        <f t="shared" si="7"/>
        <v>11363</v>
      </c>
      <c r="X21" t="str">
        <f>"74205"</f>
        <v>74205</v>
      </c>
      <c r="Y21">
        <v>210000</v>
      </c>
      <c r="Z21" t="s">
        <v>155</v>
      </c>
      <c r="AA21">
        <v>553.50400000000002</v>
      </c>
      <c r="AB21" t="str">
        <f t="shared" si="14"/>
        <v>0000007120</v>
      </c>
      <c r="AC21" t="s">
        <v>164</v>
      </c>
      <c r="AD21" t="s">
        <v>156</v>
      </c>
      <c r="AE21" t="str">
        <f t="shared" si="8"/>
        <v>NER10</v>
      </c>
      <c r="AF21">
        <v>1</v>
      </c>
      <c r="AG21" t="s">
        <v>190</v>
      </c>
      <c r="AH21" t="s">
        <v>0</v>
      </c>
      <c r="AI21" t="str">
        <f t="shared" si="9"/>
        <v xml:space="preserve"> </v>
      </c>
      <c r="AJ21">
        <v>0</v>
      </c>
      <c r="AK21" t="s">
        <v>0</v>
      </c>
      <c r="AM21" t="str">
        <f t="shared" si="11"/>
        <v>12</v>
      </c>
      <c r="AN21" t="str">
        <f t="shared" si="13"/>
        <v xml:space="preserve"> </v>
      </c>
      <c r="AO21" t="str">
        <f t="shared" si="13"/>
        <v xml:space="preserve"> </v>
      </c>
      <c r="AP21" t="str">
        <f t="shared" si="13"/>
        <v xml:space="preserve"> </v>
      </c>
      <c r="AQ21" t="str">
        <f t="shared" si="13"/>
        <v xml:space="preserve"> </v>
      </c>
      <c r="AR21" t="str">
        <f t="shared" si="13"/>
        <v xml:space="preserve"> </v>
      </c>
      <c r="AS21" t="str">
        <f>"0165610429"</f>
        <v>0165610429</v>
      </c>
      <c r="AT21" t="s">
        <v>189</v>
      </c>
      <c r="AU21" t="str">
        <f>"0006440991"</f>
        <v>0006440991</v>
      </c>
      <c r="AV21" t="s">
        <v>189</v>
      </c>
    </row>
    <row r="22" spans="1:48">
      <c r="A22" t="str">
        <f t="shared" si="0"/>
        <v>00106074</v>
      </c>
      <c r="B22" t="str">
        <f t="shared" si="1"/>
        <v>00106986</v>
      </c>
      <c r="C22" s="25">
        <v>42997</v>
      </c>
      <c r="D22" t="s">
        <v>146</v>
      </c>
      <c r="E22" t="str">
        <f t="shared" si="2"/>
        <v>KOUASSI Nicole Flora</v>
      </c>
      <c r="F22" t="str">
        <f t="shared" si="3"/>
        <v>02252-UNDP (Direct Execution)</v>
      </c>
      <c r="G22" t="s">
        <v>147</v>
      </c>
      <c r="H22" t="s">
        <v>162</v>
      </c>
      <c r="I22" t="s">
        <v>190</v>
      </c>
      <c r="J22" s="26">
        <v>271</v>
      </c>
      <c r="K22" t="s">
        <v>150</v>
      </c>
      <c r="L22" t="s">
        <v>175</v>
      </c>
      <c r="M22" t="s">
        <v>152</v>
      </c>
      <c r="N22" t="str">
        <f>"00074191"</f>
        <v>00074191</v>
      </c>
      <c r="O22" t="str">
        <f t="shared" si="12"/>
        <v xml:space="preserve"> </v>
      </c>
      <c r="P22" t="s">
        <v>0</v>
      </c>
      <c r="Q22" t="s">
        <v>176</v>
      </c>
      <c r="R22" t="str">
        <f t="shared" si="4"/>
        <v>NER10</v>
      </c>
      <c r="S22" t="s">
        <v>153</v>
      </c>
      <c r="T22" t="s">
        <v>154</v>
      </c>
      <c r="U22" t="str">
        <f t="shared" si="5"/>
        <v>001981</v>
      </c>
      <c r="V22" t="str">
        <f t="shared" si="6"/>
        <v>30000</v>
      </c>
      <c r="W22" t="str">
        <f t="shared" si="7"/>
        <v>11363</v>
      </c>
      <c r="X22" t="str">
        <f>"73107"</f>
        <v>73107</v>
      </c>
      <c r="Y22">
        <v>150000</v>
      </c>
      <c r="Z22" t="s">
        <v>155</v>
      </c>
      <c r="AA22">
        <v>553.50400000000002</v>
      </c>
      <c r="AB22" t="str">
        <f t="shared" si="14"/>
        <v>0000007120</v>
      </c>
      <c r="AC22" t="s">
        <v>164</v>
      </c>
      <c r="AD22" t="s">
        <v>156</v>
      </c>
      <c r="AE22" t="str">
        <f t="shared" si="8"/>
        <v>NER10</v>
      </c>
      <c r="AF22">
        <v>1</v>
      </c>
      <c r="AG22" t="s">
        <v>190</v>
      </c>
      <c r="AH22" t="s">
        <v>0</v>
      </c>
      <c r="AI22" t="str">
        <f t="shared" si="9"/>
        <v xml:space="preserve"> </v>
      </c>
      <c r="AJ22">
        <v>0</v>
      </c>
      <c r="AK22" t="s">
        <v>0</v>
      </c>
      <c r="AM22" t="str">
        <f t="shared" si="11"/>
        <v>12</v>
      </c>
      <c r="AN22" t="str">
        <f t="shared" si="13"/>
        <v xml:space="preserve"> </v>
      </c>
      <c r="AO22" t="str">
        <f t="shared" si="13"/>
        <v xml:space="preserve"> </v>
      </c>
      <c r="AP22" t="str">
        <f t="shared" si="13"/>
        <v xml:space="preserve"> </v>
      </c>
      <c r="AQ22" t="str">
        <f t="shared" si="13"/>
        <v xml:space="preserve"> </v>
      </c>
      <c r="AR22" t="str">
        <f t="shared" si="13"/>
        <v xml:space="preserve"> </v>
      </c>
      <c r="AS22" t="str">
        <f>"0165610429"</f>
        <v>0165610429</v>
      </c>
      <c r="AT22" t="s">
        <v>189</v>
      </c>
      <c r="AU22" t="str">
        <f>"0006440991"</f>
        <v>0006440991</v>
      </c>
      <c r="AV22" t="s">
        <v>189</v>
      </c>
    </row>
    <row r="23" spans="1:48">
      <c r="A23" t="str">
        <f t="shared" si="0"/>
        <v>00106074</v>
      </c>
      <c r="B23" t="str">
        <f t="shared" si="1"/>
        <v>00106986</v>
      </c>
      <c r="C23" s="25">
        <v>42997</v>
      </c>
      <c r="D23" t="s">
        <v>146</v>
      </c>
      <c r="E23" t="str">
        <f t="shared" si="2"/>
        <v>KOUASSI Nicole Flora</v>
      </c>
      <c r="F23" t="str">
        <f t="shared" si="3"/>
        <v>02252-UNDP (Direct Execution)</v>
      </c>
      <c r="G23" t="s">
        <v>147</v>
      </c>
      <c r="H23" t="s">
        <v>162</v>
      </c>
      <c r="I23" t="s">
        <v>190</v>
      </c>
      <c r="J23" s="26">
        <v>787.93</v>
      </c>
      <c r="K23" t="s">
        <v>150</v>
      </c>
      <c r="L23" t="s">
        <v>175</v>
      </c>
      <c r="M23" t="s">
        <v>152</v>
      </c>
      <c r="N23" t="str">
        <f>"00074191"</f>
        <v>00074191</v>
      </c>
      <c r="O23" t="str">
        <f t="shared" si="12"/>
        <v xml:space="preserve"> </v>
      </c>
      <c r="P23" t="s">
        <v>0</v>
      </c>
      <c r="Q23" t="s">
        <v>176</v>
      </c>
      <c r="R23" t="str">
        <f t="shared" si="4"/>
        <v>NER10</v>
      </c>
      <c r="S23" t="s">
        <v>153</v>
      </c>
      <c r="T23" t="s">
        <v>154</v>
      </c>
      <c r="U23" t="str">
        <f t="shared" si="5"/>
        <v>001981</v>
      </c>
      <c r="V23" t="str">
        <f t="shared" si="6"/>
        <v>30000</v>
      </c>
      <c r="W23" t="str">
        <f t="shared" si="7"/>
        <v>11363</v>
      </c>
      <c r="X23" t="str">
        <f>"72311"</f>
        <v>72311</v>
      </c>
      <c r="Y23">
        <v>436125</v>
      </c>
      <c r="Z23" t="s">
        <v>155</v>
      </c>
      <c r="AA23">
        <v>553.50400000000002</v>
      </c>
      <c r="AB23" t="str">
        <f t="shared" si="14"/>
        <v>0000007120</v>
      </c>
      <c r="AC23" t="s">
        <v>164</v>
      </c>
      <c r="AD23" t="s">
        <v>156</v>
      </c>
      <c r="AE23" t="str">
        <f t="shared" si="8"/>
        <v>NER10</v>
      </c>
      <c r="AF23">
        <v>1</v>
      </c>
      <c r="AG23" t="s">
        <v>190</v>
      </c>
      <c r="AH23" t="s">
        <v>0</v>
      </c>
      <c r="AI23" t="str">
        <f t="shared" si="9"/>
        <v xml:space="preserve"> </v>
      </c>
      <c r="AJ23">
        <v>0</v>
      </c>
      <c r="AK23" t="s">
        <v>0</v>
      </c>
      <c r="AM23" t="str">
        <f t="shared" si="11"/>
        <v>12</v>
      </c>
      <c r="AN23" t="str">
        <f t="shared" si="13"/>
        <v xml:space="preserve"> </v>
      </c>
      <c r="AO23" t="str">
        <f t="shared" si="13"/>
        <v xml:space="preserve"> </v>
      </c>
      <c r="AP23" t="str">
        <f t="shared" si="13"/>
        <v xml:space="preserve"> </v>
      </c>
      <c r="AQ23" t="str">
        <f t="shared" si="13"/>
        <v xml:space="preserve"> </v>
      </c>
      <c r="AR23" t="str">
        <f t="shared" si="13"/>
        <v xml:space="preserve"> </v>
      </c>
      <c r="AS23" t="str">
        <f>"0165610429"</f>
        <v>0165610429</v>
      </c>
      <c r="AT23" t="s">
        <v>189</v>
      </c>
      <c r="AU23" t="str">
        <f>"0006440991"</f>
        <v>0006440991</v>
      </c>
      <c r="AV23" t="s">
        <v>189</v>
      </c>
    </row>
    <row r="24" spans="1:48">
      <c r="A24" t="str">
        <f t="shared" si="0"/>
        <v>00106074</v>
      </c>
      <c r="B24" t="str">
        <f t="shared" si="1"/>
        <v>00106986</v>
      </c>
      <c r="C24" s="25">
        <v>42997</v>
      </c>
      <c r="D24" t="s">
        <v>146</v>
      </c>
      <c r="E24" t="str">
        <f t="shared" si="2"/>
        <v>KOUASSI Nicole Flora</v>
      </c>
      <c r="F24" t="str">
        <f t="shared" si="3"/>
        <v>02252-UNDP (Direct Execution)</v>
      </c>
      <c r="G24" t="s">
        <v>147</v>
      </c>
      <c r="H24" t="s">
        <v>162</v>
      </c>
      <c r="I24" t="s">
        <v>190</v>
      </c>
      <c r="J24" s="26">
        <v>15253.73</v>
      </c>
      <c r="K24" t="s">
        <v>150</v>
      </c>
      <c r="L24" t="s">
        <v>175</v>
      </c>
      <c r="M24" t="s">
        <v>152</v>
      </c>
      <c r="N24" t="str">
        <f>"00074191"</f>
        <v>00074191</v>
      </c>
      <c r="O24" t="str">
        <f t="shared" si="12"/>
        <v xml:space="preserve"> </v>
      </c>
      <c r="P24" t="s">
        <v>0</v>
      </c>
      <c r="Q24" t="s">
        <v>176</v>
      </c>
      <c r="R24" t="str">
        <f t="shared" si="4"/>
        <v>NER10</v>
      </c>
      <c r="S24" t="s">
        <v>153</v>
      </c>
      <c r="T24" t="s">
        <v>154</v>
      </c>
      <c r="U24" t="str">
        <f t="shared" si="5"/>
        <v>001981</v>
      </c>
      <c r="V24" t="str">
        <f t="shared" si="6"/>
        <v>30000</v>
      </c>
      <c r="W24" t="str">
        <f t="shared" si="7"/>
        <v>11363</v>
      </c>
      <c r="X24" t="str">
        <f>"71625"</f>
        <v>71625</v>
      </c>
      <c r="Y24">
        <v>8443000</v>
      </c>
      <c r="Z24" t="s">
        <v>155</v>
      </c>
      <c r="AA24">
        <v>553.50400000000002</v>
      </c>
      <c r="AB24" t="str">
        <f t="shared" si="14"/>
        <v>0000007120</v>
      </c>
      <c r="AC24" t="s">
        <v>164</v>
      </c>
      <c r="AD24" t="s">
        <v>156</v>
      </c>
      <c r="AE24" t="str">
        <f t="shared" si="8"/>
        <v>NER10</v>
      </c>
      <c r="AF24">
        <v>1</v>
      </c>
      <c r="AG24" t="s">
        <v>190</v>
      </c>
      <c r="AH24" t="s">
        <v>0</v>
      </c>
      <c r="AI24" t="str">
        <f t="shared" si="9"/>
        <v xml:space="preserve"> </v>
      </c>
      <c r="AJ24">
        <v>0</v>
      </c>
      <c r="AK24" t="s">
        <v>0</v>
      </c>
      <c r="AM24" t="str">
        <f t="shared" si="11"/>
        <v>12</v>
      </c>
      <c r="AN24" t="str">
        <f t="shared" si="13"/>
        <v xml:space="preserve"> </v>
      </c>
      <c r="AO24" t="str">
        <f t="shared" si="13"/>
        <v xml:space="preserve"> </v>
      </c>
      <c r="AP24" t="str">
        <f t="shared" si="13"/>
        <v xml:space="preserve"> </v>
      </c>
      <c r="AQ24" t="str">
        <f t="shared" si="13"/>
        <v xml:space="preserve"> </v>
      </c>
      <c r="AR24" t="str">
        <f t="shared" si="13"/>
        <v xml:space="preserve"> </v>
      </c>
      <c r="AS24" t="str">
        <f>"0165610429"</f>
        <v>0165610429</v>
      </c>
      <c r="AT24" t="s">
        <v>189</v>
      </c>
      <c r="AU24" t="str">
        <f>"0006440991"</f>
        <v>0006440991</v>
      </c>
      <c r="AV24" t="s">
        <v>189</v>
      </c>
    </row>
    <row r="25" spans="1:48">
      <c r="A25" t="str">
        <f t="shared" si="0"/>
        <v>00106074</v>
      </c>
      <c r="B25" t="str">
        <f t="shared" si="1"/>
        <v>00106986</v>
      </c>
      <c r="C25" s="25">
        <v>42997</v>
      </c>
      <c r="D25" t="s">
        <v>146</v>
      </c>
      <c r="E25" t="str">
        <f t="shared" si="2"/>
        <v>KOUASSI Nicole Flora</v>
      </c>
      <c r="F25" t="str">
        <f t="shared" si="3"/>
        <v>02252-UNDP (Direct Execution)</v>
      </c>
      <c r="G25" t="s">
        <v>147</v>
      </c>
      <c r="H25" t="s">
        <v>162</v>
      </c>
      <c r="I25" t="s">
        <v>190</v>
      </c>
      <c r="J25" s="26">
        <v>544.71</v>
      </c>
      <c r="K25" t="s">
        <v>150</v>
      </c>
      <c r="L25" t="s">
        <v>175</v>
      </c>
      <c r="M25" t="s">
        <v>152</v>
      </c>
      <c r="N25" t="str">
        <f>"00074191"</f>
        <v>00074191</v>
      </c>
      <c r="O25" t="str">
        <f t="shared" si="12"/>
        <v xml:space="preserve"> </v>
      </c>
      <c r="P25" t="s">
        <v>0</v>
      </c>
      <c r="Q25" t="s">
        <v>176</v>
      </c>
      <c r="R25" t="str">
        <f t="shared" si="4"/>
        <v>NER10</v>
      </c>
      <c r="S25" t="s">
        <v>153</v>
      </c>
      <c r="T25" t="s">
        <v>154</v>
      </c>
      <c r="U25" t="str">
        <f t="shared" si="5"/>
        <v>001981</v>
      </c>
      <c r="V25" t="str">
        <f t="shared" si="6"/>
        <v>30000</v>
      </c>
      <c r="W25" t="str">
        <f t="shared" si="7"/>
        <v>11363</v>
      </c>
      <c r="X25" t="str">
        <f>"72505"</f>
        <v>72505</v>
      </c>
      <c r="Y25">
        <v>301500</v>
      </c>
      <c r="Z25" t="s">
        <v>155</v>
      </c>
      <c r="AA25">
        <v>553.50400000000002</v>
      </c>
      <c r="AB25" t="str">
        <f t="shared" si="14"/>
        <v>0000007120</v>
      </c>
      <c r="AC25" t="s">
        <v>164</v>
      </c>
      <c r="AD25" t="s">
        <v>156</v>
      </c>
      <c r="AE25" t="str">
        <f t="shared" si="8"/>
        <v>NER10</v>
      </c>
      <c r="AF25">
        <v>1</v>
      </c>
      <c r="AG25" t="s">
        <v>190</v>
      </c>
      <c r="AH25" t="s">
        <v>0</v>
      </c>
      <c r="AI25" t="str">
        <f t="shared" si="9"/>
        <v xml:space="preserve"> </v>
      </c>
      <c r="AJ25">
        <v>0</v>
      </c>
      <c r="AK25" t="s">
        <v>0</v>
      </c>
      <c r="AM25" t="str">
        <f t="shared" si="11"/>
        <v>12</v>
      </c>
      <c r="AN25" t="str">
        <f t="shared" si="13"/>
        <v xml:space="preserve"> </v>
      </c>
      <c r="AO25" t="str">
        <f t="shared" si="13"/>
        <v xml:space="preserve"> </v>
      </c>
      <c r="AP25" t="str">
        <f t="shared" si="13"/>
        <v xml:space="preserve"> </v>
      </c>
      <c r="AQ25" t="str">
        <f t="shared" si="13"/>
        <v xml:space="preserve"> </v>
      </c>
      <c r="AR25" t="str">
        <f t="shared" si="13"/>
        <v xml:space="preserve"> </v>
      </c>
      <c r="AS25" t="str">
        <f>"0165610429"</f>
        <v>0165610429</v>
      </c>
      <c r="AT25" t="s">
        <v>189</v>
      </c>
      <c r="AU25" t="str">
        <f>"0006440991"</f>
        <v>0006440991</v>
      </c>
      <c r="AV25" t="s">
        <v>189</v>
      </c>
    </row>
    <row r="26" spans="1:48">
      <c r="A26" t="str">
        <f t="shared" si="0"/>
        <v>00106074</v>
      </c>
      <c r="B26" t="str">
        <f t="shared" si="1"/>
        <v>00106986</v>
      </c>
      <c r="C26" s="25">
        <v>42997</v>
      </c>
      <c r="D26" t="s">
        <v>146</v>
      </c>
      <c r="E26" t="str">
        <f t="shared" si="2"/>
        <v>KOUASSI Nicole Flora</v>
      </c>
      <c r="F26" t="str">
        <f t="shared" si="3"/>
        <v>02252-UNDP (Direct Execution)</v>
      </c>
      <c r="G26" t="s">
        <v>147</v>
      </c>
      <c r="H26" t="s">
        <v>191</v>
      </c>
      <c r="I26" t="s">
        <v>192</v>
      </c>
      <c r="J26" s="26">
        <v>-14670</v>
      </c>
      <c r="K26" t="s">
        <v>168</v>
      </c>
      <c r="L26" t="s">
        <v>175</v>
      </c>
      <c r="M26" t="s">
        <v>152</v>
      </c>
      <c r="N26" t="str">
        <f>"00074199"</f>
        <v>00074199</v>
      </c>
      <c r="O26" t="str">
        <f>"0000009839"</f>
        <v>0000009839</v>
      </c>
      <c r="P26" t="s">
        <v>0</v>
      </c>
      <c r="Q26" t="s">
        <v>193</v>
      </c>
      <c r="R26" t="str">
        <f t="shared" si="4"/>
        <v>NER10</v>
      </c>
      <c r="S26" t="s">
        <v>153</v>
      </c>
      <c r="T26" t="s">
        <v>154</v>
      </c>
      <c r="U26" t="str">
        <f t="shared" si="5"/>
        <v>001981</v>
      </c>
      <c r="V26" t="str">
        <f t="shared" si="6"/>
        <v>30000</v>
      </c>
      <c r="W26" t="str">
        <f t="shared" si="7"/>
        <v>11363</v>
      </c>
      <c r="X26" t="str">
        <f>"72505"</f>
        <v>72505</v>
      </c>
      <c r="Y26">
        <v>-14670</v>
      </c>
      <c r="Z26" t="s">
        <v>194</v>
      </c>
      <c r="AA26">
        <v>1</v>
      </c>
      <c r="AB26" t="str">
        <f>"0000007204"</f>
        <v>0000007204</v>
      </c>
      <c r="AC26" t="s">
        <v>195</v>
      </c>
      <c r="AD26" t="s">
        <v>196</v>
      </c>
      <c r="AE26" t="str">
        <f t="shared" si="8"/>
        <v>NER10</v>
      </c>
      <c r="AF26">
        <v>1</v>
      </c>
      <c r="AG26" t="s">
        <v>197</v>
      </c>
      <c r="AH26" t="s">
        <v>0</v>
      </c>
      <c r="AI26" t="str">
        <f t="shared" si="9"/>
        <v xml:space="preserve"> </v>
      </c>
      <c r="AJ26">
        <v>0</v>
      </c>
      <c r="AK26" t="s">
        <v>0</v>
      </c>
      <c r="AM26" t="str">
        <f t="shared" si="11"/>
        <v>12</v>
      </c>
      <c r="AN26" t="str">
        <f t="shared" si="13"/>
        <v xml:space="preserve"> </v>
      </c>
      <c r="AO26" t="str">
        <f t="shared" si="13"/>
        <v xml:space="preserve"> </v>
      </c>
      <c r="AP26" t="str">
        <f t="shared" si="13"/>
        <v xml:space="preserve"> </v>
      </c>
      <c r="AQ26" t="str">
        <f t="shared" si="13"/>
        <v xml:space="preserve"> </v>
      </c>
      <c r="AR26" t="str">
        <f t="shared" si="13"/>
        <v xml:space="preserve"> </v>
      </c>
      <c r="AS26" t="str">
        <f>"0165629155"</f>
        <v>0165629155</v>
      </c>
      <c r="AT26" t="s">
        <v>193</v>
      </c>
      <c r="AU26" t="str">
        <f>"1800607963"</f>
        <v>1800607963</v>
      </c>
      <c r="AV26" t="s">
        <v>193</v>
      </c>
    </row>
    <row r="27" spans="1:48">
      <c r="A27" t="str">
        <f t="shared" si="0"/>
        <v>00106074</v>
      </c>
      <c r="B27" t="str">
        <f t="shared" si="1"/>
        <v>00106986</v>
      </c>
      <c r="C27" s="25">
        <v>42997</v>
      </c>
      <c r="D27" t="s">
        <v>146</v>
      </c>
      <c r="E27" t="str">
        <f t="shared" si="2"/>
        <v>KOUASSI Nicole Flora</v>
      </c>
      <c r="F27" t="str">
        <f t="shared" si="3"/>
        <v>02252-UNDP (Direct Execution)</v>
      </c>
      <c r="G27" t="s">
        <v>147</v>
      </c>
      <c r="H27" t="s">
        <v>191</v>
      </c>
      <c r="I27" t="s">
        <v>192</v>
      </c>
      <c r="J27" s="26">
        <v>14670</v>
      </c>
      <c r="K27" t="s">
        <v>150</v>
      </c>
      <c r="L27" t="s">
        <v>175</v>
      </c>
      <c r="M27" t="s">
        <v>152</v>
      </c>
      <c r="N27" t="str">
        <f>"00074199"</f>
        <v>00074199</v>
      </c>
      <c r="O27" t="str">
        <f>"0000009839"</f>
        <v>0000009839</v>
      </c>
      <c r="P27" t="s">
        <v>0</v>
      </c>
      <c r="Q27" t="s">
        <v>193</v>
      </c>
      <c r="R27" t="str">
        <f t="shared" si="4"/>
        <v>NER10</v>
      </c>
      <c r="S27" t="s">
        <v>153</v>
      </c>
      <c r="T27" t="s">
        <v>154</v>
      </c>
      <c r="U27" t="str">
        <f t="shared" si="5"/>
        <v>001981</v>
      </c>
      <c r="V27" t="str">
        <f t="shared" si="6"/>
        <v>30000</v>
      </c>
      <c r="W27" t="str">
        <f t="shared" si="7"/>
        <v>11363</v>
      </c>
      <c r="X27" t="str">
        <f>"72505"</f>
        <v>72505</v>
      </c>
      <c r="Y27">
        <v>14670</v>
      </c>
      <c r="Z27" t="s">
        <v>194</v>
      </c>
      <c r="AA27">
        <v>1</v>
      </c>
      <c r="AB27" t="str">
        <f>"0000007204"</f>
        <v>0000007204</v>
      </c>
      <c r="AC27" t="s">
        <v>195</v>
      </c>
      <c r="AD27" t="s">
        <v>196</v>
      </c>
      <c r="AE27" t="str">
        <f t="shared" si="8"/>
        <v>NER10</v>
      </c>
      <c r="AF27">
        <v>1</v>
      </c>
      <c r="AG27" t="s">
        <v>197</v>
      </c>
      <c r="AH27" t="s">
        <v>0</v>
      </c>
      <c r="AI27" t="str">
        <f t="shared" si="9"/>
        <v xml:space="preserve"> </v>
      </c>
      <c r="AJ27">
        <v>0</v>
      </c>
      <c r="AK27" t="s">
        <v>0</v>
      </c>
      <c r="AM27" t="str">
        <f t="shared" si="11"/>
        <v>12</v>
      </c>
      <c r="AN27" t="str">
        <f t="shared" si="13"/>
        <v xml:space="preserve"> </v>
      </c>
      <c r="AO27" t="str">
        <f t="shared" si="13"/>
        <v xml:space="preserve"> </v>
      </c>
      <c r="AP27" t="str">
        <f t="shared" si="13"/>
        <v xml:space="preserve"> </v>
      </c>
      <c r="AQ27" t="str">
        <f t="shared" si="13"/>
        <v xml:space="preserve"> </v>
      </c>
      <c r="AR27" t="str">
        <f t="shared" si="13"/>
        <v xml:space="preserve"> </v>
      </c>
      <c r="AS27" t="str">
        <f>"0165629155"</f>
        <v>0165629155</v>
      </c>
      <c r="AT27" t="s">
        <v>193</v>
      </c>
      <c r="AU27" t="str">
        <f>"1800607963"</f>
        <v>1800607963</v>
      </c>
      <c r="AV27" t="s">
        <v>193</v>
      </c>
    </row>
    <row r="28" spans="1:48">
      <c r="A28" t="str">
        <f t="shared" si="0"/>
        <v>00106074</v>
      </c>
      <c r="B28" t="str">
        <f t="shared" si="1"/>
        <v>00106986</v>
      </c>
      <c r="C28" s="25">
        <v>42997</v>
      </c>
      <c r="D28" t="s">
        <v>146</v>
      </c>
      <c r="E28" t="str">
        <f t="shared" si="2"/>
        <v>KOUASSI Nicole Flora</v>
      </c>
      <c r="F28" t="str">
        <f t="shared" si="3"/>
        <v>02252-UNDP (Direct Execution)</v>
      </c>
      <c r="G28" t="s">
        <v>147</v>
      </c>
      <c r="H28" t="s">
        <v>166</v>
      </c>
      <c r="I28" t="s">
        <v>0</v>
      </c>
      <c r="J28" s="26">
        <v>246.21</v>
      </c>
      <c r="K28" t="s">
        <v>168</v>
      </c>
      <c r="L28" t="s">
        <v>169</v>
      </c>
      <c r="M28" t="s">
        <v>198</v>
      </c>
      <c r="N28" t="str">
        <f t="shared" ref="N28:N56" si="15">" "</f>
        <v xml:space="preserve"> </v>
      </c>
      <c r="O28" t="str">
        <f>"0000009742"</f>
        <v>0000009742</v>
      </c>
      <c r="P28" t="s">
        <v>199</v>
      </c>
      <c r="Q28" s="25">
        <v>43052</v>
      </c>
      <c r="R28" t="str">
        <f t="shared" si="4"/>
        <v>NER10</v>
      </c>
      <c r="S28" t="s">
        <v>153</v>
      </c>
      <c r="T28" t="s">
        <v>154</v>
      </c>
      <c r="U28" t="str">
        <f t="shared" si="5"/>
        <v>001981</v>
      </c>
      <c r="V28" t="str">
        <f t="shared" si="6"/>
        <v>30000</v>
      </c>
      <c r="W28" t="str">
        <f t="shared" si="7"/>
        <v>11363</v>
      </c>
      <c r="X28" t="str">
        <f>"71610"</f>
        <v>71610</v>
      </c>
      <c r="Y28">
        <v>139021</v>
      </c>
      <c r="Z28" t="s">
        <v>155</v>
      </c>
      <c r="AA28">
        <v>564.65300000000002</v>
      </c>
      <c r="AB28" t="str">
        <f>"0000003572"</f>
        <v>0000003572</v>
      </c>
      <c r="AC28" t="s">
        <v>170</v>
      </c>
      <c r="AD28" t="s">
        <v>156</v>
      </c>
      <c r="AE28" t="str">
        <f t="shared" si="8"/>
        <v>NER10</v>
      </c>
      <c r="AF28">
        <v>0</v>
      </c>
      <c r="AG28" t="s">
        <v>0</v>
      </c>
      <c r="AH28" t="s">
        <v>167</v>
      </c>
      <c r="AI28" t="str">
        <f t="shared" si="9"/>
        <v xml:space="preserve"> </v>
      </c>
      <c r="AJ28">
        <v>0</v>
      </c>
      <c r="AK28" t="s">
        <v>0</v>
      </c>
      <c r="AM28" t="str">
        <f>"11"</f>
        <v>11</v>
      </c>
      <c r="AN28" t="str">
        <f t="shared" si="13"/>
        <v xml:space="preserve"> </v>
      </c>
      <c r="AO28" t="str">
        <f t="shared" si="13"/>
        <v xml:space="preserve"> </v>
      </c>
      <c r="AP28" t="str">
        <f t="shared" si="13"/>
        <v xml:space="preserve"> </v>
      </c>
      <c r="AQ28" t="str">
        <f t="shared" si="13"/>
        <v xml:space="preserve"> </v>
      </c>
      <c r="AR28" t="str">
        <f t="shared" si="13"/>
        <v xml:space="preserve"> </v>
      </c>
      <c r="AS28" t="str">
        <f>"0163590932"</f>
        <v>0163590932</v>
      </c>
      <c r="AT28" s="25">
        <v>43041</v>
      </c>
      <c r="AU28" t="s">
        <v>0</v>
      </c>
      <c r="AV28" t="s">
        <v>0</v>
      </c>
    </row>
    <row r="29" spans="1:48">
      <c r="A29" t="str">
        <f t="shared" si="0"/>
        <v>00106074</v>
      </c>
      <c r="B29" t="str">
        <f t="shared" si="1"/>
        <v>00106986</v>
      </c>
      <c r="C29" s="25">
        <v>42997</v>
      </c>
      <c r="D29" t="s">
        <v>146</v>
      </c>
      <c r="E29" t="str">
        <f t="shared" si="2"/>
        <v>KOUASSI Nicole Flora</v>
      </c>
      <c r="F29" t="str">
        <f t="shared" si="3"/>
        <v>02252-UNDP (Direct Execution)</v>
      </c>
      <c r="G29" t="s">
        <v>147</v>
      </c>
      <c r="H29" t="s">
        <v>162</v>
      </c>
      <c r="I29" t="s">
        <v>0</v>
      </c>
      <c r="J29" s="26">
        <v>790.42</v>
      </c>
      <c r="K29" t="s">
        <v>168</v>
      </c>
      <c r="L29" t="s">
        <v>175</v>
      </c>
      <c r="M29" t="s">
        <v>198</v>
      </c>
      <c r="N29" t="str">
        <f t="shared" si="15"/>
        <v xml:space="preserve"> </v>
      </c>
      <c r="O29" t="str">
        <f>"0000009823"</f>
        <v>0000009823</v>
      </c>
      <c r="P29" t="s">
        <v>199</v>
      </c>
      <c r="Q29" t="s">
        <v>181</v>
      </c>
      <c r="R29" t="str">
        <f t="shared" si="4"/>
        <v>NER10</v>
      </c>
      <c r="S29" t="s">
        <v>153</v>
      </c>
      <c r="T29" t="s">
        <v>154</v>
      </c>
      <c r="U29" t="str">
        <f t="shared" si="5"/>
        <v>001981</v>
      </c>
      <c r="V29" t="str">
        <f t="shared" si="6"/>
        <v>30000</v>
      </c>
      <c r="W29" t="str">
        <f t="shared" si="7"/>
        <v>11363</v>
      </c>
      <c r="X29" t="str">
        <f>"71620"</f>
        <v>71620</v>
      </c>
      <c r="Y29">
        <v>437500</v>
      </c>
      <c r="Z29" t="s">
        <v>155</v>
      </c>
      <c r="AA29">
        <v>553.50400000000002</v>
      </c>
      <c r="AB29" t="str">
        <f>"0000007120"</f>
        <v>0000007120</v>
      </c>
      <c r="AC29" t="s">
        <v>164</v>
      </c>
      <c r="AD29" t="s">
        <v>156</v>
      </c>
      <c r="AE29" t="str">
        <f t="shared" si="8"/>
        <v>NER10</v>
      </c>
      <c r="AF29">
        <v>0</v>
      </c>
      <c r="AG29" t="s">
        <v>0</v>
      </c>
      <c r="AH29" t="s">
        <v>180</v>
      </c>
      <c r="AI29" t="str">
        <f t="shared" si="9"/>
        <v xml:space="preserve"> </v>
      </c>
      <c r="AJ29">
        <v>0</v>
      </c>
      <c r="AK29" t="s">
        <v>0</v>
      </c>
      <c r="AM29" t="str">
        <f>"12"</f>
        <v>12</v>
      </c>
      <c r="AN29" t="str">
        <f t="shared" ref="AN29:AR43" si="16">" "</f>
        <v xml:space="preserve"> </v>
      </c>
      <c r="AO29" t="str">
        <f t="shared" si="16"/>
        <v xml:space="preserve"> </v>
      </c>
      <c r="AP29" t="str">
        <f t="shared" si="16"/>
        <v xml:space="preserve"> </v>
      </c>
      <c r="AQ29" t="str">
        <f t="shared" si="16"/>
        <v xml:space="preserve"> </v>
      </c>
      <c r="AR29" t="str">
        <f t="shared" si="16"/>
        <v xml:space="preserve"> </v>
      </c>
      <c r="AS29" t="str">
        <f>"0164897726"</f>
        <v>0164897726</v>
      </c>
      <c r="AT29" t="s">
        <v>179</v>
      </c>
      <c r="AU29" t="s">
        <v>0</v>
      </c>
      <c r="AV29" t="s">
        <v>0</v>
      </c>
    </row>
    <row r="30" spans="1:48">
      <c r="A30" t="str">
        <f t="shared" si="0"/>
        <v>00106074</v>
      </c>
      <c r="B30" t="str">
        <f t="shared" si="1"/>
        <v>00106986</v>
      </c>
      <c r="C30" s="25">
        <v>42997</v>
      </c>
      <c r="D30" t="s">
        <v>146</v>
      </c>
      <c r="E30" t="str">
        <f t="shared" si="2"/>
        <v>KOUASSI Nicole Flora</v>
      </c>
      <c r="F30" t="str">
        <f t="shared" si="3"/>
        <v>02252-UNDP (Direct Execution)</v>
      </c>
      <c r="G30" t="s">
        <v>147</v>
      </c>
      <c r="H30" t="s">
        <v>191</v>
      </c>
      <c r="I30" t="s">
        <v>0</v>
      </c>
      <c r="J30" s="26">
        <v>14670</v>
      </c>
      <c r="K30" t="s">
        <v>168</v>
      </c>
      <c r="L30" t="s">
        <v>175</v>
      </c>
      <c r="M30" t="s">
        <v>198</v>
      </c>
      <c r="N30" t="str">
        <f t="shared" si="15"/>
        <v xml:space="preserve"> </v>
      </c>
      <c r="O30" t="str">
        <f>"0000009839"</f>
        <v>0000009839</v>
      </c>
      <c r="P30" t="s">
        <v>199</v>
      </c>
      <c r="Q30" t="s">
        <v>200</v>
      </c>
      <c r="R30" t="str">
        <f t="shared" si="4"/>
        <v>NER10</v>
      </c>
      <c r="S30" t="s">
        <v>153</v>
      </c>
      <c r="T30" t="s">
        <v>154</v>
      </c>
      <c r="U30" t="str">
        <f t="shared" si="5"/>
        <v>001981</v>
      </c>
      <c r="V30" t="str">
        <f t="shared" si="6"/>
        <v>30000</v>
      </c>
      <c r="W30" t="str">
        <f t="shared" si="7"/>
        <v>11363</v>
      </c>
      <c r="X30" t="str">
        <f>"72505"</f>
        <v>72505</v>
      </c>
      <c r="Y30">
        <v>14670</v>
      </c>
      <c r="Z30" t="s">
        <v>194</v>
      </c>
      <c r="AA30">
        <v>1</v>
      </c>
      <c r="AB30" t="str">
        <f>"0000007204"</f>
        <v>0000007204</v>
      </c>
      <c r="AC30" t="s">
        <v>195</v>
      </c>
      <c r="AD30" t="s">
        <v>196</v>
      </c>
      <c r="AE30" t="str">
        <f t="shared" si="8"/>
        <v>NER10</v>
      </c>
      <c r="AF30">
        <v>0</v>
      </c>
      <c r="AG30" t="s">
        <v>0</v>
      </c>
      <c r="AH30" t="s">
        <v>192</v>
      </c>
      <c r="AI30" t="str">
        <f t="shared" si="9"/>
        <v xml:space="preserve"> </v>
      </c>
      <c r="AJ30">
        <v>0</v>
      </c>
      <c r="AK30" t="s">
        <v>0</v>
      </c>
      <c r="AM30" t="str">
        <f>"12"</f>
        <v>12</v>
      </c>
      <c r="AN30" t="str">
        <f t="shared" si="16"/>
        <v xml:space="preserve"> </v>
      </c>
      <c r="AO30" t="str">
        <f t="shared" si="16"/>
        <v xml:space="preserve"> </v>
      </c>
      <c r="AP30" t="str">
        <f t="shared" si="16"/>
        <v xml:space="preserve"> </v>
      </c>
      <c r="AQ30" t="str">
        <f t="shared" si="16"/>
        <v xml:space="preserve"> </v>
      </c>
      <c r="AR30" t="str">
        <f t="shared" si="16"/>
        <v xml:space="preserve"> </v>
      </c>
      <c r="AS30" t="str">
        <f>"0165610616"</f>
        <v>0165610616</v>
      </c>
      <c r="AT30" t="s">
        <v>189</v>
      </c>
      <c r="AU30" t="s">
        <v>0</v>
      </c>
      <c r="AV30" t="s">
        <v>0</v>
      </c>
    </row>
    <row r="31" spans="1:48">
      <c r="A31" t="str">
        <f t="shared" si="0"/>
        <v>00106074</v>
      </c>
      <c r="B31" t="str">
        <f t="shared" si="1"/>
        <v>00106986</v>
      </c>
      <c r="C31" s="25">
        <v>42997</v>
      </c>
      <c r="D31" t="s">
        <v>146</v>
      </c>
      <c r="E31" t="str">
        <f t="shared" si="2"/>
        <v>KOUASSI Nicole Flora</v>
      </c>
      <c r="F31" t="str">
        <f t="shared" si="3"/>
        <v>02252-UNDP (Direct Execution)</v>
      </c>
      <c r="G31" t="s">
        <v>147</v>
      </c>
      <c r="H31" t="s">
        <v>0</v>
      </c>
      <c r="I31" t="s">
        <v>0</v>
      </c>
      <c r="J31" s="26">
        <v>858.37</v>
      </c>
      <c r="K31" t="s">
        <v>150</v>
      </c>
      <c r="L31" t="s">
        <v>151</v>
      </c>
      <c r="M31" t="s">
        <v>201</v>
      </c>
      <c r="N31" t="str">
        <f t="shared" si="15"/>
        <v xml:space="preserve"> </v>
      </c>
      <c r="O31" t="str">
        <f t="shared" ref="O31:O60" si="17">" "</f>
        <v xml:space="preserve"> </v>
      </c>
      <c r="P31" t="s">
        <v>0</v>
      </c>
      <c r="Q31" t="s">
        <v>0</v>
      </c>
      <c r="R31" t="str">
        <f t="shared" si="4"/>
        <v>NER10</v>
      </c>
      <c r="S31" t="s">
        <v>153</v>
      </c>
      <c r="T31" t="s">
        <v>154</v>
      </c>
      <c r="U31" t="str">
        <f t="shared" si="5"/>
        <v>001981</v>
      </c>
      <c r="V31" t="str">
        <f t="shared" si="6"/>
        <v>30000</v>
      </c>
      <c r="W31" t="str">
        <f t="shared" si="7"/>
        <v>11363</v>
      </c>
      <c r="X31" t="str">
        <f>"75105"</f>
        <v>75105</v>
      </c>
      <c r="Y31">
        <v>858.37</v>
      </c>
      <c r="Z31" t="s">
        <v>194</v>
      </c>
      <c r="AA31">
        <v>1</v>
      </c>
      <c r="AB31" t="s">
        <v>0</v>
      </c>
      <c r="AC31" t="s">
        <v>0</v>
      </c>
      <c r="AD31" t="s">
        <v>0</v>
      </c>
      <c r="AE31" t="str">
        <f t="shared" ref="AE31:AE43" si="18">"UNDP1"</f>
        <v>UNDP1</v>
      </c>
      <c r="AF31">
        <v>0</v>
      </c>
      <c r="AG31" t="s">
        <v>0</v>
      </c>
      <c r="AH31" t="s">
        <v>0</v>
      </c>
      <c r="AI31" t="str">
        <f>"0007246170"</f>
        <v>0007246170</v>
      </c>
      <c r="AJ31">
        <v>4164</v>
      </c>
      <c r="AK31" t="s">
        <v>202</v>
      </c>
      <c r="AL31" s="25">
        <v>43039</v>
      </c>
      <c r="AM31" t="str">
        <f>"10"</f>
        <v>10</v>
      </c>
      <c r="AN31" t="str">
        <f t="shared" si="16"/>
        <v xml:space="preserve"> </v>
      </c>
      <c r="AO31" t="str">
        <f t="shared" si="16"/>
        <v xml:space="preserve"> </v>
      </c>
      <c r="AP31" t="str">
        <f t="shared" si="16"/>
        <v xml:space="preserve"> </v>
      </c>
      <c r="AQ31" t="str">
        <f t="shared" si="16"/>
        <v xml:space="preserve"> </v>
      </c>
      <c r="AR31" t="str">
        <f t="shared" si="16"/>
        <v xml:space="preserve"> </v>
      </c>
      <c r="AS31" t="str">
        <f>"0164288038"</f>
        <v>0164288038</v>
      </c>
      <c r="AT31" s="25">
        <v>43057</v>
      </c>
      <c r="AU31" t="s">
        <v>0</v>
      </c>
      <c r="AV31" t="s">
        <v>0</v>
      </c>
    </row>
    <row r="32" spans="1:48">
      <c r="A32" t="str">
        <f t="shared" si="0"/>
        <v>00106074</v>
      </c>
      <c r="B32" t="str">
        <f t="shared" si="1"/>
        <v>00106986</v>
      </c>
      <c r="C32" s="25">
        <v>42997</v>
      </c>
      <c r="D32" t="s">
        <v>146</v>
      </c>
      <c r="E32" t="str">
        <f t="shared" si="2"/>
        <v>KOUASSI Nicole Flora</v>
      </c>
      <c r="F32" t="str">
        <f t="shared" si="3"/>
        <v>02252-UNDP (Direct Execution)</v>
      </c>
      <c r="G32" t="s">
        <v>147</v>
      </c>
      <c r="H32" t="s">
        <v>0</v>
      </c>
      <c r="I32" t="s">
        <v>0</v>
      </c>
      <c r="J32" s="26">
        <v>17.23</v>
      </c>
      <c r="K32" t="s">
        <v>150</v>
      </c>
      <c r="L32" t="s">
        <v>169</v>
      </c>
      <c r="M32" t="s">
        <v>201</v>
      </c>
      <c r="N32" t="str">
        <f t="shared" si="15"/>
        <v xml:space="preserve"> </v>
      </c>
      <c r="O32" t="str">
        <f t="shared" si="17"/>
        <v xml:space="preserve"> </v>
      </c>
      <c r="P32" t="s">
        <v>0</v>
      </c>
      <c r="Q32" t="s">
        <v>0</v>
      </c>
      <c r="R32" t="str">
        <f t="shared" si="4"/>
        <v>NER10</v>
      </c>
      <c r="S32" t="s">
        <v>153</v>
      </c>
      <c r="T32" t="s">
        <v>154</v>
      </c>
      <c r="U32" t="str">
        <f t="shared" si="5"/>
        <v>001981</v>
      </c>
      <c r="V32" t="str">
        <f t="shared" si="6"/>
        <v>30000</v>
      </c>
      <c r="W32" t="str">
        <f t="shared" si="7"/>
        <v>11363</v>
      </c>
      <c r="X32" t="str">
        <f>"75105"</f>
        <v>75105</v>
      </c>
      <c r="Y32">
        <v>17.23</v>
      </c>
      <c r="Z32" t="s">
        <v>194</v>
      </c>
      <c r="AA32">
        <v>1</v>
      </c>
      <c r="AB32" t="s">
        <v>0</v>
      </c>
      <c r="AC32" t="s">
        <v>0</v>
      </c>
      <c r="AD32" t="s">
        <v>0</v>
      </c>
      <c r="AE32" t="str">
        <f t="shared" si="18"/>
        <v>UNDP1</v>
      </c>
      <c r="AF32">
        <v>0</v>
      </c>
      <c r="AG32" t="s">
        <v>0</v>
      </c>
      <c r="AH32" t="s">
        <v>0</v>
      </c>
      <c r="AI32" t="str">
        <f>"0007279558"</f>
        <v>0007279558</v>
      </c>
      <c r="AJ32">
        <v>4239</v>
      </c>
      <c r="AK32" t="s">
        <v>203</v>
      </c>
      <c r="AL32" s="25">
        <v>43069</v>
      </c>
      <c r="AM32" t="str">
        <f>"11"</f>
        <v>11</v>
      </c>
      <c r="AN32" t="str">
        <f t="shared" si="16"/>
        <v xml:space="preserve"> </v>
      </c>
      <c r="AO32" t="str">
        <f t="shared" si="16"/>
        <v xml:space="preserve"> </v>
      </c>
      <c r="AP32" t="str">
        <f t="shared" si="16"/>
        <v xml:space="preserve"> </v>
      </c>
      <c r="AQ32" t="str">
        <f t="shared" si="16"/>
        <v xml:space="preserve"> </v>
      </c>
      <c r="AR32" t="str">
        <f t="shared" si="16"/>
        <v xml:space="preserve"> </v>
      </c>
      <c r="AS32" t="str">
        <f>"0165124907"</f>
        <v>0165124907</v>
      </c>
      <c r="AT32" t="s">
        <v>204</v>
      </c>
      <c r="AU32" t="s">
        <v>0</v>
      </c>
      <c r="AV32" t="s">
        <v>0</v>
      </c>
    </row>
    <row r="33" spans="1:48">
      <c r="A33" t="str">
        <f t="shared" si="0"/>
        <v>00106074</v>
      </c>
      <c r="B33" t="str">
        <f t="shared" si="1"/>
        <v>00106986</v>
      </c>
      <c r="C33" s="25">
        <v>42997</v>
      </c>
      <c r="D33" t="s">
        <v>146</v>
      </c>
      <c r="E33" t="str">
        <f t="shared" si="2"/>
        <v>KOUASSI Nicole Flora</v>
      </c>
      <c r="F33" t="str">
        <f t="shared" si="3"/>
        <v>02252-UNDP (Direct Execution)</v>
      </c>
      <c r="G33" t="s">
        <v>147</v>
      </c>
      <c r="H33" t="s">
        <v>0</v>
      </c>
      <c r="I33" t="s">
        <v>0</v>
      </c>
      <c r="J33" s="26">
        <v>74.38</v>
      </c>
      <c r="K33" t="s">
        <v>150</v>
      </c>
      <c r="L33" t="s">
        <v>169</v>
      </c>
      <c r="M33" t="s">
        <v>201</v>
      </c>
      <c r="N33" t="str">
        <f t="shared" si="15"/>
        <v xml:space="preserve"> </v>
      </c>
      <c r="O33" t="str">
        <f t="shared" si="17"/>
        <v xml:space="preserve"> </v>
      </c>
      <c r="P33" t="s">
        <v>0</v>
      </c>
      <c r="Q33" t="s">
        <v>0</v>
      </c>
      <c r="R33" t="str">
        <f t="shared" si="4"/>
        <v>NER10</v>
      </c>
      <c r="S33" t="s">
        <v>153</v>
      </c>
      <c r="T33" t="s">
        <v>154</v>
      </c>
      <c r="U33" t="str">
        <f t="shared" si="5"/>
        <v>001981</v>
      </c>
      <c r="V33" t="str">
        <f t="shared" si="6"/>
        <v>30000</v>
      </c>
      <c r="W33" t="str">
        <f t="shared" si="7"/>
        <v>11363</v>
      </c>
      <c r="X33" t="str">
        <f>"75105"</f>
        <v>75105</v>
      </c>
      <c r="Y33">
        <v>74.38</v>
      </c>
      <c r="Z33" t="s">
        <v>194</v>
      </c>
      <c r="AA33">
        <v>1</v>
      </c>
      <c r="AB33" t="s">
        <v>0</v>
      </c>
      <c r="AC33" t="s">
        <v>0</v>
      </c>
      <c r="AD33" t="s">
        <v>0</v>
      </c>
      <c r="AE33" t="str">
        <f t="shared" si="18"/>
        <v>UNDP1</v>
      </c>
      <c r="AF33">
        <v>0</v>
      </c>
      <c r="AG33" t="s">
        <v>0</v>
      </c>
      <c r="AH33" t="s">
        <v>0</v>
      </c>
      <c r="AI33" t="str">
        <f>"0007279558"</f>
        <v>0007279558</v>
      </c>
      <c r="AJ33">
        <v>4240</v>
      </c>
      <c r="AK33" t="s">
        <v>203</v>
      </c>
      <c r="AL33" s="25">
        <v>43069</v>
      </c>
      <c r="AM33" t="str">
        <f>"11"</f>
        <v>11</v>
      </c>
      <c r="AN33" t="str">
        <f t="shared" si="16"/>
        <v xml:space="preserve"> </v>
      </c>
      <c r="AO33" t="str">
        <f t="shared" si="16"/>
        <v xml:space="preserve"> </v>
      </c>
      <c r="AP33" t="str">
        <f t="shared" si="16"/>
        <v xml:space="preserve"> </v>
      </c>
      <c r="AQ33" t="str">
        <f t="shared" si="16"/>
        <v xml:space="preserve"> </v>
      </c>
      <c r="AR33" t="str">
        <f t="shared" si="16"/>
        <v xml:space="preserve"> </v>
      </c>
      <c r="AS33" t="str">
        <f>"0165124907"</f>
        <v>0165124907</v>
      </c>
      <c r="AT33" t="s">
        <v>204</v>
      </c>
      <c r="AU33" t="s">
        <v>0</v>
      </c>
      <c r="AV33" t="s">
        <v>0</v>
      </c>
    </row>
    <row r="34" spans="1:48">
      <c r="A34" t="str">
        <f t="shared" si="0"/>
        <v>00106074</v>
      </c>
      <c r="B34" t="str">
        <f t="shared" si="1"/>
        <v>00106986</v>
      </c>
      <c r="C34" s="25">
        <v>42997</v>
      </c>
      <c r="D34" t="s">
        <v>146</v>
      </c>
      <c r="E34" t="str">
        <f t="shared" si="2"/>
        <v>KOUASSI Nicole Flora</v>
      </c>
      <c r="F34" t="str">
        <f t="shared" si="3"/>
        <v>02252-UNDP (Direct Execution)</v>
      </c>
      <c r="G34" t="s">
        <v>147</v>
      </c>
      <c r="H34" t="s">
        <v>0</v>
      </c>
      <c r="I34" t="s">
        <v>0</v>
      </c>
      <c r="J34" s="26">
        <v>350000</v>
      </c>
      <c r="K34" t="s">
        <v>150</v>
      </c>
      <c r="L34" t="s">
        <v>175</v>
      </c>
      <c r="M34" t="s">
        <v>201</v>
      </c>
      <c r="N34" t="str">
        <f t="shared" si="15"/>
        <v xml:space="preserve"> </v>
      </c>
      <c r="O34" t="str">
        <f t="shared" si="17"/>
        <v xml:space="preserve"> </v>
      </c>
      <c r="P34" t="s">
        <v>0</v>
      </c>
      <c r="Q34" t="s">
        <v>0</v>
      </c>
      <c r="R34" t="str">
        <f t="shared" si="4"/>
        <v>NER10</v>
      </c>
      <c r="S34" t="s">
        <v>153</v>
      </c>
      <c r="T34" t="s">
        <v>154</v>
      </c>
      <c r="U34" t="str">
        <f t="shared" si="5"/>
        <v>001981</v>
      </c>
      <c r="V34" t="str">
        <f t="shared" si="6"/>
        <v>30000</v>
      </c>
      <c r="W34" t="str">
        <f t="shared" si="7"/>
        <v>11363</v>
      </c>
      <c r="X34" t="str">
        <f>"75705"</f>
        <v>75705</v>
      </c>
      <c r="Y34">
        <v>350000</v>
      </c>
      <c r="Z34" t="s">
        <v>194</v>
      </c>
      <c r="AA34">
        <v>1</v>
      </c>
      <c r="AB34" t="s">
        <v>0</v>
      </c>
      <c r="AC34" t="s">
        <v>0</v>
      </c>
      <c r="AD34" t="s">
        <v>0</v>
      </c>
      <c r="AE34" t="str">
        <f t="shared" si="18"/>
        <v>UNDP1</v>
      </c>
      <c r="AF34">
        <v>0</v>
      </c>
      <c r="AG34" t="s">
        <v>0</v>
      </c>
      <c r="AH34" t="s">
        <v>0</v>
      </c>
      <c r="AI34" t="str">
        <f>"0007292282"</f>
        <v>0007292282</v>
      </c>
      <c r="AJ34">
        <v>9</v>
      </c>
      <c r="AK34" t="s">
        <v>205</v>
      </c>
      <c r="AL34" t="s">
        <v>206</v>
      </c>
      <c r="AM34" t="str">
        <f t="shared" ref="AM34:AM43" si="19">"12"</f>
        <v>12</v>
      </c>
      <c r="AN34" t="str">
        <f t="shared" si="16"/>
        <v xml:space="preserve"> </v>
      </c>
      <c r="AO34" t="str">
        <f t="shared" si="16"/>
        <v xml:space="preserve"> </v>
      </c>
      <c r="AP34" t="str">
        <f t="shared" si="16"/>
        <v xml:space="preserve"> </v>
      </c>
      <c r="AQ34" t="str">
        <f t="shared" si="16"/>
        <v xml:space="preserve"> </v>
      </c>
      <c r="AR34" t="str">
        <f t="shared" si="16"/>
        <v xml:space="preserve"> </v>
      </c>
      <c r="AS34" t="str">
        <f>"0165402527"</f>
        <v>0165402527</v>
      </c>
      <c r="AT34" t="s">
        <v>206</v>
      </c>
      <c r="AU34" t="s">
        <v>0</v>
      </c>
      <c r="AV34" t="s">
        <v>0</v>
      </c>
    </row>
    <row r="35" spans="1:48">
      <c r="A35" t="str">
        <f t="shared" si="0"/>
        <v>00106074</v>
      </c>
      <c r="B35" t="str">
        <f t="shared" si="1"/>
        <v>00106986</v>
      </c>
      <c r="C35" s="25">
        <v>42997</v>
      </c>
      <c r="D35" t="s">
        <v>146</v>
      </c>
      <c r="E35" t="str">
        <f t="shared" si="2"/>
        <v>KOUASSI Nicole Flora</v>
      </c>
      <c r="F35" t="str">
        <f t="shared" si="3"/>
        <v>02252-UNDP (Direct Execution)</v>
      </c>
      <c r="G35" t="s">
        <v>147</v>
      </c>
      <c r="H35" t="s">
        <v>0</v>
      </c>
      <c r="I35" t="s">
        <v>0</v>
      </c>
      <c r="J35" s="26">
        <v>27236.58</v>
      </c>
      <c r="K35" t="s">
        <v>150</v>
      </c>
      <c r="L35" t="s">
        <v>175</v>
      </c>
      <c r="M35" t="s">
        <v>201</v>
      </c>
      <c r="N35" t="str">
        <f t="shared" si="15"/>
        <v xml:space="preserve"> </v>
      </c>
      <c r="O35" t="str">
        <f t="shared" si="17"/>
        <v xml:space="preserve"> </v>
      </c>
      <c r="P35" t="s">
        <v>0</v>
      </c>
      <c r="Q35" t="s">
        <v>0</v>
      </c>
      <c r="R35" t="str">
        <f t="shared" si="4"/>
        <v>NER10</v>
      </c>
      <c r="S35" t="s">
        <v>153</v>
      </c>
      <c r="T35" t="s">
        <v>154</v>
      </c>
      <c r="U35" t="str">
        <f t="shared" si="5"/>
        <v>001981</v>
      </c>
      <c r="V35" t="str">
        <f t="shared" si="6"/>
        <v>30000</v>
      </c>
      <c r="W35" t="str">
        <f t="shared" si="7"/>
        <v>11363</v>
      </c>
      <c r="X35" t="str">
        <f>"75105"</f>
        <v>75105</v>
      </c>
      <c r="Y35">
        <v>27236.58</v>
      </c>
      <c r="Z35" t="s">
        <v>194</v>
      </c>
      <c r="AA35">
        <v>1</v>
      </c>
      <c r="AB35" t="s">
        <v>0</v>
      </c>
      <c r="AC35" t="s">
        <v>0</v>
      </c>
      <c r="AD35" t="s">
        <v>0</v>
      </c>
      <c r="AE35" t="str">
        <f t="shared" si="18"/>
        <v>UNDP1</v>
      </c>
      <c r="AF35">
        <v>0</v>
      </c>
      <c r="AG35" t="s">
        <v>0</v>
      </c>
      <c r="AH35" t="s">
        <v>0</v>
      </c>
      <c r="AI35" t="str">
        <f>"0007308061"</f>
        <v>0007308061</v>
      </c>
      <c r="AJ35">
        <v>4982</v>
      </c>
      <c r="AK35" t="s">
        <v>207</v>
      </c>
      <c r="AL35" t="s">
        <v>208</v>
      </c>
      <c r="AM35" t="str">
        <f t="shared" si="19"/>
        <v>12</v>
      </c>
      <c r="AN35" t="str">
        <f t="shared" si="16"/>
        <v xml:space="preserve"> </v>
      </c>
      <c r="AO35" t="str">
        <f t="shared" si="16"/>
        <v xml:space="preserve"> </v>
      </c>
      <c r="AP35" t="str">
        <f t="shared" si="16"/>
        <v xml:space="preserve"> </v>
      </c>
      <c r="AQ35" t="str">
        <f t="shared" si="16"/>
        <v xml:space="preserve"> </v>
      </c>
      <c r="AR35" t="str">
        <f t="shared" si="16"/>
        <v xml:space="preserve"> </v>
      </c>
      <c r="AS35" t="str">
        <f>"0165716999"</f>
        <v>0165716999</v>
      </c>
      <c r="AT35" t="s">
        <v>209</v>
      </c>
      <c r="AU35" t="s">
        <v>0</v>
      </c>
      <c r="AV35" t="s">
        <v>0</v>
      </c>
    </row>
    <row r="36" spans="1:48">
      <c r="A36" t="str">
        <f t="shared" si="0"/>
        <v>00106074</v>
      </c>
      <c r="B36" t="str">
        <f t="shared" si="1"/>
        <v>00106986</v>
      </c>
      <c r="C36" s="25">
        <v>42997</v>
      </c>
      <c r="D36" t="s">
        <v>146</v>
      </c>
      <c r="E36" t="str">
        <f t="shared" si="2"/>
        <v>KOUASSI Nicole Flora</v>
      </c>
      <c r="F36" t="str">
        <f t="shared" si="3"/>
        <v>02252-UNDP (Direct Execution)</v>
      </c>
      <c r="G36" t="s">
        <v>147</v>
      </c>
      <c r="H36" t="s">
        <v>0</v>
      </c>
      <c r="I36" t="s">
        <v>0</v>
      </c>
      <c r="J36" s="26">
        <v>0.01</v>
      </c>
      <c r="K36" t="s">
        <v>150</v>
      </c>
      <c r="L36" t="s">
        <v>175</v>
      </c>
      <c r="M36" t="s">
        <v>201</v>
      </c>
      <c r="N36" t="str">
        <f t="shared" si="15"/>
        <v xml:space="preserve"> </v>
      </c>
      <c r="O36" t="str">
        <f t="shared" si="17"/>
        <v xml:space="preserve"> </v>
      </c>
      <c r="P36" t="s">
        <v>0</v>
      </c>
      <c r="Q36" t="s">
        <v>0</v>
      </c>
      <c r="R36" t="str">
        <f t="shared" si="4"/>
        <v>NER10</v>
      </c>
      <c r="S36" t="s">
        <v>153</v>
      </c>
      <c r="T36" t="s">
        <v>154</v>
      </c>
      <c r="U36" t="str">
        <f t="shared" si="5"/>
        <v>001981</v>
      </c>
      <c r="V36" t="str">
        <f t="shared" si="6"/>
        <v>30000</v>
      </c>
      <c r="W36" t="str">
        <f t="shared" si="7"/>
        <v>11363</v>
      </c>
      <c r="X36" t="str">
        <f>"76110"</f>
        <v>76110</v>
      </c>
      <c r="Y36">
        <v>0</v>
      </c>
      <c r="Z36" t="s">
        <v>155</v>
      </c>
      <c r="AA36" t="s">
        <v>0</v>
      </c>
      <c r="AB36" t="s">
        <v>0</v>
      </c>
      <c r="AC36" t="s">
        <v>0</v>
      </c>
      <c r="AD36" t="s">
        <v>0</v>
      </c>
      <c r="AE36" t="str">
        <f t="shared" si="18"/>
        <v>UNDP1</v>
      </c>
      <c r="AF36">
        <v>0</v>
      </c>
      <c r="AG36" t="s">
        <v>0</v>
      </c>
      <c r="AH36" t="s">
        <v>0</v>
      </c>
      <c r="AI36" t="str">
        <f>"0007324094"</f>
        <v>0007324094</v>
      </c>
      <c r="AJ36">
        <v>657</v>
      </c>
      <c r="AK36" t="s">
        <v>210</v>
      </c>
      <c r="AL36" t="s">
        <v>211</v>
      </c>
      <c r="AM36" t="str">
        <f t="shared" si="19"/>
        <v>12</v>
      </c>
      <c r="AN36" t="str">
        <f t="shared" si="16"/>
        <v xml:space="preserve"> </v>
      </c>
      <c r="AO36" t="str">
        <f t="shared" si="16"/>
        <v xml:space="preserve"> </v>
      </c>
      <c r="AP36" t="str">
        <f t="shared" si="16"/>
        <v xml:space="preserve"> </v>
      </c>
      <c r="AQ36" t="str">
        <f t="shared" si="16"/>
        <v xml:space="preserve"> </v>
      </c>
      <c r="AR36" t="str">
        <f t="shared" si="16"/>
        <v xml:space="preserve"> </v>
      </c>
      <c r="AS36" t="str">
        <f>"0166144589"</f>
        <v>0166144589</v>
      </c>
      <c r="AT36" s="25">
        <v>43108</v>
      </c>
      <c r="AU36" t="s">
        <v>0</v>
      </c>
      <c r="AV36" t="s">
        <v>0</v>
      </c>
    </row>
    <row r="37" spans="1:48">
      <c r="A37" t="str">
        <f t="shared" si="0"/>
        <v>00106074</v>
      </c>
      <c r="B37" t="str">
        <f t="shared" si="1"/>
        <v>00106986</v>
      </c>
      <c r="C37" s="25">
        <v>42997</v>
      </c>
      <c r="D37" t="s">
        <v>146</v>
      </c>
      <c r="E37" t="str">
        <f t="shared" si="2"/>
        <v>KOUASSI Nicole Flora</v>
      </c>
      <c r="F37" t="str">
        <f t="shared" si="3"/>
        <v>02252-UNDP (Direct Execution)</v>
      </c>
      <c r="G37" t="s">
        <v>147</v>
      </c>
      <c r="H37" t="s">
        <v>0</v>
      </c>
      <c r="I37" t="s">
        <v>0</v>
      </c>
      <c r="J37" s="26">
        <v>14500</v>
      </c>
      <c r="K37" t="s">
        <v>150</v>
      </c>
      <c r="L37" t="s">
        <v>175</v>
      </c>
      <c r="M37" t="s">
        <v>201</v>
      </c>
      <c r="N37" t="str">
        <f t="shared" si="15"/>
        <v xml:space="preserve"> </v>
      </c>
      <c r="O37" t="str">
        <f t="shared" si="17"/>
        <v xml:space="preserve"> </v>
      </c>
      <c r="P37" t="s">
        <v>0</v>
      </c>
      <c r="Q37" t="s">
        <v>0</v>
      </c>
      <c r="R37" t="str">
        <f t="shared" si="4"/>
        <v>NER10</v>
      </c>
      <c r="S37" t="s">
        <v>153</v>
      </c>
      <c r="T37" t="s">
        <v>154</v>
      </c>
      <c r="U37" t="str">
        <f t="shared" si="5"/>
        <v>001981</v>
      </c>
      <c r="V37" t="str">
        <f t="shared" si="6"/>
        <v>30000</v>
      </c>
      <c r="W37" t="str">
        <f t="shared" si="7"/>
        <v>11363</v>
      </c>
      <c r="X37" t="str">
        <f>"72105"</f>
        <v>72105</v>
      </c>
      <c r="Y37">
        <v>14500</v>
      </c>
      <c r="Z37" t="s">
        <v>194</v>
      </c>
      <c r="AA37">
        <v>1</v>
      </c>
      <c r="AB37" t="s">
        <v>0</v>
      </c>
      <c r="AC37" t="s">
        <v>0</v>
      </c>
      <c r="AD37" t="s">
        <v>0</v>
      </c>
      <c r="AE37" t="str">
        <f t="shared" si="18"/>
        <v>UNDP1</v>
      </c>
      <c r="AF37">
        <v>0</v>
      </c>
      <c r="AG37" t="s">
        <v>0</v>
      </c>
      <c r="AH37" t="s">
        <v>0</v>
      </c>
      <c r="AI37" t="str">
        <f>"0007342652"</f>
        <v>0007342652</v>
      </c>
      <c r="AJ37">
        <v>2</v>
      </c>
      <c r="AK37" t="s">
        <v>212</v>
      </c>
      <c r="AL37" t="s">
        <v>208</v>
      </c>
      <c r="AM37" t="str">
        <f t="shared" si="19"/>
        <v>12</v>
      </c>
      <c r="AN37" t="str">
        <f t="shared" si="16"/>
        <v xml:space="preserve"> </v>
      </c>
      <c r="AO37" t="str">
        <f t="shared" si="16"/>
        <v xml:space="preserve"> </v>
      </c>
      <c r="AP37" t="str">
        <f t="shared" si="16"/>
        <v xml:space="preserve"> </v>
      </c>
      <c r="AQ37" t="str">
        <f t="shared" si="16"/>
        <v xml:space="preserve"> </v>
      </c>
      <c r="AR37" t="str">
        <f t="shared" si="16"/>
        <v xml:space="preserve"> </v>
      </c>
      <c r="AS37" t="str">
        <f>"0167064681"</f>
        <v>0167064681</v>
      </c>
      <c r="AT37" s="25">
        <v>43122</v>
      </c>
      <c r="AU37" t="s">
        <v>0</v>
      </c>
      <c r="AV37" t="s">
        <v>0</v>
      </c>
    </row>
    <row r="38" spans="1:48">
      <c r="A38" t="str">
        <f t="shared" si="0"/>
        <v>00106074</v>
      </c>
      <c r="B38" t="str">
        <f t="shared" si="1"/>
        <v>00106986</v>
      </c>
      <c r="C38" s="25">
        <v>42997</v>
      </c>
      <c r="D38" t="s">
        <v>146</v>
      </c>
      <c r="E38" t="str">
        <f t="shared" si="2"/>
        <v>KOUASSI Nicole Flora</v>
      </c>
      <c r="F38" t="str">
        <f t="shared" si="3"/>
        <v>02252-UNDP (Direct Execution)</v>
      </c>
      <c r="G38" t="s">
        <v>213</v>
      </c>
      <c r="H38" t="s">
        <v>0</v>
      </c>
      <c r="I38" t="s">
        <v>0</v>
      </c>
      <c r="J38" s="26">
        <v>1054</v>
      </c>
      <c r="K38" t="s">
        <v>150</v>
      </c>
      <c r="L38" t="s">
        <v>175</v>
      </c>
      <c r="M38" t="s">
        <v>201</v>
      </c>
      <c r="N38" t="str">
        <f t="shared" si="15"/>
        <v xml:space="preserve"> </v>
      </c>
      <c r="O38" t="str">
        <f t="shared" si="17"/>
        <v xml:space="preserve"> </v>
      </c>
      <c r="P38" t="s">
        <v>0</v>
      </c>
      <c r="Q38" t="s">
        <v>0</v>
      </c>
      <c r="R38" t="str">
        <f t="shared" si="4"/>
        <v>NER10</v>
      </c>
      <c r="S38" t="s">
        <v>153</v>
      </c>
      <c r="T38" t="s">
        <v>154</v>
      </c>
      <c r="U38" t="str">
        <f t="shared" si="5"/>
        <v>001981</v>
      </c>
      <c r="V38" t="str">
        <f t="shared" si="6"/>
        <v>30000</v>
      </c>
      <c r="W38" t="str">
        <f t="shared" si="7"/>
        <v>11363</v>
      </c>
      <c r="X38" t="str">
        <f>"72155"</f>
        <v>72155</v>
      </c>
      <c r="Y38">
        <v>1054</v>
      </c>
      <c r="Z38" t="s">
        <v>194</v>
      </c>
      <c r="AA38">
        <v>1</v>
      </c>
      <c r="AB38" t="s">
        <v>0</v>
      </c>
      <c r="AC38" t="s">
        <v>0</v>
      </c>
      <c r="AD38" t="s">
        <v>0</v>
      </c>
      <c r="AE38" t="str">
        <f t="shared" si="18"/>
        <v>UNDP1</v>
      </c>
      <c r="AF38">
        <v>0</v>
      </c>
      <c r="AG38" t="s">
        <v>0</v>
      </c>
      <c r="AH38" t="s">
        <v>0</v>
      </c>
      <c r="AI38" t="str">
        <f>"0007342652"</f>
        <v>0007342652</v>
      </c>
      <c r="AJ38">
        <v>5</v>
      </c>
      <c r="AK38" t="s">
        <v>212</v>
      </c>
      <c r="AL38" t="s">
        <v>208</v>
      </c>
      <c r="AM38" t="str">
        <f t="shared" si="19"/>
        <v>12</v>
      </c>
      <c r="AN38" t="str">
        <f t="shared" si="16"/>
        <v xml:space="preserve"> </v>
      </c>
      <c r="AO38" t="str">
        <f t="shared" si="16"/>
        <v xml:space="preserve"> </v>
      </c>
      <c r="AP38" t="str">
        <f t="shared" si="16"/>
        <v xml:space="preserve"> </v>
      </c>
      <c r="AQ38" t="str">
        <f t="shared" si="16"/>
        <v xml:space="preserve"> </v>
      </c>
      <c r="AR38" t="str">
        <f t="shared" si="16"/>
        <v xml:space="preserve"> </v>
      </c>
      <c r="AS38" t="str">
        <f>"0167064681"</f>
        <v>0167064681</v>
      </c>
      <c r="AT38" s="25">
        <v>43122</v>
      </c>
      <c r="AU38" t="s">
        <v>0</v>
      </c>
      <c r="AV38" t="s">
        <v>0</v>
      </c>
    </row>
    <row r="39" spans="1:48">
      <c r="A39" t="str">
        <f t="shared" si="0"/>
        <v>00106074</v>
      </c>
      <c r="B39" t="str">
        <f t="shared" si="1"/>
        <v>00106986</v>
      </c>
      <c r="C39" s="25">
        <v>42997</v>
      </c>
      <c r="D39" t="s">
        <v>146</v>
      </c>
      <c r="E39" t="str">
        <f t="shared" si="2"/>
        <v>KOUASSI Nicole Flora</v>
      </c>
      <c r="F39" t="str">
        <f t="shared" si="3"/>
        <v>02252-UNDP (Direct Execution)</v>
      </c>
      <c r="G39" t="s">
        <v>147</v>
      </c>
      <c r="H39" t="s">
        <v>0</v>
      </c>
      <c r="I39" t="s">
        <v>0</v>
      </c>
      <c r="J39" s="26">
        <v>2000</v>
      </c>
      <c r="K39" t="s">
        <v>150</v>
      </c>
      <c r="L39" t="s">
        <v>175</v>
      </c>
      <c r="M39" t="s">
        <v>201</v>
      </c>
      <c r="N39" t="str">
        <f t="shared" si="15"/>
        <v xml:space="preserve"> </v>
      </c>
      <c r="O39" t="str">
        <f t="shared" si="17"/>
        <v xml:space="preserve"> </v>
      </c>
      <c r="P39" t="s">
        <v>0</v>
      </c>
      <c r="Q39" t="s">
        <v>0</v>
      </c>
      <c r="R39" t="str">
        <f t="shared" si="4"/>
        <v>NER10</v>
      </c>
      <c r="S39" t="s">
        <v>153</v>
      </c>
      <c r="T39" t="s">
        <v>154</v>
      </c>
      <c r="U39" t="str">
        <f t="shared" si="5"/>
        <v>001981</v>
      </c>
      <c r="V39" t="str">
        <f t="shared" si="6"/>
        <v>30000</v>
      </c>
      <c r="W39" t="str">
        <f t="shared" si="7"/>
        <v>11363</v>
      </c>
      <c r="X39" t="str">
        <f>"71620"</f>
        <v>71620</v>
      </c>
      <c r="Y39">
        <v>2000</v>
      </c>
      <c r="Z39" t="s">
        <v>194</v>
      </c>
      <c r="AA39">
        <v>1</v>
      </c>
      <c r="AB39" t="s">
        <v>0</v>
      </c>
      <c r="AC39" t="s">
        <v>0</v>
      </c>
      <c r="AD39" t="s">
        <v>0</v>
      </c>
      <c r="AE39" t="str">
        <f t="shared" si="18"/>
        <v>UNDP1</v>
      </c>
      <c r="AF39">
        <v>0</v>
      </c>
      <c r="AG39" t="s">
        <v>0</v>
      </c>
      <c r="AH39" t="s">
        <v>0</v>
      </c>
      <c r="AI39" t="str">
        <f>"0007344650"</f>
        <v>0007344650</v>
      </c>
      <c r="AJ39">
        <v>2</v>
      </c>
      <c r="AK39" t="s">
        <v>214</v>
      </c>
      <c r="AL39" t="s">
        <v>215</v>
      </c>
      <c r="AM39" t="str">
        <f t="shared" si="19"/>
        <v>12</v>
      </c>
      <c r="AN39" t="str">
        <f t="shared" si="16"/>
        <v xml:space="preserve"> </v>
      </c>
      <c r="AO39" t="str">
        <f t="shared" si="16"/>
        <v xml:space="preserve"> </v>
      </c>
      <c r="AP39" t="str">
        <f t="shared" si="16"/>
        <v xml:space="preserve"> </v>
      </c>
      <c r="AQ39" t="str">
        <f t="shared" si="16"/>
        <v xml:space="preserve"> </v>
      </c>
      <c r="AR39" t="str">
        <f t="shared" si="16"/>
        <v xml:space="preserve"> </v>
      </c>
      <c r="AS39" t="str">
        <f>"0167116374"</f>
        <v>0167116374</v>
      </c>
      <c r="AT39" s="25">
        <v>43123</v>
      </c>
      <c r="AU39" t="s">
        <v>0</v>
      </c>
      <c r="AV39" t="s">
        <v>0</v>
      </c>
    </row>
    <row r="40" spans="1:48">
      <c r="A40" t="str">
        <f t="shared" si="0"/>
        <v>00106074</v>
      </c>
      <c r="B40" t="str">
        <f t="shared" si="1"/>
        <v>00106986</v>
      </c>
      <c r="C40" s="25">
        <v>42997</v>
      </c>
      <c r="D40" t="s">
        <v>146</v>
      </c>
      <c r="E40" t="str">
        <f t="shared" si="2"/>
        <v>KOUASSI Nicole Flora</v>
      </c>
      <c r="F40" t="str">
        <f t="shared" si="3"/>
        <v>02252-UNDP (Direct Execution)</v>
      </c>
      <c r="G40" t="s">
        <v>147</v>
      </c>
      <c r="H40" t="s">
        <v>0</v>
      </c>
      <c r="I40" t="s">
        <v>0</v>
      </c>
      <c r="J40" s="26">
        <v>1155</v>
      </c>
      <c r="K40" t="s">
        <v>150</v>
      </c>
      <c r="L40" t="s">
        <v>175</v>
      </c>
      <c r="M40" t="s">
        <v>201</v>
      </c>
      <c r="N40" t="str">
        <f t="shared" si="15"/>
        <v xml:space="preserve"> </v>
      </c>
      <c r="O40" t="str">
        <f t="shared" si="17"/>
        <v xml:space="preserve"> </v>
      </c>
      <c r="P40" t="s">
        <v>0</v>
      </c>
      <c r="Q40" t="s">
        <v>0</v>
      </c>
      <c r="R40" t="str">
        <f t="shared" si="4"/>
        <v>NER10</v>
      </c>
      <c r="S40" t="s">
        <v>153</v>
      </c>
      <c r="T40" t="s">
        <v>154</v>
      </c>
      <c r="U40" t="str">
        <f t="shared" si="5"/>
        <v>001981</v>
      </c>
      <c r="V40" t="str">
        <f t="shared" si="6"/>
        <v>30000</v>
      </c>
      <c r="W40" t="str">
        <f t="shared" si="7"/>
        <v>11363</v>
      </c>
      <c r="X40" t="str">
        <f>"75105"</f>
        <v>75105</v>
      </c>
      <c r="Y40">
        <v>1155</v>
      </c>
      <c r="Z40" t="s">
        <v>194</v>
      </c>
      <c r="AA40">
        <v>1</v>
      </c>
      <c r="AB40" t="s">
        <v>0</v>
      </c>
      <c r="AC40" t="s">
        <v>0</v>
      </c>
      <c r="AD40" t="s">
        <v>0</v>
      </c>
      <c r="AE40" t="str">
        <f t="shared" si="18"/>
        <v>UNDP1</v>
      </c>
      <c r="AF40">
        <v>0</v>
      </c>
      <c r="AG40" t="s">
        <v>0</v>
      </c>
      <c r="AH40" t="s">
        <v>0</v>
      </c>
      <c r="AI40" t="str">
        <f>"0007351638"</f>
        <v>0007351638</v>
      </c>
      <c r="AJ40">
        <v>1163</v>
      </c>
      <c r="AK40" t="s">
        <v>216</v>
      </c>
      <c r="AL40" t="s">
        <v>208</v>
      </c>
      <c r="AM40" t="str">
        <f t="shared" si="19"/>
        <v>12</v>
      </c>
      <c r="AN40" t="str">
        <f t="shared" si="16"/>
        <v xml:space="preserve"> </v>
      </c>
      <c r="AO40" t="str">
        <f t="shared" si="16"/>
        <v xml:space="preserve"> </v>
      </c>
      <c r="AP40" t="str">
        <f t="shared" si="16"/>
        <v xml:space="preserve"> </v>
      </c>
      <c r="AQ40" t="str">
        <f t="shared" si="16"/>
        <v xml:space="preserve"> </v>
      </c>
      <c r="AR40" t="str">
        <f t="shared" si="16"/>
        <v xml:space="preserve"> </v>
      </c>
      <c r="AS40" t="str">
        <f>"0167295980"</f>
        <v>0167295980</v>
      </c>
      <c r="AT40" s="25">
        <v>43126</v>
      </c>
      <c r="AU40" t="s">
        <v>0</v>
      </c>
      <c r="AV40" t="s">
        <v>0</v>
      </c>
    </row>
    <row r="41" spans="1:48">
      <c r="A41" t="str">
        <f t="shared" ref="A41:A72" si="20">"00106074"</f>
        <v>00106074</v>
      </c>
      <c r="B41" t="str">
        <f t="shared" ref="B41:B72" si="21">"00106986"</f>
        <v>00106986</v>
      </c>
      <c r="C41" s="25">
        <v>42997</v>
      </c>
      <c r="D41" t="s">
        <v>146</v>
      </c>
      <c r="E41" t="str">
        <f t="shared" ref="E41:E72" si="22">"KOUASSI Nicole Flora"</f>
        <v>KOUASSI Nicole Flora</v>
      </c>
      <c r="F41" t="str">
        <f t="shared" ref="F41:F72" si="23">"02252-UNDP (Direct Execution)"</f>
        <v>02252-UNDP (Direct Execution)</v>
      </c>
      <c r="G41" t="s">
        <v>213</v>
      </c>
      <c r="H41" t="s">
        <v>0</v>
      </c>
      <c r="I41" t="s">
        <v>0</v>
      </c>
      <c r="J41" s="26">
        <v>73.78</v>
      </c>
      <c r="K41" t="s">
        <v>150</v>
      </c>
      <c r="L41" t="s">
        <v>175</v>
      </c>
      <c r="M41" t="s">
        <v>201</v>
      </c>
      <c r="N41" t="str">
        <f t="shared" si="15"/>
        <v xml:space="preserve"> </v>
      </c>
      <c r="O41" t="str">
        <f t="shared" si="17"/>
        <v xml:space="preserve"> </v>
      </c>
      <c r="P41" t="s">
        <v>0</v>
      </c>
      <c r="Q41" t="s">
        <v>0</v>
      </c>
      <c r="R41" t="str">
        <f t="shared" ref="R41:R72" si="24">"NER10"</f>
        <v>NER10</v>
      </c>
      <c r="S41" t="s">
        <v>153</v>
      </c>
      <c r="T41" t="s">
        <v>154</v>
      </c>
      <c r="U41" t="str">
        <f t="shared" ref="U41:U72" si="25">"001981"</f>
        <v>001981</v>
      </c>
      <c r="V41" t="str">
        <f t="shared" ref="V41:V72" si="26">"30000"</f>
        <v>30000</v>
      </c>
      <c r="W41" t="str">
        <f t="shared" ref="W41:W72" si="27">"11363"</f>
        <v>11363</v>
      </c>
      <c r="X41" t="str">
        <f>"75105"</f>
        <v>75105</v>
      </c>
      <c r="Y41">
        <v>73.78</v>
      </c>
      <c r="Z41" t="s">
        <v>194</v>
      </c>
      <c r="AA41">
        <v>1</v>
      </c>
      <c r="AB41" t="s">
        <v>0</v>
      </c>
      <c r="AC41" t="s">
        <v>0</v>
      </c>
      <c r="AD41" t="s">
        <v>0</v>
      </c>
      <c r="AE41" t="str">
        <f t="shared" si="18"/>
        <v>UNDP1</v>
      </c>
      <c r="AF41">
        <v>0</v>
      </c>
      <c r="AG41" t="s">
        <v>0</v>
      </c>
      <c r="AH41" t="s">
        <v>0</v>
      </c>
      <c r="AI41" t="str">
        <f>"0007351638"</f>
        <v>0007351638</v>
      </c>
      <c r="AJ41">
        <v>388</v>
      </c>
      <c r="AK41" t="s">
        <v>216</v>
      </c>
      <c r="AL41" t="s">
        <v>208</v>
      </c>
      <c r="AM41" t="str">
        <f t="shared" si="19"/>
        <v>12</v>
      </c>
      <c r="AN41" t="str">
        <f t="shared" si="16"/>
        <v xml:space="preserve"> </v>
      </c>
      <c r="AO41" t="str">
        <f t="shared" si="16"/>
        <v xml:space="preserve"> </v>
      </c>
      <c r="AP41" t="str">
        <f t="shared" si="16"/>
        <v xml:space="preserve"> </v>
      </c>
      <c r="AQ41" t="str">
        <f t="shared" si="16"/>
        <v xml:space="preserve"> </v>
      </c>
      <c r="AR41" t="str">
        <f t="shared" si="16"/>
        <v xml:space="preserve"> </v>
      </c>
      <c r="AS41" t="str">
        <f>"0167295980"</f>
        <v>0167295980</v>
      </c>
      <c r="AT41" s="25">
        <v>43126</v>
      </c>
      <c r="AU41" t="s">
        <v>0</v>
      </c>
      <c r="AV41" t="s">
        <v>0</v>
      </c>
    </row>
    <row r="42" spans="1:48">
      <c r="A42" t="str">
        <f t="shared" si="20"/>
        <v>00106074</v>
      </c>
      <c r="B42" t="str">
        <f t="shared" si="21"/>
        <v>00106986</v>
      </c>
      <c r="C42" s="25">
        <v>42997</v>
      </c>
      <c r="D42" t="s">
        <v>146</v>
      </c>
      <c r="E42" t="str">
        <f t="shared" si="22"/>
        <v>KOUASSI Nicole Flora</v>
      </c>
      <c r="F42" t="str">
        <f t="shared" si="23"/>
        <v>02252-UNDP (Direct Execution)</v>
      </c>
      <c r="G42" t="s">
        <v>147</v>
      </c>
      <c r="H42" t="s">
        <v>0</v>
      </c>
      <c r="I42" t="s">
        <v>0</v>
      </c>
      <c r="J42" s="26">
        <v>14187</v>
      </c>
      <c r="K42" t="s">
        <v>150</v>
      </c>
      <c r="L42" t="s">
        <v>175</v>
      </c>
      <c r="M42" t="s">
        <v>201</v>
      </c>
      <c r="N42" t="str">
        <f t="shared" si="15"/>
        <v xml:space="preserve"> </v>
      </c>
      <c r="O42" t="str">
        <f t="shared" si="17"/>
        <v xml:space="preserve"> </v>
      </c>
      <c r="P42" t="s">
        <v>0</v>
      </c>
      <c r="Q42" t="s">
        <v>0</v>
      </c>
      <c r="R42" t="str">
        <f t="shared" si="24"/>
        <v>NER10</v>
      </c>
      <c r="S42" t="s">
        <v>153</v>
      </c>
      <c r="T42" t="s">
        <v>154</v>
      </c>
      <c r="U42" t="str">
        <f t="shared" si="25"/>
        <v>001981</v>
      </c>
      <c r="V42" t="str">
        <f t="shared" si="26"/>
        <v>30000</v>
      </c>
      <c r="W42" t="str">
        <f t="shared" si="27"/>
        <v>11363</v>
      </c>
      <c r="X42" t="str">
        <f>"71620"</f>
        <v>71620</v>
      </c>
      <c r="Y42">
        <v>14187</v>
      </c>
      <c r="Z42" t="s">
        <v>194</v>
      </c>
      <c r="AA42">
        <v>1</v>
      </c>
      <c r="AB42" t="s">
        <v>0</v>
      </c>
      <c r="AC42" t="s">
        <v>0</v>
      </c>
      <c r="AD42" t="s">
        <v>0</v>
      </c>
      <c r="AE42" t="str">
        <f t="shared" si="18"/>
        <v>UNDP1</v>
      </c>
      <c r="AF42">
        <v>0</v>
      </c>
      <c r="AG42" t="s">
        <v>0</v>
      </c>
      <c r="AH42" t="s">
        <v>0</v>
      </c>
      <c r="AI42" t="str">
        <f>"0007359970"</f>
        <v>0007359970</v>
      </c>
      <c r="AJ42">
        <v>2</v>
      </c>
      <c r="AK42" t="s">
        <v>217</v>
      </c>
      <c r="AL42" t="s">
        <v>215</v>
      </c>
      <c r="AM42" t="str">
        <f t="shared" si="19"/>
        <v>12</v>
      </c>
      <c r="AN42" t="str">
        <f t="shared" si="16"/>
        <v xml:space="preserve"> </v>
      </c>
      <c r="AO42" t="str">
        <f t="shared" si="16"/>
        <v xml:space="preserve"> </v>
      </c>
      <c r="AP42" t="str">
        <f t="shared" si="16"/>
        <v xml:space="preserve"> </v>
      </c>
      <c r="AQ42" t="str">
        <f t="shared" si="16"/>
        <v xml:space="preserve"> </v>
      </c>
      <c r="AR42" t="str">
        <f t="shared" si="16"/>
        <v xml:space="preserve"> </v>
      </c>
      <c r="AS42" t="str">
        <f>"0167581142"</f>
        <v>0167581142</v>
      </c>
      <c r="AT42" t="s">
        <v>218</v>
      </c>
      <c r="AU42" t="s">
        <v>0</v>
      </c>
      <c r="AV42" t="s">
        <v>0</v>
      </c>
    </row>
    <row r="43" spans="1:48">
      <c r="A43" t="str">
        <f t="shared" si="20"/>
        <v>00106074</v>
      </c>
      <c r="B43" t="str">
        <f t="shared" si="21"/>
        <v>00106986</v>
      </c>
      <c r="C43" s="25">
        <v>42997</v>
      </c>
      <c r="D43" t="s">
        <v>146</v>
      </c>
      <c r="E43" t="str">
        <f t="shared" si="22"/>
        <v>KOUASSI Nicole Flora</v>
      </c>
      <c r="F43" t="str">
        <f t="shared" si="23"/>
        <v>02252-UNDP (Direct Execution)</v>
      </c>
      <c r="G43" t="s">
        <v>147</v>
      </c>
      <c r="H43" t="s">
        <v>0</v>
      </c>
      <c r="I43" t="s">
        <v>0</v>
      </c>
      <c r="J43" s="26">
        <v>993.09</v>
      </c>
      <c r="K43" t="s">
        <v>150</v>
      </c>
      <c r="L43" t="s">
        <v>175</v>
      </c>
      <c r="M43" t="s">
        <v>201</v>
      </c>
      <c r="N43" t="str">
        <f t="shared" si="15"/>
        <v xml:space="preserve"> </v>
      </c>
      <c r="O43" t="str">
        <f t="shared" si="17"/>
        <v xml:space="preserve"> </v>
      </c>
      <c r="P43" t="s">
        <v>0</v>
      </c>
      <c r="Q43" t="s">
        <v>0</v>
      </c>
      <c r="R43" t="str">
        <f t="shared" si="24"/>
        <v>NER10</v>
      </c>
      <c r="S43" t="s">
        <v>153</v>
      </c>
      <c r="T43" t="s">
        <v>154</v>
      </c>
      <c r="U43" t="str">
        <f t="shared" si="25"/>
        <v>001981</v>
      </c>
      <c r="V43" t="str">
        <f t="shared" si="26"/>
        <v>30000</v>
      </c>
      <c r="W43" t="str">
        <f t="shared" si="27"/>
        <v>11363</v>
      </c>
      <c r="X43" t="str">
        <f>"75105"</f>
        <v>75105</v>
      </c>
      <c r="Y43">
        <v>993.09</v>
      </c>
      <c r="Z43" t="s">
        <v>194</v>
      </c>
      <c r="AA43">
        <v>1</v>
      </c>
      <c r="AB43" t="s">
        <v>0</v>
      </c>
      <c r="AC43" t="s">
        <v>0</v>
      </c>
      <c r="AD43" t="s">
        <v>0</v>
      </c>
      <c r="AE43" t="str">
        <f t="shared" si="18"/>
        <v>UNDP1</v>
      </c>
      <c r="AF43">
        <v>0</v>
      </c>
      <c r="AG43" t="s">
        <v>0</v>
      </c>
      <c r="AH43" t="s">
        <v>0</v>
      </c>
      <c r="AI43" t="str">
        <f>"0007362035"</f>
        <v>0007362035</v>
      </c>
      <c r="AJ43">
        <v>94</v>
      </c>
      <c r="AK43" t="s">
        <v>219</v>
      </c>
      <c r="AL43" t="s">
        <v>208</v>
      </c>
      <c r="AM43" t="str">
        <f t="shared" si="19"/>
        <v>12</v>
      </c>
      <c r="AN43" t="str">
        <f t="shared" si="16"/>
        <v xml:space="preserve"> </v>
      </c>
      <c r="AO43" t="str">
        <f t="shared" si="16"/>
        <v xml:space="preserve"> </v>
      </c>
      <c r="AP43" t="str">
        <f t="shared" si="16"/>
        <v xml:space="preserve"> </v>
      </c>
      <c r="AQ43" t="str">
        <f t="shared" si="16"/>
        <v xml:space="preserve"> </v>
      </c>
      <c r="AR43" t="str">
        <f t="shared" si="16"/>
        <v xml:space="preserve"> </v>
      </c>
      <c r="AS43" t="str">
        <f>"0167609649"</f>
        <v>0167609649</v>
      </c>
      <c r="AT43" t="s">
        <v>218</v>
      </c>
      <c r="AU43" t="s">
        <v>0</v>
      </c>
      <c r="AV43" t="s">
        <v>0</v>
      </c>
    </row>
    <row r="44" spans="1:48">
      <c r="A44" t="str">
        <f t="shared" si="20"/>
        <v>00106074</v>
      </c>
      <c r="B44" t="str">
        <f t="shared" si="21"/>
        <v>00106986</v>
      </c>
      <c r="C44" s="25">
        <v>42997</v>
      </c>
      <c r="D44" t="s">
        <v>146</v>
      </c>
      <c r="E44" t="str">
        <f t="shared" si="22"/>
        <v>KOUASSI Nicole Flora</v>
      </c>
      <c r="F44" t="str">
        <f t="shared" si="23"/>
        <v>02252-UNDP (Direct Execution)</v>
      </c>
      <c r="G44" t="s">
        <v>147</v>
      </c>
      <c r="H44" t="s">
        <v>248</v>
      </c>
      <c r="I44" t="s">
        <v>220</v>
      </c>
      <c r="J44" s="26">
        <v>481.05</v>
      </c>
      <c r="K44" t="s">
        <v>150</v>
      </c>
      <c r="L44" t="s">
        <v>151</v>
      </c>
      <c r="M44" t="s">
        <v>221</v>
      </c>
      <c r="N44" t="str">
        <f t="shared" si="15"/>
        <v xml:space="preserve"> </v>
      </c>
      <c r="O44" t="str">
        <f t="shared" si="17"/>
        <v xml:space="preserve"> </v>
      </c>
      <c r="P44" t="s">
        <v>0</v>
      </c>
      <c r="Q44" s="25">
        <v>43011</v>
      </c>
      <c r="R44" t="str">
        <f t="shared" si="24"/>
        <v>NER10</v>
      </c>
      <c r="S44" t="s">
        <v>153</v>
      </c>
      <c r="T44" t="s">
        <v>154</v>
      </c>
      <c r="U44" t="str">
        <f t="shared" si="25"/>
        <v>001981</v>
      </c>
      <c r="V44" t="str">
        <f t="shared" si="26"/>
        <v>30000</v>
      </c>
      <c r="W44" t="str">
        <f t="shared" si="27"/>
        <v>11363</v>
      </c>
      <c r="X44" t="str">
        <f t="shared" ref="X44:X49" si="28">"71615"</f>
        <v>71615</v>
      </c>
      <c r="Y44">
        <v>262500</v>
      </c>
      <c r="Z44" t="s">
        <v>155</v>
      </c>
      <c r="AA44">
        <v>556.08399999999995</v>
      </c>
      <c r="AB44" t="str">
        <f>"0000000171"</f>
        <v>0000000171</v>
      </c>
      <c r="AC44" t="s">
        <v>156</v>
      </c>
      <c r="AD44" t="s">
        <v>156</v>
      </c>
      <c r="AE44" t="str">
        <f t="shared" ref="AE44:AE56" si="29">" "</f>
        <v xml:space="preserve"> </v>
      </c>
      <c r="AF44">
        <v>0</v>
      </c>
      <c r="AG44" t="s">
        <v>220</v>
      </c>
      <c r="AH44" t="s">
        <v>0</v>
      </c>
      <c r="AI44" t="str">
        <f t="shared" ref="AI44:AI75" si="30">" "</f>
        <v xml:space="preserve"> </v>
      </c>
      <c r="AJ44">
        <v>0</v>
      </c>
      <c r="AK44" t="s">
        <v>0</v>
      </c>
      <c r="AM44" t="str">
        <f t="shared" ref="AM44:AM49" si="31">"10"</f>
        <v>10</v>
      </c>
      <c r="AN44" t="str">
        <f>"0000193439"</f>
        <v>0000193439</v>
      </c>
      <c r="AO44" t="str">
        <f t="shared" ref="AO44:AR63" si="32">" "</f>
        <v xml:space="preserve"> </v>
      </c>
      <c r="AP44" t="str">
        <f t="shared" si="32"/>
        <v xml:space="preserve"> </v>
      </c>
      <c r="AQ44" t="str">
        <f t="shared" si="32"/>
        <v xml:space="preserve"> </v>
      </c>
      <c r="AR44" t="str">
        <f t="shared" si="32"/>
        <v xml:space="preserve"> </v>
      </c>
      <c r="AS44" t="str">
        <f>"0162192077"</f>
        <v>0162192077</v>
      </c>
      <c r="AT44" s="25">
        <v>43007</v>
      </c>
      <c r="AU44" t="str">
        <f>"0006520401"</f>
        <v>0006520401</v>
      </c>
      <c r="AV44" s="25">
        <v>43010</v>
      </c>
    </row>
    <row r="45" spans="1:48">
      <c r="A45" t="str">
        <f t="shared" si="20"/>
        <v>00106074</v>
      </c>
      <c r="B45" t="str">
        <f t="shared" si="21"/>
        <v>00106986</v>
      </c>
      <c r="C45" s="25">
        <v>42997</v>
      </c>
      <c r="D45" t="s">
        <v>146</v>
      </c>
      <c r="E45" t="str">
        <f t="shared" si="22"/>
        <v>KOUASSI Nicole Flora</v>
      </c>
      <c r="F45" t="str">
        <f t="shared" si="23"/>
        <v>02252-UNDP (Direct Execution)</v>
      </c>
      <c r="G45" t="s">
        <v>147</v>
      </c>
      <c r="H45" t="s">
        <v>222</v>
      </c>
      <c r="I45" t="s">
        <v>220</v>
      </c>
      <c r="J45" s="26">
        <v>481.05</v>
      </c>
      <c r="K45" t="s">
        <v>150</v>
      </c>
      <c r="L45" t="s">
        <v>151</v>
      </c>
      <c r="M45" t="s">
        <v>221</v>
      </c>
      <c r="N45" t="str">
        <f t="shared" si="15"/>
        <v xml:space="preserve"> </v>
      </c>
      <c r="O45" t="str">
        <f t="shared" si="17"/>
        <v xml:space="preserve"> </v>
      </c>
      <c r="P45" t="s">
        <v>0</v>
      </c>
      <c r="Q45" s="25">
        <v>43011</v>
      </c>
      <c r="R45" t="str">
        <f t="shared" si="24"/>
        <v>NER10</v>
      </c>
      <c r="S45" t="s">
        <v>153</v>
      </c>
      <c r="T45" t="s">
        <v>154</v>
      </c>
      <c r="U45" t="str">
        <f t="shared" si="25"/>
        <v>001981</v>
      </c>
      <c r="V45" t="str">
        <f t="shared" si="26"/>
        <v>30000</v>
      </c>
      <c r="W45" t="str">
        <f t="shared" si="27"/>
        <v>11363</v>
      </c>
      <c r="X45" t="str">
        <f t="shared" si="28"/>
        <v>71615</v>
      </c>
      <c r="Y45">
        <v>262500</v>
      </c>
      <c r="Z45" t="s">
        <v>155</v>
      </c>
      <c r="AA45">
        <v>556.08399999999995</v>
      </c>
      <c r="AB45" t="str">
        <f>"0000002074"</f>
        <v>0000002074</v>
      </c>
      <c r="AC45" t="s">
        <v>223</v>
      </c>
      <c r="AD45" t="s">
        <v>156</v>
      </c>
      <c r="AE45" t="str">
        <f t="shared" si="29"/>
        <v xml:space="preserve"> </v>
      </c>
      <c r="AF45">
        <v>0</v>
      </c>
      <c r="AG45" t="s">
        <v>220</v>
      </c>
      <c r="AH45" t="s">
        <v>0</v>
      </c>
      <c r="AI45" t="str">
        <f t="shared" si="30"/>
        <v xml:space="preserve"> </v>
      </c>
      <c r="AJ45">
        <v>0</v>
      </c>
      <c r="AK45" t="s">
        <v>0</v>
      </c>
      <c r="AM45" t="str">
        <f t="shared" si="31"/>
        <v>10</v>
      </c>
      <c r="AN45" t="str">
        <f>"0000193511"</f>
        <v>0000193511</v>
      </c>
      <c r="AO45" t="str">
        <f t="shared" si="32"/>
        <v xml:space="preserve"> </v>
      </c>
      <c r="AP45" t="str">
        <f t="shared" si="32"/>
        <v xml:space="preserve"> </v>
      </c>
      <c r="AQ45" t="str">
        <f t="shared" si="32"/>
        <v xml:space="preserve"> </v>
      </c>
      <c r="AR45" t="str">
        <f t="shared" si="32"/>
        <v xml:space="preserve"> </v>
      </c>
      <c r="AS45" t="str">
        <f>"0162192143"</f>
        <v>0162192143</v>
      </c>
      <c r="AT45" s="25">
        <v>43007</v>
      </c>
      <c r="AU45" t="str">
        <f>"0006520405"</f>
        <v>0006520405</v>
      </c>
      <c r="AV45" s="25">
        <v>43010</v>
      </c>
    </row>
    <row r="46" spans="1:48">
      <c r="A46" t="str">
        <f t="shared" si="20"/>
        <v>00106074</v>
      </c>
      <c r="B46" t="str">
        <f t="shared" si="21"/>
        <v>00106986</v>
      </c>
      <c r="C46" s="25">
        <v>42997</v>
      </c>
      <c r="D46" t="s">
        <v>146</v>
      </c>
      <c r="E46" t="str">
        <f t="shared" si="22"/>
        <v>KOUASSI Nicole Flora</v>
      </c>
      <c r="F46" t="str">
        <f t="shared" si="23"/>
        <v>02252-UNDP (Direct Execution)</v>
      </c>
      <c r="G46" t="s">
        <v>147</v>
      </c>
      <c r="H46" t="s">
        <v>224</v>
      </c>
      <c r="I46" t="s">
        <v>220</v>
      </c>
      <c r="J46" s="26">
        <v>481.05</v>
      </c>
      <c r="K46" t="s">
        <v>150</v>
      </c>
      <c r="L46" t="s">
        <v>151</v>
      </c>
      <c r="M46" t="s">
        <v>221</v>
      </c>
      <c r="N46" t="str">
        <f t="shared" si="15"/>
        <v xml:space="preserve"> </v>
      </c>
      <c r="O46" t="str">
        <f t="shared" si="17"/>
        <v xml:space="preserve"> </v>
      </c>
      <c r="P46" t="s">
        <v>0</v>
      </c>
      <c r="Q46" s="25">
        <v>43011</v>
      </c>
      <c r="R46" t="str">
        <f t="shared" si="24"/>
        <v>NER10</v>
      </c>
      <c r="S46" t="s">
        <v>153</v>
      </c>
      <c r="T46" t="s">
        <v>154</v>
      </c>
      <c r="U46" t="str">
        <f t="shared" si="25"/>
        <v>001981</v>
      </c>
      <c r="V46" t="str">
        <f t="shared" si="26"/>
        <v>30000</v>
      </c>
      <c r="W46" t="str">
        <f t="shared" si="27"/>
        <v>11363</v>
      </c>
      <c r="X46" t="str">
        <f t="shared" si="28"/>
        <v>71615</v>
      </c>
      <c r="Y46">
        <v>262500</v>
      </c>
      <c r="Z46" t="s">
        <v>155</v>
      </c>
      <c r="AA46">
        <v>556.08399999999995</v>
      </c>
      <c r="AB46" t="str">
        <f>"0000006369"</f>
        <v>0000006369</v>
      </c>
      <c r="AC46" t="s">
        <v>225</v>
      </c>
      <c r="AD46" t="s">
        <v>156</v>
      </c>
      <c r="AE46" t="str">
        <f t="shared" si="29"/>
        <v xml:space="preserve"> </v>
      </c>
      <c r="AF46">
        <v>0</v>
      </c>
      <c r="AG46" t="s">
        <v>220</v>
      </c>
      <c r="AH46" t="s">
        <v>0</v>
      </c>
      <c r="AI46" t="str">
        <f t="shared" si="30"/>
        <v xml:space="preserve"> </v>
      </c>
      <c r="AJ46">
        <v>0</v>
      </c>
      <c r="AK46" t="s">
        <v>0</v>
      </c>
      <c r="AM46" t="str">
        <f t="shared" si="31"/>
        <v>10</v>
      </c>
      <c r="AN46" t="str">
        <f>"0000193512"</f>
        <v>0000193512</v>
      </c>
      <c r="AO46" t="str">
        <f t="shared" si="32"/>
        <v xml:space="preserve"> </v>
      </c>
      <c r="AP46" t="str">
        <f t="shared" si="32"/>
        <v xml:space="preserve"> </v>
      </c>
      <c r="AQ46" t="str">
        <f t="shared" si="32"/>
        <v xml:space="preserve"> </v>
      </c>
      <c r="AR46" t="str">
        <f t="shared" si="32"/>
        <v xml:space="preserve"> </v>
      </c>
      <c r="AS46" t="str">
        <f>"0162192134"</f>
        <v>0162192134</v>
      </c>
      <c r="AT46" s="25">
        <v>43007</v>
      </c>
      <c r="AU46" t="str">
        <f>"0006520400"</f>
        <v>0006520400</v>
      </c>
      <c r="AV46" s="25">
        <v>43010</v>
      </c>
    </row>
    <row r="47" spans="1:48">
      <c r="A47" t="str">
        <f t="shared" si="20"/>
        <v>00106074</v>
      </c>
      <c r="B47" t="str">
        <f t="shared" si="21"/>
        <v>00106986</v>
      </c>
      <c r="C47" s="25">
        <v>42997</v>
      </c>
      <c r="D47" t="s">
        <v>146</v>
      </c>
      <c r="E47" t="str">
        <f t="shared" si="22"/>
        <v>KOUASSI Nicole Flora</v>
      </c>
      <c r="F47" t="str">
        <f t="shared" si="23"/>
        <v>02252-UNDP (Direct Execution)</v>
      </c>
      <c r="G47" t="s">
        <v>147</v>
      </c>
      <c r="H47" t="s">
        <v>226</v>
      </c>
      <c r="I47" t="s">
        <v>220</v>
      </c>
      <c r="J47" s="26">
        <v>481.05</v>
      </c>
      <c r="K47" t="s">
        <v>150</v>
      </c>
      <c r="L47" t="s">
        <v>151</v>
      </c>
      <c r="M47" t="s">
        <v>221</v>
      </c>
      <c r="N47" t="str">
        <f t="shared" si="15"/>
        <v xml:space="preserve"> </v>
      </c>
      <c r="O47" t="str">
        <f t="shared" si="17"/>
        <v xml:space="preserve"> </v>
      </c>
      <c r="P47" t="s">
        <v>0</v>
      </c>
      <c r="Q47" s="25">
        <v>43011</v>
      </c>
      <c r="R47" t="str">
        <f t="shared" si="24"/>
        <v>NER10</v>
      </c>
      <c r="S47" t="s">
        <v>153</v>
      </c>
      <c r="T47" t="s">
        <v>154</v>
      </c>
      <c r="U47" t="str">
        <f t="shared" si="25"/>
        <v>001981</v>
      </c>
      <c r="V47" t="str">
        <f t="shared" si="26"/>
        <v>30000</v>
      </c>
      <c r="W47" t="str">
        <f t="shared" si="27"/>
        <v>11363</v>
      </c>
      <c r="X47" t="str">
        <f t="shared" si="28"/>
        <v>71615</v>
      </c>
      <c r="Y47">
        <v>262500</v>
      </c>
      <c r="Z47" t="s">
        <v>155</v>
      </c>
      <c r="AA47">
        <v>556.08399999999995</v>
      </c>
      <c r="AB47" t="str">
        <f>"0000002521"</f>
        <v>0000002521</v>
      </c>
      <c r="AC47" t="s">
        <v>227</v>
      </c>
      <c r="AD47" t="s">
        <v>156</v>
      </c>
      <c r="AE47" t="str">
        <f t="shared" si="29"/>
        <v xml:space="preserve"> </v>
      </c>
      <c r="AF47">
        <v>0</v>
      </c>
      <c r="AG47" t="s">
        <v>220</v>
      </c>
      <c r="AH47" t="s">
        <v>0</v>
      </c>
      <c r="AI47" t="str">
        <f t="shared" si="30"/>
        <v xml:space="preserve"> </v>
      </c>
      <c r="AJ47">
        <v>0</v>
      </c>
      <c r="AK47" t="s">
        <v>0</v>
      </c>
      <c r="AM47" t="str">
        <f t="shared" si="31"/>
        <v>10</v>
      </c>
      <c r="AN47" t="str">
        <f>"0000193513"</f>
        <v>0000193513</v>
      </c>
      <c r="AO47" t="str">
        <f t="shared" si="32"/>
        <v xml:space="preserve"> </v>
      </c>
      <c r="AP47" t="str">
        <f t="shared" si="32"/>
        <v xml:space="preserve"> </v>
      </c>
      <c r="AQ47" t="str">
        <f t="shared" si="32"/>
        <v xml:space="preserve"> </v>
      </c>
      <c r="AR47" t="str">
        <f t="shared" si="32"/>
        <v xml:space="preserve"> </v>
      </c>
      <c r="AS47" t="str">
        <f>"0162192122"</f>
        <v>0162192122</v>
      </c>
      <c r="AT47" s="25">
        <v>43007</v>
      </c>
      <c r="AU47" t="str">
        <f>"0006520406"</f>
        <v>0006520406</v>
      </c>
      <c r="AV47" s="25">
        <v>43010</v>
      </c>
    </row>
    <row r="48" spans="1:48">
      <c r="A48" t="str">
        <f t="shared" si="20"/>
        <v>00106074</v>
      </c>
      <c r="B48" t="str">
        <f t="shared" si="21"/>
        <v>00106986</v>
      </c>
      <c r="C48" s="25">
        <v>42997</v>
      </c>
      <c r="D48" t="s">
        <v>146</v>
      </c>
      <c r="E48" t="str">
        <f t="shared" si="22"/>
        <v>KOUASSI Nicole Flora</v>
      </c>
      <c r="F48" t="str">
        <f t="shared" si="23"/>
        <v>02252-UNDP (Direct Execution)</v>
      </c>
      <c r="G48" t="s">
        <v>147</v>
      </c>
      <c r="H48" t="s">
        <v>228</v>
      </c>
      <c r="I48" t="s">
        <v>220</v>
      </c>
      <c r="J48" s="26">
        <v>481.05</v>
      </c>
      <c r="K48" t="s">
        <v>150</v>
      </c>
      <c r="L48" t="s">
        <v>151</v>
      </c>
      <c r="M48" t="s">
        <v>221</v>
      </c>
      <c r="N48" t="str">
        <f t="shared" si="15"/>
        <v xml:space="preserve"> </v>
      </c>
      <c r="O48" t="str">
        <f t="shared" si="17"/>
        <v xml:space="preserve"> </v>
      </c>
      <c r="P48" t="s">
        <v>0</v>
      </c>
      <c r="Q48" s="25">
        <v>43011</v>
      </c>
      <c r="R48" t="str">
        <f t="shared" si="24"/>
        <v>NER10</v>
      </c>
      <c r="S48" t="s">
        <v>153</v>
      </c>
      <c r="T48" t="s">
        <v>154</v>
      </c>
      <c r="U48" t="str">
        <f t="shared" si="25"/>
        <v>001981</v>
      </c>
      <c r="V48" t="str">
        <f t="shared" si="26"/>
        <v>30000</v>
      </c>
      <c r="W48" t="str">
        <f t="shared" si="27"/>
        <v>11363</v>
      </c>
      <c r="X48" t="str">
        <f t="shared" si="28"/>
        <v>71615</v>
      </c>
      <c r="Y48">
        <v>262500</v>
      </c>
      <c r="Z48" t="s">
        <v>155</v>
      </c>
      <c r="AA48">
        <v>556.08399999999995</v>
      </c>
      <c r="AB48" t="str">
        <f>"0000006010"</f>
        <v>0000006010</v>
      </c>
      <c r="AC48" t="s">
        <v>229</v>
      </c>
      <c r="AD48" t="s">
        <v>156</v>
      </c>
      <c r="AE48" t="str">
        <f t="shared" si="29"/>
        <v xml:space="preserve"> </v>
      </c>
      <c r="AF48">
        <v>0</v>
      </c>
      <c r="AG48" t="s">
        <v>220</v>
      </c>
      <c r="AH48" t="s">
        <v>0</v>
      </c>
      <c r="AI48" t="str">
        <f t="shared" si="30"/>
        <v xml:space="preserve"> </v>
      </c>
      <c r="AJ48">
        <v>0</v>
      </c>
      <c r="AK48" t="s">
        <v>0</v>
      </c>
      <c r="AM48" t="str">
        <f t="shared" si="31"/>
        <v>10</v>
      </c>
      <c r="AN48" t="str">
        <f>"0000193514"</f>
        <v>0000193514</v>
      </c>
      <c r="AO48" t="str">
        <f t="shared" si="32"/>
        <v xml:space="preserve"> </v>
      </c>
      <c r="AP48" t="str">
        <f t="shared" si="32"/>
        <v xml:space="preserve"> </v>
      </c>
      <c r="AQ48" t="str">
        <f t="shared" si="32"/>
        <v xml:space="preserve"> </v>
      </c>
      <c r="AR48" t="str">
        <f t="shared" si="32"/>
        <v xml:space="preserve"> </v>
      </c>
      <c r="AS48" t="str">
        <f>"0162192108"</f>
        <v>0162192108</v>
      </c>
      <c r="AT48" s="25">
        <v>43007</v>
      </c>
      <c r="AU48" t="str">
        <f>"0006520404"</f>
        <v>0006520404</v>
      </c>
      <c r="AV48" s="25">
        <v>43010</v>
      </c>
    </row>
    <row r="49" spans="1:48">
      <c r="A49" t="str">
        <f t="shared" si="20"/>
        <v>00106074</v>
      </c>
      <c r="B49" t="str">
        <f t="shared" si="21"/>
        <v>00106986</v>
      </c>
      <c r="C49" s="25">
        <v>42997</v>
      </c>
      <c r="D49" t="s">
        <v>146</v>
      </c>
      <c r="E49" t="str">
        <f t="shared" si="22"/>
        <v>KOUASSI Nicole Flora</v>
      </c>
      <c r="F49" t="str">
        <f t="shared" si="23"/>
        <v>02252-UNDP (Direct Execution)</v>
      </c>
      <c r="G49" t="s">
        <v>147</v>
      </c>
      <c r="H49" t="s">
        <v>183</v>
      </c>
      <c r="I49" t="s">
        <v>220</v>
      </c>
      <c r="J49" s="26">
        <v>481.05</v>
      </c>
      <c r="K49" t="s">
        <v>150</v>
      </c>
      <c r="L49" t="s">
        <v>151</v>
      </c>
      <c r="M49" t="s">
        <v>221</v>
      </c>
      <c r="N49" t="str">
        <f t="shared" si="15"/>
        <v xml:space="preserve"> </v>
      </c>
      <c r="O49" t="str">
        <f t="shared" si="17"/>
        <v xml:space="preserve"> </v>
      </c>
      <c r="P49" t="s">
        <v>0</v>
      </c>
      <c r="Q49" s="25">
        <v>43011</v>
      </c>
      <c r="R49" t="str">
        <f t="shared" si="24"/>
        <v>NER10</v>
      </c>
      <c r="S49" t="s">
        <v>153</v>
      </c>
      <c r="T49" t="s">
        <v>154</v>
      </c>
      <c r="U49" t="str">
        <f t="shared" si="25"/>
        <v>001981</v>
      </c>
      <c r="V49" t="str">
        <f t="shared" si="26"/>
        <v>30000</v>
      </c>
      <c r="W49" t="str">
        <f t="shared" si="27"/>
        <v>11363</v>
      </c>
      <c r="X49" t="str">
        <f t="shared" si="28"/>
        <v>71615</v>
      </c>
      <c r="Y49">
        <v>262500</v>
      </c>
      <c r="Z49" t="s">
        <v>155</v>
      </c>
      <c r="AA49">
        <v>556.08399999999995</v>
      </c>
      <c r="AB49" t="str">
        <f>"0000006243"</f>
        <v>0000006243</v>
      </c>
      <c r="AC49" t="s">
        <v>186</v>
      </c>
      <c r="AD49">
        <v>8</v>
      </c>
      <c r="AE49" t="str">
        <f t="shared" si="29"/>
        <v xml:space="preserve"> </v>
      </c>
      <c r="AF49">
        <v>0</v>
      </c>
      <c r="AG49" t="s">
        <v>220</v>
      </c>
      <c r="AH49" t="s">
        <v>0</v>
      </c>
      <c r="AI49" t="str">
        <f t="shared" si="30"/>
        <v xml:space="preserve"> </v>
      </c>
      <c r="AJ49">
        <v>0</v>
      </c>
      <c r="AK49" t="s">
        <v>0</v>
      </c>
      <c r="AM49" t="str">
        <f t="shared" si="31"/>
        <v>10</v>
      </c>
      <c r="AN49" t="str">
        <f>"0000193515"</f>
        <v>0000193515</v>
      </c>
      <c r="AO49" t="str">
        <f t="shared" si="32"/>
        <v xml:space="preserve"> </v>
      </c>
      <c r="AP49" t="str">
        <f t="shared" si="32"/>
        <v xml:space="preserve"> </v>
      </c>
      <c r="AQ49" t="str">
        <f t="shared" si="32"/>
        <v xml:space="preserve"> </v>
      </c>
      <c r="AR49" t="str">
        <f t="shared" si="32"/>
        <v xml:space="preserve"> </v>
      </c>
      <c r="AS49" t="str">
        <f>"0162192098"</f>
        <v>0162192098</v>
      </c>
      <c r="AT49" s="25">
        <v>43007</v>
      </c>
      <c r="AU49" t="str">
        <f>"0006520403"</f>
        <v>0006520403</v>
      </c>
      <c r="AV49" s="25">
        <v>43010</v>
      </c>
    </row>
    <row r="50" spans="1:48">
      <c r="A50" t="str">
        <f t="shared" si="20"/>
        <v>00106074</v>
      </c>
      <c r="B50" t="str">
        <f t="shared" si="21"/>
        <v>00106986</v>
      </c>
      <c r="C50" s="25">
        <v>42997</v>
      </c>
      <c r="D50" t="s">
        <v>146</v>
      </c>
      <c r="E50" t="str">
        <f t="shared" si="22"/>
        <v>KOUASSI Nicole Flora</v>
      </c>
      <c r="F50" t="str">
        <f t="shared" si="23"/>
        <v>02252-UNDP (Direct Execution)</v>
      </c>
      <c r="G50" t="s">
        <v>147</v>
      </c>
      <c r="H50" t="s">
        <v>248</v>
      </c>
      <c r="I50" t="s">
        <v>220</v>
      </c>
      <c r="J50" s="26">
        <v>790.42</v>
      </c>
      <c r="K50" t="s">
        <v>150</v>
      </c>
      <c r="L50" t="s">
        <v>175</v>
      </c>
      <c r="M50" t="s">
        <v>221</v>
      </c>
      <c r="N50" t="str">
        <f t="shared" si="15"/>
        <v xml:space="preserve"> </v>
      </c>
      <c r="O50" t="str">
        <f t="shared" si="17"/>
        <v xml:space="preserve"> </v>
      </c>
      <c r="P50" t="s">
        <v>0</v>
      </c>
      <c r="Q50" t="s">
        <v>176</v>
      </c>
      <c r="R50" t="str">
        <f t="shared" si="24"/>
        <v>NER10</v>
      </c>
      <c r="S50" t="s">
        <v>153</v>
      </c>
      <c r="T50" t="s">
        <v>154</v>
      </c>
      <c r="U50" t="str">
        <f t="shared" si="25"/>
        <v>001981</v>
      </c>
      <c r="V50" t="str">
        <f t="shared" si="26"/>
        <v>30000</v>
      </c>
      <c r="W50" t="str">
        <f t="shared" si="27"/>
        <v>11363</v>
      </c>
      <c r="X50" t="str">
        <f>"71620"</f>
        <v>71620</v>
      </c>
      <c r="Y50">
        <v>437500</v>
      </c>
      <c r="Z50" t="s">
        <v>155</v>
      </c>
      <c r="AA50">
        <v>553.50400000000002</v>
      </c>
      <c r="AB50" t="str">
        <f>"0000000171"</f>
        <v>0000000171</v>
      </c>
      <c r="AC50" t="s">
        <v>156</v>
      </c>
      <c r="AD50" t="s">
        <v>156</v>
      </c>
      <c r="AE50" t="str">
        <f t="shared" si="29"/>
        <v xml:space="preserve"> </v>
      </c>
      <c r="AF50">
        <v>0</v>
      </c>
      <c r="AG50" t="s">
        <v>220</v>
      </c>
      <c r="AH50" t="s">
        <v>0</v>
      </c>
      <c r="AI50" t="str">
        <f t="shared" si="30"/>
        <v xml:space="preserve"> </v>
      </c>
      <c r="AJ50">
        <v>0</v>
      </c>
      <c r="AK50" t="s">
        <v>0</v>
      </c>
      <c r="AM50" t="str">
        <f t="shared" ref="AM50:AM56" si="33">"12"</f>
        <v>12</v>
      </c>
      <c r="AN50" t="str">
        <f>"0000202282"</f>
        <v>0000202282</v>
      </c>
      <c r="AO50" t="str">
        <f t="shared" si="32"/>
        <v xml:space="preserve"> </v>
      </c>
      <c r="AP50" t="str">
        <f t="shared" si="32"/>
        <v xml:space="preserve"> </v>
      </c>
      <c r="AQ50" t="str">
        <f t="shared" si="32"/>
        <v xml:space="preserve"> </v>
      </c>
      <c r="AR50" t="str">
        <f t="shared" si="32"/>
        <v xml:space="preserve"> </v>
      </c>
      <c r="AS50" t="str">
        <f>"0164806491"</f>
        <v>0164806491</v>
      </c>
      <c r="AT50" s="25">
        <v>43069</v>
      </c>
      <c r="AU50" t="str">
        <f>"0006440812"</f>
        <v>0006440812</v>
      </c>
      <c r="AV50" t="s">
        <v>230</v>
      </c>
    </row>
    <row r="51" spans="1:48">
      <c r="A51" t="str">
        <f t="shared" si="20"/>
        <v>00106074</v>
      </c>
      <c r="B51" t="str">
        <f t="shared" si="21"/>
        <v>00106986</v>
      </c>
      <c r="C51" s="25">
        <v>42997</v>
      </c>
      <c r="D51" t="s">
        <v>146</v>
      </c>
      <c r="E51" t="str">
        <f t="shared" si="22"/>
        <v>KOUASSI Nicole Flora</v>
      </c>
      <c r="F51" t="str">
        <f t="shared" si="23"/>
        <v>02252-UNDP (Direct Execution)</v>
      </c>
      <c r="G51" t="s">
        <v>147</v>
      </c>
      <c r="H51" t="s">
        <v>231</v>
      </c>
      <c r="I51" t="s">
        <v>220</v>
      </c>
      <c r="J51" s="26">
        <v>474.25</v>
      </c>
      <c r="K51" t="s">
        <v>150</v>
      </c>
      <c r="L51" t="s">
        <v>175</v>
      </c>
      <c r="M51" t="s">
        <v>221</v>
      </c>
      <c r="N51" t="str">
        <f t="shared" si="15"/>
        <v xml:space="preserve"> </v>
      </c>
      <c r="O51" t="str">
        <f t="shared" si="17"/>
        <v xml:space="preserve"> </v>
      </c>
      <c r="P51" t="s">
        <v>0</v>
      </c>
      <c r="Q51" t="s">
        <v>232</v>
      </c>
      <c r="R51" t="str">
        <f t="shared" si="24"/>
        <v>NER10</v>
      </c>
      <c r="S51" t="s">
        <v>153</v>
      </c>
      <c r="T51" t="s">
        <v>154</v>
      </c>
      <c r="U51" t="str">
        <f t="shared" si="25"/>
        <v>001981</v>
      </c>
      <c r="V51" t="str">
        <f t="shared" si="26"/>
        <v>30000</v>
      </c>
      <c r="W51" t="str">
        <f t="shared" si="27"/>
        <v>11363</v>
      </c>
      <c r="X51" t="str">
        <f>"71620"</f>
        <v>71620</v>
      </c>
      <c r="Y51">
        <v>262500</v>
      </c>
      <c r="Z51" t="s">
        <v>155</v>
      </c>
      <c r="AA51">
        <v>553.50400000000002</v>
      </c>
      <c r="AB51" t="str">
        <f>"0000006522"</f>
        <v>0000006522</v>
      </c>
      <c r="AC51" t="s">
        <v>233</v>
      </c>
      <c r="AD51" t="s">
        <v>234</v>
      </c>
      <c r="AE51" t="str">
        <f t="shared" si="29"/>
        <v xml:space="preserve"> </v>
      </c>
      <c r="AF51">
        <v>0</v>
      </c>
      <c r="AG51" t="s">
        <v>220</v>
      </c>
      <c r="AH51" t="s">
        <v>0</v>
      </c>
      <c r="AI51" t="str">
        <f t="shared" si="30"/>
        <v xml:space="preserve"> </v>
      </c>
      <c r="AJ51">
        <v>0</v>
      </c>
      <c r="AK51" t="s">
        <v>0</v>
      </c>
      <c r="AM51" t="str">
        <f t="shared" si="33"/>
        <v>12</v>
      </c>
      <c r="AN51" t="str">
        <f>"0000202289"</f>
        <v>0000202289</v>
      </c>
      <c r="AO51" t="str">
        <f t="shared" si="32"/>
        <v xml:space="preserve"> </v>
      </c>
      <c r="AP51" t="str">
        <f t="shared" si="32"/>
        <v xml:space="preserve"> </v>
      </c>
      <c r="AQ51" t="str">
        <f t="shared" si="32"/>
        <v xml:space="preserve"> </v>
      </c>
      <c r="AR51" t="str">
        <f t="shared" si="32"/>
        <v xml:space="preserve"> </v>
      </c>
      <c r="AS51" t="str">
        <f>"0164965603"</f>
        <v>0164965603</v>
      </c>
      <c r="AT51" t="s">
        <v>181</v>
      </c>
      <c r="AU51" t="str">
        <f>"0006440810"</f>
        <v>0006440810</v>
      </c>
      <c r="AV51" t="s">
        <v>230</v>
      </c>
    </row>
    <row r="52" spans="1:48">
      <c r="A52" t="str">
        <f t="shared" si="20"/>
        <v>00106074</v>
      </c>
      <c r="B52" t="str">
        <f t="shared" si="21"/>
        <v>00106986</v>
      </c>
      <c r="C52" s="25">
        <v>42997</v>
      </c>
      <c r="D52" t="s">
        <v>146</v>
      </c>
      <c r="E52" t="str">
        <f t="shared" si="22"/>
        <v>KOUASSI Nicole Flora</v>
      </c>
      <c r="F52" t="str">
        <f t="shared" si="23"/>
        <v>02252-UNDP (Direct Execution)</v>
      </c>
      <c r="G52" t="s">
        <v>147</v>
      </c>
      <c r="H52" t="s">
        <v>235</v>
      </c>
      <c r="I52" t="s">
        <v>220</v>
      </c>
      <c r="J52" s="26">
        <v>790.42</v>
      </c>
      <c r="K52" t="s">
        <v>150</v>
      </c>
      <c r="L52" t="s">
        <v>175</v>
      </c>
      <c r="M52" t="s">
        <v>221</v>
      </c>
      <c r="N52" t="str">
        <f t="shared" si="15"/>
        <v xml:space="preserve"> </v>
      </c>
      <c r="O52" t="str">
        <f t="shared" si="17"/>
        <v xml:space="preserve"> </v>
      </c>
      <c r="P52" t="s">
        <v>0</v>
      </c>
      <c r="Q52" t="s">
        <v>176</v>
      </c>
      <c r="R52" t="str">
        <f t="shared" si="24"/>
        <v>NER10</v>
      </c>
      <c r="S52" t="s">
        <v>153</v>
      </c>
      <c r="T52" t="s">
        <v>154</v>
      </c>
      <c r="U52" t="str">
        <f t="shared" si="25"/>
        <v>001981</v>
      </c>
      <c r="V52" t="str">
        <f t="shared" si="26"/>
        <v>30000</v>
      </c>
      <c r="W52" t="str">
        <f t="shared" si="27"/>
        <v>11363</v>
      </c>
      <c r="X52" t="str">
        <f>"71620"</f>
        <v>71620</v>
      </c>
      <c r="Y52">
        <v>437500</v>
      </c>
      <c r="Z52" t="s">
        <v>155</v>
      </c>
      <c r="AA52">
        <v>553.50400000000002</v>
      </c>
      <c r="AB52" t="str">
        <f>"0000006454"</f>
        <v>0000006454</v>
      </c>
      <c r="AC52" t="s">
        <v>236</v>
      </c>
      <c r="AD52" t="s">
        <v>237</v>
      </c>
      <c r="AE52" t="str">
        <f t="shared" si="29"/>
        <v xml:space="preserve"> </v>
      </c>
      <c r="AF52">
        <v>0</v>
      </c>
      <c r="AG52" t="s">
        <v>220</v>
      </c>
      <c r="AH52" t="s">
        <v>0</v>
      </c>
      <c r="AI52" t="str">
        <f t="shared" si="30"/>
        <v xml:space="preserve"> </v>
      </c>
      <c r="AJ52">
        <v>0</v>
      </c>
      <c r="AK52" t="s">
        <v>0</v>
      </c>
      <c r="AM52" t="str">
        <f t="shared" si="33"/>
        <v>12</v>
      </c>
      <c r="AN52" t="str">
        <f>"0000202637"</f>
        <v>0000202637</v>
      </c>
      <c r="AO52" t="str">
        <f t="shared" si="32"/>
        <v xml:space="preserve"> </v>
      </c>
      <c r="AP52" t="str">
        <f t="shared" si="32"/>
        <v xml:space="preserve"> </v>
      </c>
      <c r="AQ52" t="str">
        <f t="shared" si="32"/>
        <v xml:space="preserve"> </v>
      </c>
      <c r="AR52" t="str">
        <f t="shared" si="32"/>
        <v xml:space="preserve"> </v>
      </c>
      <c r="AS52" t="str">
        <f>"0164806534"</f>
        <v>0164806534</v>
      </c>
      <c r="AT52" s="25">
        <v>43069</v>
      </c>
      <c r="AU52" t="str">
        <f>"1188012297"</f>
        <v>1188012297</v>
      </c>
      <c r="AV52" t="s">
        <v>230</v>
      </c>
    </row>
    <row r="53" spans="1:48">
      <c r="A53" t="str">
        <f t="shared" si="20"/>
        <v>00106074</v>
      </c>
      <c r="B53" t="str">
        <f t="shared" si="21"/>
        <v>00106986</v>
      </c>
      <c r="C53" s="25">
        <v>42997</v>
      </c>
      <c r="D53" t="s">
        <v>146</v>
      </c>
      <c r="E53" t="str">
        <f t="shared" si="22"/>
        <v>KOUASSI Nicole Flora</v>
      </c>
      <c r="F53" t="str">
        <f t="shared" si="23"/>
        <v>02252-UNDP (Direct Execution)</v>
      </c>
      <c r="G53" t="s">
        <v>147</v>
      </c>
      <c r="H53" t="s">
        <v>238</v>
      </c>
      <c r="I53" t="s">
        <v>220</v>
      </c>
      <c r="J53" s="26">
        <v>790.42</v>
      </c>
      <c r="K53" t="s">
        <v>150</v>
      </c>
      <c r="L53" t="s">
        <v>175</v>
      </c>
      <c r="M53" t="s">
        <v>221</v>
      </c>
      <c r="N53" t="str">
        <f t="shared" si="15"/>
        <v xml:space="preserve"> </v>
      </c>
      <c r="O53" t="str">
        <f t="shared" si="17"/>
        <v xml:space="preserve"> </v>
      </c>
      <c r="P53" t="s">
        <v>0</v>
      </c>
      <c r="Q53" t="s">
        <v>230</v>
      </c>
      <c r="R53" t="str">
        <f t="shared" si="24"/>
        <v>NER10</v>
      </c>
      <c r="S53" t="s">
        <v>153</v>
      </c>
      <c r="T53" t="s">
        <v>154</v>
      </c>
      <c r="U53" t="str">
        <f t="shared" si="25"/>
        <v>001981</v>
      </c>
      <c r="V53" t="str">
        <f t="shared" si="26"/>
        <v>30000</v>
      </c>
      <c r="W53" t="str">
        <f t="shared" si="27"/>
        <v>11363</v>
      </c>
      <c r="X53" t="str">
        <f>"71615"</f>
        <v>71615</v>
      </c>
      <c r="Y53">
        <v>437500</v>
      </c>
      <c r="Z53" t="s">
        <v>155</v>
      </c>
      <c r="AA53">
        <v>553.50400000000002</v>
      </c>
      <c r="AB53" t="str">
        <f>"0000006065"</f>
        <v>0000006065</v>
      </c>
      <c r="AC53" t="s">
        <v>239</v>
      </c>
      <c r="AD53" t="s">
        <v>156</v>
      </c>
      <c r="AE53" t="str">
        <f t="shared" si="29"/>
        <v xml:space="preserve"> </v>
      </c>
      <c r="AF53">
        <v>0</v>
      </c>
      <c r="AG53" t="s">
        <v>220</v>
      </c>
      <c r="AH53" t="s">
        <v>0</v>
      </c>
      <c r="AI53" t="str">
        <f t="shared" si="30"/>
        <v xml:space="preserve"> </v>
      </c>
      <c r="AJ53">
        <v>0</v>
      </c>
      <c r="AK53" t="s">
        <v>0</v>
      </c>
      <c r="AM53" t="str">
        <f t="shared" si="33"/>
        <v>12</v>
      </c>
      <c r="AN53" t="str">
        <f>"0000202900"</f>
        <v>0000202900</v>
      </c>
      <c r="AO53" t="str">
        <f t="shared" si="32"/>
        <v xml:space="preserve"> </v>
      </c>
      <c r="AP53" t="str">
        <f t="shared" si="32"/>
        <v xml:space="preserve"> </v>
      </c>
      <c r="AQ53" t="str">
        <f t="shared" si="32"/>
        <v xml:space="preserve"> </v>
      </c>
      <c r="AR53" t="str">
        <f t="shared" si="32"/>
        <v xml:space="preserve"> </v>
      </c>
      <c r="AS53" t="str">
        <f>"0164909790"</f>
        <v>0164909790</v>
      </c>
      <c r="AT53" t="s">
        <v>179</v>
      </c>
      <c r="AU53" t="str">
        <f>"1188012295"</f>
        <v>1188012295</v>
      </c>
      <c r="AV53" t="s">
        <v>230</v>
      </c>
    </row>
    <row r="54" spans="1:48">
      <c r="A54" t="str">
        <f t="shared" si="20"/>
        <v>00106074</v>
      </c>
      <c r="B54" t="str">
        <f t="shared" si="21"/>
        <v>00106986</v>
      </c>
      <c r="C54" s="25">
        <v>42997</v>
      </c>
      <c r="D54" t="s">
        <v>146</v>
      </c>
      <c r="E54" t="str">
        <f t="shared" si="22"/>
        <v>KOUASSI Nicole Flora</v>
      </c>
      <c r="F54" t="str">
        <f t="shared" si="23"/>
        <v>02252-UNDP (Direct Execution)</v>
      </c>
      <c r="G54" t="s">
        <v>147</v>
      </c>
      <c r="H54" t="s">
        <v>240</v>
      </c>
      <c r="I54" t="s">
        <v>220</v>
      </c>
      <c r="J54" s="26">
        <v>790.42</v>
      </c>
      <c r="K54" t="s">
        <v>150</v>
      </c>
      <c r="L54" t="s">
        <v>175</v>
      </c>
      <c r="M54" t="s">
        <v>221</v>
      </c>
      <c r="N54" t="str">
        <f t="shared" si="15"/>
        <v xml:space="preserve"> </v>
      </c>
      <c r="O54" t="str">
        <f t="shared" si="17"/>
        <v xml:space="preserve"> </v>
      </c>
      <c r="P54" t="s">
        <v>0</v>
      </c>
      <c r="Q54" t="s">
        <v>230</v>
      </c>
      <c r="R54" t="str">
        <f t="shared" si="24"/>
        <v>NER10</v>
      </c>
      <c r="S54" t="s">
        <v>153</v>
      </c>
      <c r="T54" t="s">
        <v>154</v>
      </c>
      <c r="U54" t="str">
        <f t="shared" si="25"/>
        <v>001981</v>
      </c>
      <c r="V54" t="str">
        <f t="shared" si="26"/>
        <v>30000</v>
      </c>
      <c r="W54" t="str">
        <f t="shared" si="27"/>
        <v>11363</v>
      </c>
      <c r="X54" t="str">
        <f>"71615"</f>
        <v>71615</v>
      </c>
      <c r="Y54">
        <v>437500</v>
      </c>
      <c r="Z54" t="s">
        <v>155</v>
      </c>
      <c r="AA54">
        <v>553.50400000000002</v>
      </c>
      <c r="AB54" t="str">
        <f>"0000005378"</f>
        <v>0000005378</v>
      </c>
      <c r="AC54" t="s">
        <v>241</v>
      </c>
      <c r="AD54" t="s">
        <v>156</v>
      </c>
      <c r="AE54" t="str">
        <f t="shared" si="29"/>
        <v xml:space="preserve"> </v>
      </c>
      <c r="AF54">
        <v>0</v>
      </c>
      <c r="AG54" t="s">
        <v>220</v>
      </c>
      <c r="AH54" t="s">
        <v>0</v>
      </c>
      <c r="AI54" t="str">
        <f t="shared" si="30"/>
        <v xml:space="preserve"> </v>
      </c>
      <c r="AJ54">
        <v>0</v>
      </c>
      <c r="AK54" t="s">
        <v>0</v>
      </c>
      <c r="AM54" t="str">
        <f t="shared" si="33"/>
        <v>12</v>
      </c>
      <c r="AN54" t="str">
        <f>"0000202901"</f>
        <v>0000202901</v>
      </c>
      <c r="AO54" t="str">
        <f t="shared" si="32"/>
        <v xml:space="preserve"> </v>
      </c>
      <c r="AP54" t="str">
        <f t="shared" si="32"/>
        <v xml:space="preserve"> </v>
      </c>
      <c r="AQ54" t="str">
        <f t="shared" si="32"/>
        <v xml:space="preserve"> </v>
      </c>
      <c r="AR54" t="str">
        <f t="shared" si="32"/>
        <v xml:space="preserve"> </v>
      </c>
      <c r="AS54" t="str">
        <f>"0164896471"</f>
        <v>0164896471</v>
      </c>
      <c r="AT54" t="s">
        <v>179</v>
      </c>
      <c r="AU54" t="str">
        <f>"1188012298"</f>
        <v>1188012298</v>
      </c>
      <c r="AV54" t="s">
        <v>230</v>
      </c>
    </row>
    <row r="55" spans="1:48">
      <c r="A55" t="str">
        <f t="shared" si="20"/>
        <v>00106074</v>
      </c>
      <c r="B55" t="str">
        <f t="shared" si="21"/>
        <v>00106986</v>
      </c>
      <c r="C55" s="25">
        <v>42997</v>
      </c>
      <c r="D55" t="s">
        <v>146</v>
      </c>
      <c r="E55" t="str">
        <f t="shared" si="22"/>
        <v>KOUASSI Nicole Flora</v>
      </c>
      <c r="F55" t="str">
        <f t="shared" si="23"/>
        <v>02252-UNDP (Direct Execution)</v>
      </c>
      <c r="G55" t="s">
        <v>147</v>
      </c>
      <c r="H55" t="s">
        <v>242</v>
      </c>
      <c r="I55" t="s">
        <v>220</v>
      </c>
      <c r="J55" s="26">
        <v>790.42</v>
      </c>
      <c r="K55" t="s">
        <v>150</v>
      </c>
      <c r="L55" t="s">
        <v>175</v>
      </c>
      <c r="M55" t="s">
        <v>221</v>
      </c>
      <c r="N55" t="str">
        <f t="shared" si="15"/>
        <v xml:space="preserve"> </v>
      </c>
      <c r="O55" t="str">
        <f t="shared" si="17"/>
        <v xml:space="preserve"> </v>
      </c>
      <c r="P55" t="s">
        <v>0</v>
      </c>
      <c r="Q55" t="s">
        <v>230</v>
      </c>
      <c r="R55" t="str">
        <f t="shared" si="24"/>
        <v>NER10</v>
      </c>
      <c r="S55" t="s">
        <v>153</v>
      </c>
      <c r="T55" t="s">
        <v>154</v>
      </c>
      <c r="U55" t="str">
        <f t="shared" si="25"/>
        <v>001981</v>
      </c>
      <c r="V55" t="str">
        <f t="shared" si="26"/>
        <v>30000</v>
      </c>
      <c r="W55" t="str">
        <f t="shared" si="27"/>
        <v>11363</v>
      </c>
      <c r="X55" t="str">
        <f>"71615"</f>
        <v>71615</v>
      </c>
      <c r="Y55">
        <v>437500</v>
      </c>
      <c r="Z55" t="s">
        <v>155</v>
      </c>
      <c r="AA55">
        <v>553.50400000000002</v>
      </c>
      <c r="AB55" t="str">
        <f>"0000004183"</f>
        <v>0000004183</v>
      </c>
      <c r="AC55" t="s">
        <v>243</v>
      </c>
      <c r="AD55" t="s">
        <v>156</v>
      </c>
      <c r="AE55" t="str">
        <f t="shared" si="29"/>
        <v xml:space="preserve"> </v>
      </c>
      <c r="AF55">
        <v>0</v>
      </c>
      <c r="AG55" t="s">
        <v>220</v>
      </c>
      <c r="AH55" t="s">
        <v>0</v>
      </c>
      <c r="AI55" t="str">
        <f t="shared" si="30"/>
        <v xml:space="preserve"> </v>
      </c>
      <c r="AJ55">
        <v>0</v>
      </c>
      <c r="AK55" t="s">
        <v>0</v>
      </c>
      <c r="AM55" t="str">
        <f t="shared" si="33"/>
        <v>12</v>
      </c>
      <c r="AN55" t="str">
        <f>"0000203142"</f>
        <v>0000203142</v>
      </c>
      <c r="AO55" t="str">
        <f t="shared" si="32"/>
        <v xml:space="preserve"> </v>
      </c>
      <c r="AP55" t="str">
        <f t="shared" si="32"/>
        <v xml:space="preserve"> </v>
      </c>
      <c r="AQ55" t="str">
        <f t="shared" si="32"/>
        <v xml:space="preserve"> </v>
      </c>
      <c r="AR55" t="str">
        <f t="shared" si="32"/>
        <v xml:space="preserve"> </v>
      </c>
      <c r="AS55" t="str">
        <f>"0164965646"</f>
        <v>0164965646</v>
      </c>
      <c r="AT55" t="s">
        <v>181</v>
      </c>
      <c r="AU55" t="str">
        <f>"1188012296"</f>
        <v>1188012296</v>
      </c>
      <c r="AV55" t="s">
        <v>230</v>
      </c>
    </row>
    <row r="56" spans="1:48">
      <c r="A56" t="str">
        <f t="shared" si="20"/>
        <v>00106074</v>
      </c>
      <c r="B56" t="str">
        <f t="shared" si="21"/>
        <v>00106986</v>
      </c>
      <c r="C56" s="25">
        <v>42997</v>
      </c>
      <c r="D56" t="s">
        <v>146</v>
      </c>
      <c r="E56" t="str">
        <f t="shared" si="22"/>
        <v>KOUASSI Nicole Flora</v>
      </c>
      <c r="F56" t="str">
        <f t="shared" si="23"/>
        <v>02252-UNDP (Direct Execution)</v>
      </c>
      <c r="G56" t="s">
        <v>147</v>
      </c>
      <c r="H56" t="s">
        <v>248</v>
      </c>
      <c r="I56" t="s">
        <v>244</v>
      </c>
      <c r="J56" s="26">
        <v>115.63</v>
      </c>
      <c r="K56" t="s">
        <v>150</v>
      </c>
      <c r="L56" t="s">
        <v>175</v>
      </c>
      <c r="M56" t="s">
        <v>221</v>
      </c>
      <c r="N56" t="str">
        <f t="shared" si="15"/>
        <v xml:space="preserve"> </v>
      </c>
      <c r="O56" t="str">
        <f t="shared" si="17"/>
        <v xml:space="preserve"> </v>
      </c>
      <c r="P56" t="s">
        <v>0</v>
      </c>
      <c r="Q56" t="s">
        <v>245</v>
      </c>
      <c r="R56" t="str">
        <f t="shared" si="24"/>
        <v>NER10</v>
      </c>
      <c r="S56" t="s">
        <v>153</v>
      </c>
      <c r="T56" t="s">
        <v>154</v>
      </c>
      <c r="U56" t="str">
        <f t="shared" si="25"/>
        <v>001981</v>
      </c>
      <c r="V56" t="str">
        <f t="shared" si="26"/>
        <v>30000</v>
      </c>
      <c r="W56" t="str">
        <f t="shared" si="27"/>
        <v>11363</v>
      </c>
      <c r="X56" t="str">
        <f>"71620"</f>
        <v>71620</v>
      </c>
      <c r="Y56">
        <v>64000</v>
      </c>
      <c r="Z56" t="s">
        <v>155</v>
      </c>
      <c r="AA56">
        <v>553.50400000000002</v>
      </c>
      <c r="AB56" t="str">
        <f>"0000000171"</f>
        <v>0000000171</v>
      </c>
      <c r="AC56" t="s">
        <v>156</v>
      </c>
      <c r="AD56" t="s">
        <v>156</v>
      </c>
      <c r="AE56" t="str">
        <f t="shared" si="29"/>
        <v xml:space="preserve"> </v>
      </c>
      <c r="AF56">
        <v>0</v>
      </c>
      <c r="AG56" t="s">
        <v>244</v>
      </c>
      <c r="AH56" t="s">
        <v>0</v>
      </c>
      <c r="AI56" t="str">
        <f t="shared" si="30"/>
        <v xml:space="preserve"> </v>
      </c>
      <c r="AJ56">
        <v>0</v>
      </c>
      <c r="AK56" t="s">
        <v>0</v>
      </c>
      <c r="AM56" t="str">
        <f t="shared" si="33"/>
        <v>12</v>
      </c>
      <c r="AN56" t="str">
        <f>"0000205250"</f>
        <v>0000205250</v>
      </c>
      <c r="AO56" t="str">
        <f t="shared" si="32"/>
        <v xml:space="preserve"> </v>
      </c>
      <c r="AP56" t="str">
        <f t="shared" si="32"/>
        <v xml:space="preserve"> </v>
      </c>
      <c r="AQ56" t="str">
        <f t="shared" si="32"/>
        <v xml:space="preserve"> </v>
      </c>
      <c r="AR56" t="str">
        <f t="shared" si="32"/>
        <v xml:space="preserve"> </v>
      </c>
      <c r="AS56" t="str">
        <f>"0165348020"</f>
        <v>0165348020</v>
      </c>
      <c r="AT56" t="s">
        <v>245</v>
      </c>
      <c r="AU56" t="str">
        <f>"0006440993"</f>
        <v>0006440993</v>
      </c>
      <c r="AV56" t="s">
        <v>193</v>
      </c>
    </row>
    <row r="57" spans="1:48">
      <c r="A57" t="str">
        <f t="shared" si="20"/>
        <v>00106074</v>
      </c>
      <c r="B57" t="str">
        <f t="shared" si="21"/>
        <v>00106986</v>
      </c>
      <c r="C57" s="25">
        <v>42997</v>
      </c>
      <c r="D57" t="s">
        <v>146</v>
      </c>
      <c r="E57" t="str">
        <f t="shared" si="22"/>
        <v>KOUASSI Nicole Flora</v>
      </c>
      <c r="F57" t="str">
        <f t="shared" si="23"/>
        <v>02252-UNDP (Direct Execution)</v>
      </c>
      <c r="G57" t="s">
        <v>147</v>
      </c>
      <c r="H57" t="s">
        <v>275</v>
      </c>
      <c r="I57" t="s">
        <v>276</v>
      </c>
      <c r="J57" s="26" t="s">
        <v>277</v>
      </c>
      <c r="K57" t="s">
        <v>150</v>
      </c>
      <c r="L57" t="s">
        <v>278</v>
      </c>
      <c r="M57" t="s">
        <v>152</v>
      </c>
      <c r="N57" t="str">
        <f>"00074682"</f>
        <v>00074682</v>
      </c>
      <c r="O57" t="str">
        <f t="shared" si="17"/>
        <v xml:space="preserve"> </v>
      </c>
      <c r="Q57" s="25">
        <v>43164</v>
      </c>
      <c r="R57" t="str">
        <f t="shared" si="24"/>
        <v>NER10</v>
      </c>
      <c r="S57" t="s">
        <v>153</v>
      </c>
      <c r="T57" t="s">
        <v>154</v>
      </c>
      <c r="U57" t="str">
        <f t="shared" si="25"/>
        <v>001981</v>
      </c>
      <c r="V57" t="str">
        <f t="shared" si="26"/>
        <v>30000</v>
      </c>
      <c r="W57" t="str">
        <f t="shared" si="27"/>
        <v>11363</v>
      </c>
      <c r="X57" t="str">
        <f>"71625"</f>
        <v>71625</v>
      </c>
      <c r="Y57" t="s">
        <v>279</v>
      </c>
      <c r="Z57" t="s">
        <v>155</v>
      </c>
      <c r="AA57" t="s">
        <v>280</v>
      </c>
      <c r="AB57" t="str">
        <f>"0000000238"</f>
        <v>0000000238</v>
      </c>
      <c r="AC57" t="s">
        <v>281</v>
      </c>
      <c r="AD57" t="s">
        <v>156</v>
      </c>
      <c r="AE57" t="str">
        <f t="shared" ref="AE57:AE99" si="34">"NER10"</f>
        <v>NER10</v>
      </c>
      <c r="AF57" t="s">
        <v>282</v>
      </c>
      <c r="AG57" t="s">
        <v>283</v>
      </c>
      <c r="AI57" t="str">
        <f t="shared" si="30"/>
        <v xml:space="preserve"> </v>
      </c>
      <c r="AJ57" t="s">
        <v>284</v>
      </c>
      <c r="AM57" t="str">
        <f>"03"</f>
        <v>03</v>
      </c>
      <c r="AN57" t="str">
        <f t="shared" ref="AN57:AN88" si="35">" "</f>
        <v xml:space="preserve"> </v>
      </c>
      <c r="AO57" t="str">
        <f t="shared" si="32"/>
        <v xml:space="preserve"> </v>
      </c>
      <c r="AP57" t="str">
        <f t="shared" si="32"/>
        <v xml:space="preserve"> </v>
      </c>
      <c r="AQ57" t="str">
        <f t="shared" si="32"/>
        <v xml:space="preserve"> </v>
      </c>
      <c r="AR57" t="str">
        <f t="shared" si="32"/>
        <v xml:space="preserve"> </v>
      </c>
      <c r="AS57" t="str">
        <f>"0168865121"</f>
        <v>0168865121</v>
      </c>
      <c r="AT57" s="25">
        <v>43164</v>
      </c>
      <c r="AU57" t="str">
        <f>"0000123854"</f>
        <v>0000123854</v>
      </c>
      <c r="AV57" s="25">
        <v>43164</v>
      </c>
    </row>
    <row r="58" spans="1:48">
      <c r="A58" t="str">
        <f t="shared" si="20"/>
        <v>00106074</v>
      </c>
      <c r="B58" t="str">
        <f t="shared" si="21"/>
        <v>00106986</v>
      </c>
      <c r="C58" s="25">
        <v>42997</v>
      </c>
      <c r="D58" t="s">
        <v>146</v>
      </c>
      <c r="E58" t="str">
        <f t="shared" si="22"/>
        <v>KOUASSI Nicole Flora</v>
      </c>
      <c r="F58" t="str">
        <f t="shared" si="23"/>
        <v>02252-UNDP (Direct Execution)</v>
      </c>
      <c r="G58" t="s">
        <v>147</v>
      </c>
      <c r="H58" t="s">
        <v>285</v>
      </c>
      <c r="I58" t="s">
        <v>286</v>
      </c>
      <c r="J58" s="26" t="s">
        <v>287</v>
      </c>
      <c r="K58" t="s">
        <v>150</v>
      </c>
      <c r="L58" t="s">
        <v>278</v>
      </c>
      <c r="M58" t="s">
        <v>152</v>
      </c>
      <c r="N58" t="str">
        <f>"00074786"</f>
        <v>00074786</v>
      </c>
      <c r="O58" t="str">
        <f t="shared" si="17"/>
        <v xml:space="preserve"> </v>
      </c>
      <c r="P58" t="s">
        <v>0</v>
      </c>
      <c r="Q58" s="25">
        <v>43174</v>
      </c>
      <c r="R58" t="str">
        <f t="shared" si="24"/>
        <v>NER10</v>
      </c>
      <c r="S58" t="s">
        <v>153</v>
      </c>
      <c r="T58" t="s">
        <v>154</v>
      </c>
      <c r="U58" t="str">
        <f t="shared" si="25"/>
        <v>001981</v>
      </c>
      <c r="V58" t="str">
        <f t="shared" si="26"/>
        <v>30000</v>
      </c>
      <c r="W58" t="str">
        <f t="shared" si="27"/>
        <v>11363</v>
      </c>
      <c r="X58" t="str">
        <f>"72145"</f>
        <v>72145</v>
      </c>
      <c r="Y58" t="s">
        <v>288</v>
      </c>
      <c r="Z58" t="s">
        <v>155</v>
      </c>
      <c r="AA58" t="s">
        <v>280</v>
      </c>
      <c r="AB58" t="str">
        <f>"0000006847"</f>
        <v>0000006847</v>
      </c>
      <c r="AC58" t="s">
        <v>289</v>
      </c>
      <c r="AD58" t="s">
        <v>156</v>
      </c>
      <c r="AE58" t="str">
        <f t="shared" si="34"/>
        <v>NER10</v>
      </c>
      <c r="AF58" t="s">
        <v>282</v>
      </c>
      <c r="AG58" t="s">
        <v>290</v>
      </c>
      <c r="AH58" t="s">
        <v>0</v>
      </c>
      <c r="AI58" t="str">
        <f t="shared" si="30"/>
        <v xml:space="preserve"> </v>
      </c>
      <c r="AJ58" t="s">
        <v>284</v>
      </c>
      <c r="AK58" t="s">
        <v>0</v>
      </c>
      <c r="AM58" t="str">
        <f>"03"</f>
        <v>03</v>
      </c>
      <c r="AN58" t="str">
        <f t="shared" si="35"/>
        <v xml:space="preserve"> </v>
      </c>
      <c r="AO58" t="str">
        <f t="shared" si="32"/>
        <v xml:space="preserve"> </v>
      </c>
      <c r="AP58" t="str">
        <f t="shared" si="32"/>
        <v xml:space="preserve"> </v>
      </c>
      <c r="AQ58" t="str">
        <f t="shared" si="32"/>
        <v xml:space="preserve"> </v>
      </c>
      <c r="AR58" t="str">
        <f t="shared" si="32"/>
        <v xml:space="preserve"> </v>
      </c>
      <c r="AS58" t="str">
        <f>"0169359432"</f>
        <v>0169359432</v>
      </c>
      <c r="AT58" s="25">
        <v>43175</v>
      </c>
      <c r="AU58" t="str">
        <f>"0000123973"</f>
        <v>0000123973</v>
      </c>
      <c r="AV58" s="25">
        <v>43175</v>
      </c>
    </row>
    <row r="59" spans="1:48">
      <c r="A59" t="str">
        <f t="shared" si="20"/>
        <v>00106074</v>
      </c>
      <c r="B59" t="str">
        <f t="shared" si="21"/>
        <v>00106986</v>
      </c>
      <c r="C59" s="25">
        <v>42997</v>
      </c>
      <c r="D59" t="s">
        <v>146</v>
      </c>
      <c r="E59" t="str">
        <f t="shared" si="22"/>
        <v>KOUASSI Nicole Flora</v>
      </c>
      <c r="F59" t="str">
        <f t="shared" si="23"/>
        <v>02252-UNDP (Direct Execution)</v>
      </c>
      <c r="G59" t="s">
        <v>213</v>
      </c>
      <c r="H59" t="s">
        <v>158</v>
      </c>
      <c r="I59" t="s">
        <v>291</v>
      </c>
      <c r="J59" s="26" t="s">
        <v>292</v>
      </c>
      <c r="K59" t="s">
        <v>150</v>
      </c>
      <c r="L59" t="s">
        <v>278</v>
      </c>
      <c r="M59" t="s">
        <v>152</v>
      </c>
      <c r="N59" t="str">
        <f>"00074896"</f>
        <v>00074896</v>
      </c>
      <c r="O59" t="str">
        <f t="shared" si="17"/>
        <v xml:space="preserve"> </v>
      </c>
      <c r="P59" t="s">
        <v>0</v>
      </c>
      <c r="Q59" s="25">
        <v>43187</v>
      </c>
      <c r="R59" t="str">
        <f t="shared" si="24"/>
        <v>NER10</v>
      </c>
      <c r="S59" t="s">
        <v>153</v>
      </c>
      <c r="T59" t="s">
        <v>154</v>
      </c>
      <c r="U59" t="str">
        <f t="shared" si="25"/>
        <v>001981</v>
      </c>
      <c r="V59" t="str">
        <f t="shared" si="26"/>
        <v>30000</v>
      </c>
      <c r="W59" t="str">
        <f t="shared" si="27"/>
        <v>11363</v>
      </c>
      <c r="X59" t="str">
        <f>"72505"</f>
        <v>72505</v>
      </c>
      <c r="Y59" t="s">
        <v>293</v>
      </c>
      <c r="Z59" t="s">
        <v>155</v>
      </c>
      <c r="AA59" t="s">
        <v>280</v>
      </c>
      <c r="AB59" t="str">
        <f>"0000001380"</f>
        <v>0000001380</v>
      </c>
      <c r="AC59" t="s">
        <v>160</v>
      </c>
      <c r="AD59" t="s">
        <v>156</v>
      </c>
      <c r="AE59" t="str">
        <f t="shared" si="34"/>
        <v>NER10</v>
      </c>
      <c r="AF59" t="s">
        <v>282</v>
      </c>
      <c r="AG59" t="s">
        <v>294</v>
      </c>
      <c r="AH59" t="s">
        <v>0</v>
      </c>
      <c r="AI59" t="str">
        <f t="shared" si="30"/>
        <v xml:space="preserve"> </v>
      </c>
      <c r="AJ59" t="s">
        <v>284</v>
      </c>
      <c r="AK59" t="s">
        <v>0</v>
      </c>
      <c r="AM59" t="str">
        <f>"03"</f>
        <v>03</v>
      </c>
      <c r="AN59" t="str">
        <f t="shared" si="35"/>
        <v xml:space="preserve"> </v>
      </c>
      <c r="AO59" t="str">
        <f t="shared" si="32"/>
        <v xml:space="preserve"> </v>
      </c>
      <c r="AP59" t="str">
        <f t="shared" si="32"/>
        <v xml:space="preserve"> </v>
      </c>
      <c r="AQ59" t="str">
        <f t="shared" si="32"/>
        <v xml:space="preserve"> </v>
      </c>
      <c r="AR59" t="str">
        <f t="shared" si="32"/>
        <v xml:space="preserve"> </v>
      </c>
      <c r="AS59" t="str">
        <f>"0169830709"</f>
        <v>0169830709</v>
      </c>
      <c r="AT59" s="25">
        <v>43187</v>
      </c>
      <c r="AU59" t="str">
        <f>"0000124113"</f>
        <v>0000124113</v>
      </c>
      <c r="AV59" s="25">
        <v>43188</v>
      </c>
    </row>
    <row r="60" spans="1:48">
      <c r="A60" t="str">
        <f t="shared" si="20"/>
        <v>00106074</v>
      </c>
      <c r="B60" t="str">
        <f t="shared" si="21"/>
        <v>00106986</v>
      </c>
      <c r="C60" s="25">
        <v>42997</v>
      </c>
      <c r="D60" t="s">
        <v>146</v>
      </c>
      <c r="E60" t="str">
        <f t="shared" si="22"/>
        <v>KOUASSI Nicole Flora</v>
      </c>
      <c r="F60" t="str">
        <f t="shared" si="23"/>
        <v>02252-UNDP (Direct Execution)</v>
      </c>
      <c r="G60" t="s">
        <v>213</v>
      </c>
      <c r="H60" t="s">
        <v>295</v>
      </c>
      <c r="I60" t="s">
        <v>296</v>
      </c>
      <c r="J60" s="26" t="s">
        <v>297</v>
      </c>
      <c r="K60" t="s">
        <v>150</v>
      </c>
      <c r="L60" t="s">
        <v>298</v>
      </c>
      <c r="M60" t="s">
        <v>152</v>
      </c>
      <c r="N60" t="str">
        <f>"00074978"</f>
        <v>00074978</v>
      </c>
      <c r="O60" t="str">
        <f t="shared" si="17"/>
        <v xml:space="preserve"> </v>
      </c>
      <c r="P60" t="s">
        <v>0</v>
      </c>
      <c r="Q60" t="s">
        <v>299</v>
      </c>
      <c r="R60" t="str">
        <f t="shared" si="24"/>
        <v>NER10</v>
      </c>
      <c r="S60" t="s">
        <v>153</v>
      </c>
      <c r="T60" t="s">
        <v>154</v>
      </c>
      <c r="U60" t="str">
        <f t="shared" si="25"/>
        <v>001981</v>
      </c>
      <c r="V60" t="str">
        <f t="shared" si="26"/>
        <v>30000</v>
      </c>
      <c r="W60" t="str">
        <f t="shared" si="27"/>
        <v>11363</v>
      </c>
      <c r="X60" t="str">
        <f>"72105"</f>
        <v>72105</v>
      </c>
      <c r="Y60" t="s">
        <v>300</v>
      </c>
      <c r="Z60" t="s">
        <v>155</v>
      </c>
      <c r="AA60" t="s">
        <v>301</v>
      </c>
      <c r="AB60" t="str">
        <f>"0000005715"</f>
        <v>0000005715</v>
      </c>
      <c r="AC60" t="s">
        <v>302</v>
      </c>
      <c r="AD60" t="s">
        <v>156</v>
      </c>
      <c r="AE60" t="str">
        <f t="shared" si="34"/>
        <v>NER10</v>
      </c>
      <c r="AF60" t="s">
        <v>282</v>
      </c>
      <c r="AG60" t="s">
        <v>303</v>
      </c>
      <c r="AH60" t="s">
        <v>0</v>
      </c>
      <c r="AI60" t="str">
        <f t="shared" si="30"/>
        <v xml:space="preserve"> </v>
      </c>
      <c r="AJ60" t="s">
        <v>284</v>
      </c>
      <c r="AK60" t="s">
        <v>0</v>
      </c>
      <c r="AM60" t="str">
        <f t="shared" ref="AM60:AM66" si="36">"04"</f>
        <v>04</v>
      </c>
      <c r="AN60" t="str">
        <f t="shared" si="35"/>
        <v xml:space="preserve"> </v>
      </c>
      <c r="AO60" t="str">
        <f t="shared" si="32"/>
        <v xml:space="preserve"> </v>
      </c>
      <c r="AP60" t="str">
        <f t="shared" si="32"/>
        <v xml:space="preserve"> </v>
      </c>
      <c r="AQ60" t="str">
        <f t="shared" si="32"/>
        <v xml:space="preserve"> </v>
      </c>
      <c r="AR60" t="str">
        <f t="shared" si="32"/>
        <v xml:space="preserve"> </v>
      </c>
      <c r="AS60" t="str">
        <f>"0170257099"</f>
        <v>0170257099</v>
      </c>
      <c r="AT60" t="s">
        <v>304</v>
      </c>
      <c r="AU60" t="str">
        <f>"1188012740"</f>
        <v>1188012740</v>
      </c>
      <c r="AV60" t="s">
        <v>305</v>
      </c>
    </row>
    <row r="61" spans="1:48">
      <c r="A61" t="str">
        <f t="shared" si="20"/>
        <v>00106074</v>
      </c>
      <c r="B61" t="str">
        <f t="shared" si="21"/>
        <v>00106986</v>
      </c>
      <c r="C61" s="25">
        <v>42997</v>
      </c>
      <c r="D61" t="s">
        <v>146</v>
      </c>
      <c r="E61" t="str">
        <f t="shared" si="22"/>
        <v>KOUASSI Nicole Flora</v>
      </c>
      <c r="F61" t="str">
        <f t="shared" si="23"/>
        <v>02252-UNDP (Direct Execution)</v>
      </c>
      <c r="G61" t="s">
        <v>147</v>
      </c>
      <c r="H61" t="s">
        <v>306</v>
      </c>
      <c r="I61" t="s">
        <v>307</v>
      </c>
      <c r="J61" s="26" t="s">
        <v>308</v>
      </c>
      <c r="K61" t="s">
        <v>150</v>
      </c>
      <c r="L61" t="s">
        <v>298</v>
      </c>
      <c r="M61" t="s">
        <v>152</v>
      </c>
      <c r="N61" t="str">
        <f>"00075086"</f>
        <v>00075086</v>
      </c>
      <c r="O61" t="str">
        <f>"0000009950"</f>
        <v>0000009950</v>
      </c>
      <c r="P61" t="s">
        <v>0</v>
      </c>
      <c r="Q61" t="s">
        <v>309</v>
      </c>
      <c r="R61" t="str">
        <f t="shared" si="24"/>
        <v>NER10</v>
      </c>
      <c r="S61" t="s">
        <v>153</v>
      </c>
      <c r="T61" t="s">
        <v>154</v>
      </c>
      <c r="U61" t="str">
        <f t="shared" si="25"/>
        <v>001981</v>
      </c>
      <c r="V61" t="str">
        <f t="shared" si="26"/>
        <v>30000</v>
      </c>
      <c r="W61" t="str">
        <f t="shared" si="27"/>
        <v>11363</v>
      </c>
      <c r="X61" t="str">
        <f>"71615"</f>
        <v>71615</v>
      </c>
      <c r="Y61" t="s">
        <v>310</v>
      </c>
      <c r="Z61" t="s">
        <v>155</v>
      </c>
      <c r="AA61" t="s">
        <v>301</v>
      </c>
      <c r="AB61" t="str">
        <f>"0000004947"</f>
        <v>0000004947</v>
      </c>
      <c r="AC61" t="s">
        <v>311</v>
      </c>
      <c r="AD61" t="s">
        <v>156</v>
      </c>
      <c r="AE61" t="str">
        <f t="shared" si="34"/>
        <v>NER10</v>
      </c>
      <c r="AF61" t="s">
        <v>282</v>
      </c>
      <c r="AG61" t="s">
        <v>312</v>
      </c>
      <c r="AH61" t="s">
        <v>0</v>
      </c>
      <c r="AI61" t="str">
        <f t="shared" si="30"/>
        <v xml:space="preserve"> </v>
      </c>
      <c r="AJ61" t="s">
        <v>284</v>
      </c>
      <c r="AK61" t="s">
        <v>0</v>
      </c>
      <c r="AM61" t="str">
        <f t="shared" si="36"/>
        <v>04</v>
      </c>
      <c r="AN61" t="str">
        <f t="shared" si="35"/>
        <v xml:space="preserve"> </v>
      </c>
      <c r="AO61" t="str">
        <f t="shared" si="32"/>
        <v xml:space="preserve"> </v>
      </c>
      <c r="AP61" t="str">
        <f t="shared" si="32"/>
        <v xml:space="preserve"> </v>
      </c>
      <c r="AQ61" t="str">
        <f t="shared" si="32"/>
        <v xml:space="preserve"> </v>
      </c>
      <c r="AR61" t="str">
        <f t="shared" si="32"/>
        <v xml:space="preserve"> </v>
      </c>
      <c r="AS61" t="str">
        <f>"0170926366"</f>
        <v>0170926366</v>
      </c>
      <c r="AT61" t="s">
        <v>309</v>
      </c>
      <c r="AU61" t="str">
        <f>"0000124435"</f>
        <v>0000124435</v>
      </c>
      <c r="AV61" t="s">
        <v>309</v>
      </c>
    </row>
    <row r="62" spans="1:48">
      <c r="A62" t="str">
        <f t="shared" si="20"/>
        <v>00106074</v>
      </c>
      <c r="B62" t="str">
        <f t="shared" si="21"/>
        <v>00106986</v>
      </c>
      <c r="C62" s="25">
        <v>42997</v>
      </c>
      <c r="D62" t="s">
        <v>146</v>
      </c>
      <c r="E62" t="str">
        <f t="shared" si="22"/>
        <v>KOUASSI Nicole Flora</v>
      </c>
      <c r="F62" t="str">
        <f t="shared" si="23"/>
        <v>02252-UNDP (Direct Execution)</v>
      </c>
      <c r="G62" t="s">
        <v>147</v>
      </c>
      <c r="H62" t="s">
        <v>306</v>
      </c>
      <c r="I62" t="s">
        <v>307</v>
      </c>
      <c r="J62" s="26" t="s">
        <v>313</v>
      </c>
      <c r="K62" t="s">
        <v>168</v>
      </c>
      <c r="L62" t="s">
        <v>298</v>
      </c>
      <c r="M62" t="s">
        <v>152</v>
      </c>
      <c r="N62" t="str">
        <f>"00075086"</f>
        <v>00075086</v>
      </c>
      <c r="O62" t="str">
        <f>"0000009950"</f>
        <v>0000009950</v>
      </c>
      <c r="P62" t="s">
        <v>0</v>
      </c>
      <c r="Q62" t="s">
        <v>309</v>
      </c>
      <c r="R62" t="str">
        <f t="shared" si="24"/>
        <v>NER10</v>
      </c>
      <c r="S62" t="s">
        <v>153</v>
      </c>
      <c r="T62" t="s">
        <v>154</v>
      </c>
      <c r="U62" t="str">
        <f t="shared" si="25"/>
        <v>001981</v>
      </c>
      <c r="V62" t="str">
        <f t="shared" si="26"/>
        <v>30000</v>
      </c>
      <c r="W62" t="str">
        <f t="shared" si="27"/>
        <v>11363</v>
      </c>
      <c r="X62" t="str">
        <f>"71615"</f>
        <v>71615</v>
      </c>
      <c r="Y62" t="s">
        <v>314</v>
      </c>
      <c r="Z62" t="s">
        <v>155</v>
      </c>
      <c r="AA62" t="s">
        <v>301</v>
      </c>
      <c r="AB62" t="str">
        <f>"0000004947"</f>
        <v>0000004947</v>
      </c>
      <c r="AC62" t="s">
        <v>311</v>
      </c>
      <c r="AD62" t="s">
        <v>156</v>
      </c>
      <c r="AE62" t="str">
        <f t="shared" si="34"/>
        <v>NER10</v>
      </c>
      <c r="AF62" t="s">
        <v>282</v>
      </c>
      <c r="AG62" t="s">
        <v>312</v>
      </c>
      <c r="AH62" t="s">
        <v>0</v>
      </c>
      <c r="AI62" t="str">
        <f t="shared" si="30"/>
        <v xml:space="preserve"> </v>
      </c>
      <c r="AJ62" t="s">
        <v>284</v>
      </c>
      <c r="AK62" t="s">
        <v>0</v>
      </c>
      <c r="AM62" t="str">
        <f t="shared" si="36"/>
        <v>04</v>
      </c>
      <c r="AN62" t="str">
        <f t="shared" si="35"/>
        <v xml:space="preserve"> </v>
      </c>
      <c r="AO62" t="str">
        <f t="shared" si="32"/>
        <v xml:space="preserve"> </v>
      </c>
      <c r="AP62" t="str">
        <f t="shared" si="32"/>
        <v xml:space="preserve"> </v>
      </c>
      <c r="AQ62" t="str">
        <f t="shared" si="32"/>
        <v xml:space="preserve"> </v>
      </c>
      <c r="AR62" t="str">
        <f t="shared" si="32"/>
        <v xml:space="preserve"> </v>
      </c>
      <c r="AS62" t="str">
        <f>"0170926366"</f>
        <v>0170926366</v>
      </c>
      <c r="AT62" t="s">
        <v>309</v>
      </c>
      <c r="AU62" t="str">
        <f>"0000124435"</f>
        <v>0000124435</v>
      </c>
      <c r="AV62" t="s">
        <v>309</v>
      </c>
    </row>
    <row r="63" spans="1:48">
      <c r="A63" t="str">
        <f t="shared" si="20"/>
        <v>00106074</v>
      </c>
      <c r="B63" t="str">
        <f t="shared" si="21"/>
        <v>00106986</v>
      </c>
      <c r="C63" s="25">
        <v>42997</v>
      </c>
      <c r="D63" t="s">
        <v>146</v>
      </c>
      <c r="E63" t="str">
        <f t="shared" si="22"/>
        <v>KOUASSI Nicole Flora</v>
      </c>
      <c r="F63" t="str">
        <f t="shared" si="23"/>
        <v>02252-UNDP (Direct Execution)</v>
      </c>
      <c r="G63" t="s">
        <v>147</v>
      </c>
      <c r="H63" t="s">
        <v>315</v>
      </c>
      <c r="I63" t="s">
        <v>307</v>
      </c>
      <c r="J63" s="26" t="s">
        <v>308</v>
      </c>
      <c r="K63" t="s">
        <v>150</v>
      </c>
      <c r="L63" t="s">
        <v>298</v>
      </c>
      <c r="M63" t="s">
        <v>152</v>
      </c>
      <c r="N63" t="str">
        <f>"00075087"</f>
        <v>00075087</v>
      </c>
      <c r="O63" t="str">
        <f>"0000009949"</f>
        <v>0000009949</v>
      </c>
      <c r="P63" t="s">
        <v>0</v>
      </c>
      <c r="Q63" t="s">
        <v>309</v>
      </c>
      <c r="R63" t="str">
        <f t="shared" si="24"/>
        <v>NER10</v>
      </c>
      <c r="S63" t="s">
        <v>153</v>
      </c>
      <c r="T63" t="s">
        <v>154</v>
      </c>
      <c r="U63" t="str">
        <f t="shared" si="25"/>
        <v>001981</v>
      </c>
      <c r="V63" t="str">
        <f t="shared" si="26"/>
        <v>30000</v>
      </c>
      <c r="W63" t="str">
        <f t="shared" si="27"/>
        <v>11363</v>
      </c>
      <c r="X63" t="str">
        <f>"71615"</f>
        <v>71615</v>
      </c>
      <c r="Y63" t="s">
        <v>310</v>
      </c>
      <c r="Z63" t="s">
        <v>155</v>
      </c>
      <c r="AA63" t="s">
        <v>301</v>
      </c>
      <c r="AB63" t="str">
        <f>"0000007294"</f>
        <v>0000007294</v>
      </c>
      <c r="AC63" t="s">
        <v>316</v>
      </c>
      <c r="AD63" t="s">
        <v>156</v>
      </c>
      <c r="AE63" t="str">
        <f t="shared" si="34"/>
        <v>NER10</v>
      </c>
      <c r="AF63" t="s">
        <v>282</v>
      </c>
      <c r="AG63" t="s">
        <v>312</v>
      </c>
      <c r="AH63" t="s">
        <v>0</v>
      </c>
      <c r="AI63" t="str">
        <f t="shared" si="30"/>
        <v xml:space="preserve"> </v>
      </c>
      <c r="AJ63" t="s">
        <v>284</v>
      </c>
      <c r="AK63" t="s">
        <v>0</v>
      </c>
      <c r="AM63" t="str">
        <f t="shared" si="36"/>
        <v>04</v>
      </c>
      <c r="AN63" t="str">
        <f t="shared" si="35"/>
        <v xml:space="preserve"> </v>
      </c>
      <c r="AO63" t="str">
        <f t="shared" si="32"/>
        <v xml:space="preserve"> </v>
      </c>
      <c r="AP63" t="str">
        <f t="shared" si="32"/>
        <v xml:space="preserve"> </v>
      </c>
      <c r="AQ63" t="str">
        <f t="shared" si="32"/>
        <v xml:space="preserve"> </v>
      </c>
      <c r="AR63" t="str">
        <f t="shared" si="32"/>
        <v xml:space="preserve"> </v>
      </c>
      <c r="AS63" t="str">
        <f>"0170926370"</f>
        <v>0170926370</v>
      </c>
      <c r="AT63" t="s">
        <v>309</v>
      </c>
      <c r="AU63" t="str">
        <f>"0000124440"</f>
        <v>0000124440</v>
      </c>
      <c r="AV63" t="s">
        <v>309</v>
      </c>
    </row>
    <row r="64" spans="1:48">
      <c r="A64" t="str">
        <f t="shared" si="20"/>
        <v>00106074</v>
      </c>
      <c r="B64" t="str">
        <f t="shared" si="21"/>
        <v>00106986</v>
      </c>
      <c r="C64" s="25">
        <v>42997</v>
      </c>
      <c r="D64" t="s">
        <v>146</v>
      </c>
      <c r="E64" t="str">
        <f t="shared" si="22"/>
        <v>KOUASSI Nicole Flora</v>
      </c>
      <c r="F64" t="str">
        <f t="shared" si="23"/>
        <v>02252-UNDP (Direct Execution)</v>
      </c>
      <c r="G64" t="s">
        <v>147</v>
      </c>
      <c r="H64" t="s">
        <v>315</v>
      </c>
      <c r="I64" t="s">
        <v>307</v>
      </c>
      <c r="J64" s="26" t="s">
        <v>313</v>
      </c>
      <c r="K64" t="s">
        <v>168</v>
      </c>
      <c r="L64" t="s">
        <v>298</v>
      </c>
      <c r="M64" t="s">
        <v>152</v>
      </c>
      <c r="N64" t="str">
        <f>"00075087"</f>
        <v>00075087</v>
      </c>
      <c r="O64" t="str">
        <f>"0000009949"</f>
        <v>0000009949</v>
      </c>
      <c r="P64" t="s">
        <v>0</v>
      </c>
      <c r="Q64" t="s">
        <v>309</v>
      </c>
      <c r="R64" t="str">
        <f t="shared" si="24"/>
        <v>NER10</v>
      </c>
      <c r="S64" t="s">
        <v>153</v>
      </c>
      <c r="T64" t="s">
        <v>154</v>
      </c>
      <c r="U64" t="str">
        <f t="shared" si="25"/>
        <v>001981</v>
      </c>
      <c r="V64" t="str">
        <f t="shared" si="26"/>
        <v>30000</v>
      </c>
      <c r="W64" t="str">
        <f t="shared" si="27"/>
        <v>11363</v>
      </c>
      <c r="X64" t="str">
        <f>"71615"</f>
        <v>71615</v>
      </c>
      <c r="Y64" t="s">
        <v>314</v>
      </c>
      <c r="Z64" t="s">
        <v>155</v>
      </c>
      <c r="AA64" t="s">
        <v>301</v>
      </c>
      <c r="AB64" t="str">
        <f>"0000007294"</f>
        <v>0000007294</v>
      </c>
      <c r="AC64" t="s">
        <v>316</v>
      </c>
      <c r="AD64" t="s">
        <v>156</v>
      </c>
      <c r="AE64" t="str">
        <f t="shared" si="34"/>
        <v>NER10</v>
      </c>
      <c r="AF64" t="s">
        <v>282</v>
      </c>
      <c r="AG64" t="s">
        <v>312</v>
      </c>
      <c r="AH64" t="s">
        <v>0</v>
      </c>
      <c r="AI64" t="str">
        <f t="shared" si="30"/>
        <v xml:space="preserve"> </v>
      </c>
      <c r="AJ64" t="s">
        <v>284</v>
      </c>
      <c r="AK64" t="s">
        <v>0</v>
      </c>
      <c r="AM64" t="str">
        <f t="shared" si="36"/>
        <v>04</v>
      </c>
      <c r="AN64" t="str">
        <f t="shared" si="35"/>
        <v xml:space="preserve"> </v>
      </c>
      <c r="AO64" t="str">
        <f t="shared" ref="AO64:AR83" si="37">" "</f>
        <v xml:space="preserve"> </v>
      </c>
      <c r="AP64" t="str">
        <f t="shared" si="37"/>
        <v xml:space="preserve"> </v>
      </c>
      <c r="AQ64" t="str">
        <f t="shared" si="37"/>
        <v xml:space="preserve"> </v>
      </c>
      <c r="AR64" t="str">
        <f t="shared" si="37"/>
        <v xml:space="preserve"> </v>
      </c>
      <c r="AS64" t="str">
        <f>"0170926370"</f>
        <v>0170926370</v>
      </c>
      <c r="AT64" t="s">
        <v>309</v>
      </c>
      <c r="AU64" t="str">
        <f>"0000124440"</f>
        <v>0000124440</v>
      </c>
      <c r="AV64" t="s">
        <v>309</v>
      </c>
    </row>
    <row r="65" spans="1:48">
      <c r="A65" t="str">
        <f t="shared" si="20"/>
        <v>00106074</v>
      </c>
      <c r="B65" t="str">
        <f t="shared" si="21"/>
        <v>00106986</v>
      </c>
      <c r="C65" s="25">
        <v>42997</v>
      </c>
      <c r="D65" t="s">
        <v>146</v>
      </c>
      <c r="E65" t="str">
        <f t="shared" si="22"/>
        <v>KOUASSI Nicole Flora</v>
      </c>
      <c r="F65" t="str">
        <f t="shared" si="23"/>
        <v>02252-UNDP (Direct Execution)</v>
      </c>
      <c r="G65" t="s">
        <v>147</v>
      </c>
      <c r="H65" t="s">
        <v>315</v>
      </c>
      <c r="I65" t="s">
        <v>180</v>
      </c>
      <c r="J65" s="26" t="s">
        <v>317</v>
      </c>
      <c r="K65" t="s">
        <v>168</v>
      </c>
      <c r="L65" t="s">
        <v>298</v>
      </c>
      <c r="M65" t="s">
        <v>152</v>
      </c>
      <c r="N65" t="str">
        <f>"00075129"</f>
        <v>00075129</v>
      </c>
      <c r="O65" t="str">
        <f>"0000009957"</f>
        <v>0000009957</v>
      </c>
      <c r="P65" t="s">
        <v>0</v>
      </c>
      <c r="Q65" t="s">
        <v>318</v>
      </c>
      <c r="R65" t="str">
        <f t="shared" si="24"/>
        <v>NER10</v>
      </c>
      <c r="S65" t="s">
        <v>153</v>
      </c>
      <c r="T65" t="s">
        <v>154</v>
      </c>
      <c r="U65" t="str">
        <f t="shared" si="25"/>
        <v>001981</v>
      </c>
      <c r="V65" t="str">
        <f t="shared" si="26"/>
        <v>30000</v>
      </c>
      <c r="W65" t="str">
        <f t="shared" si="27"/>
        <v>11363</v>
      </c>
      <c r="X65" t="str">
        <f>"71620"</f>
        <v>71620</v>
      </c>
      <c r="Y65" t="s">
        <v>319</v>
      </c>
      <c r="Z65" t="s">
        <v>155</v>
      </c>
      <c r="AA65" t="s">
        <v>301</v>
      </c>
      <c r="AB65" t="str">
        <f>"0000007294"</f>
        <v>0000007294</v>
      </c>
      <c r="AC65" t="s">
        <v>316</v>
      </c>
      <c r="AD65" t="s">
        <v>156</v>
      </c>
      <c r="AE65" t="str">
        <f t="shared" si="34"/>
        <v>NER10</v>
      </c>
      <c r="AF65" t="s">
        <v>282</v>
      </c>
      <c r="AG65" t="s">
        <v>320</v>
      </c>
      <c r="AH65" t="s">
        <v>0</v>
      </c>
      <c r="AI65" t="str">
        <f t="shared" si="30"/>
        <v xml:space="preserve"> </v>
      </c>
      <c r="AJ65" t="s">
        <v>284</v>
      </c>
      <c r="AK65" t="s">
        <v>0</v>
      </c>
      <c r="AM65" t="str">
        <f t="shared" si="36"/>
        <v>04</v>
      </c>
      <c r="AN65" t="str">
        <f t="shared" si="35"/>
        <v xml:space="preserve"> </v>
      </c>
      <c r="AO65" t="str">
        <f t="shared" si="37"/>
        <v xml:space="preserve"> </v>
      </c>
      <c r="AP65" t="str">
        <f t="shared" si="37"/>
        <v xml:space="preserve"> </v>
      </c>
      <c r="AQ65" t="str">
        <f t="shared" si="37"/>
        <v xml:space="preserve"> </v>
      </c>
      <c r="AR65" t="str">
        <f t="shared" si="37"/>
        <v xml:space="preserve"> </v>
      </c>
      <c r="AS65" t="str">
        <f>"0171164846"</f>
        <v>0171164846</v>
      </c>
      <c r="AT65" t="s">
        <v>318</v>
      </c>
      <c r="AU65" t="str">
        <f>"0000124498"</f>
        <v>0000124498</v>
      </c>
      <c r="AV65" t="s">
        <v>318</v>
      </c>
    </row>
    <row r="66" spans="1:48">
      <c r="A66" t="str">
        <f t="shared" si="20"/>
        <v>00106074</v>
      </c>
      <c r="B66" t="str">
        <f t="shared" si="21"/>
        <v>00106986</v>
      </c>
      <c r="C66" s="25">
        <v>42997</v>
      </c>
      <c r="D66" t="s">
        <v>146</v>
      </c>
      <c r="E66" t="str">
        <f t="shared" si="22"/>
        <v>KOUASSI Nicole Flora</v>
      </c>
      <c r="F66" t="str">
        <f t="shared" si="23"/>
        <v>02252-UNDP (Direct Execution)</v>
      </c>
      <c r="G66" t="s">
        <v>147</v>
      </c>
      <c r="H66" t="s">
        <v>315</v>
      </c>
      <c r="I66" t="s">
        <v>180</v>
      </c>
      <c r="J66" s="26" t="s">
        <v>321</v>
      </c>
      <c r="K66" t="s">
        <v>150</v>
      </c>
      <c r="L66" t="s">
        <v>298</v>
      </c>
      <c r="M66" t="s">
        <v>152</v>
      </c>
      <c r="N66" t="str">
        <f>"00075129"</f>
        <v>00075129</v>
      </c>
      <c r="O66" t="str">
        <f>"0000009957"</f>
        <v>0000009957</v>
      </c>
      <c r="P66" t="s">
        <v>0</v>
      </c>
      <c r="Q66" t="s">
        <v>318</v>
      </c>
      <c r="R66" t="str">
        <f t="shared" si="24"/>
        <v>NER10</v>
      </c>
      <c r="S66" t="s">
        <v>153</v>
      </c>
      <c r="T66" t="s">
        <v>154</v>
      </c>
      <c r="U66" t="str">
        <f t="shared" si="25"/>
        <v>001981</v>
      </c>
      <c r="V66" t="str">
        <f t="shared" si="26"/>
        <v>30000</v>
      </c>
      <c r="W66" t="str">
        <f t="shared" si="27"/>
        <v>11363</v>
      </c>
      <c r="X66" t="str">
        <f>"71620"</f>
        <v>71620</v>
      </c>
      <c r="Y66" t="s">
        <v>322</v>
      </c>
      <c r="Z66" t="s">
        <v>155</v>
      </c>
      <c r="AA66" t="s">
        <v>301</v>
      </c>
      <c r="AB66" t="str">
        <f>"0000007294"</f>
        <v>0000007294</v>
      </c>
      <c r="AC66" t="s">
        <v>316</v>
      </c>
      <c r="AD66" t="s">
        <v>156</v>
      </c>
      <c r="AE66" t="str">
        <f t="shared" si="34"/>
        <v>NER10</v>
      </c>
      <c r="AF66" t="s">
        <v>282</v>
      </c>
      <c r="AG66" t="s">
        <v>320</v>
      </c>
      <c r="AH66" t="s">
        <v>0</v>
      </c>
      <c r="AI66" t="str">
        <f t="shared" si="30"/>
        <v xml:space="preserve"> </v>
      </c>
      <c r="AJ66" t="s">
        <v>284</v>
      </c>
      <c r="AK66" t="s">
        <v>0</v>
      </c>
      <c r="AM66" t="str">
        <f t="shared" si="36"/>
        <v>04</v>
      </c>
      <c r="AN66" t="str">
        <f t="shared" si="35"/>
        <v xml:space="preserve"> </v>
      </c>
      <c r="AO66" t="str">
        <f t="shared" si="37"/>
        <v xml:space="preserve"> </v>
      </c>
      <c r="AP66" t="str">
        <f t="shared" si="37"/>
        <v xml:space="preserve"> </v>
      </c>
      <c r="AQ66" t="str">
        <f t="shared" si="37"/>
        <v xml:space="preserve"> </v>
      </c>
      <c r="AR66" t="str">
        <f t="shared" si="37"/>
        <v xml:space="preserve"> </v>
      </c>
      <c r="AS66" t="str">
        <f>"0171164846"</f>
        <v>0171164846</v>
      </c>
      <c r="AT66" t="s">
        <v>318</v>
      </c>
      <c r="AU66" t="str">
        <f>"0000124498"</f>
        <v>0000124498</v>
      </c>
      <c r="AV66" t="s">
        <v>318</v>
      </c>
    </row>
    <row r="67" spans="1:48">
      <c r="A67" t="str">
        <f t="shared" si="20"/>
        <v>00106074</v>
      </c>
      <c r="B67" t="str">
        <f t="shared" si="21"/>
        <v>00106986</v>
      </c>
      <c r="C67" s="25">
        <v>42997</v>
      </c>
      <c r="D67" t="s">
        <v>146</v>
      </c>
      <c r="E67" t="str">
        <f t="shared" si="22"/>
        <v>KOUASSI Nicole Flora</v>
      </c>
      <c r="F67" t="str">
        <f t="shared" si="23"/>
        <v>02252-UNDP (Direct Execution)</v>
      </c>
      <c r="G67" t="s">
        <v>147</v>
      </c>
      <c r="H67" t="s">
        <v>275</v>
      </c>
      <c r="I67" t="s">
        <v>323</v>
      </c>
      <c r="J67" s="26" t="s">
        <v>324</v>
      </c>
      <c r="K67" t="s">
        <v>150</v>
      </c>
      <c r="L67" t="s">
        <v>325</v>
      </c>
      <c r="M67" t="s">
        <v>326</v>
      </c>
      <c r="N67" t="str">
        <f>"00075227"</f>
        <v>00075227</v>
      </c>
      <c r="O67" t="str">
        <f>" "</f>
        <v xml:space="preserve"> </v>
      </c>
      <c r="P67" t="s">
        <v>0</v>
      </c>
      <c r="Q67" t="s">
        <v>327</v>
      </c>
      <c r="R67" t="str">
        <f t="shared" si="24"/>
        <v>NER10</v>
      </c>
      <c r="S67" t="s">
        <v>153</v>
      </c>
      <c r="T67" t="s">
        <v>154</v>
      </c>
      <c r="U67" t="str">
        <f t="shared" si="25"/>
        <v>001981</v>
      </c>
      <c r="V67" t="str">
        <f t="shared" si="26"/>
        <v>30000</v>
      </c>
      <c r="W67" t="str">
        <f t="shared" si="27"/>
        <v>11363</v>
      </c>
      <c r="X67" t="str">
        <f>"76135"</f>
        <v>76135</v>
      </c>
      <c r="Y67" t="s">
        <v>328</v>
      </c>
      <c r="Z67" t="s">
        <v>155</v>
      </c>
      <c r="AA67" t="s">
        <v>301</v>
      </c>
      <c r="AB67" t="str">
        <f>"0000000238"</f>
        <v>0000000238</v>
      </c>
      <c r="AC67" t="s">
        <v>281</v>
      </c>
      <c r="AD67" t="s">
        <v>156</v>
      </c>
      <c r="AE67" t="str">
        <f t="shared" si="34"/>
        <v>NER10</v>
      </c>
      <c r="AF67" t="s">
        <v>282</v>
      </c>
      <c r="AG67" t="s">
        <v>329</v>
      </c>
      <c r="AH67" t="s">
        <v>0</v>
      </c>
      <c r="AI67" t="str">
        <f t="shared" si="30"/>
        <v xml:space="preserve"> </v>
      </c>
      <c r="AJ67" t="s">
        <v>284</v>
      </c>
      <c r="AK67" t="s">
        <v>0</v>
      </c>
      <c r="AM67" t="str">
        <f t="shared" ref="AM67:AM83" si="38">"05"</f>
        <v>05</v>
      </c>
      <c r="AN67" t="str">
        <f t="shared" si="35"/>
        <v xml:space="preserve"> </v>
      </c>
      <c r="AO67" t="str">
        <f t="shared" si="37"/>
        <v xml:space="preserve"> </v>
      </c>
      <c r="AP67" t="str">
        <f t="shared" si="37"/>
        <v xml:space="preserve"> </v>
      </c>
      <c r="AQ67" t="str">
        <f t="shared" si="37"/>
        <v xml:space="preserve"> </v>
      </c>
      <c r="AR67" t="str">
        <f t="shared" si="37"/>
        <v xml:space="preserve"> </v>
      </c>
      <c r="AS67" t="str">
        <f>"0171523495"</f>
        <v>0171523495</v>
      </c>
      <c r="AT67" t="s">
        <v>327</v>
      </c>
      <c r="AU67" t="str">
        <f>"0000124630"</f>
        <v>0000124630</v>
      </c>
      <c r="AV67" t="s">
        <v>327</v>
      </c>
    </row>
    <row r="68" spans="1:48">
      <c r="A68" t="str">
        <f t="shared" si="20"/>
        <v>00106074</v>
      </c>
      <c r="B68" t="str">
        <f t="shared" si="21"/>
        <v>00106986</v>
      </c>
      <c r="C68" s="25">
        <v>42997</v>
      </c>
      <c r="D68" t="s">
        <v>146</v>
      </c>
      <c r="E68" t="str">
        <f t="shared" si="22"/>
        <v>KOUASSI Nicole Flora</v>
      </c>
      <c r="F68" t="str">
        <f t="shared" si="23"/>
        <v>02252-UNDP (Direct Execution)</v>
      </c>
      <c r="G68" t="s">
        <v>147</v>
      </c>
      <c r="H68" t="s">
        <v>275</v>
      </c>
      <c r="I68" t="s">
        <v>323</v>
      </c>
      <c r="J68" s="26" t="s">
        <v>330</v>
      </c>
      <c r="K68" t="s">
        <v>150</v>
      </c>
      <c r="L68" t="s">
        <v>325</v>
      </c>
      <c r="M68" t="s">
        <v>326</v>
      </c>
      <c r="N68" t="str">
        <f>"00075227"</f>
        <v>00075227</v>
      </c>
      <c r="O68" t="str">
        <f>" "</f>
        <v xml:space="preserve"> </v>
      </c>
      <c r="P68" t="s">
        <v>0</v>
      </c>
      <c r="Q68" t="s">
        <v>327</v>
      </c>
      <c r="R68" t="str">
        <f t="shared" si="24"/>
        <v>NER10</v>
      </c>
      <c r="S68" t="s">
        <v>153</v>
      </c>
      <c r="T68" t="s">
        <v>154</v>
      </c>
      <c r="U68" t="str">
        <f t="shared" si="25"/>
        <v>001981</v>
      </c>
      <c r="V68" t="str">
        <f t="shared" si="26"/>
        <v>30000</v>
      </c>
      <c r="W68" t="str">
        <f t="shared" si="27"/>
        <v>11363</v>
      </c>
      <c r="X68" t="str">
        <f>"76135"</f>
        <v>76135</v>
      </c>
      <c r="Y68" t="s">
        <v>328</v>
      </c>
      <c r="Z68" t="s">
        <v>155</v>
      </c>
      <c r="AA68" t="s">
        <v>301</v>
      </c>
      <c r="AB68" t="str">
        <f>"0000000238"</f>
        <v>0000000238</v>
      </c>
      <c r="AC68" t="s">
        <v>281</v>
      </c>
      <c r="AD68" t="s">
        <v>156</v>
      </c>
      <c r="AE68" t="str">
        <f t="shared" si="34"/>
        <v>NER10</v>
      </c>
      <c r="AF68" t="s">
        <v>282</v>
      </c>
      <c r="AG68" t="s">
        <v>329</v>
      </c>
      <c r="AH68" t="s">
        <v>0</v>
      </c>
      <c r="AI68" t="str">
        <f t="shared" si="30"/>
        <v xml:space="preserve"> </v>
      </c>
      <c r="AJ68" t="s">
        <v>284</v>
      </c>
      <c r="AK68" t="s">
        <v>0</v>
      </c>
      <c r="AM68" t="str">
        <f t="shared" si="38"/>
        <v>05</v>
      </c>
      <c r="AN68" t="str">
        <f t="shared" si="35"/>
        <v xml:space="preserve"> </v>
      </c>
      <c r="AO68" t="str">
        <f t="shared" si="37"/>
        <v xml:space="preserve"> </v>
      </c>
      <c r="AP68" t="str">
        <f t="shared" si="37"/>
        <v xml:space="preserve"> </v>
      </c>
      <c r="AQ68" t="str">
        <f t="shared" si="37"/>
        <v xml:space="preserve"> </v>
      </c>
      <c r="AR68" t="str">
        <f t="shared" si="37"/>
        <v xml:space="preserve"> </v>
      </c>
      <c r="AS68" t="str">
        <f>"0171523495"</f>
        <v>0171523495</v>
      </c>
      <c r="AT68" t="s">
        <v>327</v>
      </c>
      <c r="AU68" t="str">
        <f>"0000124630"</f>
        <v>0000124630</v>
      </c>
      <c r="AV68" t="s">
        <v>327</v>
      </c>
    </row>
    <row r="69" spans="1:48">
      <c r="A69" t="str">
        <f t="shared" si="20"/>
        <v>00106074</v>
      </c>
      <c r="B69" t="str">
        <f t="shared" si="21"/>
        <v>00106986</v>
      </c>
      <c r="C69" s="25">
        <v>42997</v>
      </c>
      <c r="D69" t="s">
        <v>146</v>
      </c>
      <c r="E69" t="str">
        <f t="shared" si="22"/>
        <v>KOUASSI Nicole Flora</v>
      </c>
      <c r="F69" t="str">
        <f t="shared" si="23"/>
        <v>02252-UNDP (Direct Execution)</v>
      </c>
      <c r="G69" t="s">
        <v>147</v>
      </c>
      <c r="H69" t="s">
        <v>275</v>
      </c>
      <c r="I69" t="s">
        <v>323</v>
      </c>
      <c r="J69" s="26" t="s">
        <v>331</v>
      </c>
      <c r="K69" t="s">
        <v>150</v>
      </c>
      <c r="L69" t="s">
        <v>325</v>
      </c>
      <c r="M69" t="s">
        <v>152</v>
      </c>
      <c r="N69" t="str">
        <f>"00075227"</f>
        <v>00075227</v>
      </c>
      <c r="O69" t="str">
        <f>" "</f>
        <v xml:space="preserve"> </v>
      </c>
      <c r="P69" t="s">
        <v>0</v>
      </c>
      <c r="Q69" t="s">
        <v>332</v>
      </c>
      <c r="R69" t="str">
        <f t="shared" si="24"/>
        <v>NER10</v>
      </c>
      <c r="S69" t="s">
        <v>153</v>
      </c>
      <c r="T69" t="s">
        <v>154</v>
      </c>
      <c r="U69" t="str">
        <f t="shared" si="25"/>
        <v>001981</v>
      </c>
      <c r="V69" t="str">
        <f t="shared" si="26"/>
        <v>30000</v>
      </c>
      <c r="W69" t="str">
        <f t="shared" si="27"/>
        <v>11363</v>
      </c>
      <c r="X69" t="str">
        <f>"75707"</f>
        <v>75707</v>
      </c>
      <c r="Y69" t="s">
        <v>333</v>
      </c>
      <c r="Z69" t="s">
        <v>155</v>
      </c>
      <c r="AA69" t="s">
        <v>301</v>
      </c>
      <c r="AB69" t="str">
        <f>"0000000238"</f>
        <v>0000000238</v>
      </c>
      <c r="AC69" t="s">
        <v>281</v>
      </c>
      <c r="AD69" t="s">
        <v>156</v>
      </c>
      <c r="AE69" t="str">
        <f t="shared" si="34"/>
        <v>NER10</v>
      </c>
      <c r="AF69" t="s">
        <v>282</v>
      </c>
      <c r="AG69" t="s">
        <v>329</v>
      </c>
      <c r="AH69" t="s">
        <v>0</v>
      </c>
      <c r="AI69" t="str">
        <f t="shared" si="30"/>
        <v xml:space="preserve"> </v>
      </c>
      <c r="AJ69" t="s">
        <v>284</v>
      </c>
      <c r="AK69" t="s">
        <v>0</v>
      </c>
      <c r="AM69" t="str">
        <f t="shared" si="38"/>
        <v>05</v>
      </c>
      <c r="AN69" t="str">
        <f t="shared" si="35"/>
        <v xml:space="preserve"> </v>
      </c>
      <c r="AO69" t="str">
        <f t="shared" si="37"/>
        <v xml:space="preserve"> </v>
      </c>
      <c r="AP69" t="str">
        <f t="shared" si="37"/>
        <v xml:space="preserve"> </v>
      </c>
      <c r="AQ69" t="str">
        <f t="shared" si="37"/>
        <v xml:space="preserve"> </v>
      </c>
      <c r="AR69" t="str">
        <f t="shared" si="37"/>
        <v xml:space="preserve"> </v>
      </c>
      <c r="AS69" t="str">
        <f>"0171497934"</f>
        <v>0171497934</v>
      </c>
      <c r="AT69" t="s">
        <v>334</v>
      </c>
      <c r="AU69" t="str">
        <f>"0000124630"</f>
        <v>0000124630</v>
      </c>
      <c r="AV69" t="s">
        <v>327</v>
      </c>
    </row>
    <row r="70" spans="1:48">
      <c r="A70" t="str">
        <f t="shared" si="20"/>
        <v>00106074</v>
      </c>
      <c r="B70" t="str">
        <f t="shared" si="21"/>
        <v>00106986</v>
      </c>
      <c r="C70" s="25">
        <v>42997</v>
      </c>
      <c r="D70" t="s">
        <v>146</v>
      </c>
      <c r="E70" t="str">
        <f t="shared" si="22"/>
        <v>KOUASSI Nicole Flora</v>
      </c>
      <c r="F70" t="str">
        <f t="shared" si="23"/>
        <v>02252-UNDP (Direct Execution)</v>
      </c>
      <c r="G70" t="s">
        <v>147</v>
      </c>
      <c r="H70" t="s">
        <v>335</v>
      </c>
      <c r="I70" t="s">
        <v>336</v>
      </c>
      <c r="J70" s="26" t="s">
        <v>337</v>
      </c>
      <c r="K70" t="s">
        <v>168</v>
      </c>
      <c r="L70" t="s">
        <v>325</v>
      </c>
      <c r="M70" t="s">
        <v>152</v>
      </c>
      <c r="N70" t="str">
        <f>"00075290"</f>
        <v>00075290</v>
      </c>
      <c r="O70" t="str">
        <f>"0000009961"</f>
        <v>0000009961</v>
      </c>
      <c r="P70" t="s">
        <v>0</v>
      </c>
      <c r="Q70" t="s">
        <v>338</v>
      </c>
      <c r="R70" t="str">
        <f t="shared" si="24"/>
        <v>NER10</v>
      </c>
      <c r="S70" t="s">
        <v>153</v>
      </c>
      <c r="T70" t="s">
        <v>154</v>
      </c>
      <c r="U70" t="str">
        <f t="shared" si="25"/>
        <v>001981</v>
      </c>
      <c r="V70" t="str">
        <f t="shared" si="26"/>
        <v>30000</v>
      </c>
      <c r="W70" t="str">
        <f t="shared" si="27"/>
        <v>11363</v>
      </c>
      <c r="X70" t="str">
        <f>"72220"</f>
        <v>72220</v>
      </c>
      <c r="Y70" t="s">
        <v>339</v>
      </c>
      <c r="Z70" t="s">
        <v>155</v>
      </c>
      <c r="AA70" t="s">
        <v>340</v>
      </c>
      <c r="AB70" t="str">
        <f>"0000006380"</f>
        <v>0000006380</v>
      </c>
      <c r="AC70" t="s">
        <v>341</v>
      </c>
      <c r="AD70" t="s">
        <v>156</v>
      </c>
      <c r="AE70" t="str">
        <f t="shared" si="34"/>
        <v>NER10</v>
      </c>
      <c r="AF70" t="s">
        <v>342</v>
      </c>
      <c r="AG70" t="s">
        <v>343</v>
      </c>
      <c r="AH70" t="s">
        <v>0</v>
      </c>
      <c r="AI70" t="str">
        <f t="shared" si="30"/>
        <v xml:space="preserve"> </v>
      </c>
      <c r="AJ70" t="s">
        <v>284</v>
      </c>
      <c r="AK70" t="s">
        <v>0</v>
      </c>
      <c r="AM70" t="str">
        <f t="shared" si="38"/>
        <v>05</v>
      </c>
      <c r="AN70" t="str">
        <f t="shared" si="35"/>
        <v xml:space="preserve"> </v>
      </c>
      <c r="AO70" t="str">
        <f t="shared" si="37"/>
        <v xml:space="preserve"> </v>
      </c>
      <c r="AP70" t="str">
        <f t="shared" si="37"/>
        <v xml:space="preserve"> </v>
      </c>
      <c r="AQ70" t="str">
        <f t="shared" si="37"/>
        <v xml:space="preserve"> </v>
      </c>
      <c r="AR70" t="str">
        <f t="shared" si="37"/>
        <v xml:space="preserve"> </v>
      </c>
      <c r="AS70" t="str">
        <f>"0171860382"</f>
        <v>0171860382</v>
      </c>
      <c r="AT70" t="s">
        <v>338</v>
      </c>
      <c r="AU70" t="str">
        <f>"1188012869"</f>
        <v>1188012869</v>
      </c>
      <c r="AV70" t="s">
        <v>344</v>
      </c>
    </row>
    <row r="71" spans="1:48">
      <c r="A71" t="str">
        <f t="shared" si="20"/>
        <v>00106074</v>
      </c>
      <c r="B71" t="str">
        <f t="shared" si="21"/>
        <v>00106986</v>
      </c>
      <c r="C71" s="25">
        <v>42997</v>
      </c>
      <c r="D71" t="s">
        <v>146</v>
      </c>
      <c r="E71" t="str">
        <f t="shared" si="22"/>
        <v>KOUASSI Nicole Flora</v>
      </c>
      <c r="F71" t="str">
        <f t="shared" si="23"/>
        <v>02252-UNDP (Direct Execution)</v>
      </c>
      <c r="G71" t="s">
        <v>147</v>
      </c>
      <c r="H71" t="s">
        <v>335</v>
      </c>
      <c r="I71" t="s">
        <v>345</v>
      </c>
      <c r="J71" s="26" t="s">
        <v>346</v>
      </c>
      <c r="K71" t="s">
        <v>168</v>
      </c>
      <c r="L71" t="s">
        <v>325</v>
      </c>
      <c r="M71" t="s">
        <v>152</v>
      </c>
      <c r="N71" t="str">
        <f>"00075290"</f>
        <v>00075290</v>
      </c>
      <c r="O71" t="str">
        <f>"0000009961"</f>
        <v>0000009961</v>
      </c>
      <c r="P71" t="s">
        <v>0</v>
      </c>
      <c r="Q71" t="s">
        <v>338</v>
      </c>
      <c r="R71" t="str">
        <f t="shared" si="24"/>
        <v>NER10</v>
      </c>
      <c r="S71" t="s">
        <v>153</v>
      </c>
      <c r="T71" t="s">
        <v>154</v>
      </c>
      <c r="U71" t="str">
        <f t="shared" si="25"/>
        <v>001981</v>
      </c>
      <c r="V71" t="str">
        <f t="shared" si="26"/>
        <v>30000</v>
      </c>
      <c r="W71" t="str">
        <f t="shared" si="27"/>
        <v>11363</v>
      </c>
      <c r="X71" t="str">
        <f>"72220"</f>
        <v>72220</v>
      </c>
      <c r="Y71" t="s">
        <v>347</v>
      </c>
      <c r="Z71" t="s">
        <v>155</v>
      </c>
      <c r="AA71" t="s">
        <v>340</v>
      </c>
      <c r="AB71" t="str">
        <f>"0000006380"</f>
        <v>0000006380</v>
      </c>
      <c r="AC71" t="s">
        <v>341</v>
      </c>
      <c r="AD71" t="s">
        <v>156</v>
      </c>
      <c r="AE71" t="str">
        <f t="shared" si="34"/>
        <v>NER10</v>
      </c>
      <c r="AF71" t="s">
        <v>348</v>
      </c>
      <c r="AG71" t="s">
        <v>343</v>
      </c>
      <c r="AH71" t="s">
        <v>0</v>
      </c>
      <c r="AI71" t="str">
        <f t="shared" si="30"/>
        <v xml:space="preserve"> </v>
      </c>
      <c r="AJ71" t="s">
        <v>284</v>
      </c>
      <c r="AK71" t="s">
        <v>0</v>
      </c>
      <c r="AM71" t="str">
        <f t="shared" si="38"/>
        <v>05</v>
      </c>
      <c r="AN71" t="str">
        <f t="shared" si="35"/>
        <v xml:space="preserve"> </v>
      </c>
      <c r="AO71" t="str">
        <f t="shared" si="37"/>
        <v xml:space="preserve"> </v>
      </c>
      <c r="AP71" t="str">
        <f t="shared" si="37"/>
        <v xml:space="preserve"> </v>
      </c>
      <c r="AQ71" t="str">
        <f t="shared" si="37"/>
        <v xml:space="preserve"> </v>
      </c>
      <c r="AR71" t="str">
        <f t="shared" si="37"/>
        <v xml:space="preserve"> </v>
      </c>
      <c r="AS71" t="str">
        <f>"0171860382"</f>
        <v>0171860382</v>
      </c>
      <c r="AT71" t="s">
        <v>338</v>
      </c>
      <c r="AU71" t="str">
        <f>"1188012869"</f>
        <v>1188012869</v>
      </c>
      <c r="AV71" t="s">
        <v>344</v>
      </c>
    </row>
    <row r="72" spans="1:48">
      <c r="A72" t="str">
        <f t="shared" si="20"/>
        <v>00106074</v>
      </c>
      <c r="B72" t="str">
        <f t="shared" si="21"/>
        <v>00106986</v>
      </c>
      <c r="C72" s="25">
        <v>42997</v>
      </c>
      <c r="D72" t="s">
        <v>146</v>
      </c>
      <c r="E72" t="str">
        <f t="shared" si="22"/>
        <v>KOUASSI Nicole Flora</v>
      </c>
      <c r="F72" t="str">
        <f t="shared" si="23"/>
        <v>02252-UNDP (Direct Execution)</v>
      </c>
      <c r="G72" t="s">
        <v>147</v>
      </c>
      <c r="H72" t="s">
        <v>335</v>
      </c>
      <c r="I72" t="s">
        <v>336</v>
      </c>
      <c r="J72" s="26" t="s">
        <v>349</v>
      </c>
      <c r="K72" t="s">
        <v>150</v>
      </c>
      <c r="L72" t="s">
        <v>325</v>
      </c>
      <c r="M72" t="s">
        <v>152</v>
      </c>
      <c r="N72" t="str">
        <f>"00075290"</f>
        <v>00075290</v>
      </c>
      <c r="O72" t="str">
        <f>"0000009961"</f>
        <v>0000009961</v>
      </c>
      <c r="P72" t="s">
        <v>0</v>
      </c>
      <c r="Q72" t="s">
        <v>338</v>
      </c>
      <c r="R72" t="str">
        <f t="shared" si="24"/>
        <v>NER10</v>
      </c>
      <c r="S72" t="s">
        <v>153</v>
      </c>
      <c r="T72" t="s">
        <v>154</v>
      </c>
      <c r="U72" t="str">
        <f t="shared" si="25"/>
        <v>001981</v>
      </c>
      <c r="V72" t="str">
        <f t="shared" si="26"/>
        <v>30000</v>
      </c>
      <c r="W72" t="str">
        <f t="shared" si="27"/>
        <v>11363</v>
      </c>
      <c r="X72" t="str">
        <f>"72220"</f>
        <v>72220</v>
      </c>
      <c r="Y72" t="s">
        <v>350</v>
      </c>
      <c r="Z72" t="s">
        <v>155</v>
      </c>
      <c r="AA72" t="s">
        <v>340</v>
      </c>
      <c r="AB72" t="str">
        <f>"0000006380"</f>
        <v>0000006380</v>
      </c>
      <c r="AC72" t="s">
        <v>341</v>
      </c>
      <c r="AD72" t="s">
        <v>156</v>
      </c>
      <c r="AE72" t="str">
        <f t="shared" si="34"/>
        <v>NER10</v>
      </c>
      <c r="AF72" t="s">
        <v>342</v>
      </c>
      <c r="AG72" t="s">
        <v>343</v>
      </c>
      <c r="AH72" t="s">
        <v>0</v>
      </c>
      <c r="AI72" t="str">
        <f t="shared" si="30"/>
        <v xml:space="preserve"> </v>
      </c>
      <c r="AJ72" t="s">
        <v>284</v>
      </c>
      <c r="AK72" t="s">
        <v>0</v>
      </c>
      <c r="AM72" t="str">
        <f t="shared" si="38"/>
        <v>05</v>
      </c>
      <c r="AN72" t="str">
        <f t="shared" si="35"/>
        <v xml:space="preserve"> </v>
      </c>
      <c r="AO72" t="str">
        <f t="shared" si="37"/>
        <v xml:space="preserve"> </v>
      </c>
      <c r="AP72" t="str">
        <f t="shared" si="37"/>
        <v xml:space="preserve"> </v>
      </c>
      <c r="AQ72" t="str">
        <f t="shared" si="37"/>
        <v xml:space="preserve"> </v>
      </c>
      <c r="AR72" t="str">
        <f t="shared" si="37"/>
        <v xml:space="preserve"> </v>
      </c>
      <c r="AS72" t="str">
        <f>"0171860382"</f>
        <v>0171860382</v>
      </c>
      <c r="AT72" t="s">
        <v>338</v>
      </c>
      <c r="AU72" t="str">
        <f>"1188012869"</f>
        <v>1188012869</v>
      </c>
      <c r="AV72" t="s">
        <v>344</v>
      </c>
    </row>
    <row r="73" spans="1:48">
      <c r="A73" t="str">
        <f t="shared" ref="A73:A104" si="39">"00106074"</f>
        <v>00106074</v>
      </c>
      <c r="B73" t="str">
        <f t="shared" ref="B73:B104" si="40">"00106986"</f>
        <v>00106986</v>
      </c>
      <c r="C73" s="25">
        <v>42997</v>
      </c>
      <c r="D73" t="s">
        <v>146</v>
      </c>
      <c r="E73" t="str">
        <f t="shared" ref="E73:E104" si="41">"KOUASSI Nicole Flora"</f>
        <v>KOUASSI Nicole Flora</v>
      </c>
      <c r="F73" t="str">
        <f t="shared" ref="F73:F104" si="42">"02252-UNDP (Direct Execution)"</f>
        <v>02252-UNDP (Direct Execution)</v>
      </c>
      <c r="G73" t="s">
        <v>147</v>
      </c>
      <c r="H73" t="s">
        <v>335</v>
      </c>
      <c r="I73" t="s">
        <v>345</v>
      </c>
      <c r="J73" s="26" t="s">
        <v>351</v>
      </c>
      <c r="K73" t="s">
        <v>150</v>
      </c>
      <c r="L73" t="s">
        <v>325</v>
      </c>
      <c r="M73" t="s">
        <v>152</v>
      </c>
      <c r="N73" t="str">
        <f>"00075290"</f>
        <v>00075290</v>
      </c>
      <c r="O73" t="str">
        <f>"0000009961"</f>
        <v>0000009961</v>
      </c>
      <c r="P73" t="s">
        <v>0</v>
      </c>
      <c r="Q73" t="s">
        <v>338</v>
      </c>
      <c r="R73" t="str">
        <f t="shared" ref="R73:R104" si="43">"NER10"</f>
        <v>NER10</v>
      </c>
      <c r="S73" t="s">
        <v>153</v>
      </c>
      <c r="T73" t="s">
        <v>154</v>
      </c>
      <c r="U73" t="str">
        <f t="shared" ref="U73:U104" si="44">"001981"</f>
        <v>001981</v>
      </c>
      <c r="V73" t="str">
        <f t="shared" ref="V73:V104" si="45">"30000"</f>
        <v>30000</v>
      </c>
      <c r="W73" t="str">
        <f t="shared" ref="W73:W104" si="46">"11363"</f>
        <v>11363</v>
      </c>
      <c r="X73" t="str">
        <f>"72220"</f>
        <v>72220</v>
      </c>
      <c r="Y73" t="s">
        <v>352</v>
      </c>
      <c r="Z73" t="s">
        <v>155</v>
      </c>
      <c r="AA73" t="s">
        <v>340</v>
      </c>
      <c r="AB73" t="str">
        <f>"0000006380"</f>
        <v>0000006380</v>
      </c>
      <c r="AC73" t="s">
        <v>341</v>
      </c>
      <c r="AD73" t="s">
        <v>156</v>
      </c>
      <c r="AE73" t="str">
        <f t="shared" si="34"/>
        <v>NER10</v>
      </c>
      <c r="AF73" t="s">
        <v>348</v>
      </c>
      <c r="AG73" t="s">
        <v>343</v>
      </c>
      <c r="AH73" t="s">
        <v>0</v>
      </c>
      <c r="AI73" t="str">
        <f t="shared" si="30"/>
        <v xml:space="preserve"> </v>
      </c>
      <c r="AJ73" t="s">
        <v>284</v>
      </c>
      <c r="AK73" t="s">
        <v>0</v>
      </c>
      <c r="AM73" t="str">
        <f t="shared" si="38"/>
        <v>05</v>
      </c>
      <c r="AN73" t="str">
        <f t="shared" si="35"/>
        <v xml:space="preserve"> </v>
      </c>
      <c r="AO73" t="str">
        <f t="shared" si="37"/>
        <v xml:space="preserve"> </v>
      </c>
      <c r="AP73" t="str">
        <f t="shared" si="37"/>
        <v xml:space="preserve"> </v>
      </c>
      <c r="AQ73" t="str">
        <f t="shared" si="37"/>
        <v xml:space="preserve"> </v>
      </c>
      <c r="AR73" t="str">
        <f t="shared" si="37"/>
        <v xml:space="preserve"> </v>
      </c>
      <c r="AS73" t="str">
        <f>"0171860382"</f>
        <v>0171860382</v>
      </c>
      <c r="AT73" t="s">
        <v>338</v>
      </c>
      <c r="AU73" t="str">
        <f>"1188012869"</f>
        <v>1188012869</v>
      </c>
      <c r="AV73" t="s">
        <v>344</v>
      </c>
    </row>
    <row r="74" spans="1:48">
      <c r="A74" t="str">
        <f t="shared" si="39"/>
        <v>00106074</v>
      </c>
      <c r="B74" t="str">
        <f t="shared" si="40"/>
        <v>00106986</v>
      </c>
      <c r="C74" s="25">
        <v>42997</v>
      </c>
      <c r="D74" t="s">
        <v>146</v>
      </c>
      <c r="E74" t="str">
        <f t="shared" si="41"/>
        <v>KOUASSI Nicole Flora</v>
      </c>
      <c r="F74" t="str">
        <f t="shared" si="42"/>
        <v>02252-UNDP (Direct Execution)</v>
      </c>
      <c r="G74" t="s">
        <v>147</v>
      </c>
      <c r="H74" t="s">
        <v>353</v>
      </c>
      <c r="I74" t="s">
        <v>345</v>
      </c>
      <c r="J74" s="26" t="s">
        <v>354</v>
      </c>
      <c r="K74" t="s">
        <v>150</v>
      </c>
      <c r="L74" t="s">
        <v>325</v>
      </c>
      <c r="M74" t="s">
        <v>152</v>
      </c>
      <c r="N74" t="str">
        <f>"00075295"</f>
        <v>00075295</v>
      </c>
      <c r="O74" t="str">
        <f>"0000009962"</f>
        <v>0000009962</v>
      </c>
      <c r="P74" t="s">
        <v>0</v>
      </c>
      <c r="Q74" t="s">
        <v>344</v>
      </c>
      <c r="R74" t="str">
        <f t="shared" si="43"/>
        <v>NER10</v>
      </c>
      <c r="S74" t="s">
        <v>153</v>
      </c>
      <c r="T74" t="s">
        <v>154</v>
      </c>
      <c r="U74" t="str">
        <f t="shared" si="44"/>
        <v>001981</v>
      </c>
      <c r="V74" t="str">
        <f t="shared" si="45"/>
        <v>30000</v>
      </c>
      <c r="W74" t="str">
        <f t="shared" si="46"/>
        <v>11363</v>
      </c>
      <c r="X74" t="str">
        <f>"72220"</f>
        <v>72220</v>
      </c>
      <c r="Y74" t="s">
        <v>355</v>
      </c>
      <c r="Z74" t="s">
        <v>155</v>
      </c>
      <c r="AA74" t="s">
        <v>340</v>
      </c>
      <c r="AB74" t="str">
        <f>"0000000154"</f>
        <v>0000000154</v>
      </c>
      <c r="AC74" t="s">
        <v>156</v>
      </c>
      <c r="AD74" t="s">
        <v>156</v>
      </c>
      <c r="AE74" t="str">
        <f t="shared" si="34"/>
        <v>NER10</v>
      </c>
      <c r="AF74" t="s">
        <v>356</v>
      </c>
      <c r="AG74" t="s">
        <v>357</v>
      </c>
      <c r="AH74" t="s">
        <v>0</v>
      </c>
      <c r="AI74" t="str">
        <f t="shared" si="30"/>
        <v xml:space="preserve"> </v>
      </c>
      <c r="AJ74" t="s">
        <v>284</v>
      </c>
      <c r="AK74" t="s">
        <v>0</v>
      </c>
      <c r="AM74" t="str">
        <f t="shared" si="38"/>
        <v>05</v>
      </c>
      <c r="AN74" t="str">
        <f t="shared" si="35"/>
        <v xml:space="preserve"> </v>
      </c>
      <c r="AO74" t="str">
        <f t="shared" si="37"/>
        <v xml:space="preserve"> </v>
      </c>
      <c r="AP74" t="str">
        <f t="shared" si="37"/>
        <v xml:space="preserve"> </v>
      </c>
      <c r="AQ74" t="str">
        <f t="shared" si="37"/>
        <v xml:space="preserve"> </v>
      </c>
      <c r="AR74" t="str">
        <f t="shared" si="37"/>
        <v xml:space="preserve"> </v>
      </c>
      <c r="AS74" t="str">
        <f>"0171933179"</f>
        <v>0171933179</v>
      </c>
      <c r="AT74" t="s">
        <v>344</v>
      </c>
      <c r="AU74" t="str">
        <f>"1188012873"</f>
        <v>1188012873</v>
      </c>
      <c r="AV74" t="s">
        <v>344</v>
      </c>
    </row>
    <row r="75" spans="1:48">
      <c r="A75" t="str">
        <f t="shared" si="39"/>
        <v>00106074</v>
      </c>
      <c r="B75" t="str">
        <f t="shared" si="40"/>
        <v>00106986</v>
      </c>
      <c r="C75" s="25">
        <v>42997</v>
      </c>
      <c r="D75" t="s">
        <v>146</v>
      </c>
      <c r="E75" t="str">
        <f t="shared" si="41"/>
        <v>KOUASSI Nicole Flora</v>
      </c>
      <c r="F75" t="str">
        <f t="shared" si="42"/>
        <v>02252-UNDP (Direct Execution)</v>
      </c>
      <c r="G75" t="s">
        <v>147</v>
      </c>
      <c r="H75" t="s">
        <v>353</v>
      </c>
      <c r="I75" t="s">
        <v>345</v>
      </c>
      <c r="J75" s="26" t="s">
        <v>328</v>
      </c>
      <c r="K75" t="s">
        <v>150</v>
      </c>
      <c r="L75" t="s">
        <v>325</v>
      </c>
      <c r="M75" t="s">
        <v>326</v>
      </c>
      <c r="N75" t="str">
        <f>"00075295"</f>
        <v>00075295</v>
      </c>
      <c r="O75" t="str">
        <f>"0000009962"</f>
        <v>0000009962</v>
      </c>
      <c r="P75" t="s">
        <v>0</v>
      </c>
      <c r="Q75" t="s">
        <v>344</v>
      </c>
      <c r="R75" t="str">
        <f t="shared" si="43"/>
        <v>NER10</v>
      </c>
      <c r="S75" t="s">
        <v>153</v>
      </c>
      <c r="T75" t="s">
        <v>154</v>
      </c>
      <c r="U75" t="str">
        <f t="shared" si="44"/>
        <v>001981</v>
      </c>
      <c r="V75" t="str">
        <f t="shared" si="45"/>
        <v>30000</v>
      </c>
      <c r="W75" t="str">
        <f t="shared" si="46"/>
        <v>11363</v>
      </c>
      <c r="X75" t="str">
        <f>"76135"</f>
        <v>76135</v>
      </c>
      <c r="Y75" t="s">
        <v>328</v>
      </c>
      <c r="Z75" t="s">
        <v>155</v>
      </c>
      <c r="AA75" t="s">
        <v>340</v>
      </c>
      <c r="AB75" t="str">
        <f>"0000000154"</f>
        <v>0000000154</v>
      </c>
      <c r="AC75" t="s">
        <v>156</v>
      </c>
      <c r="AD75" t="s">
        <v>156</v>
      </c>
      <c r="AE75" t="str">
        <f t="shared" si="34"/>
        <v>NER10</v>
      </c>
      <c r="AF75" t="s">
        <v>356</v>
      </c>
      <c r="AG75" t="s">
        <v>357</v>
      </c>
      <c r="AH75" t="s">
        <v>0</v>
      </c>
      <c r="AI75" t="str">
        <f t="shared" si="30"/>
        <v xml:space="preserve"> </v>
      </c>
      <c r="AJ75" t="s">
        <v>284</v>
      </c>
      <c r="AK75" t="s">
        <v>0</v>
      </c>
      <c r="AM75" t="str">
        <f t="shared" si="38"/>
        <v>05</v>
      </c>
      <c r="AN75" t="str">
        <f t="shared" si="35"/>
        <v xml:space="preserve"> </v>
      </c>
      <c r="AO75" t="str">
        <f t="shared" si="37"/>
        <v xml:space="preserve"> </v>
      </c>
      <c r="AP75" t="str">
        <f t="shared" si="37"/>
        <v xml:space="preserve"> </v>
      </c>
      <c r="AQ75" t="str">
        <f t="shared" si="37"/>
        <v xml:space="preserve"> </v>
      </c>
      <c r="AR75" t="str">
        <f t="shared" si="37"/>
        <v xml:space="preserve"> </v>
      </c>
      <c r="AS75" t="str">
        <f>"0171962175"</f>
        <v>0171962175</v>
      </c>
      <c r="AT75" t="s">
        <v>358</v>
      </c>
      <c r="AU75" t="str">
        <f>"1188012873"</f>
        <v>1188012873</v>
      </c>
      <c r="AV75" t="s">
        <v>344</v>
      </c>
    </row>
    <row r="76" spans="1:48">
      <c r="A76" t="str">
        <f t="shared" si="39"/>
        <v>00106074</v>
      </c>
      <c r="B76" t="str">
        <f t="shared" si="40"/>
        <v>00106986</v>
      </c>
      <c r="C76" s="25">
        <v>42997</v>
      </c>
      <c r="D76" t="s">
        <v>146</v>
      </c>
      <c r="E76" t="str">
        <f t="shared" si="41"/>
        <v>KOUASSI Nicole Flora</v>
      </c>
      <c r="F76" t="str">
        <f t="shared" si="42"/>
        <v>02252-UNDP (Direct Execution)</v>
      </c>
      <c r="G76" t="s">
        <v>147</v>
      </c>
      <c r="H76" t="s">
        <v>353</v>
      </c>
      <c r="I76" t="s">
        <v>345</v>
      </c>
      <c r="J76" s="26" t="s">
        <v>359</v>
      </c>
      <c r="K76" t="s">
        <v>168</v>
      </c>
      <c r="L76" t="s">
        <v>325</v>
      </c>
      <c r="M76" t="s">
        <v>152</v>
      </c>
      <c r="N76" t="str">
        <f>"00075295"</f>
        <v>00075295</v>
      </c>
      <c r="O76" t="str">
        <f>"0000009962"</f>
        <v>0000009962</v>
      </c>
      <c r="P76" t="s">
        <v>0</v>
      </c>
      <c r="Q76" t="s">
        <v>344</v>
      </c>
      <c r="R76" t="str">
        <f t="shared" si="43"/>
        <v>NER10</v>
      </c>
      <c r="S76" t="s">
        <v>153</v>
      </c>
      <c r="T76" t="s">
        <v>154</v>
      </c>
      <c r="U76" t="str">
        <f t="shared" si="44"/>
        <v>001981</v>
      </c>
      <c r="V76" t="str">
        <f t="shared" si="45"/>
        <v>30000</v>
      </c>
      <c r="W76" t="str">
        <f t="shared" si="46"/>
        <v>11363</v>
      </c>
      <c r="X76" t="str">
        <f>"72220"</f>
        <v>72220</v>
      </c>
      <c r="Y76" t="s">
        <v>360</v>
      </c>
      <c r="Z76" t="s">
        <v>155</v>
      </c>
      <c r="AA76" t="s">
        <v>340</v>
      </c>
      <c r="AB76" t="str">
        <f>"0000000154"</f>
        <v>0000000154</v>
      </c>
      <c r="AC76" t="s">
        <v>156</v>
      </c>
      <c r="AD76" t="s">
        <v>156</v>
      </c>
      <c r="AE76" t="str">
        <f t="shared" si="34"/>
        <v>NER10</v>
      </c>
      <c r="AF76" t="s">
        <v>356</v>
      </c>
      <c r="AG76" t="s">
        <v>357</v>
      </c>
      <c r="AH76" t="s">
        <v>0</v>
      </c>
      <c r="AI76" t="str">
        <f t="shared" ref="AI76:AI107" si="47">" "</f>
        <v xml:space="preserve"> </v>
      </c>
      <c r="AJ76" t="s">
        <v>284</v>
      </c>
      <c r="AK76" t="s">
        <v>0</v>
      </c>
      <c r="AM76" t="str">
        <f t="shared" si="38"/>
        <v>05</v>
      </c>
      <c r="AN76" t="str">
        <f t="shared" si="35"/>
        <v xml:space="preserve"> </v>
      </c>
      <c r="AO76" t="str">
        <f t="shared" si="37"/>
        <v xml:space="preserve"> </v>
      </c>
      <c r="AP76" t="str">
        <f t="shared" si="37"/>
        <v xml:space="preserve"> </v>
      </c>
      <c r="AQ76" t="str">
        <f t="shared" si="37"/>
        <v xml:space="preserve"> </v>
      </c>
      <c r="AR76" t="str">
        <f t="shared" si="37"/>
        <v xml:space="preserve"> </v>
      </c>
      <c r="AS76" t="str">
        <f>"0171933179"</f>
        <v>0171933179</v>
      </c>
      <c r="AT76" t="s">
        <v>344</v>
      </c>
      <c r="AU76" t="str">
        <f>"1188012873"</f>
        <v>1188012873</v>
      </c>
      <c r="AV76" t="s">
        <v>344</v>
      </c>
    </row>
    <row r="77" spans="1:48">
      <c r="A77" t="str">
        <f t="shared" si="39"/>
        <v>00106074</v>
      </c>
      <c r="B77" t="str">
        <f t="shared" si="40"/>
        <v>00106986</v>
      </c>
      <c r="C77" s="25">
        <v>42997</v>
      </c>
      <c r="D77" t="s">
        <v>146</v>
      </c>
      <c r="E77" t="str">
        <f t="shared" si="41"/>
        <v>KOUASSI Nicole Flora</v>
      </c>
      <c r="F77" t="str">
        <f t="shared" si="42"/>
        <v>02252-UNDP (Direct Execution)</v>
      </c>
      <c r="G77" t="s">
        <v>213</v>
      </c>
      <c r="H77" t="s">
        <v>315</v>
      </c>
      <c r="I77" t="s">
        <v>180</v>
      </c>
      <c r="J77" s="26" t="s">
        <v>361</v>
      </c>
      <c r="K77" t="s">
        <v>168</v>
      </c>
      <c r="L77" t="s">
        <v>325</v>
      </c>
      <c r="M77" t="s">
        <v>152</v>
      </c>
      <c r="N77" t="str">
        <f>"00075308"</f>
        <v>00075308</v>
      </c>
      <c r="O77" t="str">
        <f>"0000009999"</f>
        <v>0000009999</v>
      </c>
      <c r="P77" t="s">
        <v>0</v>
      </c>
      <c r="Q77" t="s">
        <v>358</v>
      </c>
      <c r="R77" t="str">
        <f t="shared" si="43"/>
        <v>NER10</v>
      </c>
      <c r="S77" t="s">
        <v>153</v>
      </c>
      <c r="T77" t="s">
        <v>154</v>
      </c>
      <c r="U77" t="str">
        <f t="shared" si="44"/>
        <v>001981</v>
      </c>
      <c r="V77" t="str">
        <f t="shared" si="45"/>
        <v>30000</v>
      </c>
      <c r="W77" t="str">
        <f t="shared" si="46"/>
        <v>11363</v>
      </c>
      <c r="X77" t="str">
        <f>"71620"</f>
        <v>71620</v>
      </c>
      <c r="Y77" t="s">
        <v>362</v>
      </c>
      <c r="Z77" t="s">
        <v>155</v>
      </c>
      <c r="AA77" t="s">
        <v>340</v>
      </c>
      <c r="AB77" t="str">
        <f>"0000007294"</f>
        <v>0000007294</v>
      </c>
      <c r="AC77" t="s">
        <v>316</v>
      </c>
      <c r="AD77" t="s">
        <v>156</v>
      </c>
      <c r="AE77" t="str">
        <f t="shared" si="34"/>
        <v>NER10</v>
      </c>
      <c r="AF77" t="s">
        <v>282</v>
      </c>
      <c r="AG77" t="s">
        <v>363</v>
      </c>
      <c r="AH77" t="s">
        <v>0</v>
      </c>
      <c r="AI77" t="str">
        <f t="shared" si="47"/>
        <v xml:space="preserve"> </v>
      </c>
      <c r="AJ77" t="s">
        <v>284</v>
      </c>
      <c r="AK77" t="s">
        <v>0</v>
      </c>
      <c r="AM77" t="str">
        <f t="shared" si="38"/>
        <v>05</v>
      </c>
      <c r="AN77" t="str">
        <f t="shared" si="35"/>
        <v xml:space="preserve"> </v>
      </c>
      <c r="AO77" t="str">
        <f t="shared" si="37"/>
        <v xml:space="preserve"> </v>
      </c>
      <c r="AP77" t="str">
        <f t="shared" si="37"/>
        <v xml:space="preserve"> </v>
      </c>
      <c r="AQ77" t="str">
        <f t="shared" si="37"/>
        <v xml:space="preserve"> </v>
      </c>
      <c r="AR77" t="str">
        <f t="shared" si="37"/>
        <v xml:space="preserve"> </v>
      </c>
      <c r="AS77" t="str">
        <f>"0171983180"</f>
        <v>0171983180</v>
      </c>
      <c r="AT77" t="s">
        <v>358</v>
      </c>
      <c r="AU77" t="str">
        <f>"0000124706"</f>
        <v>0000124706</v>
      </c>
      <c r="AV77" t="s">
        <v>358</v>
      </c>
    </row>
    <row r="78" spans="1:48">
      <c r="A78" t="str">
        <f t="shared" si="39"/>
        <v>00106074</v>
      </c>
      <c r="B78" t="str">
        <f t="shared" si="40"/>
        <v>00106986</v>
      </c>
      <c r="C78" s="25">
        <v>42997</v>
      </c>
      <c r="D78" t="s">
        <v>146</v>
      </c>
      <c r="E78" t="str">
        <f t="shared" si="41"/>
        <v>KOUASSI Nicole Flora</v>
      </c>
      <c r="F78" t="str">
        <f t="shared" si="42"/>
        <v>02252-UNDP (Direct Execution)</v>
      </c>
      <c r="G78" t="s">
        <v>213</v>
      </c>
      <c r="H78" t="s">
        <v>315</v>
      </c>
      <c r="I78" t="s">
        <v>180</v>
      </c>
      <c r="J78" s="26" t="s">
        <v>364</v>
      </c>
      <c r="K78" t="s">
        <v>150</v>
      </c>
      <c r="L78" t="s">
        <v>325</v>
      </c>
      <c r="M78" t="s">
        <v>152</v>
      </c>
      <c r="N78" t="str">
        <f>"00075308"</f>
        <v>00075308</v>
      </c>
      <c r="O78" t="str">
        <f>"0000009999"</f>
        <v>0000009999</v>
      </c>
      <c r="P78" t="s">
        <v>0</v>
      </c>
      <c r="Q78" t="s">
        <v>358</v>
      </c>
      <c r="R78" t="str">
        <f t="shared" si="43"/>
        <v>NER10</v>
      </c>
      <c r="S78" t="s">
        <v>153</v>
      </c>
      <c r="T78" t="s">
        <v>154</v>
      </c>
      <c r="U78" t="str">
        <f t="shared" si="44"/>
        <v>001981</v>
      </c>
      <c r="V78" t="str">
        <f t="shared" si="45"/>
        <v>30000</v>
      </c>
      <c r="W78" t="str">
        <f t="shared" si="46"/>
        <v>11363</v>
      </c>
      <c r="X78" t="str">
        <f>"71620"</f>
        <v>71620</v>
      </c>
      <c r="Y78" t="s">
        <v>365</v>
      </c>
      <c r="Z78" t="s">
        <v>155</v>
      </c>
      <c r="AA78" t="s">
        <v>340</v>
      </c>
      <c r="AB78" t="str">
        <f>"0000007294"</f>
        <v>0000007294</v>
      </c>
      <c r="AC78" t="s">
        <v>316</v>
      </c>
      <c r="AD78" t="s">
        <v>156</v>
      </c>
      <c r="AE78" t="str">
        <f t="shared" si="34"/>
        <v>NER10</v>
      </c>
      <c r="AF78" t="s">
        <v>282</v>
      </c>
      <c r="AG78" t="s">
        <v>363</v>
      </c>
      <c r="AH78" t="s">
        <v>0</v>
      </c>
      <c r="AI78" t="str">
        <f t="shared" si="47"/>
        <v xml:space="preserve"> </v>
      </c>
      <c r="AJ78" t="s">
        <v>284</v>
      </c>
      <c r="AK78" t="s">
        <v>0</v>
      </c>
      <c r="AM78" t="str">
        <f t="shared" si="38"/>
        <v>05</v>
      </c>
      <c r="AN78" t="str">
        <f t="shared" si="35"/>
        <v xml:space="preserve"> </v>
      </c>
      <c r="AO78" t="str">
        <f t="shared" si="37"/>
        <v xml:space="preserve"> </v>
      </c>
      <c r="AP78" t="str">
        <f t="shared" si="37"/>
        <v xml:space="preserve"> </v>
      </c>
      <c r="AQ78" t="str">
        <f t="shared" si="37"/>
        <v xml:space="preserve"> </v>
      </c>
      <c r="AR78" t="str">
        <f t="shared" si="37"/>
        <v xml:space="preserve"> </v>
      </c>
      <c r="AS78" t="str">
        <f>"0171983180"</f>
        <v>0171983180</v>
      </c>
      <c r="AT78" t="s">
        <v>358</v>
      </c>
      <c r="AU78" t="str">
        <f>"0000124706"</f>
        <v>0000124706</v>
      </c>
      <c r="AV78" t="s">
        <v>358</v>
      </c>
    </row>
    <row r="79" spans="1:48">
      <c r="A79" t="str">
        <f t="shared" si="39"/>
        <v>00106074</v>
      </c>
      <c r="B79" t="str">
        <f t="shared" si="40"/>
        <v>00106986</v>
      </c>
      <c r="C79" s="25">
        <v>42997</v>
      </c>
      <c r="D79" t="s">
        <v>146</v>
      </c>
      <c r="E79" t="str">
        <f t="shared" si="41"/>
        <v>KOUASSI Nicole Flora</v>
      </c>
      <c r="F79" t="str">
        <f t="shared" si="42"/>
        <v>02252-UNDP (Direct Execution)</v>
      </c>
      <c r="G79" t="s">
        <v>213</v>
      </c>
      <c r="H79" t="s">
        <v>162</v>
      </c>
      <c r="I79" t="s">
        <v>366</v>
      </c>
      <c r="J79" s="26" t="s">
        <v>367</v>
      </c>
      <c r="K79" t="s">
        <v>150</v>
      </c>
      <c r="L79" t="s">
        <v>325</v>
      </c>
      <c r="M79" t="s">
        <v>152</v>
      </c>
      <c r="N79" t="str">
        <f>"00075360"</f>
        <v>00075360</v>
      </c>
      <c r="O79" t="str">
        <f>" "</f>
        <v xml:space="preserve"> </v>
      </c>
      <c r="P79" t="s">
        <v>0</v>
      </c>
      <c r="Q79" t="s">
        <v>368</v>
      </c>
      <c r="R79" t="str">
        <f t="shared" si="43"/>
        <v>NER10</v>
      </c>
      <c r="S79" t="s">
        <v>153</v>
      </c>
      <c r="T79" t="s">
        <v>154</v>
      </c>
      <c r="U79" t="str">
        <f t="shared" si="44"/>
        <v>001981</v>
      </c>
      <c r="V79" t="str">
        <f t="shared" si="45"/>
        <v>30000</v>
      </c>
      <c r="W79" t="str">
        <f t="shared" si="46"/>
        <v>11363</v>
      </c>
      <c r="X79" t="str">
        <f>"75707"</f>
        <v>75707</v>
      </c>
      <c r="Y79" t="s">
        <v>369</v>
      </c>
      <c r="Z79" t="s">
        <v>155</v>
      </c>
      <c r="AA79" t="s">
        <v>340</v>
      </c>
      <c r="AB79" t="str">
        <f>"0000007120"</f>
        <v>0000007120</v>
      </c>
      <c r="AC79" t="s">
        <v>164</v>
      </c>
      <c r="AD79" t="s">
        <v>156</v>
      </c>
      <c r="AE79" t="str">
        <f t="shared" si="34"/>
        <v>NER10</v>
      </c>
      <c r="AF79" t="s">
        <v>282</v>
      </c>
      <c r="AG79" t="s">
        <v>370</v>
      </c>
      <c r="AH79" t="s">
        <v>0</v>
      </c>
      <c r="AI79" t="str">
        <f t="shared" si="47"/>
        <v xml:space="preserve"> </v>
      </c>
      <c r="AJ79" t="s">
        <v>284</v>
      </c>
      <c r="AK79" t="s">
        <v>0</v>
      </c>
      <c r="AM79" t="str">
        <f t="shared" si="38"/>
        <v>05</v>
      </c>
      <c r="AN79" t="str">
        <f t="shared" si="35"/>
        <v xml:space="preserve"> </v>
      </c>
      <c r="AO79" t="str">
        <f t="shared" si="37"/>
        <v xml:space="preserve"> </v>
      </c>
      <c r="AP79" t="str">
        <f t="shared" si="37"/>
        <v xml:space="preserve"> </v>
      </c>
      <c r="AQ79" t="str">
        <f t="shared" si="37"/>
        <v xml:space="preserve"> </v>
      </c>
      <c r="AR79" t="str">
        <f t="shared" si="37"/>
        <v xml:space="preserve"> </v>
      </c>
      <c r="AS79" t="str">
        <f>"0172253119"</f>
        <v>0172253119</v>
      </c>
      <c r="AT79" t="s">
        <v>371</v>
      </c>
      <c r="AU79" t="s">
        <v>0</v>
      </c>
      <c r="AV79" t="s">
        <v>0</v>
      </c>
    </row>
    <row r="80" spans="1:48">
      <c r="A80" t="str">
        <f t="shared" si="39"/>
        <v>00106074</v>
      </c>
      <c r="B80" t="str">
        <f t="shared" si="40"/>
        <v>00106986</v>
      </c>
      <c r="C80" s="25">
        <v>42997</v>
      </c>
      <c r="D80" t="s">
        <v>146</v>
      </c>
      <c r="E80" t="str">
        <f t="shared" si="41"/>
        <v>KOUASSI Nicole Flora</v>
      </c>
      <c r="F80" t="str">
        <f t="shared" si="42"/>
        <v>02252-UNDP (Direct Execution)</v>
      </c>
      <c r="G80" t="s">
        <v>213</v>
      </c>
      <c r="H80" t="s">
        <v>372</v>
      </c>
      <c r="I80" t="s">
        <v>373</v>
      </c>
      <c r="J80" s="26" t="s">
        <v>374</v>
      </c>
      <c r="K80" t="s">
        <v>150</v>
      </c>
      <c r="L80" t="s">
        <v>325</v>
      </c>
      <c r="M80" t="s">
        <v>152</v>
      </c>
      <c r="N80" t="str">
        <f>"00075361"</f>
        <v>00075361</v>
      </c>
      <c r="O80" t="str">
        <f>" "</f>
        <v xml:space="preserve"> </v>
      </c>
      <c r="P80" t="s">
        <v>0</v>
      </c>
      <c r="Q80" s="25">
        <v>43178</v>
      </c>
      <c r="R80" t="str">
        <f t="shared" si="43"/>
        <v>NER10</v>
      </c>
      <c r="S80" t="s">
        <v>153</v>
      </c>
      <c r="T80" t="s">
        <v>154</v>
      </c>
      <c r="U80" t="str">
        <f t="shared" si="44"/>
        <v>001981</v>
      </c>
      <c r="V80" t="str">
        <f t="shared" si="45"/>
        <v>30000</v>
      </c>
      <c r="W80" t="str">
        <f t="shared" si="46"/>
        <v>11363</v>
      </c>
      <c r="X80" t="str">
        <f>"75707"</f>
        <v>75707</v>
      </c>
      <c r="Y80" t="s">
        <v>375</v>
      </c>
      <c r="Z80" t="s">
        <v>155</v>
      </c>
      <c r="AA80" t="s">
        <v>280</v>
      </c>
      <c r="AB80" t="str">
        <f>"0000004270"</f>
        <v>0000004270</v>
      </c>
      <c r="AC80" t="s">
        <v>376</v>
      </c>
      <c r="AD80" t="s">
        <v>156</v>
      </c>
      <c r="AE80" t="str">
        <f t="shared" si="34"/>
        <v>NER10</v>
      </c>
      <c r="AF80" t="s">
        <v>282</v>
      </c>
      <c r="AG80" t="s">
        <v>373</v>
      </c>
      <c r="AH80" t="s">
        <v>0</v>
      </c>
      <c r="AI80" t="str">
        <f t="shared" si="47"/>
        <v xml:space="preserve"> </v>
      </c>
      <c r="AJ80" t="s">
        <v>284</v>
      </c>
      <c r="AK80" t="s">
        <v>0</v>
      </c>
      <c r="AM80" t="str">
        <f t="shared" si="38"/>
        <v>05</v>
      </c>
      <c r="AN80" t="str">
        <f t="shared" si="35"/>
        <v xml:space="preserve"> </v>
      </c>
      <c r="AO80" t="str">
        <f t="shared" si="37"/>
        <v xml:space="preserve"> </v>
      </c>
      <c r="AP80" t="str">
        <f t="shared" si="37"/>
        <v xml:space="preserve"> </v>
      </c>
      <c r="AQ80" t="str">
        <f t="shared" si="37"/>
        <v xml:space="preserve"> </v>
      </c>
      <c r="AR80" t="str">
        <f t="shared" si="37"/>
        <v xml:space="preserve"> </v>
      </c>
      <c r="AS80" t="str">
        <f>"0172253122"</f>
        <v>0172253122</v>
      </c>
      <c r="AT80" t="s">
        <v>371</v>
      </c>
      <c r="AU80" t="s">
        <v>0</v>
      </c>
      <c r="AV80" t="s">
        <v>0</v>
      </c>
    </row>
    <row r="81" spans="1:48">
      <c r="A81" t="str">
        <f t="shared" si="39"/>
        <v>00106074</v>
      </c>
      <c r="B81" t="str">
        <f t="shared" si="40"/>
        <v>00106986</v>
      </c>
      <c r="C81" s="25">
        <v>42997</v>
      </c>
      <c r="D81" t="s">
        <v>146</v>
      </c>
      <c r="E81" t="str">
        <f t="shared" si="41"/>
        <v>KOUASSI Nicole Flora</v>
      </c>
      <c r="F81" t="str">
        <f t="shared" si="42"/>
        <v>02252-UNDP (Direct Execution)</v>
      </c>
      <c r="G81" t="s">
        <v>213</v>
      </c>
      <c r="H81" t="s">
        <v>372</v>
      </c>
      <c r="I81" t="s">
        <v>377</v>
      </c>
      <c r="J81" s="26" t="s">
        <v>378</v>
      </c>
      <c r="K81" t="s">
        <v>150</v>
      </c>
      <c r="L81" t="s">
        <v>325</v>
      </c>
      <c r="M81" t="s">
        <v>152</v>
      </c>
      <c r="N81" t="str">
        <f>"00075362"</f>
        <v>00075362</v>
      </c>
      <c r="O81" t="str">
        <f>" "</f>
        <v xml:space="preserve"> </v>
      </c>
      <c r="P81" t="s">
        <v>0</v>
      </c>
      <c r="Q81" s="25">
        <v>43173</v>
      </c>
      <c r="R81" t="str">
        <f t="shared" si="43"/>
        <v>NER10</v>
      </c>
      <c r="S81" t="s">
        <v>153</v>
      </c>
      <c r="T81" t="s">
        <v>154</v>
      </c>
      <c r="U81" t="str">
        <f t="shared" si="44"/>
        <v>001981</v>
      </c>
      <c r="V81" t="str">
        <f t="shared" si="45"/>
        <v>30000</v>
      </c>
      <c r="W81" t="str">
        <f t="shared" si="46"/>
        <v>11363</v>
      </c>
      <c r="X81" t="str">
        <f>"75707"</f>
        <v>75707</v>
      </c>
      <c r="Y81" t="s">
        <v>379</v>
      </c>
      <c r="Z81" t="s">
        <v>155</v>
      </c>
      <c r="AA81" t="s">
        <v>280</v>
      </c>
      <c r="AB81" t="str">
        <f>"0000004270"</f>
        <v>0000004270</v>
      </c>
      <c r="AC81" t="s">
        <v>376</v>
      </c>
      <c r="AD81" t="s">
        <v>156</v>
      </c>
      <c r="AE81" t="str">
        <f t="shared" si="34"/>
        <v>NER10</v>
      </c>
      <c r="AF81" t="s">
        <v>282</v>
      </c>
      <c r="AG81" t="s">
        <v>380</v>
      </c>
      <c r="AH81" t="s">
        <v>0</v>
      </c>
      <c r="AI81" t="str">
        <f t="shared" si="47"/>
        <v xml:space="preserve"> </v>
      </c>
      <c r="AJ81" t="s">
        <v>284</v>
      </c>
      <c r="AK81" t="s">
        <v>0</v>
      </c>
      <c r="AM81" t="str">
        <f t="shared" si="38"/>
        <v>05</v>
      </c>
      <c r="AN81" t="str">
        <f t="shared" si="35"/>
        <v xml:space="preserve"> </v>
      </c>
      <c r="AO81" t="str">
        <f t="shared" si="37"/>
        <v xml:space="preserve"> </v>
      </c>
      <c r="AP81" t="str">
        <f t="shared" si="37"/>
        <v xml:space="preserve"> </v>
      </c>
      <c r="AQ81" t="str">
        <f t="shared" si="37"/>
        <v xml:space="preserve"> </v>
      </c>
      <c r="AR81" t="str">
        <f t="shared" si="37"/>
        <v xml:space="preserve"> </v>
      </c>
      <c r="AS81" t="str">
        <f>"0172253126"</f>
        <v>0172253126</v>
      </c>
      <c r="AT81" t="s">
        <v>371</v>
      </c>
      <c r="AU81" t="s">
        <v>0</v>
      </c>
      <c r="AV81" t="s">
        <v>0</v>
      </c>
    </row>
    <row r="82" spans="1:48">
      <c r="A82" t="str">
        <f t="shared" si="39"/>
        <v>00106074</v>
      </c>
      <c r="B82" t="str">
        <f t="shared" si="40"/>
        <v>00106986</v>
      </c>
      <c r="C82" s="25">
        <v>42997</v>
      </c>
      <c r="D82" t="s">
        <v>146</v>
      </c>
      <c r="E82" t="str">
        <f t="shared" si="41"/>
        <v>KOUASSI Nicole Flora</v>
      </c>
      <c r="F82" t="str">
        <f t="shared" si="42"/>
        <v>02252-UNDP (Direct Execution)</v>
      </c>
      <c r="G82" t="s">
        <v>147</v>
      </c>
      <c r="H82" t="s">
        <v>381</v>
      </c>
      <c r="I82" t="s">
        <v>382</v>
      </c>
      <c r="J82" s="26" t="s">
        <v>383</v>
      </c>
      <c r="K82" t="s">
        <v>168</v>
      </c>
      <c r="L82" t="s">
        <v>325</v>
      </c>
      <c r="M82" t="s">
        <v>152</v>
      </c>
      <c r="N82" t="str">
        <f t="shared" ref="N82:N87" si="48">"00075385"</f>
        <v>00075385</v>
      </c>
      <c r="O82" t="str">
        <f t="shared" ref="O82:O87" si="49">"0000009935"</f>
        <v>0000009935</v>
      </c>
      <c r="P82" t="s">
        <v>0</v>
      </c>
      <c r="Q82" t="s">
        <v>358</v>
      </c>
      <c r="R82" t="str">
        <f t="shared" si="43"/>
        <v>NER10</v>
      </c>
      <c r="S82" t="s">
        <v>153</v>
      </c>
      <c r="T82" t="s">
        <v>154</v>
      </c>
      <c r="U82" t="str">
        <f t="shared" si="44"/>
        <v>001981</v>
      </c>
      <c r="V82" t="str">
        <f t="shared" si="45"/>
        <v>30000</v>
      </c>
      <c r="W82" t="str">
        <f t="shared" si="46"/>
        <v>11363</v>
      </c>
      <c r="X82" t="str">
        <f>"72805"</f>
        <v>72805</v>
      </c>
      <c r="Y82" t="s">
        <v>384</v>
      </c>
      <c r="Z82" t="s">
        <v>385</v>
      </c>
      <c r="AA82" t="s">
        <v>386</v>
      </c>
      <c r="AB82" t="str">
        <f t="shared" ref="AB82:AB87" si="50">"0000006597"</f>
        <v>0000006597</v>
      </c>
      <c r="AC82" t="s">
        <v>387</v>
      </c>
      <c r="AD82" t="s">
        <v>388</v>
      </c>
      <c r="AE82" t="str">
        <f t="shared" si="34"/>
        <v>NER10</v>
      </c>
      <c r="AF82" t="s">
        <v>389</v>
      </c>
      <c r="AG82" t="s">
        <v>390</v>
      </c>
      <c r="AH82" t="s">
        <v>0</v>
      </c>
      <c r="AI82" t="str">
        <f t="shared" si="47"/>
        <v xml:space="preserve"> </v>
      </c>
      <c r="AJ82" t="s">
        <v>284</v>
      </c>
      <c r="AK82" t="s">
        <v>0</v>
      </c>
      <c r="AM82" t="str">
        <f t="shared" si="38"/>
        <v>05</v>
      </c>
      <c r="AN82" t="str">
        <f t="shared" si="35"/>
        <v xml:space="preserve"> </v>
      </c>
      <c r="AO82" t="str">
        <f t="shared" si="37"/>
        <v xml:space="preserve"> </v>
      </c>
      <c r="AP82" t="str">
        <f t="shared" si="37"/>
        <v xml:space="preserve"> </v>
      </c>
      <c r="AQ82" t="str">
        <f t="shared" si="37"/>
        <v xml:space="preserve"> </v>
      </c>
      <c r="AR82" t="str">
        <f t="shared" si="37"/>
        <v xml:space="preserve"> </v>
      </c>
      <c r="AS82" t="str">
        <f>"0172328342"</f>
        <v>0172328342</v>
      </c>
      <c r="AT82" t="s">
        <v>391</v>
      </c>
      <c r="AU82" t="str">
        <f t="shared" ref="AU82:AU87" si="51">"1960040695"</f>
        <v>1960040695</v>
      </c>
      <c r="AV82" s="25">
        <v>43286</v>
      </c>
    </row>
    <row r="83" spans="1:48">
      <c r="A83" t="str">
        <f t="shared" si="39"/>
        <v>00106074</v>
      </c>
      <c r="B83" t="str">
        <f t="shared" si="40"/>
        <v>00106986</v>
      </c>
      <c r="C83" s="25">
        <v>42997</v>
      </c>
      <c r="D83" t="s">
        <v>146</v>
      </c>
      <c r="E83" t="str">
        <f t="shared" si="41"/>
        <v>KOUASSI Nicole Flora</v>
      </c>
      <c r="F83" t="str">
        <f t="shared" si="42"/>
        <v>02252-UNDP (Direct Execution)</v>
      </c>
      <c r="G83" t="s">
        <v>147</v>
      </c>
      <c r="H83" t="s">
        <v>381</v>
      </c>
      <c r="I83" t="s">
        <v>382</v>
      </c>
      <c r="J83" s="26" t="s">
        <v>392</v>
      </c>
      <c r="K83" t="s">
        <v>168</v>
      </c>
      <c r="L83" t="s">
        <v>325</v>
      </c>
      <c r="M83" t="s">
        <v>152</v>
      </c>
      <c r="N83" t="str">
        <f t="shared" si="48"/>
        <v>00075385</v>
      </c>
      <c r="O83" t="str">
        <f t="shared" si="49"/>
        <v>0000009935</v>
      </c>
      <c r="P83" t="s">
        <v>0</v>
      </c>
      <c r="Q83" t="s">
        <v>358</v>
      </c>
      <c r="R83" t="str">
        <f t="shared" si="43"/>
        <v>NER10</v>
      </c>
      <c r="S83" t="s">
        <v>153</v>
      </c>
      <c r="T83" t="s">
        <v>154</v>
      </c>
      <c r="U83" t="str">
        <f t="shared" si="44"/>
        <v>001981</v>
      </c>
      <c r="V83" t="str">
        <f t="shared" si="45"/>
        <v>30000</v>
      </c>
      <c r="W83" t="str">
        <f t="shared" si="46"/>
        <v>11363</v>
      </c>
      <c r="X83" t="str">
        <f>"72805"</f>
        <v>72805</v>
      </c>
      <c r="Y83" t="s">
        <v>393</v>
      </c>
      <c r="Z83" t="s">
        <v>385</v>
      </c>
      <c r="AA83" t="s">
        <v>386</v>
      </c>
      <c r="AB83" t="str">
        <f t="shared" si="50"/>
        <v>0000006597</v>
      </c>
      <c r="AC83" t="s">
        <v>387</v>
      </c>
      <c r="AD83" t="s">
        <v>388</v>
      </c>
      <c r="AE83" t="str">
        <f t="shared" si="34"/>
        <v>NER10</v>
      </c>
      <c r="AF83" t="s">
        <v>394</v>
      </c>
      <c r="AG83" t="s">
        <v>390</v>
      </c>
      <c r="AH83" t="s">
        <v>0</v>
      </c>
      <c r="AI83" t="str">
        <f t="shared" si="47"/>
        <v xml:space="preserve"> </v>
      </c>
      <c r="AJ83" t="s">
        <v>284</v>
      </c>
      <c r="AK83" t="s">
        <v>0</v>
      </c>
      <c r="AM83" t="str">
        <f t="shared" si="38"/>
        <v>05</v>
      </c>
      <c r="AN83" t="str">
        <f t="shared" si="35"/>
        <v xml:space="preserve"> </v>
      </c>
      <c r="AO83" t="str">
        <f t="shared" si="37"/>
        <v xml:space="preserve"> </v>
      </c>
      <c r="AP83" t="str">
        <f t="shared" si="37"/>
        <v xml:space="preserve"> </v>
      </c>
      <c r="AQ83" t="str">
        <f t="shared" si="37"/>
        <v xml:space="preserve"> </v>
      </c>
      <c r="AR83" t="str">
        <f t="shared" si="37"/>
        <v xml:space="preserve"> </v>
      </c>
      <c r="AS83" t="str">
        <f>"0172328342"</f>
        <v>0172328342</v>
      </c>
      <c r="AT83" t="s">
        <v>391</v>
      </c>
      <c r="AU83" t="str">
        <f t="shared" si="51"/>
        <v>1960040695</v>
      </c>
      <c r="AV83" s="25">
        <v>43286</v>
      </c>
    </row>
    <row r="84" spans="1:48">
      <c r="A84" t="str">
        <f t="shared" si="39"/>
        <v>00106074</v>
      </c>
      <c r="B84" t="str">
        <f t="shared" si="40"/>
        <v>00106986</v>
      </c>
      <c r="C84" s="25">
        <v>42997</v>
      </c>
      <c r="D84" t="s">
        <v>146</v>
      </c>
      <c r="E84" t="str">
        <f t="shared" si="41"/>
        <v>KOUASSI Nicole Flora</v>
      </c>
      <c r="F84" t="str">
        <f t="shared" si="42"/>
        <v>02252-UNDP (Direct Execution)</v>
      </c>
      <c r="G84" t="s">
        <v>147</v>
      </c>
      <c r="H84" t="s">
        <v>381</v>
      </c>
      <c r="I84" t="s">
        <v>382</v>
      </c>
      <c r="J84" s="26" t="s">
        <v>395</v>
      </c>
      <c r="K84" t="s">
        <v>150</v>
      </c>
      <c r="L84" t="s">
        <v>396</v>
      </c>
      <c r="M84" t="s">
        <v>326</v>
      </c>
      <c r="N84" t="str">
        <f t="shared" si="48"/>
        <v>00075385</v>
      </c>
      <c r="O84" t="str">
        <f t="shared" si="49"/>
        <v>0000009935</v>
      </c>
      <c r="P84" t="s">
        <v>0</v>
      </c>
      <c r="Q84" s="25">
        <v>43286</v>
      </c>
      <c r="R84" t="str">
        <f t="shared" si="43"/>
        <v>NER10</v>
      </c>
      <c r="S84" t="s">
        <v>153</v>
      </c>
      <c r="T84" t="s">
        <v>154</v>
      </c>
      <c r="U84" t="str">
        <f t="shared" si="44"/>
        <v>001981</v>
      </c>
      <c r="V84" t="str">
        <f t="shared" si="45"/>
        <v>30000</v>
      </c>
      <c r="W84" t="str">
        <f t="shared" si="46"/>
        <v>11363</v>
      </c>
      <c r="X84" t="str">
        <f>"76135"</f>
        <v>76135</v>
      </c>
      <c r="Y84" t="s">
        <v>328</v>
      </c>
      <c r="Z84" t="s">
        <v>385</v>
      </c>
      <c r="AA84" t="s">
        <v>386</v>
      </c>
      <c r="AB84" t="str">
        <f t="shared" si="50"/>
        <v>0000006597</v>
      </c>
      <c r="AC84" t="s">
        <v>387</v>
      </c>
      <c r="AD84" t="s">
        <v>388</v>
      </c>
      <c r="AE84" t="str">
        <f t="shared" si="34"/>
        <v>NER10</v>
      </c>
      <c r="AF84" t="s">
        <v>394</v>
      </c>
      <c r="AG84" t="s">
        <v>390</v>
      </c>
      <c r="AH84" t="s">
        <v>0</v>
      </c>
      <c r="AI84" t="str">
        <f t="shared" si="47"/>
        <v xml:space="preserve"> </v>
      </c>
      <c r="AJ84" t="s">
        <v>284</v>
      </c>
      <c r="AK84" t="s">
        <v>0</v>
      </c>
      <c r="AM84" t="str">
        <f>"07"</f>
        <v>07</v>
      </c>
      <c r="AN84" t="str">
        <f t="shared" si="35"/>
        <v xml:space="preserve"> </v>
      </c>
      <c r="AO84" t="str">
        <f t="shared" ref="AO84:AR103" si="52">" "</f>
        <v xml:space="preserve"> </v>
      </c>
      <c r="AP84" t="str">
        <f t="shared" si="52"/>
        <v xml:space="preserve"> </v>
      </c>
      <c r="AQ84" t="str">
        <f t="shared" si="52"/>
        <v xml:space="preserve"> </v>
      </c>
      <c r="AR84" t="str">
        <f t="shared" si="52"/>
        <v xml:space="preserve"> </v>
      </c>
      <c r="AS84" t="str">
        <f>"0174183446"</f>
        <v>0174183446</v>
      </c>
      <c r="AT84" s="25">
        <v>43287</v>
      </c>
      <c r="AU84" t="str">
        <f t="shared" si="51"/>
        <v>1960040695</v>
      </c>
      <c r="AV84" s="25">
        <v>43286</v>
      </c>
    </row>
    <row r="85" spans="1:48">
      <c r="A85" t="str">
        <f t="shared" si="39"/>
        <v>00106074</v>
      </c>
      <c r="B85" t="str">
        <f t="shared" si="40"/>
        <v>00106986</v>
      </c>
      <c r="C85" s="25">
        <v>42997</v>
      </c>
      <c r="D85" t="s">
        <v>146</v>
      </c>
      <c r="E85" t="str">
        <f t="shared" si="41"/>
        <v>KOUASSI Nicole Flora</v>
      </c>
      <c r="F85" t="str">
        <f t="shared" si="42"/>
        <v>02252-UNDP (Direct Execution)</v>
      </c>
      <c r="G85" t="s">
        <v>147</v>
      </c>
      <c r="H85" t="s">
        <v>381</v>
      </c>
      <c r="I85" t="s">
        <v>382</v>
      </c>
      <c r="J85" s="26" t="s">
        <v>397</v>
      </c>
      <c r="K85" t="s">
        <v>150</v>
      </c>
      <c r="L85" t="s">
        <v>396</v>
      </c>
      <c r="M85" t="s">
        <v>326</v>
      </c>
      <c r="N85" t="str">
        <f t="shared" si="48"/>
        <v>00075385</v>
      </c>
      <c r="O85" t="str">
        <f t="shared" si="49"/>
        <v>0000009935</v>
      </c>
      <c r="P85" t="s">
        <v>0</v>
      </c>
      <c r="Q85" s="25">
        <v>43286</v>
      </c>
      <c r="R85" t="str">
        <f t="shared" si="43"/>
        <v>NER10</v>
      </c>
      <c r="S85" t="s">
        <v>153</v>
      </c>
      <c r="T85" t="s">
        <v>154</v>
      </c>
      <c r="U85" t="str">
        <f t="shared" si="44"/>
        <v>001981</v>
      </c>
      <c r="V85" t="str">
        <f t="shared" si="45"/>
        <v>30000</v>
      </c>
      <c r="W85" t="str">
        <f t="shared" si="46"/>
        <v>11363</v>
      </c>
      <c r="X85" t="str">
        <f>"76135"</f>
        <v>76135</v>
      </c>
      <c r="Y85" t="s">
        <v>328</v>
      </c>
      <c r="Z85" t="s">
        <v>385</v>
      </c>
      <c r="AA85" t="s">
        <v>386</v>
      </c>
      <c r="AB85" t="str">
        <f t="shared" si="50"/>
        <v>0000006597</v>
      </c>
      <c r="AC85" t="s">
        <v>387</v>
      </c>
      <c r="AD85" t="s">
        <v>388</v>
      </c>
      <c r="AE85" t="str">
        <f t="shared" si="34"/>
        <v>NER10</v>
      </c>
      <c r="AF85" t="s">
        <v>389</v>
      </c>
      <c r="AG85" t="s">
        <v>390</v>
      </c>
      <c r="AH85" t="s">
        <v>0</v>
      </c>
      <c r="AI85" t="str">
        <f t="shared" si="47"/>
        <v xml:space="preserve"> </v>
      </c>
      <c r="AJ85" t="s">
        <v>284</v>
      </c>
      <c r="AK85" t="s">
        <v>0</v>
      </c>
      <c r="AM85" t="str">
        <f>"07"</f>
        <v>07</v>
      </c>
      <c r="AN85" t="str">
        <f t="shared" si="35"/>
        <v xml:space="preserve"> </v>
      </c>
      <c r="AO85" t="str">
        <f t="shared" si="52"/>
        <v xml:space="preserve"> </v>
      </c>
      <c r="AP85" t="str">
        <f t="shared" si="52"/>
        <v xml:space="preserve"> </v>
      </c>
      <c r="AQ85" t="str">
        <f t="shared" si="52"/>
        <v xml:space="preserve"> </v>
      </c>
      <c r="AR85" t="str">
        <f t="shared" si="52"/>
        <v xml:space="preserve"> </v>
      </c>
      <c r="AS85" t="str">
        <f>"0174183446"</f>
        <v>0174183446</v>
      </c>
      <c r="AT85" s="25">
        <v>43287</v>
      </c>
      <c r="AU85" t="str">
        <f t="shared" si="51"/>
        <v>1960040695</v>
      </c>
      <c r="AV85" s="25">
        <v>43286</v>
      </c>
    </row>
    <row r="86" spans="1:48">
      <c r="A86" t="str">
        <f t="shared" si="39"/>
        <v>00106074</v>
      </c>
      <c r="B86" t="str">
        <f t="shared" si="40"/>
        <v>00106986</v>
      </c>
      <c r="C86" s="25">
        <v>42997</v>
      </c>
      <c r="D86" t="s">
        <v>146</v>
      </c>
      <c r="E86" t="str">
        <f t="shared" si="41"/>
        <v>KOUASSI Nicole Flora</v>
      </c>
      <c r="F86" t="str">
        <f t="shared" si="42"/>
        <v>02252-UNDP (Direct Execution)</v>
      </c>
      <c r="G86" t="s">
        <v>147</v>
      </c>
      <c r="H86" t="s">
        <v>381</v>
      </c>
      <c r="I86" t="s">
        <v>382</v>
      </c>
      <c r="J86" s="26" t="s">
        <v>398</v>
      </c>
      <c r="K86" t="s">
        <v>150</v>
      </c>
      <c r="L86" t="s">
        <v>325</v>
      </c>
      <c r="M86" t="s">
        <v>152</v>
      </c>
      <c r="N86" t="str">
        <f t="shared" si="48"/>
        <v>00075385</v>
      </c>
      <c r="O86" t="str">
        <f t="shared" si="49"/>
        <v>0000009935</v>
      </c>
      <c r="P86" t="s">
        <v>0</v>
      </c>
      <c r="Q86" t="s">
        <v>358</v>
      </c>
      <c r="R86" t="str">
        <f t="shared" si="43"/>
        <v>NER10</v>
      </c>
      <c r="S86" t="s">
        <v>153</v>
      </c>
      <c r="T86" t="s">
        <v>154</v>
      </c>
      <c r="U86" t="str">
        <f t="shared" si="44"/>
        <v>001981</v>
      </c>
      <c r="V86" t="str">
        <f t="shared" si="45"/>
        <v>30000</v>
      </c>
      <c r="W86" t="str">
        <f t="shared" si="46"/>
        <v>11363</v>
      </c>
      <c r="X86" t="str">
        <f>"72805"</f>
        <v>72805</v>
      </c>
      <c r="Y86" t="s">
        <v>399</v>
      </c>
      <c r="Z86" t="s">
        <v>385</v>
      </c>
      <c r="AA86" t="s">
        <v>386</v>
      </c>
      <c r="AB86" t="str">
        <f t="shared" si="50"/>
        <v>0000006597</v>
      </c>
      <c r="AC86" t="s">
        <v>387</v>
      </c>
      <c r="AD86" t="s">
        <v>388</v>
      </c>
      <c r="AE86" t="str">
        <f t="shared" si="34"/>
        <v>NER10</v>
      </c>
      <c r="AF86" t="s">
        <v>389</v>
      </c>
      <c r="AG86" t="s">
        <v>390</v>
      </c>
      <c r="AH86" t="s">
        <v>0</v>
      </c>
      <c r="AI86" t="str">
        <f t="shared" si="47"/>
        <v xml:space="preserve"> </v>
      </c>
      <c r="AJ86" t="s">
        <v>284</v>
      </c>
      <c r="AK86" t="s">
        <v>0</v>
      </c>
      <c r="AM86" t="str">
        <f>"05"</f>
        <v>05</v>
      </c>
      <c r="AN86" t="str">
        <f t="shared" si="35"/>
        <v xml:space="preserve"> </v>
      </c>
      <c r="AO86" t="str">
        <f t="shared" si="52"/>
        <v xml:space="preserve"> </v>
      </c>
      <c r="AP86" t="str">
        <f t="shared" si="52"/>
        <v xml:space="preserve"> </v>
      </c>
      <c r="AQ86" t="str">
        <f t="shared" si="52"/>
        <v xml:space="preserve"> </v>
      </c>
      <c r="AR86" t="str">
        <f t="shared" si="52"/>
        <v xml:space="preserve"> </v>
      </c>
      <c r="AS86" t="str">
        <f>"0172328342"</f>
        <v>0172328342</v>
      </c>
      <c r="AT86" t="s">
        <v>391</v>
      </c>
      <c r="AU86" t="str">
        <f t="shared" si="51"/>
        <v>1960040695</v>
      </c>
      <c r="AV86" s="25">
        <v>43286</v>
      </c>
    </row>
    <row r="87" spans="1:48">
      <c r="A87" t="str">
        <f t="shared" si="39"/>
        <v>00106074</v>
      </c>
      <c r="B87" t="str">
        <f t="shared" si="40"/>
        <v>00106986</v>
      </c>
      <c r="C87" s="25">
        <v>42997</v>
      </c>
      <c r="D87" t="s">
        <v>146</v>
      </c>
      <c r="E87" t="str">
        <f t="shared" si="41"/>
        <v>KOUASSI Nicole Flora</v>
      </c>
      <c r="F87" t="str">
        <f t="shared" si="42"/>
        <v>02252-UNDP (Direct Execution)</v>
      </c>
      <c r="G87" t="s">
        <v>147</v>
      </c>
      <c r="H87" t="s">
        <v>381</v>
      </c>
      <c r="I87" t="s">
        <v>382</v>
      </c>
      <c r="J87" s="26" t="s">
        <v>400</v>
      </c>
      <c r="K87" t="s">
        <v>150</v>
      </c>
      <c r="L87" t="s">
        <v>325</v>
      </c>
      <c r="M87" t="s">
        <v>152</v>
      </c>
      <c r="N87" t="str">
        <f t="shared" si="48"/>
        <v>00075385</v>
      </c>
      <c r="O87" t="str">
        <f t="shared" si="49"/>
        <v>0000009935</v>
      </c>
      <c r="P87" t="s">
        <v>0</v>
      </c>
      <c r="Q87" t="s">
        <v>358</v>
      </c>
      <c r="R87" t="str">
        <f t="shared" si="43"/>
        <v>NER10</v>
      </c>
      <c r="S87" t="s">
        <v>153</v>
      </c>
      <c r="T87" t="s">
        <v>154</v>
      </c>
      <c r="U87" t="str">
        <f t="shared" si="44"/>
        <v>001981</v>
      </c>
      <c r="V87" t="str">
        <f t="shared" si="45"/>
        <v>30000</v>
      </c>
      <c r="W87" t="str">
        <f t="shared" si="46"/>
        <v>11363</v>
      </c>
      <c r="X87" t="str">
        <f>"72805"</f>
        <v>72805</v>
      </c>
      <c r="Y87" t="s">
        <v>401</v>
      </c>
      <c r="Z87" t="s">
        <v>385</v>
      </c>
      <c r="AA87" t="s">
        <v>386</v>
      </c>
      <c r="AB87" t="str">
        <f t="shared" si="50"/>
        <v>0000006597</v>
      </c>
      <c r="AC87" t="s">
        <v>387</v>
      </c>
      <c r="AD87" t="s">
        <v>388</v>
      </c>
      <c r="AE87" t="str">
        <f t="shared" si="34"/>
        <v>NER10</v>
      </c>
      <c r="AF87" t="s">
        <v>394</v>
      </c>
      <c r="AG87" t="s">
        <v>390</v>
      </c>
      <c r="AH87" t="s">
        <v>0</v>
      </c>
      <c r="AI87" t="str">
        <f t="shared" si="47"/>
        <v xml:space="preserve"> </v>
      </c>
      <c r="AJ87" t="s">
        <v>284</v>
      </c>
      <c r="AK87" t="s">
        <v>0</v>
      </c>
      <c r="AM87" t="str">
        <f>"05"</f>
        <v>05</v>
      </c>
      <c r="AN87" t="str">
        <f t="shared" si="35"/>
        <v xml:space="preserve"> </v>
      </c>
      <c r="AO87" t="str">
        <f t="shared" si="52"/>
        <v xml:space="preserve"> </v>
      </c>
      <c r="AP87" t="str">
        <f t="shared" si="52"/>
        <v xml:space="preserve"> </v>
      </c>
      <c r="AQ87" t="str">
        <f t="shared" si="52"/>
        <v xml:space="preserve"> </v>
      </c>
      <c r="AR87" t="str">
        <f t="shared" si="52"/>
        <v xml:space="preserve"> </v>
      </c>
      <c r="AS87" t="str">
        <f>"0172328342"</f>
        <v>0172328342</v>
      </c>
      <c r="AT87" t="s">
        <v>391</v>
      </c>
      <c r="AU87" t="str">
        <f t="shared" si="51"/>
        <v>1960040695</v>
      </c>
      <c r="AV87" s="25">
        <v>43286</v>
      </c>
    </row>
    <row r="88" spans="1:48">
      <c r="A88" t="str">
        <f t="shared" si="39"/>
        <v>00106074</v>
      </c>
      <c r="B88" t="str">
        <f t="shared" si="40"/>
        <v>00106986</v>
      </c>
      <c r="C88" s="25">
        <v>42997</v>
      </c>
      <c r="D88" t="s">
        <v>146</v>
      </c>
      <c r="E88" t="str">
        <f t="shared" si="41"/>
        <v>KOUASSI Nicole Flora</v>
      </c>
      <c r="F88" t="str">
        <f t="shared" si="42"/>
        <v>02252-UNDP (Direct Execution)</v>
      </c>
      <c r="G88" t="s">
        <v>147</v>
      </c>
      <c r="H88" t="s">
        <v>275</v>
      </c>
      <c r="I88" t="s">
        <v>0</v>
      </c>
      <c r="J88" s="26" t="s">
        <v>402</v>
      </c>
      <c r="K88" t="s">
        <v>150</v>
      </c>
      <c r="L88" t="s">
        <v>403</v>
      </c>
      <c r="M88" t="s">
        <v>152</v>
      </c>
      <c r="N88" t="str">
        <f>"00075544"</f>
        <v>00075544</v>
      </c>
      <c r="O88" t="str">
        <f t="shared" ref="O88:O100" si="53">" "</f>
        <v xml:space="preserve"> </v>
      </c>
      <c r="P88" t="s">
        <v>0</v>
      </c>
      <c r="Q88" s="25">
        <v>43271</v>
      </c>
      <c r="R88" t="str">
        <f t="shared" si="43"/>
        <v>NER10</v>
      </c>
      <c r="S88" t="s">
        <v>153</v>
      </c>
      <c r="T88" t="s">
        <v>154</v>
      </c>
      <c r="U88" t="str">
        <f t="shared" si="44"/>
        <v>001981</v>
      </c>
      <c r="V88" t="str">
        <f t="shared" si="45"/>
        <v>30000</v>
      </c>
      <c r="W88" t="str">
        <f t="shared" si="46"/>
        <v>11363</v>
      </c>
      <c r="X88" t="str">
        <f>"71620"</f>
        <v>71620</v>
      </c>
      <c r="Y88" t="s">
        <v>404</v>
      </c>
      <c r="Z88" t="s">
        <v>155</v>
      </c>
      <c r="AA88" t="s">
        <v>405</v>
      </c>
      <c r="AB88" t="str">
        <f>"0000000238"</f>
        <v>0000000238</v>
      </c>
      <c r="AC88" t="s">
        <v>281</v>
      </c>
      <c r="AD88" t="s">
        <v>156</v>
      </c>
      <c r="AE88" t="str">
        <f t="shared" si="34"/>
        <v>NER10</v>
      </c>
      <c r="AF88" t="s">
        <v>282</v>
      </c>
      <c r="AG88" t="s">
        <v>406</v>
      </c>
      <c r="AH88" t="s">
        <v>0</v>
      </c>
      <c r="AI88" t="str">
        <f t="shared" si="47"/>
        <v xml:space="preserve"> </v>
      </c>
      <c r="AJ88" t="s">
        <v>284</v>
      </c>
      <c r="AK88" t="s">
        <v>0</v>
      </c>
      <c r="AM88" t="str">
        <f t="shared" ref="AM88:AM95" si="54">"06"</f>
        <v>06</v>
      </c>
      <c r="AN88" t="str">
        <f t="shared" si="35"/>
        <v xml:space="preserve"> </v>
      </c>
      <c r="AO88" t="str">
        <f t="shared" si="52"/>
        <v xml:space="preserve"> </v>
      </c>
      <c r="AP88" t="str">
        <f t="shared" si="52"/>
        <v xml:space="preserve"> </v>
      </c>
      <c r="AQ88" t="str">
        <f t="shared" si="52"/>
        <v xml:space="preserve"> </v>
      </c>
      <c r="AR88" t="str">
        <f t="shared" si="52"/>
        <v xml:space="preserve"> </v>
      </c>
      <c r="AS88" t="str">
        <f>"0173379343"</f>
        <v>0173379343</v>
      </c>
      <c r="AT88" s="25">
        <v>43271</v>
      </c>
      <c r="AU88" t="s">
        <v>0</v>
      </c>
      <c r="AV88" t="s">
        <v>0</v>
      </c>
    </row>
    <row r="89" spans="1:48">
      <c r="A89" t="str">
        <f t="shared" si="39"/>
        <v>00106074</v>
      </c>
      <c r="B89" t="str">
        <f t="shared" si="40"/>
        <v>00106986</v>
      </c>
      <c r="C89" s="25">
        <v>42997</v>
      </c>
      <c r="D89" t="s">
        <v>146</v>
      </c>
      <c r="E89" t="str">
        <f t="shared" si="41"/>
        <v>KOUASSI Nicole Flora</v>
      </c>
      <c r="F89" t="str">
        <f t="shared" si="42"/>
        <v>02252-UNDP (Direct Execution)</v>
      </c>
      <c r="G89" t="s">
        <v>147</v>
      </c>
      <c r="H89" t="s">
        <v>275</v>
      </c>
      <c r="I89" t="s">
        <v>0</v>
      </c>
      <c r="J89" s="26" t="s">
        <v>407</v>
      </c>
      <c r="K89" t="s">
        <v>150</v>
      </c>
      <c r="L89" t="s">
        <v>403</v>
      </c>
      <c r="M89" t="s">
        <v>152</v>
      </c>
      <c r="N89" t="str">
        <f>"00075544"</f>
        <v>00075544</v>
      </c>
      <c r="O89" t="str">
        <f t="shared" si="53"/>
        <v xml:space="preserve"> </v>
      </c>
      <c r="P89" t="s">
        <v>0</v>
      </c>
      <c r="Q89" s="25">
        <v>43271</v>
      </c>
      <c r="R89" t="str">
        <f t="shared" si="43"/>
        <v>NER10</v>
      </c>
      <c r="S89" t="s">
        <v>153</v>
      </c>
      <c r="T89" t="s">
        <v>154</v>
      </c>
      <c r="U89" t="str">
        <f t="shared" si="44"/>
        <v>001981</v>
      </c>
      <c r="V89" t="str">
        <f t="shared" si="45"/>
        <v>30000</v>
      </c>
      <c r="W89" t="str">
        <f t="shared" si="46"/>
        <v>11363</v>
      </c>
      <c r="X89" t="str">
        <f>"72311"</f>
        <v>72311</v>
      </c>
      <c r="Y89" t="s">
        <v>408</v>
      </c>
      <c r="Z89" t="s">
        <v>155</v>
      </c>
      <c r="AA89" t="s">
        <v>405</v>
      </c>
      <c r="AB89" t="str">
        <f>"0000000238"</f>
        <v>0000000238</v>
      </c>
      <c r="AC89" t="s">
        <v>281</v>
      </c>
      <c r="AD89" t="s">
        <v>156</v>
      </c>
      <c r="AE89" t="str">
        <f t="shared" si="34"/>
        <v>NER10</v>
      </c>
      <c r="AF89" t="s">
        <v>282</v>
      </c>
      <c r="AG89" t="s">
        <v>406</v>
      </c>
      <c r="AH89" t="s">
        <v>0</v>
      </c>
      <c r="AI89" t="str">
        <f t="shared" si="47"/>
        <v xml:space="preserve"> </v>
      </c>
      <c r="AJ89" t="s">
        <v>284</v>
      </c>
      <c r="AK89" t="s">
        <v>0</v>
      </c>
      <c r="AM89" t="str">
        <f t="shared" si="54"/>
        <v>06</v>
      </c>
      <c r="AN89" t="str">
        <f t="shared" ref="AN89:AN120" si="55">" "</f>
        <v xml:space="preserve"> </v>
      </c>
      <c r="AO89" t="str">
        <f t="shared" si="52"/>
        <v xml:space="preserve"> </v>
      </c>
      <c r="AP89" t="str">
        <f t="shared" si="52"/>
        <v xml:space="preserve"> </v>
      </c>
      <c r="AQ89" t="str">
        <f t="shared" si="52"/>
        <v xml:space="preserve"> </v>
      </c>
      <c r="AR89" t="str">
        <f t="shared" si="52"/>
        <v xml:space="preserve"> </v>
      </c>
      <c r="AS89" t="str">
        <f>"0173379343"</f>
        <v>0173379343</v>
      </c>
      <c r="AT89" s="25">
        <v>43271</v>
      </c>
      <c r="AU89" t="s">
        <v>0</v>
      </c>
      <c r="AV89" t="s">
        <v>0</v>
      </c>
    </row>
    <row r="90" spans="1:48">
      <c r="A90" t="str">
        <f t="shared" si="39"/>
        <v>00106074</v>
      </c>
      <c r="B90" t="str">
        <f t="shared" si="40"/>
        <v>00106986</v>
      </c>
      <c r="C90" s="25">
        <v>42997</v>
      </c>
      <c r="D90" t="s">
        <v>146</v>
      </c>
      <c r="E90" t="str">
        <f t="shared" si="41"/>
        <v>KOUASSI Nicole Flora</v>
      </c>
      <c r="F90" t="str">
        <f t="shared" si="42"/>
        <v>02252-UNDP (Direct Execution)</v>
      </c>
      <c r="G90" t="s">
        <v>147</v>
      </c>
      <c r="H90" t="s">
        <v>275</v>
      </c>
      <c r="I90" t="s">
        <v>409</v>
      </c>
      <c r="J90" s="26" t="s">
        <v>410</v>
      </c>
      <c r="K90" t="s">
        <v>150</v>
      </c>
      <c r="L90" t="s">
        <v>403</v>
      </c>
      <c r="M90" t="s">
        <v>152</v>
      </c>
      <c r="N90" t="str">
        <f>"00075545"</f>
        <v>00075545</v>
      </c>
      <c r="O90" t="str">
        <f t="shared" si="53"/>
        <v xml:space="preserve"> </v>
      </c>
      <c r="P90" t="s">
        <v>0</v>
      </c>
      <c r="Q90" s="25">
        <v>43271</v>
      </c>
      <c r="R90" t="str">
        <f t="shared" si="43"/>
        <v>NER10</v>
      </c>
      <c r="S90" t="s">
        <v>153</v>
      </c>
      <c r="T90" t="s">
        <v>154</v>
      </c>
      <c r="U90" t="str">
        <f t="shared" si="44"/>
        <v>001981</v>
      </c>
      <c r="V90" t="str">
        <f t="shared" si="45"/>
        <v>30000</v>
      </c>
      <c r="W90" t="str">
        <f t="shared" si="46"/>
        <v>11363</v>
      </c>
      <c r="X90" t="str">
        <f>"71620"</f>
        <v>71620</v>
      </c>
      <c r="Y90" t="s">
        <v>411</v>
      </c>
      <c r="Z90" t="s">
        <v>155</v>
      </c>
      <c r="AA90" t="s">
        <v>405</v>
      </c>
      <c r="AB90" t="str">
        <f>"0000000238"</f>
        <v>0000000238</v>
      </c>
      <c r="AC90" t="s">
        <v>281</v>
      </c>
      <c r="AD90" t="s">
        <v>156</v>
      </c>
      <c r="AE90" t="str">
        <f t="shared" si="34"/>
        <v>NER10</v>
      </c>
      <c r="AF90" t="s">
        <v>282</v>
      </c>
      <c r="AG90" t="s">
        <v>412</v>
      </c>
      <c r="AH90" t="s">
        <v>0</v>
      </c>
      <c r="AI90" t="str">
        <f t="shared" si="47"/>
        <v xml:space="preserve"> </v>
      </c>
      <c r="AJ90" t="s">
        <v>284</v>
      </c>
      <c r="AK90" t="s">
        <v>0</v>
      </c>
      <c r="AM90" t="str">
        <f t="shared" si="54"/>
        <v>06</v>
      </c>
      <c r="AN90" t="str">
        <f t="shared" si="55"/>
        <v xml:space="preserve"> </v>
      </c>
      <c r="AO90" t="str">
        <f t="shared" si="52"/>
        <v xml:space="preserve"> </v>
      </c>
      <c r="AP90" t="str">
        <f t="shared" si="52"/>
        <v xml:space="preserve"> </v>
      </c>
      <c r="AQ90" t="str">
        <f t="shared" si="52"/>
        <v xml:space="preserve"> </v>
      </c>
      <c r="AR90" t="str">
        <f t="shared" si="52"/>
        <v xml:space="preserve"> </v>
      </c>
      <c r="AS90" t="str">
        <f>"0173379341"</f>
        <v>0173379341</v>
      </c>
      <c r="AT90" s="25">
        <v>43271</v>
      </c>
      <c r="AU90" t="str">
        <f>"0000083292"</f>
        <v>0000083292</v>
      </c>
      <c r="AV90" s="25">
        <v>43271</v>
      </c>
    </row>
    <row r="91" spans="1:48">
      <c r="A91" t="str">
        <f t="shared" si="39"/>
        <v>00106074</v>
      </c>
      <c r="B91" t="str">
        <f t="shared" si="40"/>
        <v>00106986</v>
      </c>
      <c r="C91" s="25">
        <v>42997</v>
      </c>
      <c r="D91" t="s">
        <v>146</v>
      </c>
      <c r="E91" t="str">
        <f t="shared" si="41"/>
        <v>KOUASSI Nicole Flora</v>
      </c>
      <c r="F91" t="str">
        <f t="shared" si="42"/>
        <v>02252-UNDP (Direct Execution)</v>
      </c>
      <c r="G91" t="s">
        <v>147</v>
      </c>
      <c r="H91" t="s">
        <v>315</v>
      </c>
      <c r="I91" t="s">
        <v>413</v>
      </c>
      <c r="J91" s="26" t="s">
        <v>410</v>
      </c>
      <c r="K91" t="s">
        <v>150</v>
      </c>
      <c r="L91" t="s">
        <v>403</v>
      </c>
      <c r="M91" t="s">
        <v>152</v>
      </c>
      <c r="N91" t="str">
        <f>"00075546"</f>
        <v>00075546</v>
      </c>
      <c r="O91" t="str">
        <f t="shared" si="53"/>
        <v xml:space="preserve"> </v>
      </c>
      <c r="P91" t="s">
        <v>0</v>
      </c>
      <c r="Q91" s="25">
        <v>43271</v>
      </c>
      <c r="R91" t="str">
        <f t="shared" si="43"/>
        <v>NER10</v>
      </c>
      <c r="S91" t="s">
        <v>153</v>
      </c>
      <c r="T91" t="s">
        <v>154</v>
      </c>
      <c r="U91" t="str">
        <f t="shared" si="44"/>
        <v>001981</v>
      </c>
      <c r="V91" t="str">
        <f t="shared" si="45"/>
        <v>30000</v>
      </c>
      <c r="W91" t="str">
        <f t="shared" si="46"/>
        <v>11363</v>
      </c>
      <c r="X91" t="str">
        <f>"71620"</f>
        <v>71620</v>
      </c>
      <c r="Y91" t="s">
        <v>411</v>
      </c>
      <c r="Z91" t="s">
        <v>155</v>
      </c>
      <c r="AA91" t="s">
        <v>405</v>
      </c>
      <c r="AB91" t="str">
        <f>"0000007294"</f>
        <v>0000007294</v>
      </c>
      <c r="AC91" t="s">
        <v>316</v>
      </c>
      <c r="AD91" t="s">
        <v>156</v>
      </c>
      <c r="AE91" t="str">
        <f t="shared" si="34"/>
        <v>NER10</v>
      </c>
      <c r="AF91" t="s">
        <v>282</v>
      </c>
      <c r="AG91" t="s">
        <v>412</v>
      </c>
      <c r="AH91" t="s">
        <v>0</v>
      </c>
      <c r="AI91" t="str">
        <f t="shared" si="47"/>
        <v xml:space="preserve"> </v>
      </c>
      <c r="AJ91" t="s">
        <v>284</v>
      </c>
      <c r="AK91" t="s">
        <v>0</v>
      </c>
      <c r="AM91" t="str">
        <f t="shared" si="54"/>
        <v>06</v>
      </c>
      <c r="AN91" t="str">
        <f t="shared" si="55"/>
        <v xml:space="preserve"> </v>
      </c>
      <c r="AO91" t="str">
        <f t="shared" si="52"/>
        <v xml:space="preserve"> </v>
      </c>
      <c r="AP91" t="str">
        <f t="shared" si="52"/>
        <v xml:space="preserve"> </v>
      </c>
      <c r="AQ91" t="str">
        <f t="shared" si="52"/>
        <v xml:space="preserve"> </v>
      </c>
      <c r="AR91" t="str">
        <f t="shared" si="52"/>
        <v xml:space="preserve"> </v>
      </c>
      <c r="AS91" t="str">
        <f>"0173379324"</f>
        <v>0173379324</v>
      </c>
      <c r="AT91" s="25">
        <v>43271</v>
      </c>
      <c r="AU91" t="str">
        <f>"0000083293"</f>
        <v>0000083293</v>
      </c>
      <c r="AV91" s="25">
        <v>43271</v>
      </c>
    </row>
    <row r="92" spans="1:48">
      <c r="A92" t="str">
        <f t="shared" si="39"/>
        <v>00106074</v>
      </c>
      <c r="B92" t="str">
        <f t="shared" si="40"/>
        <v>00106986</v>
      </c>
      <c r="C92" s="25">
        <v>42997</v>
      </c>
      <c r="D92" t="s">
        <v>146</v>
      </c>
      <c r="E92" t="str">
        <f t="shared" si="41"/>
        <v>KOUASSI Nicole Flora</v>
      </c>
      <c r="F92" t="str">
        <f t="shared" si="42"/>
        <v>02252-UNDP (Direct Execution)</v>
      </c>
      <c r="G92" t="s">
        <v>147</v>
      </c>
      <c r="H92" t="s">
        <v>226</v>
      </c>
      <c r="I92" t="s">
        <v>414</v>
      </c>
      <c r="J92" s="26" t="s">
        <v>415</v>
      </c>
      <c r="K92" t="s">
        <v>150</v>
      </c>
      <c r="L92" t="s">
        <v>403</v>
      </c>
      <c r="M92" t="s">
        <v>152</v>
      </c>
      <c r="N92" t="str">
        <f>"00075588"</f>
        <v>00075588</v>
      </c>
      <c r="O92" t="str">
        <f t="shared" si="53"/>
        <v xml:space="preserve"> </v>
      </c>
      <c r="P92" t="s">
        <v>0</v>
      </c>
      <c r="Q92" t="s">
        <v>416</v>
      </c>
      <c r="R92" t="str">
        <f t="shared" si="43"/>
        <v>NER10</v>
      </c>
      <c r="S92" t="s">
        <v>153</v>
      </c>
      <c r="T92" t="s">
        <v>154</v>
      </c>
      <c r="U92" t="str">
        <f t="shared" si="44"/>
        <v>001981</v>
      </c>
      <c r="V92" t="str">
        <f t="shared" si="45"/>
        <v>30000</v>
      </c>
      <c r="W92" t="str">
        <f t="shared" si="46"/>
        <v>11363</v>
      </c>
      <c r="X92" t="str">
        <f>"71635"</f>
        <v>71635</v>
      </c>
      <c r="Y92" t="s">
        <v>417</v>
      </c>
      <c r="Z92" t="s">
        <v>155</v>
      </c>
      <c r="AA92" t="s">
        <v>301</v>
      </c>
      <c r="AB92" t="str">
        <f>"0000002521"</f>
        <v>0000002521</v>
      </c>
      <c r="AC92" t="s">
        <v>227</v>
      </c>
      <c r="AD92" t="s">
        <v>156</v>
      </c>
      <c r="AE92" t="str">
        <f t="shared" si="34"/>
        <v>NER10</v>
      </c>
      <c r="AF92" t="s">
        <v>282</v>
      </c>
      <c r="AG92" t="s">
        <v>418</v>
      </c>
      <c r="AH92" t="s">
        <v>0</v>
      </c>
      <c r="AI92" t="str">
        <f t="shared" si="47"/>
        <v xml:space="preserve"> </v>
      </c>
      <c r="AJ92" t="s">
        <v>284</v>
      </c>
      <c r="AK92" t="s">
        <v>0</v>
      </c>
      <c r="AM92" t="str">
        <f t="shared" si="54"/>
        <v>06</v>
      </c>
      <c r="AN92" t="str">
        <f t="shared" si="55"/>
        <v xml:space="preserve"> </v>
      </c>
      <c r="AO92" t="str">
        <f t="shared" si="52"/>
        <v xml:space="preserve"> </v>
      </c>
      <c r="AP92" t="str">
        <f t="shared" si="52"/>
        <v xml:space="preserve"> </v>
      </c>
      <c r="AQ92" t="str">
        <f t="shared" si="52"/>
        <v xml:space="preserve"> </v>
      </c>
      <c r="AR92" t="str">
        <f t="shared" si="52"/>
        <v xml:space="preserve"> </v>
      </c>
      <c r="AS92" t="str">
        <f>"0173613195"</f>
        <v>0173613195</v>
      </c>
      <c r="AT92" s="25">
        <v>43276</v>
      </c>
      <c r="AU92" t="s">
        <v>0</v>
      </c>
      <c r="AV92" t="s">
        <v>0</v>
      </c>
    </row>
    <row r="93" spans="1:48">
      <c r="A93" t="str">
        <f t="shared" si="39"/>
        <v>00106074</v>
      </c>
      <c r="B93" t="str">
        <f t="shared" si="40"/>
        <v>00106986</v>
      </c>
      <c r="C93" s="25">
        <v>42997</v>
      </c>
      <c r="D93" t="s">
        <v>146</v>
      </c>
      <c r="E93" t="str">
        <f t="shared" si="41"/>
        <v>KOUASSI Nicole Flora</v>
      </c>
      <c r="F93" t="str">
        <f t="shared" si="42"/>
        <v>02252-UNDP (Direct Execution)</v>
      </c>
      <c r="G93" t="s">
        <v>147</v>
      </c>
      <c r="H93" t="s">
        <v>226</v>
      </c>
      <c r="I93" t="s">
        <v>414</v>
      </c>
      <c r="J93" s="26" t="s">
        <v>308</v>
      </c>
      <c r="K93" t="s">
        <v>150</v>
      </c>
      <c r="L93" t="s">
        <v>403</v>
      </c>
      <c r="M93" t="s">
        <v>152</v>
      </c>
      <c r="N93" t="str">
        <f>"00075588"</f>
        <v>00075588</v>
      </c>
      <c r="O93" t="str">
        <f t="shared" si="53"/>
        <v xml:space="preserve"> </v>
      </c>
      <c r="P93" t="s">
        <v>0</v>
      </c>
      <c r="Q93" t="s">
        <v>416</v>
      </c>
      <c r="R93" t="str">
        <f t="shared" si="43"/>
        <v>NER10</v>
      </c>
      <c r="S93" t="s">
        <v>153</v>
      </c>
      <c r="T93" t="s">
        <v>154</v>
      </c>
      <c r="U93" t="str">
        <f t="shared" si="44"/>
        <v>001981</v>
      </c>
      <c r="V93" t="str">
        <f t="shared" si="45"/>
        <v>30000</v>
      </c>
      <c r="W93" t="str">
        <f t="shared" si="46"/>
        <v>11363</v>
      </c>
      <c r="X93" t="str">
        <f>"71625"</f>
        <v>71625</v>
      </c>
      <c r="Y93" t="s">
        <v>310</v>
      </c>
      <c r="Z93" t="s">
        <v>155</v>
      </c>
      <c r="AA93" t="s">
        <v>301</v>
      </c>
      <c r="AB93" t="str">
        <f>"0000002521"</f>
        <v>0000002521</v>
      </c>
      <c r="AC93" t="s">
        <v>227</v>
      </c>
      <c r="AD93" t="s">
        <v>156</v>
      </c>
      <c r="AE93" t="str">
        <f t="shared" si="34"/>
        <v>NER10</v>
      </c>
      <c r="AF93" t="s">
        <v>282</v>
      </c>
      <c r="AG93" t="s">
        <v>418</v>
      </c>
      <c r="AH93" t="s">
        <v>0</v>
      </c>
      <c r="AI93" t="str">
        <f t="shared" si="47"/>
        <v xml:space="preserve"> </v>
      </c>
      <c r="AJ93" t="s">
        <v>284</v>
      </c>
      <c r="AK93" t="s">
        <v>0</v>
      </c>
      <c r="AM93" t="str">
        <f t="shared" si="54"/>
        <v>06</v>
      </c>
      <c r="AN93" t="str">
        <f t="shared" si="55"/>
        <v xml:space="preserve"> </v>
      </c>
      <c r="AO93" t="str">
        <f t="shared" si="52"/>
        <v xml:space="preserve"> </v>
      </c>
      <c r="AP93" t="str">
        <f t="shared" si="52"/>
        <v xml:space="preserve"> </v>
      </c>
      <c r="AQ93" t="str">
        <f t="shared" si="52"/>
        <v xml:space="preserve"> </v>
      </c>
      <c r="AR93" t="str">
        <f t="shared" si="52"/>
        <v xml:space="preserve"> </v>
      </c>
      <c r="AS93" t="str">
        <f>"0173613195"</f>
        <v>0173613195</v>
      </c>
      <c r="AT93" s="25">
        <v>43276</v>
      </c>
      <c r="AU93" t="s">
        <v>0</v>
      </c>
      <c r="AV93" t="s">
        <v>0</v>
      </c>
    </row>
    <row r="94" spans="1:48">
      <c r="A94" t="str">
        <f t="shared" si="39"/>
        <v>00106074</v>
      </c>
      <c r="B94" t="str">
        <f t="shared" si="40"/>
        <v>00106986</v>
      </c>
      <c r="C94" s="25">
        <v>42997</v>
      </c>
      <c r="D94" t="s">
        <v>146</v>
      </c>
      <c r="E94" t="str">
        <f t="shared" si="41"/>
        <v>KOUASSI Nicole Flora</v>
      </c>
      <c r="F94" t="str">
        <f t="shared" si="42"/>
        <v>02252-UNDP (Direct Execution)</v>
      </c>
      <c r="G94" t="s">
        <v>147</v>
      </c>
      <c r="H94" t="s">
        <v>162</v>
      </c>
      <c r="I94" t="s">
        <v>414</v>
      </c>
      <c r="J94" s="26" t="s">
        <v>419</v>
      </c>
      <c r="K94" t="s">
        <v>150</v>
      </c>
      <c r="L94" t="s">
        <v>403</v>
      </c>
      <c r="M94" t="s">
        <v>152</v>
      </c>
      <c r="N94" t="str">
        <f>"00075589"</f>
        <v>00075589</v>
      </c>
      <c r="O94" t="str">
        <f t="shared" si="53"/>
        <v xml:space="preserve"> </v>
      </c>
      <c r="P94" t="s">
        <v>0</v>
      </c>
      <c r="Q94" t="s">
        <v>416</v>
      </c>
      <c r="R94" t="str">
        <f t="shared" si="43"/>
        <v>NER10</v>
      </c>
      <c r="S94" t="s">
        <v>153</v>
      </c>
      <c r="T94" t="s">
        <v>154</v>
      </c>
      <c r="U94" t="str">
        <f t="shared" si="44"/>
        <v>001981</v>
      </c>
      <c r="V94" t="str">
        <f t="shared" si="45"/>
        <v>30000</v>
      </c>
      <c r="W94" t="str">
        <f t="shared" si="46"/>
        <v>11363</v>
      </c>
      <c r="X94" t="str">
        <f>"71625"</f>
        <v>71625</v>
      </c>
      <c r="Y94" t="s">
        <v>420</v>
      </c>
      <c r="Z94" t="s">
        <v>155</v>
      </c>
      <c r="AA94" t="s">
        <v>301</v>
      </c>
      <c r="AB94" t="str">
        <f>"0000007120"</f>
        <v>0000007120</v>
      </c>
      <c r="AC94" t="s">
        <v>164</v>
      </c>
      <c r="AD94" t="s">
        <v>156</v>
      </c>
      <c r="AE94" t="str">
        <f t="shared" si="34"/>
        <v>NER10</v>
      </c>
      <c r="AF94" t="s">
        <v>282</v>
      </c>
      <c r="AG94" t="s">
        <v>421</v>
      </c>
      <c r="AH94" t="s">
        <v>0</v>
      </c>
      <c r="AI94" t="str">
        <f t="shared" si="47"/>
        <v xml:space="preserve"> </v>
      </c>
      <c r="AJ94" t="s">
        <v>284</v>
      </c>
      <c r="AK94" t="s">
        <v>0</v>
      </c>
      <c r="AM94" t="str">
        <f t="shared" si="54"/>
        <v>06</v>
      </c>
      <c r="AN94" t="str">
        <f t="shared" si="55"/>
        <v xml:space="preserve"> </v>
      </c>
      <c r="AO94" t="str">
        <f t="shared" si="52"/>
        <v xml:space="preserve"> </v>
      </c>
      <c r="AP94" t="str">
        <f t="shared" si="52"/>
        <v xml:space="preserve"> </v>
      </c>
      <c r="AQ94" t="str">
        <f t="shared" si="52"/>
        <v xml:space="preserve"> </v>
      </c>
      <c r="AR94" t="str">
        <f t="shared" si="52"/>
        <v xml:space="preserve"> </v>
      </c>
      <c r="AS94" t="str">
        <f>"0173613175"</f>
        <v>0173613175</v>
      </c>
      <c r="AT94" s="25">
        <v>43276</v>
      </c>
      <c r="AU94" t="s">
        <v>0</v>
      </c>
      <c r="AV94" t="s">
        <v>0</v>
      </c>
    </row>
    <row r="95" spans="1:48">
      <c r="A95" t="str">
        <f t="shared" si="39"/>
        <v>00106074</v>
      </c>
      <c r="B95" t="str">
        <f t="shared" si="40"/>
        <v>00106986</v>
      </c>
      <c r="C95" s="25">
        <v>42997</v>
      </c>
      <c r="D95" t="s">
        <v>146</v>
      </c>
      <c r="E95" t="str">
        <f t="shared" si="41"/>
        <v>KOUASSI Nicole Flora</v>
      </c>
      <c r="F95" t="str">
        <f t="shared" si="42"/>
        <v>02252-UNDP (Direct Execution)</v>
      </c>
      <c r="G95" t="s">
        <v>147</v>
      </c>
      <c r="H95" t="s">
        <v>162</v>
      </c>
      <c r="I95" t="s">
        <v>414</v>
      </c>
      <c r="J95" s="26" t="s">
        <v>422</v>
      </c>
      <c r="K95" t="s">
        <v>150</v>
      </c>
      <c r="L95" t="s">
        <v>403</v>
      </c>
      <c r="M95" t="s">
        <v>152</v>
      </c>
      <c r="N95" t="str">
        <f>"00075589"</f>
        <v>00075589</v>
      </c>
      <c r="O95" t="str">
        <f t="shared" si="53"/>
        <v xml:space="preserve"> </v>
      </c>
      <c r="P95" t="s">
        <v>0</v>
      </c>
      <c r="Q95" t="s">
        <v>416</v>
      </c>
      <c r="R95" t="str">
        <f t="shared" si="43"/>
        <v>NER10</v>
      </c>
      <c r="S95" t="s">
        <v>153</v>
      </c>
      <c r="T95" t="s">
        <v>154</v>
      </c>
      <c r="U95" t="str">
        <f t="shared" si="44"/>
        <v>001981</v>
      </c>
      <c r="V95" t="str">
        <f t="shared" si="45"/>
        <v>30000</v>
      </c>
      <c r="W95" t="str">
        <f t="shared" si="46"/>
        <v>11363</v>
      </c>
      <c r="X95" t="str">
        <f>"71625"</f>
        <v>71625</v>
      </c>
      <c r="Y95" t="s">
        <v>423</v>
      </c>
      <c r="Z95" t="s">
        <v>155</v>
      </c>
      <c r="AA95" t="s">
        <v>301</v>
      </c>
      <c r="AB95" t="str">
        <f>"0000007120"</f>
        <v>0000007120</v>
      </c>
      <c r="AC95" t="s">
        <v>164</v>
      </c>
      <c r="AD95" t="s">
        <v>156</v>
      </c>
      <c r="AE95" t="str">
        <f t="shared" si="34"/>
        <v>NER10</v>
      </c>
      <c r="AF95" t="s">
        <v>282</v>
      </c>
      <c r="AG95" t="s">
        <v>421</v>
      </c>
      <c r="AH95" t="s">
        <v>0</v>
      </c>
      <c r="AI95" t="str">
        <f t="shared" si="47"/>
        <v xml:space="preserve"> </v>
      </c>
      <c r="AJ95" t="s">
        <v>284</v>
      </c>
      <c r="AK95" t="s">
        <v>0</v>
      </c>
      <c r="AM95" t="str">
        <f t="shared" si="54"/>
        <v>06</v>
      </c>
      <c r="AN95" t="str">
        <f t="shared" si="55"/>
        <v xml:space="preserve"> </v>
      </c>
      <c r="AO95" t="str">
        <f t="shared" si="52"/>
        <v xml:space="preserve"> </v>
      </c>
      <c r="AP95" t="str">
        <f t="shared" si="52"/>
        <v xml:space="preserve"> </v>
      </c>
      <c r="AQ95" t="str">
        <f t="shared" si="52"/>
        <v xml:space="preserve"> </v>
      </c>
      <c r="AR95" t="str">
        <f t="shared" si="52"/>
        <v xml:space="preserve"> </v>
      </c>
      <c r="AS95" t="str">
        <f>"0173613175"</f>
        <v>0173613175</v>
      </c>
      <c r="AT95" s="25">
        <v>43276</v>
      </c>
      <c r="AU95" t="s">
        <v>0</v>
      </c>
      <c r="AV95" t="s">
        <v>0</v>
      </c>
    </row>
    <row r="96" spans="1:48">
      <c r="A96" t="str">
        <f t="shared" si="39"/>
        <v>00106074</v>
      </c>
      <c r="B96" t="str">
        <f t="shared" si="40"/>
        <v>00106986</v>
      </c>
      <c r="C96" s="25">
        <v>42997</v>
      </c>
      <c r="D96" t="s">
        <v>146</v>
      </c>
      <c r="E96" t="str">
        <f t="shared" si="41"/>
        <v>KOUASSI Nicole Flora</v>
      </c>
      <c r="F96" t="str">
        <f t="shared" si="42"/>
        <v>02252-UNDP (Direct Execution)</v>
      </c>
      <c r="G96" t="s">
        <v>147</v>
      </c>
      <c r="H96" t="s">
        <v>158</v>
      </c>
      <c r="I96" t="s">
        <v>159</v>
      </c>
      <c r="J96" s="26" t="s">
        <v>424</v>
      </c>
      <c r="K96" t="s">
        <v>150</v>
      </c>
      <c r="L96" t="s">
        <v>396</v>
      </c>
      <c r="M96" t="s">
        <v>326</v>
      </c>
      <c r="N96" t="str">
        <f>"00075613"</f>
        <v>00075613</v>
      </c>
      <c r="O96" t="str">
        <f t="shared" si="53"/>
        <v xml:space="preserve"> </v>
      </c>
      <c r="P96" t="s">
        <v>0</v>
      </c>
      <c r="Q96" s="25">
        <v>43283</v>
      </c>
      <c r="R96" t="str">
        <f t="shared" si="43"/>
        <v>NER10</v>
      </c>
      <c r="S96" t="s">
        <v>153</v>
      </c>
      <c r="T96" t="s">
        <v>154</v>
      </c>
      <c r="U96" t="str">
        <f t="shared" si="44"/>
        <v>001981</v>
      </c>
      <c r="V96" t="str">
        <f t="shared" si="45"/>
        <v>30000</v>
      </c>
      <c r="W96" t="str">
        <f t="shared" si="46"/>
        <v>11363</v>
      </c>
      <c r="X96" t="str">
        <f>"76135"</f>
        <v>76135</v>
      </c>
      <c r="Y96" t="s">
        <v>328</v>
      </c>
      <c r="Z96" t="s">
        <v>155</v>
      </c>
      <c r="AA96" t="s">
        <v>405</v>
      </c>
      <c r="AB96" t="str">
        <f>"0000001380"</f>
        <v>0000001380</v>
      </c>
      <c r="AC96" t="s">
        <v>160</v>
      </c>
      <c r="AD96" t="s">
        <v>156</v>
      </c>
      <c r="AE96" t="str">
        <f t="shared" si="34"/>
        <v>NER10</v>
      </c>
      <c r="AF96" t="s">
        <v>282</v>
      </c>
      <c r="AG96" t="s">
        <v>425</v>
      </c>
      <c r="AH96" t="s">
        <v>0</v>
      </c>
      <c r="AI96" t="str">
        <f t="shared" si="47"/>
        <v xml:space="preserve"> </v>
      </c>
      <c r="AJ96" t="s">
        <v>284</v>
      </c>
      <c r="AK96" t="s">
        <v>0</v>
      </c>
      <c r="AM96" t="str">
        <f>"07"</f>
        <v>07</v>
      </c>
      <c r="AN96" t="str">
        <f t="shared" si="55"/>
        <v xml:space="preserve"> </v>
      </c>
      <c r="AO96" t="str">
        <f t="shared" si="52"/>
        <v xml:space="preserve"> </v>
      </c>
      <c r="AP96" t="str">
        <f t="shared" si="52"/>
        <v xml:space="preserve"> </v>
      </c>
      <c r="AQ96" t="str">
        <f t="shared" si="52"/>
        <v xml:space="preserve"> </v>
      </c>
      <c r="AR96" t="str">
        <f t="shared" si="52"/>
        <v xml:space="preserve"> </v>
      </c>
      <c r="AS96" t="str">
        <f>"0173979703"</f>
        <v>0173979703</v>
      </c>
      <c r="AT96" s="25">
        <v>43284</v>
      </c>
      <c r="AU96" t="str">
        <f>"1188013051"</f>
        <v>1188013051</v>
      </c>
      <c r="AV96" s="25">
        <v>43283</v>
      </c>
    </row>
    <row r="97" spans="1:48">
      <c r="A97" t="str">
        <f t="shared" si="39"/>
        <v>00106074</v>
      </c>
      <c r="B97" t="str">
        <f t="shared" si="40"/>
        <v>00106986</v>
      </c>
      <c r="C97" s="25">
        <v>42997</v>
      </c>
      <c r="D97" t="s">
        <v>146</v>
      </c>
      <c r="E97" t="str">
        <f t="shared" si="41"/>
        <v>KOUASSI Nicole Flora</v>
      </c>
      <c r="F97" t="str">
        <f t="shared" si="42"/>
        <v>02252-UNDP (Direct Execution)</v>
      </c>
      <c r="G97" t="s">
        <v>147</v>
      </c>
      <c r="H97" t="s">
        <v>158</v>
      </c>
      <c r="I97" t="s">
        <v>159</v>
      </c>
      <c r="J97" s="26" t="s">
        <v>426</v>
      </c>
      <c r="K97" t="s">
        <v>150</v>
      </c>
      <c r="L97" t="s">
        <v>403</v>
      </c>
      <c r="M97" t="s">
        <v>152</v>
      </c>
      <c r="N97" t="str">
        <f>"00075613"</f>
        <v>00075613</v>
      </c>
      <c r="O97" t="str">
        <f t="shared" si="53"/>
        <v xml:space="preserve"> </v>
      </c>
      <c r="P97" t="s">
        <v>0</v>
      </c>
      <c r="Q97" s="25">
        <v>43279</v>
      </c>
      <c r="R97" t="str">
        <f t="shared" si="43"/>
        <v>NER10</v>
      </c>
      <c r="S97" t="s">
        <v>153</v>
      </c>
      <c r="T97" t="s">
        <v>154</v>
      </c>
      <c r="U97" t="str">
        <f t="shared" si="44"/>
        <v>001981</v>
      </c>
      <c r="V97" t="str">
        <f t="shared" si="45"/>
        <v>30000</v>
      </c>
      <c r="W97" t="str">
        <f t="shared" si="46"/>
        <v>11363</v>
      </c>
      <c r="X97" t="str">
        <f>"72505"</f>
        <v>72505</v>
      </c>
      <c r="Y97" t="s">
        <v>427</v>
      </c>
      <c r="Z97" t="s">
        <v>155</v>
      </c>
      <c r="AA97" t="s">
        <v>405</v>
      </c>
      <c r="AB97" t="str">
        <f>"0000001380"</f>
        <v>0000001380</v>
      </c>
      <c r="AC97" t="s">
        <v>160</v>
      </c>
      <c r="AD97" t="s">
        <v>156</v>
      </c>
      <c r="AE97" t="str">
        <f t="shared" si="34"/>
        <v>NER10</v>
      </c>
      <c r="AF97" t="s">
        <v>282</v>
      </c>
      <c r="AG97" t="s">
        <v>425</v>
      </c>
      <c r="AH97" t="s">
        <v>0</v>
      </c>
      <c r="AI97" t="str">
        <f t="shared" si="47"/>
        <v xml:space="preserve"> </v>
      </c>
      <c r="AJ97" t="s">
        <v>284</v>
      </c>
      <c r="AK97" t="s">
        <v>0</v>
      </c>
      <c r="AM97" t="str">
        <f>"06"</f>
        <v>06</v>
      </c>
      <c r="AN97" t="str">
        <f t="shared" si="55"/>
        <v xml:space="preserve"> </v>
      </c>
      <c r="AO97" t="str">
        <f t="shared" si="52"/>
        <v xml:space="preserve"> </v>
      </c>
      <c r="AP97" t="str">
        <f t="shared" si="52"/>
        <v xml:space="preserve"> </v>
      </c>
      <c r="AQ97" t="str">
        <f t="shared" si="52"/>
        <v xml:space="preserve"> </v>
      </c>
      <c r="AR97" t="str">
        <f t="shared" si="52"/>
        <v xml:space="preserve"> </v>
      </c>
      <c r="AS97" t="str">
        <f>"0173965021"</f>
        <v>0173965021</v>
      </c>
      <c r="AT97" s="25">
        <v>43283</v>
      </c>
      <c r="AU97" t="str">
        <f>"1188013051"</f>
        <v>1188013051</v>
      </c>
      <c r="AV97" s="25">
        <v>43283</v>
      </c>
    </row>
    <row r="98" spans="1:48">
      <c r="A98" t="str">
        <f t="shared" si="39"/>
        <v>00106074</v>
      </c>
      <c r="B98" t="str">
        <f t="shared" si="40"/>
        <v>00106986</v>
      </c>
      <c r="C98" s="25">
        <v>42997</v>
      </c>
      <c r="D98" t="s">
        <v>146</v>
      </c>
      <c r="E98" t="str">
        <f t="shared" si="41"/>
        <v>KOUASSI Nicole Flora</v>
      </c>
      <c r="F98" t="str">
        <f t="shared" si="42"/>
        <v>02252-UNDP (Direct Execution)</v>
      </c>
      <c r="G98" t="s">
        <v>147</v>
      </c>
      <c r="H98" t="s">
        <v>226</v>
      </c>
      <c r="I98" t="s">
        <v>428</v>
      </c>
      <c r="J98" s="26" t="s">
        <v>429</v>
      </c>
      <c r="K98" t="s">
        <v>150</v>
      </c>
      <c r="L98" t="s">
        <v>396</v>
      </c>
      <c r="M98" t="s">
        <v>152</v>
      </c>
      <c r="N98" t="str">
        <f>"00075665"</f>
        <v>00075665</v>
      </c>
      <c r="O98" t="str">
        <f t="shared" si="53"/>
        <v xml:space="preserve"> </v>
      </c>
      <c r="P98" t="s">
        <v>0</v>
      </c>
      <c r="Q98" s="25">
        <v>43285</v>
      </c>
      <c r="R98" t="str">
        <f t="shared" si="43"/>
        <v>NER10</v>
      </c>
      <c r="S98" t="s">
        <v>153</v>
      </c>
      <c r="T98" t="s">
        <v>154</v>
      </c>
      <c r="U98" t="str">
        <f t="shared" si="44"/>
        <v>001981</v>
      </c>
      <c r="V98" t="str">
        <f t="shared" si="45"/>
        <v>30000</v>
      </c>
      <c r="W98" t="str">
        <f t="shared" si="46"/>
        <v>11363</v>
      </c>
      <c r="X98" t="str">
        <f>"73410"</f>
        <v>73410</v>
      </c>
      <c r="Y98" t="s">
        <v>430</v>
      </c>
      <c r="Z98" t="s">
        <v>155</v>
      </c>
      <c r="AA98" t="s">
        <v>431</v>
      </c>
      <c r="AB98" t="str">
        <f>"0000002521"</f>
        <v>0000002521</v>
      </c>
      <c r="AC98" t="s">
        <v>227</v>
      </c>
      <c r="AD98" t="s">
        <v>156</v>
      </c>
      <c r="AE98" t="str">
        <f t="shared" si="34"/>
        <v>NER10</v>
      </c>
      <c r="AF98" t="s">
        <v>282</v>
      </c>
      <c r="AG98" t="s">
        <v>428</v>
      </c>
      <c r="AH98" t="s">
        <v>0</v>
      </c>
      <c r="AI98" t="str">
        <f t="shared" si="47"/>
        <v xml:space="preserve"> </v>
      </c>
      <c r="AJ98" t="s">
        <v>284</v>
      </c>
      <c r="AK98" t="s">
        <v>0</v>
      </c>
      <c r="AM98" t="str">
        <f>"07"</f>
        <v>07</v>
      </c>
      <c r="AN98" t="str">
        <f t="shared" si="55"/>
        <v xml:space="preserve"> </v>
      </c>
      <c r="AO98" t="str">
        <f t="shared" si="52"/>
        <v xml:space="preserve"> </v>
      </c>
      <c r="AP98" t="str">
        <f t="shared" si="52"/>
        <v xml:space="preserve"> </v>
      </c>
      <c r="AQ98" t="str">
        <f t="shared" si="52"/>
        <v xml:space="preserve"> </v>
      </c>
      <c r="AR98" t="str">
        <f t="shared" si="52"/>
        <v xml:space="preserve"> </v>
      </c>
      <c r="AS98" t="str">
        <f>"0174085853"</f>
        <v>0174085853</v>
      </c>
      <c r="AT98" s="25">
        <v>43285</v>
      </c>
      <c r="AU98" t="str">
        <f>"0000083427"</f>
        <v>0000083427</v>
      </c>
      <c r="AV98" s="25">
        <v>43285</v>
      </c>
    </row>
    <row r="99" spans="1:48">
      <c r="A99" t="str">
        <f t="shared" si="39"/>
        <v>00106074</v>
      </c>
      <c r="B99" t="str">
        <f t="shared" si="40"/>
        <v>00106986</v>
      </c>
      <c r="C99" s="25">
        <v>42997</v>
      </c>
      <c r="D99" t="s">
        <v>146</v>
      </c>
      <c r="E99" t="str">
        <f t="shared" si="41"/>
        <v>KOUASSI Nicole Flora</v>
      </c>
      <c r="F99" t="str">
        <f t="shared" si="42"/>
        <v>02252-UNDP (Direct Execution)</v>
      </c>
      <c r="G99" t="s">
        <v>147</v>
      </c>
      <c r="H99" t="s">
        <v>432</v>
      </c>
      <c r="I99" t="s">
        <v>433</v>
      </c>
      <c r="J99" s="26" t="s">
        <v>434</v>
      </c>
      <c r="K99" t="s">
        <v>150</v>
      </c>
      <c r="L99" t="s">
        <v>403</v>
      </c>
      <c r="M99" t="s">
        <v>152</v>
      </c>
      <c r="N99" t="str">
        <f>"00075729"</f>
        <v>00075729</v>
      </c>
      <c r="O99" t="str">
        <f t="shared" si="53"/>
        <v xml:space="preserve"> </v>
      </c>
      <c r="P99" t="s">
        <v>0</v>
      </c>
      <c r="Q99" t="s">
        <v>435</v>
      </c>
      <c r="R99" t="str">
        <f t="shared" si="43"/>
        <v>NER10</v>
      </c>
      <c r="S99" t="s">
        <v>153</v>
      </c>
      <c r="T99" t="s">
        <v>154</v>
      </c>
      <c r="U99" t="str">
        <f t="shared" si="44"/>
        <v>001981</v>
      </c>
      <c r="V99" t="str">
        <f t="shared" si="45"/>
        <v>30000</v>
      </c>
      <c r="W99" t="str">
        <f t="shared" si="46"/>
        <v>11363</v>
      </c>
      <c r="X99" t="str">
        <f>"73125"</f>
        <v>73125</v>
      </c>
      <c r="Y99" t="s">
        <v>436</v>
      </c>
      <c r="Z99" t="s">
        <v>155</v>
      </c>
      <c r="AA99" t="s">
        <v>340</v>
      </c>
      <c r="AB99" t="str">
        <f>"0000006019"</f>
        <v>0000006019</v>
      </c>
      <c r="AC99" t="s">
        <v>437</v>
      </c>
      <c r="AD99" t="s">
        <v>156</v>
      </c>
      <c r="AE99" t="str">
        <f t="shared" si="34"/>
        <v>NER10</v>
      </c>
      <c r="AF99" t="s">
        <v>282</v>
      </c>
      <c r="AG99" t="s">
        <v>433</v>
      </c>
      <c r="AH99" t="s">
        <v>0</v>
      </c>
      <c r="AI99" t="str">
        <f t="shared" si="47"/>
        <v xml:space="preserve"> </v>
      </c>
      <c r="AJ99" t="s">
        <v>284</v>
      </c>
      <c r="AK99" t="s">
        <v>0</v>
      </c>
      <c r="AM99" t="str">
        <f>"06"</f>
        <v>06</v>
      </c>
      <c r="AN99" t="str">
        <f t="shared" si="55"/>
        <v xml:space="preserve"> </v>
      </c>
      <c r="AO99" t="str">
        <f t="shared" si="52"/>
        <v xml:space="preserve"> </v>
      </c>
      <c r="AP99" t="str">
        <f t="shared" si="52"/>
        <v xml:space="preserve"> </v>
      </c>
      <c r="AQ99" t="str">
        <f t="shared" si="52"/>
        <v xml:space="preserve"> </v>
      </c>
      <c r="AR99" t="str">
        <f t="shared" si="52"/>
        <v xml:space="preserve"> </v>
      </c>
      <c r="AS99" t="str">
        <f>"0174610311"</f>
        <v>0174610311</v>
      </c>
      <c r="AT99" s="25">
        <v>43297</v>
      </c>
      <c r="AU99" t="s">
        <v>0</v>
      </c>
      <c r="AV99" t="s">
        <v>0</v>
      </c>
    </row>
    <row r="100" spans="1:48">
      <c r="A100" t="str">
        <f t="shared" si="39"/>
        <v>00106074</v>
      </c>
      <c r="B100" t="str">
        <f t="shared" si="40"/>
        <v>00106986</v>
      </c>
      <c r="C100" s="25">
        <v>42997</v>
      </c>
      <c r="D100" t="s">
        <v>146</v>
      </c>
      <c r="E100" t="str">
        <f t="shared" si="41"/>
        <v>KOUASSI Nicole Flora</v>
      </c>
      <c r="F100" t="str">
        <f t="shared" si="42"/>
        <v>02252-UNDP (Direct Execution)</v>
      </c>
      <c r="G100" t="s">
        <v>213</v>
      </c>
      <c r="H100" t="s">
        <v>438</v>
      </c>
      <c r="I100" t="s">
        <v>439</v>
      </c>
      <c r="J100" s="26" t="s">
        <v>440</v>
      </c>
      <c r="K100" t="s">
        <v>150</v>
      </c>
      <c r="L100" t="s">
        <v>403</v>
      </c>
      <c r="M100" t="s">
        <v>152</v>
      </c>
      <c r="N100" t="str">
        <f>"00242823"</f>
        <v>00242823</v>
      </c>
      <c r="O100" t="str">
        <f t="shared" si="53"/>
        <v xml:space="preserve"> </v>
      </c>
      <c r="P100" t="s">
        <v>0</v>
      </c>
      <c r="Q100" s="25">
        <v>43281</v>
      </c>
      <c r="R100" t="str">
        <f t="shared" si="43"/>
        <v>NER10</v>
      </c>
      <c r="S100" t="s">
        <v>153</v>
      </c>
      <c r="T100" t="s">
        <v>154</v>
      </c>
      <c r="U100" t="str">
        <f t="shared" si="44"/>
        <v>001981</v>
      </c>
      <c r="V100" t="str">
        <f t="shared" si="45"/>
        <v>30000</v>
      </c>
      <c r="W100" t="str">
        <f t="shared" si="46"/>
        <v>11363</v>
      </c>
      <c r="X100" t="str">
        <f>"72165"</f>
        <v>72165</v>
      </c>
      <c r="Y100" t="s">
        <v>440</v>
      </c>
      <c r="Z100" t="s">
        <v>194</v>
      </c>
      <c r="AA100">
        <v>1</v>
      </c>
      <c r="AB100" t="str">
        <f>"0000007212"</f>
        <v>0000007212</v>
      </c>
      <c r="AC100" t="s">
        <v>441</v>
      </c>
      <c r="AD100" t="s">
        <v>442</v>
      </c>
      <c r="AE100" t="str">
        <f>"UNDP1"</f>
        <v>UNDP1</v>
      </c>
      <c r="AF100" t="s">
        <v>282</v>
      </c>
      <c r="AG100" t="s">
        <v>439</v>
      </c>
      <c r="AH100" t="s">
        <v>0</v>
      </c>
      <c r="AI100" t="str">
        <f t="shared" si="47"/>
        <v xml:space="preserve"> </v>
      </c>
      <c r="AJ100" t="s">
        <v>284</v>
      </c>
      <c r="AK100" t="s">
        <v>0</v>
      </c>
      <c r="AM100" t="str">
        <f>"06"</f>
        <v>06</v>
      </c>
      <c r="AN100" t="str">
        <f t="shared" si="55"/>
        <v xml:space="preserve"> </v>
      </c>
      <c r="AO100" t="str">
        <f t="shared" si="52"/>
        <v xml:space="preserve"> </v>
      </c>
      <c r="AP100" t="str">
        <f t="shared" si="52"/>
        <v xml:space="preserve"> </v>
      </c>
      <c r="AQ100" t="str">
        <f t="shared" si="52"/>
        <v xml:space="preserve"> </v>
      </c>
      <c r="AR100" t="str">
        <f t="shared" si="52"/>
        <v xml:space="preserve"> </v>
      </c>
      <c r="AS100" t="str">
        <f>"0174159006"</f>
        <v>0174159006</v>
      </c>
      <c r="AT100" s="25">
        <v>43286</v>
      </c>
      <c r="AU100" t="str">
        <f>"1800623645"</f>
        <v>1800623645</v>
      </c>
      <c r="AV100" s="25">
        <v>43287</v>
      </c>
    </row>
    <row r="101" spans="1:48">
      <c r="A101" t="str">
        <f t="shared" si="39"/>
        <v>00106074</v>
      </c>
      <c r="B101" t="str">
        <f t="shared" si="40"/>
        <v>00106986</v>
      </c>
      <c r="C101" s="25">
        <v>42997</v>
      </c>
      <c r="D101" t="s">
        <v>146</v>
      </c>
      <c r="E101" t="str">
        <f t="shared" si="41"/>
        <v>KOUASSI Nicole Flora</v>
      </c>
      <c r="F101" t="str">
        <f t="shared" si="42"/>
        <v>02252-UNDP (Direct Execution)</v>
      </c>
      <c r="G101" t="s">
        <v>147</v>
      </c>
      <c r="H101" t="s">
        <v>443</v>
      </c>
      <c r="I101" t="s">
        <v>0</v>
      </c>
      <c r="J101" s="26" t="s">
        <v>444</v>
      </c>
      <c r="K101" t="s">
        <v>168</v>
      </c>
      <c r="L101" t="s">
        <v>445</v>
      </c>
      <c r="M101" t="s">
        <v>198</v>
      </c>
      <c r="N101" t="str">
        <f t="shared" ref="N101:N132" si="56">" "</f>
        <v xml:space="preserve"> </v>
      </c>
      <c r="O101" t="str">
        <f>"0000009868"</f>
        <v>0000009868</v>
      </c>
      <c r="P101" t="s">
        <v>446</v>
      </c>
      <c r="Q101" s="25">
        <v>43131</v>
      </c>
      <c r="R101" t="str">
        <f t="shared" si="43"/>
        <v>NER10</v>
      </c>
      <c r="S101" t="s">
        <v>153</v>
      </c>
      <c r="T101" t="s">
        <v>154</v>
      </c>
      <c r="U101" t="str">
        <f t="shared" si="44"/>
        <v>001981</v>
      </c>
      <c r="V101" t="str">
        <f t="shared" si="45"/>
        <v>30000</v>
      </c>
      <c r="W101" t="str">
        <f t="shared" si="46"/>
        <v>11363</v>
      </c>
      <c r="X101" t="str">
        <f>"71605"</f>
        <v>71605</v>
      </c>
      <c r="Y101" t="s">
        <v>447</v>
      </c>
      <c r="Z101" t="s">
        <v>155</v>
      </c>
      <c r="AA101" t="s">
        <v>448</v>
      </c>
      <c r="AB101" t="str">
        <f>"0000000164"</f>
        <v>0000000164</v>
      </c>
      <c r="AC101" t="s">
        <v>449</v>
      </c>
      <c r="AD101" t="s">
        <v>156</v>
      </c>
      <c r="AE101" t="str">
        <f t="shared" ref="AE101:AE126" si="57">"NER10"</f>
        <v>NER10</v>
      </c>
      <c r="AF101" t="s">
        <v>284</v>
      </c>
      <c r="AG101" t="s">
        <v>0</v>
      </c>
      <c r="AH101" t="s">
        <v>450</v>
      </c>
      <c r="AI101" t="str">
        <f t="shared" si="47"/>
        <v xml:space="preserve"> </v>
      </c>
      <c r="AJ101" t="s">
        <v>284</v>
      </c>
      <c r="AK101" t="s">
        <v>0</v>
      </c>
      <c r="AM101" t="str">
        <f>"01"</f>
        <v>01</v>
      </c>
      <c r="AN101" t="str">
        <f t="shared" si="55"/>
        <v xml:space="preserve"> </v>
      </c>
      <c r="AO101" t="str">
        <f t="shared" si="52"/>
        <v xml:space="preserve"> </v>
      </c>
      <c r="AP101" t="str">
        <f t="shared" si="52"/>
        <v xml:space="preserve"> </v>
      </c>
      <c r="AQ101" t="str">
        <f t="shared" si="52"/>
        <v xml:space="preserve"> </v>
      </c>
      <c r="AR101" t="str">
        <f t="shared" si="52"/>
        <v xml:space="preserve"> </v>
      </c>
      <c r="AS101" t="str">
        <f>"0167486685"</f>
        <v>0167486685</v>
      </c>
      <c r="AT101" s="25">
        <v>43131</v>
      </c>
      <c r="AU101" t="s">
        <v>0</v>
      </c>
      <c r="AV101" t="s">
        <v>0</v>
      </c>
    </row>
    <row r="102" spans="1:48">
      <c r="A102" t="str">
        <f t="shared" si="39"/>
        <v>00106074</v>
      </c>
      <c r="B102" t="str">
        <f t="shared" si="40"/>
        <v>00106986</v>
      </c>
      <c r="C102" s="25">
        <v>42997</v>
      </c>
      <c r="D102" t="s">
        <v>146</v>
      </c>
      <c r="E102" t="str">
        <f t="shared" si="41"/>
        <v>KOUASSI Nicole Flora</v>
      </c>
      <c r="F102" t="str">
        <f t="shared" si="42"/>
        <v>02252-UNDP (Direct Execution)</v>
      </c>
      <c r="G102" t="s">
        <v>147</v>
      </c>
      <c r="H102" t="s">
        <v>381</v>
      </c>
      <c r="I102" t="s">
        <v>0</v>
      </c>
      <c r="J102" s="26" t="s">
        <v>451</v>
      </c>
      <c r="K102" t="s">
        <v>168</v>
      </c>
      <c r="L102" t="s">
        <v>298</v>
      </c>
      <c r="M102" t="s">
        <v>198</v>
      </c>
      <c r="N102" t="str">
        <f t="shared" si="56"/>
        <v xml:space="preserve"> </v>
      </c>
      <c r="O102" t="str">
        <f>"0000009935"</f>
        <v>0000009935</v>
      </c>
      <c r="P102" t="s">
        <v>199</v>
      </c>
      <c r="Q102" s="25">
        <v>43281</v>
      </c>
      <c r="R102" t="str">
        <f t="shared" si="43"/>
        <v>NER10</v>
      </c>
      <c r="S102" t="s">
        <v>153</v>
      </c>
      <c r="T102" t="s">
        <v>154</v>
      </c>
      <c r="U102" t="str">
        <f t="shared" si="44"/>
        <v>001981</v>
      </c>
      <c r="V102" t="str">
        <f t="shared" si="45"/>
        <v>30000</v>
      </c>
      <c r="W102" t="str">
        <f t="shared" si="46"/>
        <v>11363</v>
      </c>
      <c r="X102" t="str">
        <f>"72805"</f>
        <v>72805</v>
      </c>
      <c r="Y102" t="s">
        <v>401</v>
      </c>
      <c r="Z102" t="s">
        <v>385</v>
      </c>
      <c r="AA102" t="s">
        <v>452</v>
      </c>
      <c r="AB102" t="str">
        <f>"0000006597"</f>
        <v>0000006597</v>
      </c>
      <c r="AC102" t="s">
        <v>387</v>
      </c>
      <c r="AD102" t="s">
        <v>388</v>
      </c>
      <c r="AE102" t="str">
        <f t="shared" si="57"/>
        <v>NER10</v>
      </c>
      <c r="AF102" t="s">
        <v>284</v>
      </c>
      <c r="AG102" t="s">
        <v>0</v>
      </c>
      <c r="AH102" t="s">
        <v>382</v>
      </c>
      <c r="AI102" t="str">
        <f t="shared" si="47"/>
        <v xml:space="preserve"> </v>
      </c>
      <c r="AJ102" t="s">
        <v>284</v>
      </c>
      <c r="AK102" t="s">
        <v>0</v>
      </c>
      <c r="AM102" t="str">
        <f>"04"</f>
        <v>04</v>
      </c>
      <c r="AN102" t="str">
        <f t="shared" si="55"/>
        <v xml:space="preserve"> </v>
      </c>
      <c r="AO102" t="str">
        <f t="shared" si="52"/>
        <v xml:space="preserve"> </v>
      </c>
      <c r="AP102" t="str">
        <f t="shared" si="52"/>
        <v xml:space="preserve"> </v>
      </c>
      <c r="AQ102" t="str">
        <f t="shared" si="52"/>
        <v xml:space="preserve"> </v>
      </c>
      <c r="AR102" t="str">
        <f t="shared" si="52"/>
        <v xml:space="preserve"> </v>
      </c>
      <c r="AS102" t="str">
        <f>"0170653159"</f>
        <v>0170653159</v>
      </c>
      <c r="AT102" t="s">
        <v>453</v>
      </c>
      <c r="AU102" t="s">
        <v>0</v>
      </c>
      <c r="AV102" t="s">
        <v>0</v>
      </c>
    </row>
    <row r="103" spans="1:48">
      <c r="A103" t="str">
        <f t="shared" si="39"/>
        <v>00106074</v>
      </c>
      <c r="B103" t="str">
        <f t="shared" si="40"/>
        <v>00106986</v>
      </c>
      <c r="C103" s="25">
        <v>42997</v>
      </c>
      <c r="D103" t="s">
        <v>146</v>
      </c>
      <c r="E103" t="str">
        <f t="shared" si="41"/>
        <v>KOUASSI Nicole Flora</v>
      </c>
      <c r="F103" t="str">
        <f t="shared" si="42"/>
        <v>02252-UNDP (Direct Execution)</v>
      </c>
      <c r="G103" t="s">
        <v>147</v>
      </c>
      <c r="H103" t="s">
        <v>381</v>
      </c>
      <c r="I103" t="s">
        <v>0</v>
      </c>
      <c r="J103" s="26" t="s">
        <v>454</v>
      </c>
      <c r="K103" t="s">
        <v>168</v>
      </c>
      <c r="L103" t="s">
        <v>298</v>
      </c>
      <c r="M103" t="s">
        <v>198</v>
      </c>
      <c r="N103" t="str">
        <f t="shared" si="56"/>
        <v xml:space="preserve"> </v>
      </c>
      <c r="O103" t="str">
        <f>"0000009935"</f>
        <v>0000009935</v>
      </c>
      <c r="P103" t="s">
        <v>199</v>
      </c>
      <c r="Q103" s="25">
        <v>43281</v>
      </c>
      <c r="R103" t="str">
        <f t="shared" si="43"/>
        <v>NER10</v>
      </c>
      <c r="S103" t="s">
        <v>153</v>
      </c>
      <c r="T103" t="s">
        <v>154</v>
      </c>
      <c r="U103" t="str">
        <f t="shared" si="44"/>
        <v>001981</v>
      </c>
      <c r="V103" t="str">
        <f t="shared" si="45"/>
        <v>30000</v>
      </c>
      <c r="W103" t="str">
        <f t="shared" si="46"/>
        <v>11363</v>
      </c>
      <c r="X103" t="str">
        <f>"72805"</f>
        <v>72805</v>
      </c>
      <c r="Y103" t="s">
        <v>399</v>
      </c>
      <c r="Z103" t="s">
        <v>385</v>
      </c>
      <c r="AA103" t="s">
        <v>452</v>
      </c>
      <c r="AB103" t="str">
        <f>"0000006597"</f>
        <v>0000006597</v>
      </c>
      <c r="AC103" t="s">
        <v>387</v>
      </c>
      <c r="AD103" t="s">
        <v>388</v>
      </c>
      <c r="AE103" t="str">
        <f t="shared" si="57"/>
        <v>NER10</v>
      </c>
      <c r="AF103" t="s">
        <v>284</v>
      </c>
      <c r="AG103" t="s">
        <v>0</v>
      </c>
      <c r="AH103" t="s">
        <v>382</v>
      </c>
      <c r="AI103" t="str">
        <f t="shared" si="47"/>
        <v xml:space="preserve"> </v>
      </c>
      <c r="AJ103" t="s">
        <v>284</v>
      </c>
      <c r="AK103" t="s">
        <v>0</v>
      </c>
      <c r="AM103" t="str">
        <f>"04"</f>
        <v>04</v>
      </c>
      <c r="AN103" t="str">
        <f t="shared" si="55"/>
        <v xml:space="preserve"> </v>
      </c>
      <c r="AO103" t="str">
        <f t="shared" si="52"/>
        <v xml:space="preserve"> </v>
      </c>
      <c r="AP103" t="str">
        <f t="shared" si="52"/>
        <v xml:space="preserve"> </v>
      </c>
      <c r="AQ103" t="str">
        <f t="shared" si="52"/>
        <v xml:space="preserve"> </v>
      </c>
      <c r="AR103" t="str">
        <f t="shared" si="52"/>
        <v xml:space="preserve"> </v>
      </c>
      <c r="AS103" t="str">
        <f>"0170653159"</f>
        <v>0170653159</v>
      </c>
      <c r="AT103" t="s">
        <v>453</v>
      </c>
      <c r="AU103" t="s">
        <v>0</v>
      </c>
      <c r="AV103" t="s">
        <v>0</v>
      </c>
    </row>
    <row r="104" spans="1:48">
      <c r="A104" t="str">
        <f t="shared" si="39"/>
        <v>00106074</v>
      </c>
      <c r="B104" t="str">
        <f t="shared" si="40"/>
        <v>00106986</v>
      </c>
      <c r="C104" s="25">
        <v>42997</v>
      </c>
      <c r="D104" t="s">
        <v>146</v>
      </c>
      <c r="E104" t="str">
        <f t="shared" si="41"/>
        <v>KOUASSI Nicole Flora</v>
      </c>
      <c r="F104" t="str">
        <f t="shared" si="42"/>
        <v>02252-UNDP (Direct Execution)</v>
      </c>
      <c r="G104" t="s">
        <v>147</v>
      </c>
      <c r="H104" t="s">
        <v>306</v>
      </c>
      <c r="I104" t="s">
        <v>0</v>
      </c>
      <c r="J104" s="26" t="s">
        <v>308</v>
      </c>
      <c r="K104" t="s">
        <v>168</v>
      </c>
      <c r="L104" t="s">
        <v>298</v>
      </c>
      <c r="M104" t="s">
        <v>198</v>
      </c>
      <c r="N104" t="str">
        <f t="shared" si="56"/>
        <v xml:space="preserve"> </v>
      </c>
      <c r="O104" t="str">
        <f>"0000009948"</f>
        <v>0000009948</v>
      </c>
      <c r="P104" t="s">
        <v>446</v>
      </c>
      <c r="Q104" t="s">
        <v>309</v>
      </c>
      <c r="R104" t="str">
        <f t="shared" si="43"/>
        <v>NER10</v>
      </c>
      <c r="S104" t="s">
        <v>153</v>
      </c>
      <c r="T104" t="s">
        <v>154</v>
      </c>
      <c r="U104" t="str">
        <f t="shared" si="44"/>
        <v>001981</v>
      </c>
      <c r="V104" t="str">
        <f t="shared" si="45"/>
        <v>30000</v>
      </c>
      <c r="W104" t="str">
        <f t="shared" si="46"/>
        <v>11363</v>
      </c>
      <c r="X104" t="str">
        <f t="shared" ref="X104:X110" si="58">"71615"</f>
        <v>71615</v>
      </c>
      <c r="Y104" t="s">
        <v>310</v>
      </c>
      <c r="Z104" t="s">
        <v>155</v>
      </c>
      <c r="AA104" t="s">
        <v>301</v>
      </c>
      <c r="AB104" t="str">
        <f>"0000004947"</f>
        <v>0000004947</v>
      </c>
      <c r="AC104" t="s">
        <v>311</v>
      </c>
      <c r="AD104" t="s">
        <v>156</v>
      </c>
      <c r="AE104" t="str">
        <f t="shared" si="57"/>
        <v>NER10</v>
      </c>
      <c r="AF104" t="s">
        <v>284</v>
      </c>
      <c r="AG104" t="s">
        <v>0</v>
      </c>
      <c r="AH104" t="s">
        <v>307</v>
      </c>
      <c r="AI104" t="str">
        <f t="shared" si="47"/>
        <v xml:space="preserve"> </v>
      </c>
      <c r="AJ104" t="s">
        <v>284</v>
      </c>
      <c r="AK104" t="s">
        <v>0</v>
      </c>
      <c r="AM104" t="str">
        <f>"04"</f>
        <v>04</v>
      </c>
      <c r="AN104" t="str">
        <f t="shared" si="55"/>
        <v xml:space="preserve"> </v>
      </c>
      <c r="AO104" t="str">
        <f t="shared" ref="AO104:AR123" si="59">" "</f>
        <v xml:space="preserve"> </v>
      </c>
      <c r="AP104" t="str">
        <f t="shared" si="59"/>
        <v xml:space="preserve"> </v>
      </c>
      <c r="AQ104" t="str">
        <f t="shared" si="59"/>
        <v xml:space="preserve"> </v>
      </c>
      <c r="AR104" t="str">
        <f t="shared" si="59"/>
        <v xml:space="preserve"> </v>
      </c>
      <c r="AS104" t="str">
        <f>"0170910247"</f>
        <v>0170910247</v>
      </c>
      <c r="AT104" t="s">
        <v>309</v>
      </c>
      <c r="AU104" t="s">
        <v>0</v>
      </c>
      <c r="AV104" t="s">
        <v>0</v>
      </c>
    </row>
    <row r="105" spans="1:48">
      <c r="A105" t="str">
        <f t="shared" ref="A105:A136" si="60">"00106074"</f>
        <v>00106074</v>
      </c>
      <c r="B105" t="str">
        <f t="shared" ref="B105:B136" si="61">"00106986"</f>
        <v>00106986</v>
      </c>
      <c r="C105" s="25">
        <v>42997</v>
      </c>
      <c r="D105" t="s">
        <v>146</v>
      </c>
      <c r="E105" t="str">
        <f t="shared" ref="E105:E136" si="62">"KOUASSI Nicole Flora"</f>
        <v>KOUASSI Nicole Flora</v>
      </c>
      <c r="F105" t="str">
        <f t="shared" ref="F105:F136" si="63">"02252-UNDP (Direct Execution)"</f>
        <v>02252-UNDP (Direct Execution)</v>
      </c>
      <c r="G105" t="s">
        <v>147</v>
      </c>
      <c r="H105" t="s">
        <v>315</v>
      </c>
      <c r="I105" t="s">
        <v>0</v>
      </c>
      <c r="J105" s="26" t="s">
        <v>313</v>
      </c>
      <c r="K105" t="s">
        <v>168</v>
      </c>
      <c r="L105" t="s">
        <v>403</v>
      </c>
      <c r="M105" t="s">
        <v>198</v>
      </c>
      <c r="N105" t="str">
        <f t="shared" si="56"/>
        <v xml:space="preserve"> </v>
      </c>
      <c r="O105" t="str">
        <f>"0000009949"</f>
        <v>0000009949</v>
      </c>
      <c r="P105" t="s">
        <v>199</v>
      </c>
      <c r="Q105" s="25">
        <v>43258</v>
      </c>
      <c r="R105" t="str">
        <f t="shared" ref="R105:R136" si="64">"NER10"</f>
        <v>NER10</v>
      </c>
      <c r="S105" t="s">
        <v>153</v>
      </c>
      <c r="T105" t="s">
        <v>154</v>
      </c>
      <c r="U105" t="str">
        <f t="shared" ref="U105:U136" si="65">"001981"</f>
        <v>001981</v>
      </c>
      <c r="V105" t="str">
        <f t="shared" ref="V105:V136" si="66">"30000"</f>
        <v>30000</v>
      </c>
      <c r="W105" t="str">
        <f t="shared" ref="W105:W136" si="67">"11363"</f>
        <v>11363</v>
      </c>
      <c r="X105" t="str">
        <f t="shared" si="58"/>
        <v>71615</v>
      </c>
      <c r="Y105" t="s">
        <v>314</v>
      </c>
      <c r="Z105" t="s">
        <v>155</v>
      </c>
      <c r="AA105" t="s">
        <v>455</v>
      </c>
      <c r="AB105" t="str">
        <f>"0000007294"</f>
        <v>0000007294</v>
      </c>
      <c r="AC105" t="s">
        <v>316</v>
      </c>
      <c r="AD105" t="s">
        <v>156</v>
      </c>
      <c r="AE105" t="str">
        <f t="shared" si="57"/>
        <v>NER10</v>
      </c>
      <c r="AF105" t="s">
        <v>284</v>
      </c>
      <c r="AG105" t="s">
        <v>0</v>
      </c>
      <c r="AH105" t="s">
        <v>307</v>
      </c>
      <c r="AI105" t="str">
        <f t="shared" si="47"/>
        <v xml:space="preserve"> </v>
      </c>
      <c r="AJ105" t="s">
        <v>284</v>
      </c>
      <c r="AK105" t="s">
        <v>0</v>
      </c>
      <c r="AM105" t="str">
        <f>"06"</f>
        <v>06</v>
      </c>
      <c r="AN105" t="str">
        <f t="shared" si="55"/>
        <v xml:space="preserve"> </v>
      </c>
      <c r="AO105" t="str">
        <f t="shared" si="59"/>
        <v xml:space="preserve"> </v>
      </c>
      <c r="AP105" t="str">
        <f t="shared" si="59"/>
        <v xml:space="preserve"> </v>
      </c>
      <c r="AQ105" t="str">
        <f t="shared" si="59"/>
        <v xml:space="preserve"> </v>
      </c>
      <c r="AR105" t="str">
        <f t="shared" si="59"/>
        <v xml:space="preserve"> </v>
      </c>
      <c r="AS105" t="str">
        <f>"0170910261"</f>
        <v>0170910261</v>
      </c>
      <c r="AT105" t="s">
        <v>309</v>
      </c>
      <c r="AU105" t="s">
        <v>0</v>
      </c>
      <c r="AV105" t="s">
        <v>0</v>
      </c>
    </row>
    <row r="106" spans="1:48">
      <c r="A106" t="str">
        <f t="shared" si="60"/>
        <v>00106074</v>
      </c>
      <c r="B106" t="str">
        <f t="shared" si="61"/>
        <v>00106986</v>
      </c>
      <c r="C106" s="25">
        <v>42997</v>
      </c>
      <c r="D106" t="s">
        <v>146</v>
      </c>
      <c r="E106" t="str">
        <f t="shared" si="62"/>
        <v>KOUASSI Nicole Flora</v>
      </c>
      <c r="F106" t="str">
        <f t="shared" si="63"/>
        <v>02252-UNDP (Direct Execution)</v>
      </c>
      <c r="G106" t="s">
        <v>147</v>
      </c>
      <c r="H106" t="s">
        <v>315</v>
      </c>
      <c r="I106" t="s">
        <v>0</v>
      </c>
      <c r="J106" s="26" t="s">
        <v>308</v>
      </c>
      <c r="K106" t="s">
        <v>168</v>
      </c>
      <c r="L106" t="s">
        <v>403</v>
      </c>
      <c r="M106" t="s">
        <v>198</v>
      </c>
      <c r="N106" t="str">
        <f t="shared" si="56"/>
        <v xml:space="preserve"> </v>
      </c>
      <c r="O106" t="str">
        <f>"0000009949"</f>
        <v>0000009949</v>
      </c>
      <c r="P106" t="s">
        <v>199</v>
      </c>
      <c r="Q106" s="25">
        <v>43258</v>
      </c>
      <c r="R106" t="str">
        <f t="shared" si="64"/>
        <v>NER10</v>
      </c>
      <c r="S106" t="s">
        <v>153</v>
      </c>
      <c r="T106" t="s">
        <v>154</v>
      </c>
      <c r="U106" t="str">
        <f t="shared" si="65"/>
        <v>001981</v>
      </c>
      <c r="V106" t="str">
        <f t="shared" si="66"/>
        <v>30000</v>
      </c>
      <c r="W106" t="str">
        <f t="shared" si="67"/>
        <v>11363</v>
      </c>
      <c r="X106" t="str">
        <f t="shared" si="58"/>
        <v>71615</v>
      </c>
      <c r="Y106" t="s">
        <v>310</v>
      </c>
      <c r="Z106" t="s">
        <v>155</v>
      </c>
      <c r="AA106" t="s">
        <v>455</v>
      </c>
      <c r="AB106" t="str">
        <f>"0000007294"</f>
        <v>0000007294</v>
      </c>
      <c r="AC106" t="s">
        <v>316</v>
      </c>
      <c r="AD106" t="s">
        <v>156</v>
      </c>
      <c r="AE106" t="str">
        <f t="shared" si="57"/>
        <v>NER10</v>
      </c>
      <c r="AF106" t="s">
        <v>284</v>
      </c>
      <c r="AG106" t="s">
        <v>0</v>
      </c>
      <c r="AH106" t="s">
        <v>307</v>
      </c>
      <c r="AI106" t="str">
        <f t="shared" si="47"/>
        <v xml:space="preserve"> </v>
      </c>
      <c r="AJ106" t="s">
        <v>284</v>
      </c>
      <c r="AK106" t="s">
        <v>0</v>
      </c>
      <c r="AM106" t="str">
        <f>"06"</f>
        <v>06</v>
      </c>
      <c r="AN106" t="str">
        <f t="shared" si="55"/>
        <v xml:space="preserve"> </v>
      </c>
      <c r="AO106" t="str">
        <f t="shared" si="59"/>
        <v xml:space="preserve"> </v>
      </c>
      <c r="AP106" t="str">
        <f t="shared" si="59"/>
        <v xml:space="preserve"> </v>
      </c>
      <c r="AQ106" t="str">
        <f t="shared" si="59"/>
        <v xml:space="preserve"> </v>
      </c>
      <c r="AR106" t="str">
        <f t="shared" si="59"/>
        <v xml:space="preserve"> </v>
      </c>
      <c r="AS106" t="str">
        <f>"0170910261"</f>
        <v>0170910261</v>
      </c>
      <c r="AT106" t="s">
        <v>309</v>
      </c>
      <c r="AU106" t="s">
        <v>0</v>
      </c>
      <c r="AV106" t="s">
        <v>0</v>
      </c>
    </row>
    <row r="107" spans="1:48">
      <c r="A107" t="str">
        <f t="shared" si="60"/>
        <v>00106074</v>
      </c>
      <c r="B107" t="str">
        <f t="shared" si="61"/>
        <v>00106986</v>
      </c>
      <c r="C107" s="25">
        <v>42997</v>
      </c>
      <c r="D107" t="s">
        <v>146</v>
      </c>
      <c r="E107" t="str">
        <f t="shared" si="62"/>
        <v>KOUASSI Nicole Flora</v>
      </c>
      <c r="F107" t="str">
        <f t="shared" si="63"/>
        <v>02252-UNDP (Direct Execution)</v>
      </c>
      <c r="G107" t="s">
        <v>147</v>
      </c>
      <c r="H107" t="s">
        <v>315</v>
      </c>
      <c r="I107" t="s">
        <v>0</v>
      </c>
      <c r="J107" s="26" t="s">
        <v>308</v>
      </c>
      <c r="K107" t="s">
        <v>168</v>
      </c>
      <c r="L107" t="s">
        <v>298</v>
      </c>
      <c r="M107" t="s">
        <v>198</v>
      </c>
      <c r="N107" t="str">
        <f t="shared" si="56"/>
        <v xml:space="preserve"> </v>
      </c>
      <c r="O107" t="str">
        <f>"0000009949"</f>
        <v>0000009949</v>
      </c>
      <c r="P107" t="s">
        <v>199</v>
      </c>
      <c r="Q107" s="25">
        <v>43258</v>
      </c>
      <c r="R107" t="str">
        <f t="shared" si="64"/>
        <v>NER10</v>
      </c>
      <c r="S107" t="s">
        <v>153</v>
      </c>
      <c r="T107" t="s">
        <v>154</v>
      </c>
      <c r="U107" t="str">
        <f t="shared" si="65"/>
        <v>001981</v>
      </c>
      <c r="V107" t="str">
        <f t="shared" si="66"/>
        <v>30000</v>
      </c>
      <c r="W107" t="str">
        <f t="shared" si="67"/>
        <v>11363</v>
      </c>
      <c r="X107" t="str">
        <f t="shared" si="58"/>
        <v>71615</v>
      </c>
      <c r="Y107" t="s">
        <v>310</v>
      </c>
      <c r="Z107" t="s">
        <v>155</v>
      </c>
      <c r="AA107" t="s">
        <v>455</v>
      </c>
      <c r="AB107" t="str">
        <f>"0000007294"</f>
        <v>0000007294</v>
      </c>
      <c r="AC107" t="s">
        <v>316</v>
      </c>
      <c r="AD107" t="s">
        <v>156</v>
      </c>
      <c r="AE107" t="str">
        <f t="shared" si="57"/>
        <v>NER10</v>
      </c>
      <c r="AF107" t="s">
        <v>284</v>
      </c>
      <c r="AG107" t="s">
        <v>0</v>
      </c>
      <c r="AH107" t="s">
        <v>307</v>
      </c>
      <c r="AI107" t="str">
        <f t="shared" si="47"/>
        <v xml:space="preserve"> </v>
      </c>
      <c r="AJ107" t="s">
        <v>284</v>
      </c>
      <c r="AK107" t="s">
        <v>0</v>
      </c>
      <c r="AM107" t="str">
        <f>"04"</f>
        <v>04</v>
      </c>
      <c r="AN107" t="str">
        <f t="shared" si="55"/>
        <v xml:space="preserve"> </v>
      </c>
      <c r="AO107" t="str">
        <f t="shared" si="59"/>
        <v xml:space="preserve"> </v>
      </c>
      <c r="AP107" t="str">
        <f t="shared" si="59"/>
        <v xml:space="preserve"> </v>
      </c>
      <c r="AQ107" t="str">
        <f t="shared" si="59"/>
        <v xml:space="preserve"> </v>
      </c>
      <c r="AR107" t="str">
        <f t="shared" si="59"/>
        <v xml:space="preserve"> </v>
      </c>
      <c r="AS107" t="str">
        <f>"0170910261"</f>
        <v>0170910261</v>
      </c>
      <c r="AT107" t="s">
        <v>309</v>
      </c>
      <c r="AU107" t="s">
        <v>0</v>
      </c>
      <c r="AV107" t="s">
        <v>0</v>
      </c>
    </row>
    <row r="108" spans="1:48">
      <c r="A108" t="str">
        <f t="shared" si="60"/>
        <v>00106074</v>
      </c>
      <c r="B108" t="str">
        <f t="shared" si="61"/>
        <v>00106986</v>
      </c>
      <c r="C108" s="25">
        <v>42997</v>
      </c>
      <c r="D108" t="s">
        <v>146</v>
      </c>
      <c r="E108" t="str">
        <f t="shared" si="62"/>
        <v>KOUASSI Nicole Flora</v>
      </c>
      <c r="F108" t="str">
        <f t="shared" si="63"/>
        <v>02252-UNDP (Direct Execution)</v>
      </c>
      <c r="G108" t="s">
        <v>147</v>
      </c>
      <c r="H108" t="s">
        <v>306</v>
      </c>
      <c r="I108" t="s">
        <v>0</v>
      </c>
      <c r="J108" s="26" t="s">
        <v>313</v>
      </c>
      <c r="K108" t="s">
        <v>168</v>
      </c>
      <c r="L108" t="s">
        <v>403</v>
      </c>
      <c r="M108" t="s">
        <v>198</v>
      </c>
      <c r="N108" t="str">
        <f t="shared" si="56"/>
        <v xml:space="preserve"> </v>
      </c>
      <c r="O108" t="str">
        <f>"0000009950"</f>
        <v>0000009950</v>
      </c>
      <c r="P108" t="s">
        <v>199</v>
      </c>
      <c r="Q108" s="25">
        <v>43258</v>
      </c>
      <c r="R108" t="str">
        <f t="shared" si="64"/>
        <v>NER10</v>
      </c>
      <c r="S108" t="s">
        <v>153</v>
      </c>
      <c r="T108" t="s">
        <v>154</v>
      </c>
      <c r="U108" t="str">
        <f t="shared" si="65"/>
        <v>001981</v>
      </c>
      <c r="V108" t="str">
        <f t="shared" si="66"/>
        <v>30000</v>
      </c>
      <c r="W108" t="str">
        <f t="shared" si="67"/>
        <v>11363</v>
      </c>
      <c r="X108" t="str">
        <f t="shared" si="58"/>
        <v>71615</v>
      </c>
      <c r="Y108" t="s">
        <v>314</v>
      </c>
      <c r="Z108" t="s">
        <v>155</v>
      </c>
      <c r="AA108" t="s">
        <v>455</v>
      </c>
      <c r="AB108" t="str">
        <f>"0000004947"</f>
        <v>0000004947</v>
      </c>
      <c r="AC108" t="s">
        <v>311</v>
      </c>
      <c r="AD108" t="s">
        <v>156</v>
      </c>
      <c r="AE108" t="str">
        <f t="shared" si="57"/>
        <v>NER10</v>
      </c>
      <c r="AF108" t="s">
        <v>284</v>
      </c>
      <c r="AG108" t="s">
        <v>0</v>
      </c>
      <c r="AH108" t="s">
        <v>307</v>
      </c>
      <c r="AI108" t="str">
        <f t="shared" ref="AI108:AI126" si="68">" "</f>
        <v xml:space="preserve"> </v>
      </c>
      <c r="AJ108" t="s">
        <v>284</v>
      </c>
      <c r="AK108" t="s">
        <v>0</v>
      </c>
      <c r="AM108" t="str">
        <f>"06"</f>
        <v>06</v>
      </c>
      <c r="AN108" t="str">
        <f t="shared" si="55"/>
        <v xml:space="preserve"> </v>
      </c>
      <c r="AO108" t="str">
        <f t="shared" si="59"/>
        <v xml:space="preserve"> </v>
      </c>
      <c r="AP108" t="str">
        <f t="shared" si="59"/>
        <v xml:space="preserve"> </v>
      </c>
      <c r="AQ108" t="str">
        <f t="shared" si="59"/>
        <v xml:space="preserve"> </v>
      </c>
      <c r="AR108" t="str">
        <f t="shared" si="59"/>
        <v xml:space="preserve"> </v>
      </c>
      <c r="AS108" t="str">
        <f>"0170923714"</f>
        <v>0170923714</v>
      </c>
      <c r="AT108" t="s">
        <v>309</v>
      </c>
      <c r="AU108" t="s">
        <v>0</v>
      </c>
      <c r="AV108" t="s">
        <v>0</v>
      </c>
    </row>
    <row r="109" spans="1:48">
      <c r="A109" t="str">
        <f t="shared" si="60"/>
        <v>00106074</v>
      </c>
      <c r="B109" t="str">
        <f t="shared" si="61"/>
        <v>00106986</v>
      </c>
      <c r="C109" s="25">
        <v>42997</v>
      </c>
      <c r="D109" t="s">
        <v>146</v>
      </c>
      <c r="E109" t="str">
        <f t="shared" si="62"/>
        <v>KOUASSI Nicole Flora</v>
      </c>
      <c r="F109" t="str">
        <f t="shared" si="63"/>
        <v>02252-UNDP (Direct Execution)</v>
      </c>
      <c r="G109" t="s">
        <v>147</v>
      </c>
      <c r="H109" t="s">
        <v>306</v>
      </c>
      <c r="I109" t="s">
        <v>0</v>
      </c>
      <c r="J109" s="26" t="s">
        <v>308</v>
      </c>
      <c r="K109" t="s">
        <v>168</v>
      </c>
      <c r="L109" t="s">
        <v>298</v>
      </c>
      <c r="M109" t="s">
        <v>198</v>
      </c>
      <c r="N109" t="str">
        <f t="shared" si="56"/>
        <v xml:space="preserve"> </v>
      </c>
      <c r="O109" t="str">
        <f>"0000009950"</f>
        <v>0000009950</v>
      </c>
      <c r="P109" t="s">
        <v>199</v>
      </c>
      <c r="Q109" s="25">
        <v>43258</v>
      </c>
      <c r="R109" t="str">
        <f t="shared" si="64"/>
        <v>NER10</v>
      </c>
      <c r="S109" t="s">
        <v>153</v>
      </c>
      <c r="T109" t="s">
        <v>154</v>
      </c>
      <c r="U109" t="str">
        <f t="shared" si="65"/>
        <v>001981</v>
      </c>
      <c r="V109" t="str">
        <f t="shared" si="66"/>
        <v>30000</v>
      </c>
      <c r="W109" t="str">
        <f t="shared" si="67"/>
        <v>11363</v>
      </c>
      <c r="X109" t="str">
        <f t="shared" si="58"/>
        <v>71615</v>
      </c>
      <c r="Y109" t="s">
        <v>310</v>
      </c>
      <c r="Z109" t="s">
        <v>155</v>
      </c>
      <c r="AA109" t="s">
        <v>455</v>
      </c>
      <c r="AB109" t="str">
        <f>"0000004947"</f>
        <v>0000004947</v>
      </c>
      <c r="AC109" t="s">
        <v>311</v>
      </c>
      <c r="AD109" t="s">
        <v>156</v>
      </c>
      <c r="AE109" t="str">
        <f t="shared" si="57"/>
        <v>NER10</v>
      </c>
      <c r="AF109" t="s">
        <v>284</v>
      </c>
      <c r="AG109" t="s">
        <v>0</v>
      </c>
      <c r="AH109" t="s">
        <v>307</v>
      </c>
      <c r="AI109" t="str">
        <f t="shared" si="68"/>
        <v xml:space="preserve"> </v>
      </c>
      <c r="AJ109" t="s">
        <v>284</v>
      </c>
      <c r="AK109" t="s">
        <v>0</v>
      </c>
      <c r="AM109" t="str">
        <f>"04"</f>
        <v>04</v>
      </c>
      <c r="AN109" t="str">
        <f t="shared" si="55"/>
        <v xml:space="preserve"> </v>
      </c>
      <c r="AO109" t="str">
        <f t="shared" si="59"/>
        <v xml:space="preserve"> </v>
      </c>
      <c r="AP109" t="str">
        <f t="shared" si="59"/>
        <v xml:space="preserve"> </v>
      </c>
      <c r="AQ109" t="str">
        <f t="shared" si="59"/>
        <v xml:space="preserve"> </v>
      </c>
      <c r="AR109" t="str">
        <f t="shared" si="59"/>
        <v xml:space="preserve"> </v>
      </c>
      <c r="AS109" t="str">
        <f>"0170923714"</f>
        <v>0170923714</v>
      </c>
      <c r="AT109" t="s">
        <v>309</v>
      </c>
      <c r="AU109" t="s">
        <v>0</v>
      </c>
      <c r="AV109" t="s">
        <v>0</v>
      </c>
    </row>
    <row r="110" spans="1:48">
      <c r="A110" t="str">
        <f t="shared" si="60"/>
        <v>00106074</v>
      </c>
      <c r="B110" t="str">
        <f t="shared" si="61"/>
        <v>00106986</v>
      </c>
      <c r="C110" s="25">
        <v>42997</v>
      </c>
      <c r="D110" t="s">
        <v>146</v>
      </c>
      <c r="E110" t="str">
        <f t="shared" si="62"/>
        <v>KOUASSI Nicole Flora</v>
      </c>
      <c r="F110" t="str">
        <f t="shared" si="63"/>
        <v>02252-UNDP (Direct Execution)</v>
      </c>
      <c r="G110" t="s">
        <v>147</v>
      </c>
      <c r="H110" t="s">
        <v>306</v>
      </c>
      <c r="I110" t="s">
        <v>0</v>
      </c>
      <c r="J110" s="26" t="s">
        <v>308</v>
      </c>
      <c r="K110" t="s">
        <v>168</v>
      </c>
      <c r="L110" t="s">
        <v>403</v>
      </c>
      <c r="M110" t="s">
        <v>198</v>
      </c>
      <c r="N110" t="str">
        <f t="shared" si="56"/>
        <v xml:space="preserve"> </v>
      </c>
      <c r="O110" t="str">
        <f>"0000009950"</f>
        <v>0000009950</v>
      </c>
      <c r="P110" t="s">
        <v>199</v>
      </c>
      <c r="Q110" s="25">
        <v>43258</v>
      </c>
      <c r="R110" t="str">
        <f t="shared" si="64"/>
        <v>NER10</v>
      </c>
      <c r="S110" t="s">
        <v>153</v>
      </c>
      <c r="T110" t="s">
        <v>154</v>
      </c>
      <c r="U110" t="str">
        <f t="shared" si="65"/>
        <v>001981</v>
      </c>
      <c r="V110" t="str">
        <f t="shared" si="66"/>
        <v>30000</v>
      </c>
      <c r="W110" t="str">
        <f t="shared" si="67"/>
        <v>11363</v>
      </c>
      <c r="X110" t="str">
        <f t="shared" si="58"/>
        <v>71615</v>
      </c>
      <c r="Y110" t="s">
        <v>310</v>
      </c>
      <c r="Z110" t="s">
        <v>155</v>
      </c>
      <c r="AA110" t="s">
        <v>455</v>
      </c>
      <c r="AB110" t="str">
        <f>"0000004947"</f>
        <v>0000004947</v>
      </c>
      <c r="AC110" t="s">
        <v>311</v>
      </c>
      <c r="AD110" t="s">
        <v>156</v>
      </c>
      <c r="AE110" t="str">
        <f t="shared" si="57"/>
        <v>NER10</v>
      </c>
      <c r="AF110" t="s">
        <v>284</v>
      </c>
      <c r="AG110" t="s">
        <v>0</v>
      </c>
      <c r="AH110" t="s">
        <v>307</v>
      </c>
      <c r="AI110" t="str">
        <f t="shared" si="68"/>
        <v xml:space="preserve"> </v>
      </c>
      <c r="AJ110" t="s">
        <v>284</v>
      </c>
      <c r="AK110" t="s">
        <v>0</v>
      </c>
      <c r="AM110" t="str">
        <f>"06"</f>
        <v>06</v>
      </c>
      <c r="AN110" t="str">
        <f t="shared" si="55"/>
        <v xml:space="preserve"> </v>
      </c>
      <c r="AO110" t="str">
        <f t="shared" si="59"/>
        <v xml:space="preserve"> </v>
      </c>
      <c r="AP110" t="str">
        <f t="shared" si="59"/>
        <v xml:space="preserve"> </v>
      </c>
      <c r="AQ110" t="str">
        <f t="shared" si="59"/>
        <v xml:space="preserve"> </v>
      </c>
      <c r="AR110" t="str">
        <f t="shared" si="59"/>
        <v xml:space="preserve"> </v>
      </c>
      <c r="AS110" t="str">
        <f>"0170923714"</f>
        <v>0170923714</v>
      </c>
      <c r="AT110" t="s">
        <v>309</v>
      </c>
      <c r="AU110" t="s">
        <v>0</v>
      </c>
      <c r="AV110" t="s">
        <v>0</v>
      </c>
    </row>
    <row r="111" spans="1:48">
      <c r="A111" t="str">
        <f t="shared" si="60"/>
        <v>00106074</v>
      </c>
      <c r="B111" t="str">
        <f t="shared" si="61"/>
        <v>00106986</v>
      </c>
      <c r="C111" s="25">
        <v>42997</v>
      </c>
      <c r="D111" t="s">
        <v>146</v>
      </c>
      <c r="E111" t="str">
        <f t="shared" si="62"/>
        <v>KOUASSI Nicole Flora</v>
      </c>
      <c r="F111" t="str">
        <f t="shared" si="63"/>
        <v>02252-UNDP (Direct Execution)</v>
      </c>
      <c r="G111" t="s">
        <v>147</v>
      </c>
      <c r="H111" t="s">
        <v>315</v>
      </c>
      <c r="I111" t="s">
        <v>0</v>
      </c>
      <c r="J111" s="26" t="s">
        <v>317</v>
      </c>
      <c r="K111" t="s">
        <v>168</v>
      </c>
      <c r="L111" t="s">
        <v>403</v>
      </c>
      <c r="M111" t="s">
        <v>198</v>
      </c>
      <c r="N111" t="str">
        <f t="shared" si="56"/>
        <v xml:space="preserve"> </v>
      </c>
      <c r="O111" t="str">
        <f>"0000009957"</f>
        <v>0000009957</v>
      </c>
      <c r="P111" t="s">
        <v>199</v>
      </c>
      <c r="Q111" s="25">
        <v>43258</v>
      </c>
      <c r="R111" t="str">
        <f t="shared" si="64"/>
        <v>NER10</v>
      </c>
      <c r="S111" t="s">
        <v>153</v>
      </c>
      <c r="T111" t="s">
        <v>154</v>
      </c>
      <c r="U111" t="str">
        <f t="shared" si="65"/>
        <v>001981</v>
      </c>
      <c r="V111" t="str">
        <f t="shared" si="66"/>
        <v>30000</v>
      </c>
      <c r="W111" t="str">
        <f t="shared" si="67"/>
        <v>11363</v>
      </c>
      <c r="X111" t="str">
        <f>"71620"</f>
        <v>71620</v>
      </c>
      <c r="Y111" t="s">
        <v>319</v>
      </c>
      <c r="Z111" t="s">
        <v>155</v>
      </c>
      <c r="AA111" t="s">
        <v>455</v>
      </c>
      <c r="AB111" t="str">
        <f>"0000007294"</f>
        <v>0000007294</v>
      </c>
      <c r="AC111" t="s">
        <v>316</v>
      </c>
      <c r="AD111" t="s">
        <v>156</v>
      </c>
      <c r="AE111" t="str">
        <f t="shared" si="57"/>
        <v>NER10</v>
      </c>
      <c r="AF111" t="s">
        <v>284</v>
      </c>
      <c r="AG111" t="s">
        <v>0</v>
      </c>
      <c r="AH111" t="s">
        <v>180</v>
      </c>
      <c r="AI111" t="str">
        <f t="shared" si="68"/>
        <v xml:space="preserve"> </v>
      </c>
      <c r="AJ111" t="s">
        <v>284</v>
      </c>
      <c r="AK111" t="s">
        <v>0</v>
      </c>
      <c r="AM111" t="str">
        <f>"06"</f>
        <v>06</v>
      </c>
      <c r="AN111" t="str">
        <f t="shared" si="55"/>
        <v xml:space="preserve"> </v>
      </c>
      <c r="AO111" t="str">
        <f t="shared" si="59"/>
        <v xml:space="preserve"> </v>
      </c>
      <c r="AP111" t="str">
        <f t="shared" si="59"/>
        <v xml:space="preserve"> </v>
      </c>
      <c r="AQ111" t="str">
        <f t="shared" si="59"/>
        <v xml:space="preserve"> </v>
      </c>
      <c r="AR111" t="str">
        <f t="shared" si="59"/>
        <v xml:space="preserve"> </v>
      </c>
      <c r="AS111" t="str">
        <f>"0171151423"</f>
        <v>0171151423</v>
      </c>
      <c r="AT111" t="s">
        <v>318</v>
      </c>
      <c r="AU111" t="s">
        <v>0</v>
      </c>
      <c r="AV111" t="s">
        <v>0</v>
      </c>
    </row>
    <row r="112" spans="1:48">
      <c r="A112" t="str">
        <f t="shared" si="60"/>
        <v>00106074</v>
      </c>
      <c r="B112" t="str">
        <f t="shared" si="61"/>
        <v>00106986</v>
      </c>
      <c r="C112" s="25">
        <v>42997</v>
      </c>
      <c r="D112" t="s">
        <v>146</v>
      </c>
      <c r="E112" t="str">
        <f t="shared" si="62"/>
        <v>KOUASSI Nicole Flora</v>
      </c>
      <c r="F112" t="str">
        <f t="shared" si="63"/>
        <v>02252-UNDP (Direct Execution)</v>
      </c>
      <c r="G112" t="s">
        <v>147</v>
      </c>
      <c r="H112" t="s">
        <v>315</v>
      </c>
      <c r="I112" t="s">
        <v>0</v>
      </c>
      <c r="J112" s="26" t="s">
        <v>321</v>
      </c>
      <c r="K112" t="s">
        <v>168</v>
      </c>
      <c r="L112" t="s">
        <v>403</v>
      </c>
      <c r="M112" t="s">
        <v>198</v>
      </c>
      <c r="N112" t="str">
        <f t="shared" si="56"/>
        <v xml:space="preserve"> </v>
      </c>
      <c r="O112" t="str">
        <f>"0000009957"</f>
        <v>0000009957</v>
      </c>
      <c r="P112" t="s">
        <v>199</v>
      </c>
      <c r="Q112" s="25">
        <v>43258</v>
      </c>
      <c r="R112" t="str">
        <f t="shared" si="64"/>
        <v>NER10</v>
      </c>
      <c r="S112" t="s">
        <v>153</v>
      </c>
      <c r="T112" t="s">
        <v>154</v>
      </c>
      <c r="U112" t="str">
        <f t="shared" si="65"/>
        <v>001981</v>
      </c>
      <c r="V112" t="str">
        <f t="shared" si="66"/>
        <v>30000</v>
      </c>
      <c r="W112" t="str">
        <f t="shared" si="67"/>
        <v>11363</v>
      </c>
      <c r="X112" t="str">
        <f>"71620"</f>
        <v>71620</v>
      </c>
      <c r="Y112" t="s">
        <v>322</v>
      </c>
      <c r="Z112" t="s">
        <v>155</v>
      </c>
      <c r="AA112" t="s">
        <v>455</v>
      </c>
      <c r="AB112" t="str">
        <f>"0000007294"</f>
        <v>0000007294</v>
      </c>
      <c r="AC112" t="s">
        <v>316</v>
      </c>
      <c r="AD112" t="s">
        <v>156</v>
      </c>
      <c r="AE112" t="str">
        <f t="shared" si="57"/>
        <v>NER10</v>
      </c>
      <c r="AF112" t="s">
        <v>284</v>
      </c>
      <c r="AG112" t="s">
        <v>0</v>
      </c>
      <c r="AH112" t="s">
        <v>180</v>
      </c>
      <c r="AI112" t="str">
        <f t="shared" si="68"/>
        <v xml:space="preserve"> </v>
      </c>
      <c r="AJ112" t="s">
        <v>284</v>
      </c>
      <c r="AK112" t="s">
        <v>0</v>
      </c>
      <c r="AM112" t="str">
        <f>"06"</f>
        <v>06</v>
      </c>
      <c r="AN112" t="str">
        <f t="shared" si="55"/>
        <v xml:space="preserve"> </v>
      </c>
      <c r="AO112" t="str">
        <f t="shared" si="59"/>
        <v xml:space="preserve"> </v>
      </c>
      <c r="AP112" t="str">
        <f t="shared" si="59"/>
        <v xml:space="preserve"> </v>
      </c>
      <c r="AQ112" t="str">
        <f t="shared" si="59"/>
        <v xml:space="preserve"> </v>
      </c>
      <c r="AR112" t="str">
        <f t="shared" si="59"/>
        <v xml:space="preserve"> </v>
      </c>
      <c r="AS112" t="str">
        <f>"0171151423"</f>
        <v>0171151423</v>
      </c>
      <c r="AT112" t="s">
        <v>318</v>
      </c>
      <c r="AU112" t="s">
        <v>0</v>
      </c>
      <c r="AV112" t="s">
        <v>0</v>
      </c>
    </row>
    <row r="113" spans="1:48">
      <c r="A113" t="str">
        <f t="shared" si="60"/>
        <v>00106074</v>
      </c>
      <c r="B113" t="str">
        <f t="shared" si="61"/>
        <v>00106986</v>
      </c>
      <c r="C113" s="25">
        <v>42997</v>
      </c>
      <c r="D113" t="s">
        <v>146</v>
      </c>
      <c r="E113" t="str">
        <f t="shared" si="62"/>
        <v>KOUASSI Nicole Flora</v>
      </c>
      <c r="F113" t="str">
        <f t="shared" si="63"/>
        <v>02252-UNDP (Direct Execution)</v>
      </c>
      <c r="G113" t="s">
        <v>147</v>
      </c>
      <c r="H113" t="s">
        <v>315</v>
      </c>
      <c r="I113" t="s">
        <v>0</v>
      </c>
      <c r="J113" s="26" t="s">
        <v>321</v>
      </c>
      <c r="K113" t="s">
        <v>168</v>
      </c>
      <c r="L113" t="s">
        <v>298</v>
      </c>
      <c r="M113" t="s">
        <v>198</v>
      </c>
      <c r="N113" t="str">
        <f t="shared" si="56"/>
        <v xml:space="preserve"> </v>
      </c>
      <c r="O113" t="str">
        <f>"0000009957"</f>
        <v>0000009957</v>
      </c>
      <c r="P113" t="s">
        <v>199</v>
      </c>
      <c r="Q113" s="25">
        <v>43258</v>
      </c>
      <c r="R113" t="str">
        <f t="shared" si="64"/>
        <v>NER10</v>
      </c>
      <c r="S113" t="s">
        <v>153</v>
      </c>
      <c r="T113" t="s">
        <v>154</v>
      </c>
      <c r="U113" t="str">
        <f t="shared" si="65"/>
        <v>001981</v>
      </c>
      <c r="V113" t="str">
        <f t="shared" si="66"/>
        <v>30000</v>
      </c>
      <c r="W113" t="str">
        <f t="shared" si="67"/>
        <v>11363</v>
      </c>
      <c r="X113" t="str">
        <f>"71620"</f>
        <v>71620</v>
      </c>
      <c r="Y113" t="s">
        <v>322</v>
      </c>
      <c r="Z113" t="s">
        <v>155</v>
      </c>
      <c r="AA113" t="s">
        <v>455</v>
      </c>
      <c r="AB113" t="str">
        <f>"0000007294"</f>
        <v>0000007294</v>
      </c>
      <c r="AC113" t="s">
        <v>316</v>
      </c>
      <c r="AD113" t="s">
        <v>156</v>
      </c>
      <c r="AE113" t="str">
        <f t="shared" si="57"/>
        <v>NER10</v>
      </c>
      <c r="AF113" t="s">
        <v>284</v>
      </c>
      <c r="AG113" t="s">
        <v>0</v>
      </c>
      <c r="AH113" t="s">
        <v>180</v>
      </c>
      <c r="AI113" t="str">
        <f t="shared" si="68"/>
        <v xml:space="preserve"> </v>
      </c>
      <c r="AJ113" t="s">
        <v>284</v>
      </c>
      <c r="AK113" t="s">
        <v>0</v>
      </c>
      <c r="AM113" t="str">
        <f>"04"</f>
        <v>04</v>
      </c>
      <c r="AN113" t="str">
        <f t="shared" si="55"/>
        <v xml:space="preserve"> </v>
      </c>
      <c r="AO113" t="str">
        <f t="shared" si="59"/>
        <v xml:space="preserve"> </v>
      </c>
      <c r="AP113" t="str">
        <f t="shared" si="59"/>
        <v xml:space="preserve"> </v>
      </c>
      <c r="AQ113" t="str">
        <f t="shared" si="59"/>
        <v xml:space="preserve"> </v>
      </c>
      <c r="AR113" t="str">
        <f t="shared" si="59"/>
        <v xml:space="preserve"> </v>
      </c>
      <c r="AS113" t="str">
        <f>"0171151423"</f>
        <v>0171151423</v>
      </c>
      <c r="AT113" t="s">
        <v>318</v>
      </c>
      <c r="AU113" t="s">
        <v>0</v>
      </c>
      <c r="AV113" t="s">
        <v>0</v>
      </c>
    </row>
    <row r="114" spans="1:48">
      <c r="A114" t="str">
        <f t="shared" si="60"/>
        <v>00106074</v>
      </c>
      <c r="B114" t="str">
        <f t="shared" si="61"/>
        <v>00106986</v>
      </c>
      <c r="C114" s="25">
        <v>42997</v>
      </c>
      <c r="D114" t="s">
        <v>146</v>
      </c>
      <c r="E114" t="str">
        <f t="shared" si="62"/>
        <v>KOUASSI Nicole Flora</v>
      </c>
      <c r="F114" t="str">
        <f t="shared" si="63"/>
        <v>02252-UNDP (Direct Execution)</v>
      </c>
      <c r="G114" t="s">
        <v>147</v>
      </c>
      <c r="H114" t="s">
        <v>335</v>
      </c>
      <c r="I114" t="s">
        <v>0</v>
      </c>
      <c r="J114" s="26" t="s">
        <v>456</v>
      </c>
      <c r="K114" t="s">
        <v>168</v>
      </c>
      <c r="L114" t="s">
        <v>325</v>
      </c>
      <c r="M114" t="s">
        <v>198</v>
      </c>
      <c r="N114" t="str">
        <f t="shared" si="56"/>
        <v xml:space="preserve"> </v>
      </c>
      <c r="O114" t="str">
        <f t="shared" ref="O114:O119" si="69">"0000009961"</f>
        <v>0000009961</v>
      </c>
      <c r="P114" t="s">
        <v>199</v>
      </c>
      <c r="Q114" s="25">
        <v>43281</v>
      </c>
      <c r="R114" t="str">
        <f t="shared" si="64"/>
        <v>NER10</v>
      </c>
      <c r="S114" t="s">
        <v>153</v>
      </c>
      <c r="T114" t="s">
        <v>154</v>
      </c>
      <c r="U114" t="str">
        <f t="shared" si="65"/>
        <v>001981</v>
      </c>
      <c r="V114" t="str">
        <f t="shared" si="66"/>
        <v>30000</v>
      </c>
      <c r="W114" t="str">
        <f t="shared" si="67"/>
        <v>11363</v>
      </c>
      <c r="X114" t="str">
        <f t="shared" ref="X114:X122" si="70">"72220"</f>
        <v>72220</v>
      </c>
      <c r="Y114" t="s">
        <v>352</v>
      </c>
      <c r="Z114" t="s">
        <v>155</v>
      </c>
      <c r="AA114" t="s">
        <v>405</v>
      </c>
      <c r="AB114" t="str">
        <f t="shared" ref="AB114:AB119" si="71">"0000006380"</f>
        <v>0000006380</v>
      </c>
      <c r="AC114" t="s">
        <v>341</v>
      </c>
      <c r="AD114" t="s">
        <v>156</v>
      </c>
      <c r="AE114" t="str">
        <f t="shared" si="57"/>
        <v>NER10</v>
      </c>
      <c r="AF114" t="s">
        <v>284</v>
      </c>
      <c r="AG114" t="s">
        <v>0</v>
      </c>
      <c r="AH114" t="s">
        <v>345</v>
      </c>
      <c r="AI114" t="str">
        <f t="shared" si="68"/>
        <v xml:space="preserve"> </v>
      </c>
      <c r="AJ114" t="s">
        <v>284</v>
      </c>
      <c r="AK114" t="s">
        <v>0</v>
      </c>
      <c r="AM114" t="str">
        <f>"05"</f>
        <v>05</v>
      </c>
      <c r="AN114" t="str">
        <f t="shared" si="55"/>
        <v xml:space="preserve"> </v>
      </c>
      <c r="AO114" t="str">
        <f t="shared" si="59"/>
        <v xml:space="preserve"> </v>
      </c>
      <c r="AP114" t="str">
        <f t="shared" si="59"/>
        <v xml:space="preserve"> </v>
      </c>
      <c r="AQ114" t="str">
        <f t="shared" si="59"/>
        <v xml:space="preserve"> </v>
      </c>
      <c r="AR114" t="str">
        <f t="shared" si="59"/>
        <v xml:space="preserve"> </v>
      </c>
      <c r="AS114" t="str">
        <f t="shared" ref="AS114:AS119" si="72">"0171284900"</f>
        <v>0171284900</v>
      </c>
      <c r="AT114" t="s">
        <v>457</v>
      </c>
      <c r="AU114" t="s">
        <v>0</v>
      </c>
      <c r="AV114" t="s">
        <v>0</v>
      </c>
    </row>
    <row r="115" spans="1:48">
      <c r="A115" t="str">
        <f t="shared" si="60"/>
        <v>00106074</v>
      </c>
      <c r="B115" t="str">
        <f t="shared" si="61"/>
        <v>00106986</v>
      </c>
      <c r="C115" s="25">
        <v>42997</v>
      </c>
      <c r="D115" t="s">
        <v>146</v>
      </c>
      <c r="E115" t="str">
        <f t="shared" si="62"/>
        <v>KOUASSI Nicole Flora</v>
      </c>
      <c r="F115" t="str">
        <f t="shared" si="63"/>
        <v>02252-UNDP (Direct Execution)</v>
      </c>
      <c r="G115" t="s">
        <v>147</v>
      </c>
      <c r="H115" t="s">
        <v>335</v>
      </c>
      <c r="I115" t="s">
        <v>0</v>
      </c>
      <c r="J115" s="26" t="s">
        <v>458</v>
      </c>
      <c r="K115" t="s">
        <v>168</v>
      </c>
      <c r="L115" t="s">
        <v>403</v>
      </c>
      <c r="M115" t="s">
        <v>198</v>
      </c>
      <c r="N115" t="str">
        <f t="shared" si="56"/>
        <v xml:space="preserve"> </v>
      </c>
      <c r="O115" t="str">
        <f t="shared" si="69"/>
        <v>0000009961</v>
      </c>
      <c r="P115" t="s">
        <v>199</v>
      </c>
      <c r="Q115" s="25">
        <v>43281</v>
      </c>
      <c r="R115" t="str">
        <f t="shared" si="64"/>
        <v>NER10</v>
      </c>
      <c r="S115" t="s">
        <v>153</v>
      </c>
      <c r="T115" t="s">
        <v>154</v>
      </c>
      <c r="U115" t="str">
        <f t="shared" si="65"/>
        <v>001981</v>
      </c>
      <c r="V115" t="str">
        <f t="shared" si="66"/>
        <v>30000</v>
      </c>
      <c r="W115" t="str">
        <f t="shared" si="67"/>
        <v>11363</v>
      </c>
      <c r="X115" t="str">
        <f t="shared" si="70"/>
        <v>72220</v>
      </c>
      <c r="Y115" t="s">
        <v>459</v>
      </c>
      <c r="Z115" t="s">
        <v>155</v>
      </c>
      <c r="AA115" t="s">
        <v>405</v>
      </c>
      <c r="AB115" t="str">
        <f t="shared" si="71"/>
        <v>0000006380</v>
      </c>
      <c r="AC115" t="s">
        <v>341</v>
      </c>
      <c r="AD115" t="s">
        <v>156</v>
      </c>
      <c r="AE115" t="str">
        <f t="shared" si="57"/>
        <v>NER10</v>
      </c>
      <c r="AF115" t="s">
        <v>284</v>
      </c>
      <c r="AG115" t="s">
        <v>0</v>
      </c>
      <c r="AH115" t="s">
        <v>336</v>
      </c>
      <c r="AI115" t="str">
        <f t="shared" si="68"/>
        <v xml:space="preserve"> </v>
      </c>
      <c r="AJ115" t="s">
        <v>284</v>
      </c>
      <c r="AK115" t="s">
        <v>0</v>
      </c>
      <c r="AM115" t="str">
        <f>"06"</f>
        <v>06</v>
      </c>
      <c r="AN115" t="str">
        <f t="shared" si="55"/>
        <v xml:space="preserve"> </v>
      </c>
      <c r="AO115" t="str">
        <f t="shared" si="59"/>
        <v xml:space="preserve"> </v>
      </c>
      <c r="AP115" t="str">
        <f t="shared" si="59"/>
        <v xml:space="preserve"> </v>
      </c>
      <c r="AQ115" t="str">
        <f t="shared" si="59"/>
        <v xml:space="preserve"> </v>
      </c>
      <c r="AR115" t="str">
        <f t="shared" si="59"/>
        <v xml:space="preserve"> </v>
      </c>
      <c r="AS115" t="str">
        <f t="shared" si="72"/>
        <v>0171284900</v>
      </c>
      <c r="AT115" t="s">
        <v>457</v>
      </c>
      <c r="AU115" t="s">
        <v>0</v>
      </c>
      <c r="AV115" t="s">
        <v>0</v>
      </c>
    </row>
    <row r="116" spans="1:48">
      <c r="A116" t="str">
        <f t="shared" si="60"/>
        <v>00106074</v>
      </c>
      <c r="B116" t="str">
        <f t="shared" si="61"/>
        <v>00106986</v>
      </c>
      <c r="C116" s="25">
        <v>42997</v>
      </c>
      <c r="D116" t="s">
        <v>146</v>
      </c>
      <c r="E116" t="str">
        <f t="shared" si="62"/>
        <v>KOUASSI Nicole Flora</v>
      </c>
      <c r="F116" t="str">
        <f t="shared" si="63"/>
        <v>02252-UNDP (Direct Execution)</v>
      </c>
      <c r="G116" t="s">
        <v>147</v>
      </c>
      <c r="H116" t="s">
        <v>335</v>
      </c>
      <c r="I116" t="s">
        <v>0</v>
      </c>
      <c r="J116" s="26" t="s">
        <v>351</v>
      </c>
      <c r="K116" t="s">
        <v>168</v>
      </c>
      <c r="L116" t="s">
        <v>403</v>
      </c>
      <c r="M116" t="s">
        <v>198</v>
      </c>
      <c r="N116" t="str">
        <f t="shared" si="56"/>
        <v xml:space="preserve"> </v>
      </c>
      <c r="O116" t="str">
        <f t="shared" si="69"/>
        <v>0000009961</v>
      </c>
      <c r="P116" t="s">
        <v>199</v>
      </c>
      <c r="Q116" s="25">
        <v>43281</v>
      </c>
      <c r="R116" t="str">
        <f t="shared" si="64"/>
        <v>NER10</v>
      </c>
      <c r="S116" t="s">
        <v>153</v>
      </c>
      <c r="T116" t="s">
        <v>154</v>
      </c>
      <c r="U116" t="str">
        <f t="shared" si="65"/>
        <v>001981</v>
      </c>
      <c r="V116" t="str">
        <f t="shared" si="66"/>
        <v>30000</v>
      </c>
      <c r="W116" t="str">
        <f t="shared" si="67"/>
        <v>11363</v>
      </c>
      <c r="X116" t="str">
        <f t="shared" si="70"/>
        <v>72220</v>
      </c>
      <c r="Y116" t="s">
        <v>460</v>
      </c>
      <c r="Z116" t="s">
        <v>155</v>
      </c>
      <c r="AA116" t="s">
        <v>405</v>
      </c>
      <c r="AB116" t="str">
        <f t="shared" si="71"/>
        <v>0000006380</v>
      </c>
      <c r="AC116" t="s">
        <v>341</v>
      </c>
      <c r="AD116" t="s">
        <v>156</v>
      </c>
      <c r="AE116" t="str">
        <f t="shared" si="57"/>
        <v>NER10</v>
      </c>
      <c r="AF116" t="s">
        <v>284</v>
      </c>
      <c r="AG116" t="s">
        <v>0</v>
      </c>
      <c r="AH116" t="s">
        <v>345</v>
      </c>
      <c r="AI116" t="str">
        <f t="shared" si="68"/>
        <v xml:space="preserve"> </v>
      </c>
      <c r="AJ116" t="s">
        <v>284</v>
      </c>
      <c r="AK116" t="s">
        <v>0</v>
      </c>
      <c r="AM116" t="str">
        <f>"06"</f>
        <v>06</v>
      </c>
      <c r="AN116" t="str">
        <f t="shared" si="55"/>
        <v xml:space="preserve"> </v>
      </c>
      <c r="AO116" t="str">
        <f t="shared" si="59"/>
        <v xml:space="preserve"> </v>
      </c>
      <c r="AP116" t="str">
        <f t="shared" si="59"/>
        <v xml:space="preserve"> </v>
      </c>
      <c r="AQ116" t="str">
        <f t="shared" si="59"/>
        <v xml:space="preserve"> </v>
      </c>
      <c r="AR116" t="str">
        <f t="shared" si="59"/>
        <v xml:space="preserve"> </v>
      </c>
      <c r="AS116" t="str">
        <f t="shared" si="72"/>
        <v>0171284900</v>
      </c>
      <c r="AT116" t="s">
        <v>457</v>
      </c>
      <c r="AU116" t="s">
        <v>0</v>
      </c>
      <c r="AV116" t="s">
        <v>0</v>
      </c>
    </row>
    <row r="117" spans="1:48">
      <c r="A117" t="str">
        <f t="shared" si="60"/>
        <v>00106074</v>
      </c>
      <c r="B117" t="str">
        <f t="shared" si="61"/>
        <v>00106986</v>
      </c>
      <c r="C117" s="25">
        <v>42997</v>
      </c>
      <c r="D117" t="s">
        <v>146</v>
      </c>
      <c r="E117" t="str">
        <f t="shared" si="62"/>
        <v>KOUASSI Nicole Flora</v>
      </c>
      <c r="F117" t="str">
        <f t="shared" si="63"/>
        <v>02252-UNDP (Direct Execution)</v>
      </c>
      <c r="G117" t="s">
        <v>147</v>
      </c>
      <c r="H117" t="s">
        <v>335</v>
      </c>
      <c r="I117" t="s">
        <v>0</v>
      </c>
      <c r="J117" s="26" t="s">
        <v>349</v>
      </c>
      <c r="K117" t="s">
        <v>168</v>
      </c>
      <c r="L117" t="s">
        <v>403</v>
      </c>
      <c r="M117" t="s">
        <v>198</v>
      </c>
      <c r="N117" t="str">
        <f t="shared" si="56"/>
        <v xml:space="preserve"> </v>
      </c>
      <c r="O117" t="str">
        <f t="shared" si="69"/>
        <v>0000009961</v>
      </c>
      <c r="P117" t="s">
        <v>199</v>
      </c>
      <c r="Q117" s="25">
        <v>43281</v>
      </c>
      <c r="R117" t="str">
        <f t="shared" si="64"/>
        <v>NER10</v>
      </c>
      <c r="S117" t="s">
        <v>153</v>
      </c>
      <c r="T117" t="s">
        <v>154</v>
      </c>
      <c r="U117" t="str">
        <f t="shared" si="65"/>
        <v>001981</v>
      </c>
      <c r="V117" t="str">
        <f t="shared" si="66"/>
        <v>30000</v>
      </c>
      <c r="W117" t="str">
        <f t="shared" si="67"/>
        <v>11363</v>
      </c>
      <c r="X117" t="str">
        <f t="shared" si="70"/>
        <v>72220</v>
      </c>
      <c r="Y117" t="s">
        <v>461</v>
      </c>
      <c r="Z117" t="s">
        <v>155</v>
      </c>
      <c r="AA117" t="s">
        <v>405</v>
      </c>
      <c r="AB117" t="str">
        <f t="shared" si="71"/>
        <v>0000006380</v>
      </c>
      <c r="AC117" t="s">
        <v>341</v>
      </c>
      <c r="AD117" t="s">
        <v>156</v>
      </c>
      <c r="AE117" t="str">
        <f t="shared" si="57"/>
        <v>NER10</v>
      </c>
      <c r="AF117" t="s">
        <v>284</v>
      </c>
      <c r="AG117" t="s">
        <v>0</v>
      </c>
      <c r="AH117" t="s">
        <v>336</v>
      </c>
      <c r="AI117" t="str">
        <f t="shared" si="68"/>
        <v xml:space="preserve"> </v>
      </c>
      <c r="AJ117" t="s">
        <v>284</v>
      </c>
      <c r="AK117" t="s">
        <v>0</v>
      </c>
      <c r="AM117" t="str">
        <f>"06"</f>
        <v>06</v>
      </c>
      <c r="AN117" t="str">
        <f t="shared" si="55"/>
        <v xml:space="preserve"> </v>
      </c>
      <c r="AO117" t="str">
        <f t="shared" si="59"/>
        <v xml:space="preserve"> </v>
      </c>
      <c r="AP117" t="str">
        <f t="shared" si="59"/>
        <v xml:space="preserve"> </v>
      </c>
      <c r="AQ117" t="str">
        <f t="shared" si="59"/>
        <v xml:space="preserve"> </v>
      </c>
      <c r="AR117" t="str">
        <f t="shared" si="59"/>
        <v xml:space="preserve"> </v>
      </c>
      <c r="AS117" t="str">
        <f t="shared" si="72"/>
        <v>0171284900</v>
      </c>
      <c r="AT117" t="s">
        <v>457</v>
      </c>
      <c r="AU117" t="s">
        <v>0</v>
      </c>
      <c r="AV117" t="s">
        <v>0</v>
      </c>
    </row>
    <row r="118" spans="1:48">
      <c r="A118" t="str">
        <f t="shared" si="60"/>
        <v>00106074</v>
      </c>
      <c r="B118" t="str">
        <f t="shared" si="61"/>
        <v>00106986</v>
      </c>
      <c r="C118" s="25">
        <v>42997</v>
      </c>
      <c r="D118" t="s">
        <v>146</v>
      </c>
      <c r="E118" t="str">
        <f t="shared" si="62"/>
        <v>KOUASSI Nicole Flora</v>
      </c>
      <c r="F118" t="str">
        <f t="shared" si="63"/>
        <v>02252-UNDP (Direct Execution)</v>
      </c>
      <c r="G118" t="s">
        <v>147</v>
      </c>
      <c r="H118" t="s">
        <v>335</v>
      </c>
      <c r="I118" t="s">
        <v>0</v>
      </c>
      <c r="J118" s="26" t="s">
        <v>462</v>
      </c>
      <c r="K118" t="s">
        <v>168</v>
      </c>
      <c r="L118" t="s">
        <v>403</v>
      </c>
      <c r="M118" t="s">
        <v>198</v>
      </c>
      <c r="N118" t="str">
        <f t="shared" si="56"/>
        <v xml:space="preserve"> </v>
      </c>
      <c r="O118" t="str">
        <f t="shared" si="69"/>
        <v>0000009961</v>
      </c>
      <c r="P118" t="s">
        <v>199</v>
      </c>
      <c r="Q118" s="25">
        <v>43281</v>
      </c>
      <c r="R118" t="str">
        <f t="shared" si="64"/>
        <v>NER10</v>
      </c>
      <c r="S118" t="s">
        <v>153</v>
      </c>
      <c r="T118" t="s">
        <v>154</v>
      </c>
      <c r="U118" t="str">
        <f t="shared" si="65"/>
        <v>001981</v>
      </c>
      <c r="V118" t="str">
        <f t="shared" si="66"/>
        <v>30000</v>
      </c>
      <c r="W118" t="str">
        <f t="shared" si="67"/>
        <v>11363</v>
      </c>
      <c r="X118" t="str">
        <f t="shared" si="70"/>
        <v>72220</v>
      </c>
      <c r="Y118" t="s">
        <v>463</v>
      </c>
      <c r="Z118" t="s">
        <v>155</v>
      </c>
      <c r="AA118" t="s">
        <v>405</v>
      </c>
      <c r="AB118" t="str">
        <f t="shared" si="71"/>
        <v>0000006380</v>
      </c>
      <c r="AC118" t="s">
        <v>341</v>
      </c>
      <c r="AD118" t="s">
        <v>156</v>
      </c>
      <c r="AE118" t="str">
        <f t="shared" si="57"/>
        <v>NER10</v>
      </c>
      <c r="AF118" t="s">
        <v>284</v>
      </c>
      <c r="AG118" t="s">
        <v>0</v>
      </c>
      <c r="AH118" t="s">
        <v>345</v>
      </c>
      <c r="AI118" t="str">
        <f t="shared" si="68"/>
        <v xml:space="preserve"> </v>
      </c>
      <c r="AJ118" t="s">
        <v>284</v>
      </c>
      <c r="AK118" t="s">
        <v>0</v>
      </c>
      <c r="AM118" t="str">
        <f>"06"</f>
        <v>06</v>
      </c>
      <c r="AN118" t="str">
        <f t="shared" si="55"/>
        <v xml:space="preserve"> </v>
      </c>
      <c r="AO118" t="str">
        <f t="shared" si="59"/>
        <v xml:space="preserve"> </v>
      </c>
      <c r="AP118" t="str">
        <f t="shared" si="59"/>
        <v xml:space="preserve"> </v>
      </c>
      <c r="AQ118" t="str">
        <f t="shared" si="59"/>
        <v xml:space="preserve"> </v>
      </c>
      <c r="AR118" t="str">
        <f t="shared" si="59"/>
        <v xml:space="preserve"> </v>
      </c>
      <c r="AS118" t="str">
        <f t="shared" si="72"/>
        <v>0171284900</v>
      </c>
      <c r="AT118" t="s">
        <v>457</v>
      </c>
      <c r="AU118" t="s">
        <v>0</v>
      </c>
      <c r="AV118" t="s">
        <v>0</v>
      </c>
    </row>
    <row r="119" spans="1:48">
      <c r="A119" t="str">
        <f t="shared" si="60"/>
        <v>00106074</v>
      </c>
      <c r="B119" t="str">
        <f t="shared" si="61"/>
        <v>00106986</v>
      </c>
      <c r="C119" s="25">
        <v>42997</v>
      </c>
      <c r="D119" t="s">
        <v>146</v>
      </c>
      <c r="E119" t="str">
        <f t="shared" si="62"/>
        <v>KOUASSI Nicole Flora</v>
      </c>
      <c r="F119" t="str">
        <f t="shared" si="63"/>
        <v>02252-UNDP (Direct Execution)</v>
      </c>
      <c r="G119" t="s">
        <v>147</v>
      </c>
      <c r="H119" t="s">
        <v>335</v>
      </c>
      <c r="I119" t="s">
        <v>0</v>
      </c>
      <c r="J119" s="26" t="s">
        <v>464</v>
      </c>
      <c r="K119" t="s">
        <v>168</v>
      </c>
      <c r="L119" t="s">
        <v>325</v>
      </c>
      <c r="M119" t="s">
        <v>198</v>
      </c>
      <c r="N119" t="str">
        <f t="shared" si="56"/>
        <v xml:space="preserve"> </v>
      </c>
      <c r="O119" t="str">
        <f t="shared" si="69"/>
        <v>0000009961</v>
      </c>
      <c r="P119" t="s">
        <v>199</v>
      </c>
      <c r="Q119" s="25">
        <v>43281</v>
      </c>
      <c r="R119" t="str">
        <f t="shared" si="64"/>
        <v>NER10</v>
      </c>
      <c r="S119" t="s">
        <v>153</v>
      </c>
      <c r="T119" t="s">
        <v>154</v>
      </c>
      <c r="U119" t="str">
        <f t="shared" si="65"/>
        <v>001981</v>
      </c>
      <c r="V119" t="str">
        <f t="shared" si="66"/>
        <v>30000</v>
      </c>
      <c r="W119" t="str">
        <f t="shared" si="67"/>
        <v>11363</v>
      </c>
      <c r="X119" t="str">
        <f t="shared" si="70"/>
        <v>72220</v>
      </c>
      <c r="Y119" t="s">
        <v>350</v>
      </c>
      <c r="Z119" t="s">
        <v>155</v>
      </c>
      <c r="AA119" t="s">
        <v>405</v>
      </c>
      <c r="AB119" t="str">
        <f t="shared" si="71"/>
        <v>0000006380</v>
      </c>
      <c r="AC119" t="s">
        <v>341</v>
      </c>
      <c r="AD119" t="s">
        <v>156</v>
      </c>
      <c r="AE119" t="str">
        <f t="shared" si="57"/>
        <v>NER10</v>
      </c>
      <c r="AF119" t="s">
        <v>284</v>
      </c>
      <c r="AG119" t="s">
        <v>0</v>
      </c>
      <c r="AH119" t="s">
        <v>336</v>
      </c>
      <c r="AI119" t="str">
        <f t="shared" si="68"/>
        <v xml:space="preserve"> </v>
      </c>
      <c r="AJ119" t="s">
        <v>284</v>
      </c>
      <c r="AK119" t="s">
        <v>0</v>
      </c>
      <c r="AM119" t="str">
        <f>"05"</f>
        <v>05</v>
      </c>
      <c r="AN119" t="str">
        <f t="shared" si="55"/>
        <v xml:space="preserve"> </v>
      </c>
      <c r="AO119" t="str">
        <f t="shared" si="59"/>
        <v xml:space="preserve"> </v>
      </c>
      <c r="AP119" t="str">
        <f t="shared" si="59"/>
        <v xml:space="preserve"> </v>
      </c>
      <c r="AQ119" t="str">
        <f t="shared" si="59"/>
        <v xml:space="preserve"> </v>
      </c>
      <c r="AR119" t="str">
        <f t="shared" si="59"/>
        <v xml:space="preserve"> </v>
      </c>
      <c r="AS119" t="str">
        <f t="shared" si="72"/>
        <v>0171284900</v>
      </c>
      <c r="AT119" t="s">
        <v>457</v>
      </c>
      <c r="AU119" t="s">
        <v>0</v>
      </c>
      <c r="AV119" t="s">
        <v>0</v>
      </c>
    </row>
    <row r="120" spans="1:48">
      <c r="A120" t="str">
        <f t="shared" si="60"/>
        <v>00106074</v>
      </c>
      <c r="B120" t="str">
        <f t="shared" si="61"/>
        <v>00106986</v>
      </c>
      <c r="C120" s="25">
        <v>42997</v>
      </c>
      <c r="D120" t="s">
        <v>146</v>
      </c>
      <c r="E120" t="str">
        <f t="shared" si="62"/>
        <v>KOUASSI Nicole Flora</v>
      </c>
      <c r="F120" t="str">
        <f t="shared" si="63"/>
        <v>02252-UNDP (Direct Execution)</v>
      </c>
      <c r="G120" t="s">
        <v>147</v>
      </c>
      <c r="H120" t="s">
        <v>353</v>
      </c>
      <c r="I120" t="s">
        <v>0</v>
      </c>
      <c r="J120" s="26" t="s">
        <v>354</v>
      </c>
      <c r="K120" t="s">
        <v>168</v>
      </c>
      <c r="L120" t="s">
        <v>325</v>
      </c>
      <c r="M120" t="s">
        <v>198</v>
      </c>
      <c r="N120" t="str">
        <f t="shared" si="56"/>
        <v xml:space="preserve"> </v>
      </c>
      <c r="O120" t="str">
        <f>"0000009962"</f>
        <v>0000009962</v>
      </c>
      <c r="P120" t="s">
        <v>199</v>
      </c>
      <c r="Q120" s="25">
        <v>43281</v>
      </c>
      <c r="R120" t="str">
        <f t="shared" si="64"/>
        <v>NER10</v>
      </c>
      <c r="S120" t="s">
        <v>153</v>
      </c>
      <c r="T120" t="s">
        <v>154</v>
      </c>
      <c r="U120" t="str">
        <f t="shared" si="65"/>
        <v>001981</v>
      </c>
      <c r="V120" t="str">
        <f t="shared" si="66"/>
        <v>30000</v>
      </c>
      <c r="W120" t="str">
        <f t="shared" si="67"/>
        <v>11363</v>
      </c>
      <c r="X120" t="str">
        <f t="shared" si="70"/>
        <v>72220</v>
      </c>
      <c r="Y120" t="s">
        <v>355</v>
      </c>
      <c r="Z120" t="s">
        <v>155</v>
      </c>
      <c r="AA120" t="s">
        <v>405</v>
      </c>
      <c r="AB120" t="str">
        <f>"0000000154"</f>
        <v>0000000154</v>
      </c>
      <c r="AC120" t="s">
        <v>156</v>
      </c>
      <c r="AD120" t="s">
        <v>156</v>
      </c>
      <c r="AE120" t="str">
        <f t="shared" si="57"/>
        <v>NER10</v>
      </c>
      <c r="AF120" t="s">
        <v>284</v>
      </c>
      <c r="AG120" t="s">
        <v>0</v>
      </c>
      <c r="AH120" t="s">
        <v>345</v>
      </c>
      <c r="AI120" t="str">
        <f t="shared" si="68"/>
        <v xml:space="preserve"> </v>
      </c>
      <c r="AJ120" t="s">
        <v>284</v>
      </c>
      <c r="AK120" t="s">
        <v>0</v>
      </c>
      <c r="AM120" t="str">
        <f>"05"</f>
        <v>05</v>
      </c>
      <c r="AN120" t="str">
        <f t="shared" si="55"/>
        <v xml:space="preserve"> </v>
      </c>
      <c r="AO120" t="str">
        <f t="shared" si="59"/>
        <v xml:space="preserve"> </v>
      </c>
      <c r="AP120" t="str">
        <f t="shared" si="59"/>
        <v xml:space="preserve"> </v>
      </c>
      <c r="AQ120" t="str">
        <f t="shared" si="59"/>
        <v xml:space="preserve"> </v>
      </c>
      <c r="AR120" t="str">
        <f t="shared" si="59"/>
        <v xml:space="preserve"> </v>
      </c>
      <c r="AS120" t="str">
        <f>"0171285118"</f>
        <v>0171285118</v>
      </c>
      <c r="AT120" t="s">
        <v>457</v>
      </c>
      <c r="AU120" t="s">
        <v>0</v>
      </c>
      <c r="AV120" t="s">
        <v>0</v>
      </c>
    </row>
    <row r="121" spans="1:48">
      <c r="A121" t="str">
        <f t="shared" si="60"/>
        <v>00106074</v>
      </c>
      <c r="B121" t="str">
        <f t="shared" si="61"/>
        <v>00106986</v>
      </c>
      <c r="C121" s="25">
        <v>42997</v>
      </c>
      <c r="D121" t="s">
        <v>146</v>
      </c>
      <c r="E121" t="str">
        <f t="shared" si="62"/>
        <v>KOUASSI Nicole Flora</v>
      </c>
      <c r="F121" t="str">
        <f t="shared" si="63"/>
        <v>02252-UNDP (Direct Execution)</v>
      </c>
      <c r="G121" t="s">
        <v>147</v>
      </c>
      <c r="H121" t="s">
        <v>353</v>
      </c>
      <c r="I121" t="s">
        <v>0</v>
      </c>
      <c r="J121" s="26" t="s">
        <v>359</v>
      </c>
      <c r="K121" t="s">
        <v>168</v>
      </c>
      <c r="L121" t="s">
        <v>403</v>
      </c>
      <c r="M121" t="s">
        <v>198</v>
      </c>
      <c r="N121" t="str">
        <f t="shared" si="56"/>
        <v xml:space="preserve"> </v>
      </c>
      <c r="O121" t="str">
        <f>"0000009962"</f>
        <v>0000009962</v>
      </c>
      <c r="P121" t="s">
        <v>199</v>
      </c>
      <c r="Q121" s="25">
        <v>43281</v>
      </c>
      <c r="R121" t="str">
        <f t="shared" si="64"/>
        <v>NER10</v>
      </c>
      <c r="S121" t="s">
        <v>153</v>
      </c>
      <c r="T121" t="s">
        <v>154</v>
      </c>
      <c r="U121" t="str">
        <f t="shared" si="65"/>
        <v>001981</v>
      </c>
      <c r="V121" t="str">
        <f t="shared" si="66"/>
        <v>30000</v>
      </c>
      <c r="W121" t="str">
        <f t="shared" si="67"/>
        <v>11363</v>
      </c>
      <c r="X121" t="str">
        <f t="shared" si="70"/>
        <v>72220</v>
      </c>
      <c r="Y121" t="s">
        <v>360</v>
      </c>
      <c r="Z121" t="s">
        <v>155</v>
      </c>
      <c r="AA121" t="s">
        <v>405</v>
      </c>
      <c r="AB121" t="str">
        <f>"0000000154"</f>
        <v>0000000154</v>
      </c>
      <c r="AC121" t="s">
        <v>156</v>
      </c>
      <c r="AD121" t="s">
        <v>156</v>
      </c>
      <c r="AE121" t="str">
        <f t="shared" si="57"/>
        <v>NER10</v>
      </c>
      <c r="AF121" t="s">
        <v>284</v>
      </c>
      <c r="AG121" t="s">
        <v>0</v>
      </c>
      <c r="AH121" t="s">
        <v>345</v>
      </c>
      <c r="AI121" t="str">
        <f t="shared" si="68"/>
        <v xml:space="preserve"> </v>
      </c>
      <c r="AJ121" t="s">
        <v>284</v>
      </c>
      <c r="AK121" t="s">
        <v>0</v>
      </c>
      <c r="AM121" t="str">
        <f>"06"</f>
        <v>06</v>
      </c>
      <c r="AN121" t="str">
        <f t="shared" ref="AN121:AN141" si="73">" "</f>
        <v xml:space="preserve"> </v>
      </c>
      <c r="AO121" t="str">
        <f t="shared" si="59"/>
        <v xml:space="preserve"> </v>
      </c>
      <c r="AP121" t="str">
        <f t="shared" si="59"/>
        <v xml:space="preserve"> </v>
      </c>
      <c r="AQ121" t="str">
        <f t="shared" si="59"/>
        <v xml:space="preserve"> </v>
      </c>
      <c r="AR121" t="str">
        <f t="shared" si="59"/>
        <v xml:space="preserve"> </v>
      </c>
      <c r="AS121" t="str">
        <f>"0171285118"</f>
        <v>0171285118</v>
      </c>
      <c r="AT121" t="s">
        <v>457</v>
      </c>
      <c r="AU121" t="s">
        <v>0</v>
      </c>
      <c r="AV121" t="s">
        <v>0</v>
      </c>
    </row>
    <row r="122" spans="1:48">
      <c r="A122" t="str">
        <f t="shared" si="60"/>
        <v>00106074</v>
      </c>
      <c r="B122" t="str">
        <f t="shared" si="61"/>
        <v>00106986</v>
      </c>
      <c r="C122" s="25">
        <v>42997</v>
      </c>
      <c r="D122" t="s">
        <v>146</v>
      </c>
      <c r="E122" t="str">
        <f t="shared" si="62"/>
        <v>KOUASSI Nicole Flora</v>
      </c>
      <c r="F122" t="str">
        <f t="shared" si="63"/>
        <v>02252-UNDP (Direct Execution)</v>
      </c>
      <c r="G122" t="s">
        <v>147</v>
      </c>
      <c r="H122" t="s">
        <v>353</v>
      </c>
      <c r="I122" t="s">
        <v>0</v>
      </c>
      <c r="J122" s="26" t="s">
        <v>354</v>
      </c>
      <c r="K122" t="s">
        <v>168</v>
      </c>
      <c r="L122" t="s">
        <v>403</v>
      </c>
      <c r="M122" t="s">
        <v>198</v>
      </c>
      <c r="N122" t="str">
        <f t="shared" si="56"/>
        <v xml:space="preserve"> </v>
      </c>
      <c r="O122" t="str">
        <f>"0000009962"</f>
        <v>0000009962</v>
      </c>
      <c r="P122" t="s">
        <v>199</v>
      </c>
      <c r="Q122" s="25">
        <v>43281</v>
      </c>
      <c r="R122" t="str">
        <f t="shared" si="64"/>
        <v>NER10</v>
      </c>
      <c r="S122" t="s">
        <v>153</v>
      </c>
      <c r="T122" t="s">
        <v>154</v>
      </c>
      <c r="U122" t="str">
        <f t="shared" si="65"/>
        <v>001981</v>
      </c>
      <c r="V122" t="str">
        <f t="shared" si="66"/>
        <v>30000</v>
      </c>
      <c r="W122" t="str">
        <f t="shared" si="67"/>
        <v>11363</v>
      </c>
      <c r="X122" t="str">
        <f t="shared" si="70"/>
        <v>72220</v>
      </c>
      <c r="Y122" t="s">
        <v>355</v>
      </c>
      <c r="Z122" t="s">
        <v>155</v>
      </c>
      <c r="AA122" t="s">
        <v>405</v>
      </c>
      <c r="AB122" t="str">
        <f>"0000000154"</f>
        <v>0000000154</v>
      </c>
      <c r="AC122" t="s">
        <v>156</v>
      </c>
      <c r="AD122" t="s">
        <v>156</v>
      </c>
      <c r="AE122" t="str">
        <f t="shared" si="57"/>
        <v>NER10</v>
      </c>
      <c r="AF122" t="s">
        <v>284</v>
      </c>
      <c r="AG122" t="s">
        <v>0</v>
      </c>
      <c r="AH122" t="s">
        <v>345</v>
      </c>
      <c r="AI122" t="str">
        <f t="shared" si="68"/>
        <v xml:space="preserve"> </v>
      </c>
      <c r="AJ122" t="s">
        <v>284</v>
      </c>
      <c r="AK122" t="s">
        <v>0</v>
      </c>
      <c r="AM122" t="str">
        <f>"06"</f>
        <v>06</v>
      </c>
      <c r="AN122" t="str">
        <f t="shared" si="73"/>
        <v xml:space="preserve"> </v>
      </c>
      <c r="AO122" t="str">
        <f t="shared" si="59"/>
        <v xml:space="preserve"> </v>
      </c>
      <c r="AP122" t="str">
        <f t="shared" si="59"/>
        <v xml:space="preserve"> </v>
      </c>
      <c r="AQ122" t="str">
        <f t="shared" si="59"/>
        <v xml:space="preserve"> </v>
      </c>
      <c r="AR122" t="str">
        <f t="shared" si="59"/>
        <v xml:space="preserve"> </v>
      </c>
      <c r="AS122" t="str">
        <f>"0171285118"</f>
        <v>0171285118</v>
      </c>
      <c r="AT122" t="s">
        <v>457</v>
      </c>
      <c r="AU122" t="s">
        <v>0</v>
      </c>
      <c r="AV122" t="s">
        <v>0</v>
      </c>
    </row>
    <row r="123" spans="1:48">
      <c r="A123" t="str">
        <f t="shared" si="60"/>
        <v>00106074</v>
      </c>
      <c r="B123" t="str">
        <f t="shared" si="61"/>
        <v>00106986</v>
      </c>
      <c r="C123" s="25">
        <v>42997</v>
      </c>
      <c r="D123" t="s">
        <v>146</v>
      </c>
      <c r="E123" t="str">
        <f t="shared" si="62"/>
        <v>KOUASSI Nicole Flora</v>
      </c>
      <c r="F123" t="str">
        <f t="shared" si="63"/>
        <v>02252-UNDP (Direct Execution)</v>
      </c>
      <c r="G123" t="s">
        <v>213</v>
      </c>
      <c r="H123" t="s">
        <v>315</v>
      </c>
      <c r="I123" t="s">
        <v>0</v>
      </c>
      <c r="J123" s="26" t="s">
        <v>364</v>
      </c>
      <c r="K123" t="s">
        <v>168</v>
      </c>
      <c r="L123" t="s">
        <v>325</v>
      </c>
      <c r="M123" t="s">
        <v>198</v>
      </c>
      <c r="N123" t="str">
        <f t="shared" si="56"/>
        <v xml:space="preserve"> </v>
      </c>
      <c r="O123" t="str">
        <f>"0000009999"</f>
        <v>0000009999</v>
      </c>
      <c r="P123" t="s">
        <v>199</v>
      </c>
      <c r="Q123" s="25">
        <v>43281</v>
      </c>
      <c r="R123" t="str">
        <f t="shared" si="64"/>
        <v>NER10</v>
      </c>
      <c r="S123" t="s">
        <v>153</v>
      </c>
      <c r="T123" t="s">
        <v>154</v>
      </c>
      <c r="U123" t="str">
        <f t="shared" si="65"/>
        <v>001981</v>
      </c>
      <c r="V123" t="str">
        <f t="shared" si="66"/>
        <v>30000</v>
      </c>
      <c r="W123" t="str">
        <f t="shared" si="67"/>
        <v>11363</v>
      </c>
      <c r="X123" t="str">
        <f>"71620"</f>
        <v>71620</v>
      </c>
      <c r="Y123" t="s">
        <v>365</v>
      </c>
      <c r="Z123" t="s">
        <v>155</v>
      </c>
      <c r="AA123" t="s">
        <v>405</v>
      </c>
      <c r="AB123" t="str">
        <f>"0000007294"</f>
        <v>0000007294</v>
      </c>
      <c r="AC123" t="s">
        <v>316</v>
      </c>
      <c r="AD123" t="s">
        <v>156</v>
      </c>
      <c r="AE123" t="str">
        <f t="shared" si="57"/>
        <v>NER10</v>
      </c>
      <c r="AF123" t="s">
        <v>284</v>
      </c>
      <c r="AG123" t="s">
        <v>0</v>
      </c>
      <c r="AH123" t="s">
        <v>180</v>
      </c>
      <c r="AI123" t="str">
        <f t="shared" si="68"/>
        <v xml:space="preserve"> </v>
      </c>
      <c r="AJ123" t="s">
        <v>284</v>
      </c>
      <c r="AK123" t="s">
        <v>0</v>
      </c>
      <c r="AM123" t="str">
        <f>"05"</f>
        <v>05</v>
      </c>
      <c r="AN123" t="str">
        <f t="shared" si="73"/>
        <v xml:space="preserve"> </v>
      </c>
      <c r="AO123" t="str">
        <f t="shared" si="59"/>
        <v xml:space="preserve"> </v>
      </c>
      <c r="AP123" t="str">
        <f t="shared" si="59"/>
        <v xml:space="preserve"> </v>
      </c>
      <c r="AQ123" t="str">
        <f t="shared" si="59"/>
        <v xml:space="preserve"> </v>
      </c>
      <c r="AR123" t="str">
        <f t="shared" si="59"/>
        <v xml:space="preserve"> </v>
      </c>
      <c r="AS123" t="str">
        <f>"0171824955"</f>
        <v>0171824955</v>
      </c>
      <c r="AT123" t="s">
        <v>368</v>
      </c>
      <c r="AU123" t="s">
        <v>0</v>
      </c>
      <c r="AV123" t="s">
        <v>0</v>
      </c>
    </row>
    <row r="124" spans="1:48">
      <c r="A124" t="str">
        <f t="shared" si="60"/>
        <v>00106074</v>
      </c>
      <c r="B124" t="str">
        <f t="shared" si="61"/>
        <v>00106986</v>
      </c>
      <c r="C124" s="25">
        <v>42997</v>
      </c>
      <c r="D124" t="s">
        <v>146</v>
      </c>
      <c r="E124" t="str">
        <f t="shared" si="62"/>
        <v>KOUASSI Nicole Flora</v>
      </c>
      <c r="F124" t="str">
        <f t="shared" si="63"/>
        <v>02252-UNDP (Direct Execution)</v>
      </c>
      <c r="G124" t="s">
        <v>213</v>
      </c>
      <c r="H124" t="s">
        <v>315</v>
      </c>
      <c r="I124" t="s">
        <v>0</v>
      </c>
      <c r="J124" s="26" t="s">
        <v>361</v>
      </c>
      <c r="K124" t="s">
        <v>168</v>
      </c>
      <c r="L124" t="s">
        <v>403</v>
      </c>
      <c r="M124" t="s">
        <v>198</v>
      </c>
      <c r="N124" t="str">
        <f t="shared" si="56"/>
        <v xml:space="preserve"> </v>
      </c>
      <c r="O124" t="str">
        <f>"0000009999"</f>
        <v>0000009999</v>
      </c>
      <c r="P124" t="s">
        <v>199</v>
      </c>
      <c r="Q124" s="25">
        <v>43281</v>
      </c>
      <c r="R124" t="str">
        <f t="shared" si="64"/>
        <v>NER10</v>
      </c>
      <c r="S124" t="s">
        <v>153</v>
      </c>
      <c r="T124" t="s">
        <v>154</v>
      </c>
      <c r="U124" t="str">
        <f t="shared" si="65"/>
        <v>001981</v>
      </c>
      <c r="V124" t="str">
        <f t="shared" si="66"/>
        <v>30000</v>
      </c>
      <c r="W124" t="str">
        <f t="shared" si="67"/>
        <v>11363</v>
      </c>
      <c r="X124" t="str">
        <f>"71620"</f>
        <v>71620</v>
      </c>
      <c r="Y124" t="s">
        <v>362</v>
      </c>
      <c r="Z124" t="s">
        <v>155</v>
      </c>
      <c r="AA124" t="s">
        <v>405</v>
      </c>
      <c r="AB124" t="str">
        <f>"0000007294"</f>
        <v>0000007294</v>
      </c>
      <c r="AC124" t="s">
        <v>316</v>
      </c>
      <c r="AD124" t="s">
        <v>156</v>
      </c>
      <c r="AE124" t="str">
        <f t="shared" si="57"/>
        <v>NER10</v>
      </c>
      <c r="AF124" t="s">
        <v>284</v>
      </c>
      <c r="AG124" t="s">
        <v>0</v>
      </c>
      <c r="AH124" t="s">
        <v>180</v>
      </c>
      <c r="AI124" t="str">
        <f t="shared" si="68"/>
        <v xml:space="preserve"> </v>
      </c>
      <c r="AJ124" t="s">
        <v>284</v>
      </c>
      <c r="AK124" t="s">
        <v>0</v>
      </c>
      <c r="AM124" t="str">
        <f>"06"</f>
        <v>06</v>
      </c>
      <c r="AN124" t="str">
        <f t="shared" si="73"/>
        <v xml:space="preserve"> </v>
      </c>
      <c r="AO124" t="str">
        <f t="shared" ref="AO124:AR143" si="74">" "</f>
        <v xml:space="preserve"> </v>
      </c>
      <c r="AP124" t="str">
        <f t="shared" si="74"/>
        <v xml:space="preserve"> </v>
      </c>
      <c r="AQ124" t="str">
        <f t="shared" si="74"/>
        <v xml:space="preserve"> </v>
      </c>
      <c r="AR124" t="str">
        <f t="shared" si="74"/>
        <v xml:space="preserve"> </v>
      </c>
      <c r="AS124" t="str">
        <f>"0171824955"</f>
        <v>0171824955</v>
      </c>
      <c r="AT124" t="s">
        <v>368</v>
      </c>
      <c r="AU124" t="s">
        <v>0</v>
      </c>
      <c r="AV124" t="s">
        <v>0</v>
      </c>
    </row>
    <row r="125" spans="1:48">
      <c r="A125" t="str">
        <f t="shared" si="60"/>
        <v>00106074</v>
      </c>
      <c r="B125" t="str">
        <f t="shared" si="61"/>
        <v>00106986</v>
      </c>
      <c r="C125" s="25">
        <v>42997</v>
      </c>
      <c r="D125" t="s">
        <v>146</v>
      </c>
      <c r="E125" t="str">
        <f t="shared" si="62"/>
        <v>KOUASSI Nicole Flora</v>
      </c>
      <c r="F125" t="str">
        <f t="shared" si="63"/>
        <v>02252-UNDP (Direct Execution)</v>
      </c>
      <c r="G125" t="s">
        <v>213</v>
      </c>
      <c r="H125" t="s">
        <v>315</v>
      </c>
      <c r="I125" t="s">
        <v>0</v>
      </c>
      <c r="J125" s="26" t="s">
        <v>364</v>
      </c>
      <c r="K125" t="s">
        <v>168</v>
      </c>
      <c r="L125" t="s">
        <v>403</v>
      </c>
      <c r="M125" t="s">
        <v>198</v>
      </c>
      <c r="N125" t="str">
        <f t="shared" si="56"/>
        <v xml:space="preserve"> </v>
      </c>
      <c r="O125" t="str">
        <f>"0000009999"</f>
        <v>0000009999</v>
      </c>
      <c r="P125" t="s">
        <v>199</v>
      </c>
      <c r="Q125" s="25">
        <v>43281</v>
      </c>
      <c r="R125" t="str">
        <f t="shared" si="64"/>
        <v>NER10</v>
      </c>
      <c r="S125" t="s">
        <v>153</v>
      </c>
      <c r="T125" t="s">
        <v>154</v>
      </c>
      <c r="U125" t="str">
        <f t="shared" si="65"/>
        <v>001981</v>
      </c>
      <c r="V125" t="str">
        <f t="shared" si="66"/>
        <v>30000</v>
      </c>
      <c r="W125" t="str">
        <f t="shared" si="67"/>
        <v>11363</v>
      </c>
      <c r="X125" t="str">
        <f>"71620"</f>
        <v>71620</v>
      </c>
      <c r="Y125" t="s">
        <v>365</v>
      </c>
      <c r="Z125" t="s">
        <v>155</v>
      </c>
      <c r="AA125" t="s">
        <v>405</v>
      </c>
      <c r="AB125" t="str">
        <f>"0000007294"</f>
        <v>0000007294</v>
      </c>
      <c r="AC125" t="s">
        <v>316</v>
      </c>
      <c r="AD125" t="s">
        <v>156</v>
      </c>
      <c r="AE125" t="str">
        <f t="shared" si="57"/>
        <v>NER10</v>
      </c>
      <c r="AF125" t="s">
        <v>284</v>
      </c>
      <c r="AG125" t="s">
        <v>0</v>
      </c>
      <c r="AH125" t="s">
        <v>180</v>
      </c>
      <c r="AI125" t="str">
        <f t="shared" si="68"/>
        <v xml:space="preserve"> </v>
      </c>
      <c r="AJ125" t="s">
        <v>284</v>
      </c>
      <c r="AK125" t="s">
        <v>0</v>
      </c>
      <c r="AM125" t="str">
        <f>"06"</f>
        <v>06</v>
      </c>
      <c r="AN125" t="str">
        <f t="shared" si="73"/>
        <v xml:space="preserve"> </v>
      </c>
      <c r="AO125" t="str">
        <f t="shared" si="74"/>
        <v xml:space="preserve"> </v>
      </c>
      <c r="AP125" t="str">
        <f t="shared" si="74"/>
        <v xml:space="preserve"> </v>
      </c>
      <c r="AQ125" t="str">
        <f t="shared" si="74"/>
        <v xml:space="preserve"> </v>
      </c>
      <c r="AR125" t="str">
        <f t="shared" si="74"/>
        <v xml:space="preserve"> </v>
      </c>
      <c r="AS125" t="str">
        <f>"0171824955"</f>
        <v>0171824955</v>
      </c>
      <c r="AT125" t="s">
        <v>368</v>
      </c>
      <c r="AU125" t="s">
        <v>0</v>
      </c>
      <c r="AV125" t="s">
        <v>0</v>
      </c>
    </row>
    <row r="126" spans="1:48">
      <c r="A126" t="str">
        <f t="shared" si="60"/>
        <v>00106074</v>
      </c>
      <c r="B126" t="str">
        <f t="shared" si="61"/>
        <v>00106986</v>
      </c>
      <c r="C126" s="25">
        <v>42997</v>
      </c>
      <c r="D126" t="s">
        <v>146</v>
      </c>
      <c r="E126" t="str">
        <f t="shared" si="62"/>
        <v>KOUASSI Nicole Flora</v>
      </c>
      <c r="F126" t="str">
        <f t="shared" si="63"/>
        <v>02252-UNDP (Direct Execution)</v>
      </c>
      <c r="G126" t="s">
        <v>147</v>
      </c>
      <c r="H126" t="s">
        <v>465</v>
      </c>
      <c r="I126" t="s">
        <v>0</v>
      </c>
      <c r="J126" s="26" t="s">
        <v>466</v>
      </c>
      <c r="K126" t="s">
        <v>168</v>
      </c>
      <c r="L126" t="s">
        <v>403</v>
      </c>
      <c r="M126" t="s">
        <v>198</v>
      </c>
      <c r="N126" t="str">
        <f t="shared" si="56"/>
        <v xml:space="preserve"> </v>
      </c>
      <c r="O126" t="str">
        <f>"0000010020"</f>
        <v>0000010020</v>
      </c>
      <c r="P126" t="s">
        <v>446</v>
      </c>
      <c r="Q126" s="25">
        <v>43257</v>
      </c>
      <c r="R126" t="str">
        <f t="shared" si="64"/>
        <v>NER10</v>
      </c>
      <c r="S126" t="s">
        <v>153</v>
      </c>
      <c r="T126" t="s">
        <v>154</v>
      </c>
      <c r="U126" t="str">
        <f t="shared" si="65"/>
        <v>001981</v>
      </c>
      <c r="V126" t="str">
        <f t="shared" si="66"/>
        <v>30000</v>
      </c>
      <c r="W126" t="str">
        <f t="shared" si="67"/>
        <v>11363</v>
      </c>
      <c r="X126" t="str">
        <f>"72405"</f>
        <v>72405</v>
      </c>
      <c r="Y126" t="s">
        <v>466</v>
      </c>
      <c r="Z126" t="s">
        <v>194</v>
      </c>
      <c r="AA126">
        <v>1</v>
      </c>
      <c r="AB126" t="str">
        <f>"GPU-DANIM"</f>
        <v>GPU-DANIM</v>
      </c>
      <c r="AC126" t="s">
        <v>467</v>
      </c>
      <c r="AD126" t="s">
        <v>468</v>
      </c>
      <c r="AE126" t="str">
        <f t="shared" si="57"/>
        <v>NER10</v>
      </c>
      <c r="AF126" t="s">
        <v>284</v>
      </c>
      <c r="AG126" t="s">
        <v>0</v>
      </c>
      <c r="AH126" t="s">
        <v>469</v>
      </c>
      <c r="AI126" t="str">
        <f t="shared" si="68"/>
        <v xml:space="preserve"> </v>
      </c>
      <c r="AJ126" t="s">
        <v>284</v>
      </c>
      <c r="AK126" t="s">
        <v>0</v>
      </c>
      <c r="AM126" t="str">
        <f>"06"</f>
        <v>06</v>
      </c>
      <c r="AN126" t="str">
        <f t="shared" si="73"/>
        <v xml:space="preserve"> </v>
      </c>
      <c r="AO126" t="str">
        <f t="shared" si="74"/>
        <v xml:space="preserve"> </v>
      </c>
      <c r="AP126" t="str">
        <f t="shared" si="74"/>
        <v xml:space="preserve"> </v>
      </c>
      <c r="AQ126" t="str">
        <f t="shared" si="74"/>
        <v xml:space="preserve"> </v>
      </c>
      <c r="AR126" t="str">
        <f t="shared" si="74"/>
        <v xml:space="preserve"> </v>
      </c>
      <c r="AS126" t="str">
        <f>"0172813683"</f>
        <v>0172813683</v>
      </c>
      <c r="AT126" s="25">
        <v>43259</v>
      </c>
      <c r="AU126" t="s">
        <v>0</v>
      </c>
      <c r="AV126" t="s">
        <v>0</v>
      </c>
    </row>
    <row r="127" spans="1:48">
      <c r="A127" t="str">
        <f t="shared" si="60"/>
        <v>00106074</v>
      </c>
      <c r="B127" t="str">
        <f t="shared" si="61"/>
        <v>00106986</v>
      </c>
      <c r="C127" s="25">
        <v>42997</v>
      </c>
      <c r="D127" t="s">
        <v>146</v>
      </c>
      <c r="E127" t="str">
        <f t="shared" si="62"/>
        <v>KOUASSI Nicole Flora</v>
      </c>
      <c r="F127" t="str">
        <f t="shared" si="63"/>
        <v>02252-UNDP (Direct Execution)</v>
      </c>
      <c r="G127" t="s">
        <v>147</v>
      </c>
      <c r="H127" t="s">
        <v>0</v>
      </c>
      <c r="I127" t="s">
        <v>0</v>
      </c>
      <c r="J127" s="26" t="s">
        <v>319</v>
      </c>
      <c r="K127" t="s">
        <v>150</v>
      </c>
      <c r="L127" t="s">
        <v>445</v>
      </c>
      <c r="M127" t="s">
        <v>201</v>
      </c>
      <c r="N127" t="str">
        <f t="shared" si="56"/>
        <v xml:space="preserve"> </v>
      </c>
      <c r="O127" t="str">
        <f t="shared" ref="O127:O155" si="75">" "</f>
        <v xml:space="preserve"> </v>
      </c>
      <c r="P127" t="s">
        <v>0</v>
      </c>
      <c r="Q127" t="s">
        <v>0</v>
      </c>
      <c r="R127" t="str">
        <f t="shared" si="64"/>
        <v>NER10</v>
      </c>
      <c r="S127" t="s">
        <v>153</v>
      </c>
      <c r="T127" t="s">
        <v>154</v>
      </c>
      <c r="U127" t="str">
        <f t="shared" si="65"/>
        <v>001981</v>
      </c>
      <c r="V127" t="str">
        <f t="shared" si="66"/>
        <v>30000</v>
      </c>
      <c r="W127" t="str">
        <f t="shared" si="67"/>
        <v>11363</v>
      </c>
      <c r="X127" t="str">
        <f>"75705"</f>
        <v>75705</v>
      </c>
      <c r="Y127" t="s">
        <v>319</v>
      </c>
      <c r="Z127" t="s">
        <v>194</v>
      </c>
      <c r="AA127">
        <v>1</v>
      </c>
      <c r="AB127" t="s">
        <v>0</v>
      </c>
      <c r="AC127" t="s">
        <v>0</v>
      </c>
      <c r="AD127" t="s">
        <v>0</v>
      </c>
      <c r="AE127" t="str">
        <f t="shared" ref="AE127:AE141" si="76">"UNDP1"</f>
        <v>UNDP1</v>
      </c>
      <c r="AF127" t="s">
        <v>284</v>
      </c>
      <c r="AG127" t="s">
        <v>0</v>
      </c>
      <c r="AH127" t="s">
        <v>0</v>
      </c>
      <c r="AI127" t="str">
        <f>"0007329714"</f>
        <v>0007329714</v>
      </c>
      <c r="AJ127" t="s">
        <v>470</v>
      </c>
      <c r="AK127" t="s">
        <v>471</v>
      </c>
      <c r="AL127" s="25">
        <v>43111</v>
      </c>
      <c r="AM127" t="str">
        <f>"01"</f>
        <v>01</v>
      </c>
      <c r="AN127" t="str">
        <f t="shared" si="73"/>
        <v xml:space="preserve"> </v>
      </c>
      <c r="AO127" t="str">
        <f t="shared" si="74"/>
        <v xml:space="preserve"> </v>
      </c>
      <c r="AP127" t="str">
        <f t="shared" si="74"/>
        <v xml:space="preserve"> </v>
      </c>
      <c r="AQ127" t="str">
        <f t="shared" si="74"/>
        <v xml:space="preserve"> </v>
      </c>
      <c r="AR127" t="str">
        <f t="shared" si="74"/>
        <v xml:space="preserve"> </v>
      </c>
      <c r="AS127" t="str">
        <f>"0166433373"</f>
        <v>0166433373</v>
      </c>
      <c r="AT127" s="25">
        <v>43111</v>
      </c>
      <c r="AU127" t="s">
        <v>0</v>
      </c>
      <c r="AV127" t="s">
        <v>0</v>
      </c>
    </row>
    <row r="128" spans="1:48">
      <c r="A128" t="str">
        <f t="shared" si="60"/>
        <v>00106074</v>
      </c>
      <c r="B128" t="str">
        <f t="shared" si="61"/>
        <v>00106986</v>
      </c>
      <c r="C128" s="25">
        <v>42997</v>
      </c>
      <c r="D128" t="s">
        <v>146</v>
      </c>
      <c r="E128" t="str">
        <f t="shared" si="62"/>
        <v>KOUASSI Nicole Flora</v>
      </c>
      <c r="F128" t="str">
        <f t="shared" si="63"/>
        <v>02252-UNDP (Direct Execution)</v>
      </c>
      <c r="G128" t="s">
        <v>147</v>
      </c>
      <c r="H128" t="s">
        <v>0</v>
      </c>
      <c r="I128" t="s">
        <v>0</v>
      </c>
      <c r="J128" s="26" t="s">
        <v>472</v>
      </c>
      <c r="K128" t="s">
        <v>150</v>
      </c>
      <c r="L128" t="s">
        <v>473</v>
      </c>
      <c r="M128" t="s">
        <v>201</v>
      </c>
      <c r="N128" t="str">
        <f t="shared" si="56"/>
        <v xml:space="preserve"> </v>
      </c>
      <c r="O128" t="str">
        <f t="shared" si="75"/>
        <v xml:space="preserve"> </v>
      </c>
      <c r="P128" t="s">
        <v>0</v>
      </c>
      <c r="Q128" t="s">
        <v>0</v>
      </c>
      <c r="R128" t="str">
        <f t="shared" si="64"/>
        <v>NER10</v>
      </c>
      <c r="S128" t="s">
        <v>153</v>
      </c>
      <c r="T128" t="s">
        <v>154</v>
      </c>
      <c r="U128" t="str">
        <f t="shared" si="65"/>
        <v>001981</v>
      </c>
      <c r="V128" t="str">
        <f t="shared" si="66"/>
        <v>30000</v>
      </c>
      <c r="W128" t="str">
        <f t="shared" si="67"/>
        <v>11363</v>
      </c>
      <c r="X128" t="str">
        <f>"74205"</f>
        <v>74205</v>
      </c>
      <c r="Y128" t="s">
        <v>472</v>
      </c>
      <c r="Z128" t="s">
        <v>194</v>
      </c>
      <c r="AA128">
        <v>1</v>
      </c>
      <c r="AB128" t="s">
        <v>0</v>
      </c>
      <c r="AC128" t="s">
        <v>0</v>
      </c>
      <c r="AD128" t="s">
        <v>0</v>
      </c>
      <c r="AE128" t="str">
        <f t="shared" si="76"/>
        <v>UNDP1</v>
      </c>
      <c r="AF128" t="s">
        <v>284</v>
      </c>
      <c r="AG128" t="s">
        <v>0</v>
      </c>
      <c r="AH128" t="s">
        <v>0</v>
      </c>
      <c r="AI128" t="str">
        <f>"0007370592"</f>
        <v>0007370592</v>
      </c>
      <c r="AJ128" t="s">
        <v>282</v>
      </c>
      <c r="AK128" t="s">
        <v>474</v>
      </c>
      <c r="AL128" t="s">
        <v>475</v>
      </c>
      <c r="AM128" t="str">
        <f>"02"</f>
        <v>02</v>
      </c>
      <c r="AN128" t="str">
        <f t="shared" si="73"/>
        <v xml:space="preserve"> </v>
      </c>
      <c r="AO128" t="str">
        <f t="shared" si="74"/>
        <v xml:space="preserve"> </v>
      </c>
      <c r="AP128" t="str">
        <f t="shared" si="74"/>
        <v xml:space="preserve"> </v>
      </c>
      <c r="AQ128" t="str">
        <f t="shared" si="74"/>
        <v xml:space="preserve"> </v>
      </c>
      <c r="AR128" t="str">
        <f t="shared" si="74"/>
        <v xml:space="preserve"> </v>
      </c>
      <c r="AS128" t="str">
        <f>"0168055363"</f>
        <v>0168055363</v>
      </c>
      <c r="AT128" t="s">
        <v>476</v>
      </c>
      <c r="AU128" t="s">
        <v>0</v>
      </c>
      <c r="AV128" t="s">
        <v>0</v>
      </c>
    </row>
    <row r="129" spans="1:48">
      <c r="A129" t="str">
        <f t="shared" si="60"/>
        <v>00106074</v>
      </c>
      <c r="B129" t="str">
        <f t="shared" si="61"/>
        <v>00106986</v>
      </c>
      <c r="C129" s="25">
        <v>42997</v>
      </c>
      <c r="D129" t="s">
        <v>146</v>
      </c>
      <c r="E129" t="str">
        <f t="shared" si="62"/>
        <v>KOUASSI Nicole Flora</v>
      </c>
      <c r="F129" t="str">
        <f t="shared" si="63"/>
        <v>02252-UNDP (Direct Execution)</v>
      </c>
      <c r="G129" t="s">
        <v>147</v>
      </c>
      <c r="H129" t="s">
        <v>0</v>
      </c>
      <c r="I129" t="s">
        <v>0</v>
      </c>
      <c r="J129" s="26" t="s">
        <v>477</v>
      </c>
      <c r="K129" t="s">
        <v>150</v>
      </c>
      <c r="L129" t="s">
        <v>445</v>
      </c>
      <c r="M129" t="s">
        <v>201</v>
      </c>
      <c r="N129" t="str">
        <f t="shared" si="56"/>
        <v xml:space="preserve"> </v>
      </c>
      <c r="O129" t="str">
        <f t="shared" si="75"/>
        <v xml:space="preserve"> </v>
      </c>
      <c r="P129" t="s">
        <v>0</v>
      </c>
      <c r="Q129" t="s">
        <v>0</v>
      </c>
      <c r="R129" t="str">
        <f t="shared" si="64"/>
        <v>NER10</v>
      </c>
      <c r="S129" t="s">
        <v>153</v>
      </c>
      <c r="T129" t="s">
        <v>154</v>
      </c>
      <c r="U129" t="str">
        <f t="shared" si="65"/>
        <v>001981</v>
      </c>
      <c r="V129" t="str">
        <f t="shared" si="66"/>
        <v>30000</v>
      </c>
      <c r="W129" t="str">
        <f t="shared" si="67"/>
        <v>11363</v>
      </c>
      <c r="X129" t="str">
        <f t="shared" ref="X129:X139" si="77">"75105"</f>
        <v>75105</v>
      </c>
      <c r="Y129" t="s">
        <v>477</v>
      </c>
      <c r="Z129" t="s">
        <v>194</v>
      </c>
      <c r="AA129">
        <v>1</v>
      </c>
      <c r="AB129" t="s">
        <v>0</v>
      </c>
      <c r="AC129" t="s">
        <v>0</v>
      </c>
      <c r="AD129" t="s">
        <v>0</v>
      </c>
      <c r="AE129" t="str">
        <f t="shared" si="76"/>
        <v>UNDP1</v>
      </c>
      <c r="AF129" t="s">
        <v>284</v>
      </c>
      <c r="AG129" t="s">
        <v>0</v>
      </c>
      <c r="AH129" t="s">
        <v>0</v>
      </c>
      <c r="AI129" t="str">
        <f>"0007390193"</f>
        <v>0007390193</v>
      </c>
      <c r="AJ129" t="s">
        <v>478</v>
      </c>
      <c r="AK129" t="s">
        <v>479</v>
      </c>
      <c r="AL129" s="25">
        <v>43131</v>
      </c>
      <c r="AM129" t="str">
        <f>"01"</f>
        <v>01</v>
      </c>
      <c r="AN129" t="str">
        <f t="shared" si="73"/>
        <v xml:space="preserve"> </v>
      </c>
      <c r="AO129" t="str">
        <f t="shared" si="74"/>
        <v xml:space="preserve"> </v>
      </c>
      <c r="AP129" t="str">
        <f t="shared" si="74"/>
        <v xml:space="preserve"> </v>
      </c>
      <c r="AQ129" t="str">
        <f t="shared" si="74"/>
        <v xml:space="preserve"> </v>
      </c>
      <c r="AR129" t="str">
        <f t="shared" si="74"/>
        <v xml:space="preserve"> </v>
      </c>
      <c r="AS129" t="str">
        <f>"0168651574"</f>
        <v>0168651574</v>
      </c>
      <c r="AT129" t="s">
        <v>480</v>
      </c>
      <c r="AU129" t="s">
        <v>0</v>
      </c>
      <c r="AV129" t="s">
        <v>0</v>
      </c>
    </row>
    <row r="130" spans="1:48">
      <c r="A130" t="str">
        <f t="shared" si="60"/>
        <v>00106074</v>
      </c>
      <c r="B130" t="str">
        <f t="shared" si="61"/>
        <v>00106986</v>
      </c>
      <c r="C130" s="25">
        <v>42997</v>
      </c>
      <c r="D130" t="s">
        <v>146</v>
      </c>
      <c r="E130" t="str">
        <f t="shared" si="62"/>
        <v>KOUASSI Nicole Flora</v>
      </c>
      <c r="F130" t="str">
        <f t="shared" si="63"/>
        <v>02252-UNDP (Direct Execution)</v>
      </c>
      <c r="G130" t="s">
        <v>147</v>
      </c>
      <c r="H130" t="s">
        <v>0</v>
      </c>
      <c r="I130" t="s">
        <v>0</v>
      </c>
      <c r="J130" s="26" t="s">
        <v>481</v>
      </c>
      <c r="K130" t="s">
        <v>150</v>
      </c>
      <c r="L130" t="s">
        <v>473</v>
      </c>
      <c r="M130" t="s">
        <v>201</v>
      </c>
      <c r="N130" t="str">
        <f t="shared" si="56"/>
        <v xml:space="preserve"> </v>
      </c>
      <c r="O130" t="str">
        <f t="shared" si="75"/>
        <v xml:space="preserve"> </v>
      </c>
      <c r="P130" t="s">
        <v>0</v>
      </c>
      <c r="Q130" t="s">
        <v>0</v>
      </c>
      <c r="R130" t="str">
        <f t="shared" si="64"/>
        <v>NER10</v>
      </c>
      <c r="S130" t="s">
        <v>153</v>
      </c>
      <c r="T130" t="s">
        <v>154</v>
      </c>
      <c r="U130" t="str">
        <f t="shared" si="65"/>
        <v>001981</v>
      </c>
      <c r="V130" t="str">
        <f t="shared" si="66"/>
        <v>30000</v>
      </c>
      <c r="W130" t="str">
        <f t="shared" si="67"/>
        <v>11363</v>
      </c>
      <c r="X130" t="str">
        <f t="shared" si="77"/>
        <v>75105</v>
      </c>
      <c r="Y130" t="s">
        <v>481</v>
      </c>
      <c r="Z130" t="s">
        <v>194</v>
      </c>
      <c r="AA130">
        <v>1</v>
      </c>
      <c r="AB130" t="s">
        <v>0</v>
      </c>
      <c r="AC130" t="s">
        <v>0</v>
      </c>
      <c r="AD130" t="s">
        <v>0</v>
      </c>
      <c r="AE130" t="str">
        <f t="shared" si="76"/>
        <v>UNDP1</v>
      </c>
      <c r="AF130" t="s">
        <v>284</v>
      </c>
      <c r="AG130" t="s">
        <v>0</v>
      </c>
      <c r="AH130" t="s">
        <v>0</v>
      </c>
      <c r="AI130" t="str">
        <f>"0007416159"</f>
        <v>0007416159</v>
      </c>
      <c r="AJ130" t="s">
        <v>482</v>
      </c>
      <c r="AK130" t="s">
        <v>483</v>
      </c>
      <c r="AL130" t="s">
        <v>480</v>
      </c>
      <c r="AM130" t="str">
        <f>"02"</f>
        <v>02</v>
      </c>
      <c r="AN130" t="str">
        <f t="shared" si="73"/>
        <v xml:space="preserve"> </v>
      </c>
      <c r="AO130" t="str">
        <f t="shared" si="74"/>
        <v xml:space="preserve"> </v>
      </c>
      <c r="AP130" t="str">
        <f t="shared" si="74"/>
        <v xml:space="preserve"> </v>
      </c>
      <c r="AQ130" t="str">
        <f t="shared" si="74"/>
        <v xml:space="preserve"> </v>
      </c>
      <c r="AR130" t="str">
        <f t="shared" si="74"/>
        <v xml:space="preserve"> </v>
      </c>
      <c r="AS130" t="str">
        <f>"0169392010"</f>
        <v>0169392010</v>
      </c>
      <c r="AT130" s="25">
        <v>43176</v>
      </c>
      <c r="AU130" t="s">
        <v>0</v>
      </c>
      <c r="AV130" t="s">
        <v>0</v>
      </c>
    </row>
    <row r="131" spans="1:48">
      <c r="A131" t="str">
        <f t="shared" si="60"/>
        <v>00106074</v>
      </c>
      <c r="B131" t="str">
        <f t="shared" si="61"/>
        <v>00106986</v>
      </c>
      <c r="C131" s="25">
        <v>42997</v>
      </c>
      <c r="D131" t="s">
        <v>146</v>
      </c>
      <c r="E131" t="str">
        <f t="shared" si="62"/>
        <v>KOUASSI Nicole Flora</v>
      </c>
      <c r="F131" t="str">
        <f t="shared" si="63"/>
        <v>02252-UNDP (Direct Execution)</v>
      </c>
      <c r="G131" t="s">
        <v>213</v>
      </c>
      <c r="H131" t="s">
        <v>0</v>
      </c>
      <c r="I131" t="s">
        <v>0</v>
      </c>
      <c r="J131" s="26" t="s">
        <v>484</v>
      </c>
      <c r="K131" t="s">
        <v>150</v>
      </c>
      <c r="L131" t="s">
        <v>278</v>
      </c>
      <c r="M131" t="s">
        <v>201</v>
      </c>
      <c r="N131" t="str">
        <f t="shared" si="56"/>
        <v xml:space="preserve"> </v>
      </c>
      <c r="O131" t="str">
        <f t="shared" si="75"/>
        <v xml:space="preserve"> </v>
      </c>
      <c r="P131" t="s">
        <v>0</v>
      </c>
      <c r="Q131" t="s">
        <v>0</v>
      </c>
      <c r="R131" t="str">
        <f t="shared" si="64"/>
        <v>NER10</v>
      </c>
      <c r="S131" t="s">
        <v>153</v>
      </c>
      <c r="T131" t="s">
        <v>154</v>
      </c>
      <c r="U131" t="str">
        <f t="shared" si="65"/>
        <v>001981</v>
      </c>
      <c r="V131" t="str">
        <f t="shared" si="66"/>
        <v>30000</v>
      </c>
      <c r="W131" t="str">
        <f t="shared" si="67"/>
        <v>11363</v>
      </c>
      <c r="X131" t="str">
        <f t="shared" si="77"/>
        <v>75105</v>
      </c>
      <c r="Y131" t="s">
        <v>484</v>
      </c>
      <c r="Z131" t="s">
        <v>194</v>
      </c>
      <c r="AA131">
        <v>1</v>
      </c>
      <c r="AB131" t="s">
        <v>0</v>
      </c>
      <c r="AC131" t="s">
        <v>0</v>
      </c>
      <c r="AD131" t="s">
        <v>0</v>
      </c>
      <c r="AE131" t="str">
        <f t="shared" si="76"/>
        <v>UNDP1</v>
      </c>
      <c r="AF131" t="s">
        <v>284</v>
      </c>
      <c r="AG131" t="s">
        <v>0</v>
      </c>
      <c r="AH131" t="s">
        <v>0</v>
      </c>
      <c r="AI131" t="str">
        <f>"0007436334"</f>
        <v>0007436334</v>
      </c>
      <c r="AJ131" t="s">
        <v>485</v>
      </c>
      <c r="AK131" t="s">
        <v>486</v>
      </c>
      <c r="AL131" s="25">
        <v>43190</v>
      </c>
      <c r="AM131" t="str">
        <f>"03"</f>
        <v>03</v>
      </c>
      <c r="AN131" t="str">
        <f t="shared" si="73"/>
        <v xml:space="preserve"> </v>
      </c>
      <c r="AO131" t="str">
        <f t="shared" si="74"/>
        <v xml:space="preserve"> </v>
      </c>
      <c r="AP131" t="str">
        <f t="shared" si="74"/>
        <v xml:space="preserve"> </v>
      </c>
      <c r="AQ131" t="str">
        <f t="shared" si="74"/>
        <v xml:space="preserve"> </v>
      </c>
      <c r="AR131" t="str">
        <f t="shared" si="74"/>
        <v xml:space="preserve"> </v>
      </c>
      <c r="AS131" t="str">
        <f>"0170066709"</f>
        <v>0170066709</v>
      </c>
      <c r="AT131" t="s">
        <v>487</v>
      </c>
      <c r="AU131" t="s">
        <v>0</v>
      </c>
      <c r="AV131" t="s">
        <v>0</v>
      </c>
    </row>
    <row r="132" spans="1:48">
      <c r="A132" t="str">
        <f t="shared" si="60"/>
        <v>00106074</v>
      </c>
      <c r="B132" t="str">
        <f t="shared" si="61"/>
        <v>00106986</v>
      </c>
      <c r="C132" s="25">
        <v>42997</v>
      </c>
      <c r="D132" t="s">
        <v>146</v>
      </c>
      <c r="E132" t="str">
        <f t="shared" si="62"/>
        <v>KOUASSI Nicole Flora</v>
      </c>
      <c r="F132" t="str">
        <f t="shared" si="63"/>
        <v>02252-UNDP (Direct Execution)</v>
      </c>
      <c r="G132" t="s">
        <v>147</v>
      </c>
      <c r="H132" t="s">
        <v>0</v>
      </c>
      <c r="I132" t="s">
        <v>0</v>
      </c>
      <c r="J132" s="26" t="s">
        <v>488</v>
      </c>
      <c r="K132" t="s">
        <v>150</v>
      </c>
      <c r="L132" t="s">
        <v>278</v>
      </c>
      <c r="M132" t="s">
        <v>201</v>
      </c>
      <c r="N132" t="str">
        <f t="shared" si="56"/>
        <v xml:space="preserve"> </v>
      </c>
      <c r="O132" t="str">
        <f t="shared" si="75"/>
        <v xml:space="preserve"> </v>
      </c>
      <c r="P132" t="s">
        <v>0</v>
      </c>
      <c r="Q132" t="s">
        <v>0</v>
      </c>
      <c r="R132" t="str">
        <f t="shared" si="64"/>
        <v>NER10</v>
      </c>
      <c r="S132" t="s">
        <v>153</v>
      </c>
      <c r="T132" t="s">
        <v>154</v>
      </c>
      <c r="U132" t="str">
        <f t="shared" si="65"/>
        <v>001981</v>
      </c>
      <c r="V132" t="str">
        <f t="shared" si="66"/>
        <v>30000</v>
      </c>
      <c r="W132" t="str">
        <f t="shared" si="67"/>
        <v>11363</v>
      </c>
      <c r="X132" t="str">
        <f t="shared" si="77"/>
        <v>75105</v>
      </c>
      <c r="Y132" t="s">
        <v>488</v>
      </c>
      <c r="Z132" t="s">
        <v>194</v>
      </c>
      <c r="AA132">
        <v>1</v>
      </c>
      <c r="AB132" t="s">
        <v>0</v>
      </c>
      <c r="AC132" t="s">
        <v>0</v>
      </c>
      <c r="AD132" t="s">
        <v>0</v>
      </c>
      <c r="AE132" t="str">
        <f t="shared" si="76"/>
        <v>UNDP1</v>
      </c>
      <c r="AF132" t="s">
        <v>284</v>
      </c>
      <c r="AG132" t="s">
        <v>0</v>
      </c>
      <c r="AH132" t="s">
        <v>0</v>
      </c>
      <c r="AI132" t="str">
        <f>"0007436334"</f>
        <v>0007436334</v>
      </c>
      <c r="AJ132" t="s">
        <v>489</v>
      </c>
      <c r="AK132" t="s">
        <v>486</v>
      </c>
      <c r="AL132" s="25">
        <v>43190</v>
      </c>
      <c r="AM132" t="str">
        <f>"03"</f>
        <v>03</v>
      </c>
      <c r="AN132" t="str">
        <f t="shared" si="73"/>
        <v xml:space="preserve"> </v>
      </c>
      <c r="AO132" t="str">
        <f t="shared" si="74"/>
        <v xml:space="preserve"> </v>
      </c>
      <c r="AP132" t="str">
        <f t="shared" si="74"/>
        <v xml:space="preserve"> </v>
      </c>
      <c r="AQ132" t="str">
        <f t="shared" si="74"/>
        <v xml:space="preserve"> </v>
      </c>
      <c r="AR132" t="str">
        <f t="shared" si="74"/>
        <v xml:space="preserve"> </v>
      </c>
      <c r="AS132" t="str">
        <f>"0170066709"</f>
        <v>0170066709</v>
      </c>
      <c r="AT132" t="s">
        <v>487</v>
      </c>
      <c r="AU132" t="s">
        <v>0</v>
      </c>
      <c r="AV132" t="s">
        <v>0</v>
      </c>
    </row>
    <row r="133" spans="1:48">
      <c r="A133" t="str">
        <f t="shared" si="60"/>
        <v>00106074</v>
      </c>
      <c r="B133" t="str">
        <f t="shared" si="61"/>
        <v>00106986</v>
      </c>
      <c r="C133" s="25">
        <v>42997</v>
      </c>
      <c r="D133" t="s">
        <v>146</v>
      </c>
      <c r="E133" t="str">
        <f t="shared" si="62"/>
        <v>KOUASSI Nicole Flora</v>
      </c>
      <c r="F133" t="str">
        <f t="shared" si="63"/>
        <v>02252-UNDP (Direct Execution)</v>
      </c>
      <c r="G133" t="s">
        <v>147</v>
      </c>
      <c r="H133" t="s">
        <v>0</v>
      </c>
      <c r="I133" t="s">
        <v>0</v>
      </c>
      <c r="J133" s="26" t="s">
        <v>490</v>
      </c>
      <c r="K133" t="s">
        <v>150</v>
      </c>
      <c r="L133" t="s">
        <v>278</v>
      </c>
      <c r="M133" t="s">
        <v>201</v>
      </c>
      <c r="N133" t="str">
        <f t="shared" ref="N133:N155" si="78">" "</f>
        <v xml:space="preserve"> </v>
      </c>
      <c r="O133" t="str">
        <f t="shared" si="75"/>
        <v xml:space="preserve"> </v>
      </c>
      <c r="P133" t="s">
        <v>0</v>
      </c>
      <c r="Q133" t="s">
        <v>0</v>
      </c>
      <c r="R133" t="str">
        <f t="shared" si="64"/>
        <v>NER10</v>
      </c>
      <c r="S133" t="s">
        <v>153</v>
      </c>
      <c r="T133" t="s">
        <v>154</v>
      </c>
      <c r="U133" t="str">
        <f t="shared" si="65"/>
        <v>001981</v>
      </c>
      <c r="V133" t="str">
        <f t="shared" si="66"/>
        <v>30000</v>
      </c>
      <c r="W133" t="str">
        <f t="shared" si="67"/>
        <v>11363</v>
      </c>
      <c r="X133" t="str">
        <f t="shared" si="77"/>
        <v>75105</v>
      </c>
      <c r="Y133" t="s">
        <v>490</v>
      </c>
      <c r="Z133" t="s">
        <v>194</v>
      </c>
      <c r="AA133">
        <v>1</v>
      </c>
      <c r="AB133" t="s">
        <v>0</v>
      </c>
      <c r="AC133" t="s">
        <v>0</v>
      </c>
      <c r="AD133" t="s">
        <v>0</v>
      </c>
      <c r="AE133" t="str">
        <f t="shared" si="76"/>
        <v>UNDP1</v>
      </c>
      <c r="AF133" t="s">
        <v>284</v>
      </c>
      <c r="AG133" t="s">
        <v>0</v>
      </c>
      <c r="AH133" t="s">
        <v>0</v>
      </c>
      <c r="AI133" t="str">
        <f>"0007452829"</f>
        <v>0007452829</v>
      </c>
      <c r="AJ133" t="s">
        <v>491</v>
      </c>
      <c r="AK133" t="s">
        <v>492</v>
      </c>
      <c r="AL133" s="25">
        <v>43190</v>
      </c>
      <c r="AM133" t="str">
        <f>"03"</f>
        <v>03</v>
      </c>
      <c r="AN133" t="str">
        <f t="shared" si="73"/>
        <v xml:space="preserve"> </v>
      </c>
      <c r="AO133" t="str">
        <f t="shared" si="74"/>
        <v xml:space="preserve"> </v>
      </c>
      <c r="AP133" t="str">
        <f t="shared" si="74"/>
        <v xml:space="preserve"> </v>
      </c>
      <c r="AQ133" t="str">
        <f t="shared" si="74"/>
        <v xml:space="preserve"> </v>
      </c>
      <c r="AR133" t="str">
        <f t="shared" si="74"/>
        <v xml:space="preserve"> </v>
      </c>
      <c r="AS133" t="str">
        <f>"0170593758"</f>
        <v>0170593758</v>
      </c>
      <c r="AT133" t="s">
        <v>416</v>
      </c>
      <c r="AU133" t="s">
        <v>0</v>
      </c>
      <c r="AV133" t="s">
        <v>0</v>
      </c>
    </row>
    <row r="134" spans="1:48">
      <c r="A134" t="str">
        <f t="shared" si="60"/>
        <v>00106074</v>
      </c>
      <c r="B134" t="str">
        <f t="shared" si="61"/>
        <v>00106986</v>
      </c>
      <c r="C134" s="25">
        <v>42997</v>
      </c>
      <c r="D134" t="s">
        <v>146</v>
      </c>
      <c r="E134" t="str">
        <f t="shared" si="62"/>
        <v>KOUASSI Nicole Flora</v>
      </c>
      <c r="F134" t="str">
        <f t="shared" si="63"/>
        <v>02252-UNDP (Direct Execution)</v>
      </c>
      <c r="G134" t="s">
        <v>213</v>
      </c>
      <c r="H134" t="s">
        <v>0</v>
      </c>
      <c r="I134" t="s">
        <v>0</v>
      </c>
      <c r="J134" s="26" t="s">
        <v>493</v>
      </c>
      <c r="K134" t="s">
        <v>150</v>
      </c>
      <c r="L134" t="s">
        <v>298</v>
      </c>
      <c r="M134" t="s">
        <v>201</v>
      </c>
      <c r="N134" t="str">
        <f t="shared" si="78"/>
        <v xml:space="preserve"> </v>
      </c>
      <c r="O134" t="str">
        <f t="shared" si="75"/>
        <v xml:space="preserve"> </v>
      </c>
      <c r="P134" t="s">
        <v>0</v>
      </c>
      <c r="Q134" t="s">
        <v>0</v>
      </c>
      <c r="R134" t="str">
        <f t="shared" si="64"/>
        <v>NER10</v>
      </c>
      <c r="S134" t="s">
        <v>153</v>
      </c>
      <c r="T134" t="s">
        <v>154</v>
      </c>
      <c r="U134" t="str">
        <f t="shared" si="65"/>
        <v>001981</v>
      </c>
      <c r="V134" t="str">
        <f t="shared" si="66"/>
        <v>30000</v>
      </c>
      <c r="W134" t="str">
        <f t="shared" si="67"/>
        <v>11363</v>
      </c>
      <c r="X134" t="str">
        <f t="shared" si="77"/>
        <v>75105</v>
      </c>
      <c r="Y134" t="s">
        <v>493</v>
      </c>
      <c r="Z134" t="s">
        <v>194</v>
      </c>
      <c r="AA134">
        <v>1</v>
      </c>
      <c r="AB134" t="s">
        <v>0</v>
      </c>
      <c r="AC134" t="s">
        <v>0</v>
      </c>
      <c r="AD134" t="s">
        <v>0</v>
      </c>
      <c r="AE134" t="str">
        <f t="shared" si="76"/>
        <v>UNDP1</v>
      </c>
      <c r="AF134" t="s">
        <v>284</v>
      </c>
      <c r="AG134" t="s">
        <v>0</v>
      </c>
      <c r="AH134" t="s">
        <v>0</v>
      </c>
      <c r="AI134" t="str">
        <f>"0007498479"</f>
        <v>0007498479</v>
      </c>
      <c r="AJ134" t="s">
        <v>494</v>
      </c>
      <c r="AK134" t="s">
        <v>495</v>
      </c>
      <c r="AL134" t="s">
        <v>318</v>
      </c>
      <c r="AM134" t="str">
        <f>"04"</f>
        <v>04</v>
      </c>
      <c r="AN134" t="str">
        <f t="shared" si="73"/>
        <v xml:space="preserve"> </v>
      </c>
      <c r="AO134" t="str">
        <f t="shared" si="74"/>
        <v xml:space="preserve"> </v>
      </c>
      <c r="AP134" t="str">
        <f t="shared" si="74"/>
        <v xml:space="preserve"> </v>
      </c>
      <c r="AQ134" t="str">
        <f t="shared" si="74"/>
        <v xml:space="preserve"> </v>
      </c>
      <c r="AR134" t="str">
        <f t="shared" si="74"/>
        <v xml:space="preserve"> </v>
      </c>
      <c r="AS134" t="str">
        <f>"0171860257"</f>
        <v>0171860257</v>
      </c>
      <c r="AT134" t="s">
        <v>338</v>
      </c>
      <c r="AU134" t="s">
        <v>0</v>
      </c>
      <c r="AV134" t="s">
        <v>0</v>
      </c>
    </row>
    <row r="135" spans="1:48">
      <c r="A135" t="str">
        <f t="shared" si="60"/>
        <v>00106074</v>
      </c>
      <c r="B135" t="str">
        <f t="shared" si="61"/>
        <v>00106986</v>
      </c>
      <c r="C135" s="25">
        <v>42997</v>
      </c>
      <c r="D135" t="s">
        <v>146</v>
      </c>
      <c r="E135" t="str">
        <f t="shared" si="62"/>
        <v>KOUASSI Nicole Flora</v>
      </c>
      <c r="F135" t="str">
        <f t="shared" si="63"/>
        <v>02252-UNDP (Direct Execution)</v>
      </c>
      <c r="G135" t="s">
        <v>147</v>
      </c>
      <c r="H135" t="s">
        <v>0</v>
      </c>
      <c r="I135" t="s">
        <v>0</v>
      </c>
      <c r="J135" s="26" t="s">
        <v>496</v>
      </c>
      <c r="K135" t="s">
        <v>150</v>
      </c>
      <c r="L135" t="s">
        <v>298</v>
      </c>
      <c r="M135" t="s">
        <v>201</v>
      </c>
      <c r="N135" t="str">
        <f t="shared" si="78"/>
        <v xml:space="preserve"> </v>
      </c>
      <c r="O135" t="str">
        <f t="shared" si="75"/>
        <v xml:space="preserve"> </v>
      </c>
      <c r="P135" t="s">
        <v>0</v>
      </c>
      <c r="Q135" t="s">
        <v>0</v>
      </c>
      <c r="R135" t="str">
        <f t="shared" si="64"/>
        <v>NER10</v>
      </c>
      <c r="S135" t="s">
        <v>153</v>
      </c>
      <c r="T135" t="s">
        <v>154</v>
      </c>
      <c r="U135" t="str">
        <f t="shared" si="65"/>
        <v>001981</v>
      </c>
      <c r="V135" t="str">
        <f t="shared" si="66"/>
        <v>30000</v>
      </c>
      <c r="W135" t="str">
        <f t="shared" si="67"/>
        <v>11363</v>
      </c>
      <c r="X135" t="str">
        <f t="shared" si="77"/>
        <v>75105</v>
      </c>
      <c r="Y135" t="s">
        <v>496</v>
      </c>
      <c r="Z135" t="s">
        <v>194</v>
      </c>
      <c r="AA135">
        <v>1</v>
      </c>
      <c r="AB135" t="s">
        <v>0</v>
      </c>
      <c r="AC135" t="s">
        <v>0</v>
      </c>
      <c r="AD135" t="s">
        <v>0</v>
      </c>
      <c r="AE135" t="str">
        <f t="shared" si="76"/>
        <v>UNDP1</v>
      </c>
      <c r="AF135" t="s">
        <v>284</v>
      </c>
      <c r="AG135" t="s">
        <v>0</v>
      </c>
      <c r="AH135" t="s">
        <v>0</v>
      </c>
      <c r="AI135" t="str">
        <f>"0007498479"</f>
        <v>0007498479</v>
      </c>
      <c r="AJ135" t="s">
        <v>497</v>
      </c>
      <c r="AK135" t="s">
        <v>495</v>
      </c>
      <c r="AL135" t="s">
        <v>318</v>
      </c>
      <c r="AM135" t="str">
        <f>"04"</f>
        <v>04</v>
      </c>
      <c r="AN135" t="str">
        <f t="shared" si="73"/>
        <v xml:space="preserve"> </v>
      </c>
      <c r="AO135" t="str">
        <f t="shared" si="74"/>
        <v xml:space="preserve"> </v>
      </c>
      <c r="AP135" t="str">
        <f t="shared" si="74"/>
        <v xml:space="preserve"> </v>
      </c>
      <c r="AQ135" t="str">
        <f t="shared" si="74"/>
        <v xml:space="preserve"> </v>
      </c>
      <c r="AR135" t="str">
        <f t="shared" si="74"/>
        <v xml:space="preserve"> </v>
      </c>
      <c r="AS135" t="str">
        <f>"0171860257"</f>
        <v>0171860257</v>
      </c>
      <c r="AT135" t="s">
        <v>338</v>
      </c>
      <c r="AU135" t="s">
        <v>0</v>
      </c>
      <c r="AV135" t="s">
        <v>0</v>
      </c>
    </row>
    <row r="136" spans="1:48">
      <c r="A136" t="str">
        <f t="shared" si="60"/>
        <v>00106074</v>
      </c>
      <c r="B136" t="str">
        <f t="shared" si="61"/>
        <v>00106986</v>
      </c>
      <c r="C136" s="25">
        <v>42997</v>
      </c>
      <c r="D136" t="s">
        <v>146</v>
      </c>
      <c r="E136" t="str">
        <f t="shared" si="62"/>
        <v>KOUASSI Nicole Flora</v>
      </c>
      <c r="F136" t="str">
        <f t="shared" si="63"/>
        <v>02252-UNDP (Direct Execution)</v>
      </c>
      <c r="G136" t="s">
        <v>213</v>
      </c>
      <c r="H136" t="s">
        <v>0</v>
      </c>
      <c r="I136" t="s">
        <v>0</v>
      </c>
      <c r="J136" s="26" t="s">
        <v>498</v>
      </c>
      <c r="K136" t="s">
        <v>150</v>
      </c>
      <c r="L136" t="s">
        <v>325</v>
      </c>
      <c r="M136" t="s">
        <v>201</v>
      </c>
      <c r="N136" t="str">
        <f t="shared" si="78"/>
        <v xml:space="preserve"> </v>
      </c>
      <c r="O136" t="str">
        <f t="shared" si="75"/>
        <v xml:space="preserve"> </v>
      </c>
      <c r="P136" t="s">
        <v>0</v>
      </c>
      <c r="Q136" t="s">
        <v>0</v>
      </c>
      <c r="R136" t="str">
        <f t="shared" si="64"/>
        <v>NER10</v>
      </c>
      <c r="S136" t="s">
        <v>153</v>
      </c>
      <c r="T136" t="s">
        <v>154</v>
      </c>
      <c r="U136" t="str">
        <f t="shared" si="65"/>
        <v>001981</v>
      </c>
      <c r="V136" t="str">
        <f t="shared" si="66"/>
        <v>30000</v>
      </c>
      <c r="W136" t="str">
        <f t="shared" si="67"/>
        <v>11363</v>
      </c>
      <c r="X136" t="str">
        <f t="shared" si="77"/>
        <v>75105</v>
      </c>
      <c r="Y136" t="s">
        <v>498</v>
      </c>
      <c r="Z136" t="s">
        <v>194</v>
      </c>
      <c r="AA136">
        <v>1</v>
      </c>
      <c r="AB136" t="s">
        <v>0</v>
      </c>
      <c r="AC136" t="s">
        <v>0</v>
      </c>
      <c r="AD136" t="s">
        <v>0</v>
      </c>
      <c r="AE136" t="str">
        <f t="shared" si="76"/>
        <v>UNDP1</v>
      </c>
      <c r="AF136" t="s">
        <v>284</v>
      </c>
      <c r="AG136" t="s">
        <v>0</v>
      </c>
      <c r="AH136" t="s">
        <v>0</v>
      </c>
      <c r="AI136" t="str">
        <f>"0007535735"</f>
        <v>0007535735</v>
      </c>
      <c r="AJ136" t="s">
        <v>499</v>
      </c>
      <c r="AK136" t="s">
        <v>500</v>
      </c>
      <c r="AL136" t="s">
        <v>501</v>
      </c>
      <c r="AM136" t="str">
        <f>"05"</f>
        <v>05</v>
      </c>
      <c r="AN136" t="str">
        <f t="shared" si="73"/>
        <v xml:space="preserve"> </v>
      </c>
      <c r="AO136" t="str">
        <f t="shared" si="74"/>
        <v xml:space="preserve"> </v>
      </c>
      <c r="AP136" t="str">
        <f t="shared" si="74"/>
        <v xml:space="preserve"> </v>
      </c>
      <c r="AQ136" t="str">
        <f t="shared" si="74"/>
        <v xml:space="preserve"> </v>
      </c>
      <c r="AR136" t="str">
        <f t="shared" si="74"/>
        <v xml:space="preserve"> </v>
      </c>
      <c r="AS136" t="str">
        <f>"0173142798"</f>
        <v>0173142798</v>
      </c>
      <c r="AT136" s="25">
        <v>43265</v>
      </c>
      <c r="AU136" t="s">
        <v>0</v>
      </c>
      <c r="AV136" t="s">
        <v>0</v>
      </c>
    </row>
    <row r="137" spans="1:48">
      <c r="A137" t="str">
        <f t="shared" ref="A137:A155" si="79">"00106074"</f>
        <v>00106074</v>
      </c>
      <c r="B137" t="str">
        <f t="shared" ref="B137:B155" si="80">"00106986"</f>
        <v>00106986</v>
      </c>
      <c r="C137" s="25">
        <v>42997</v>
      </c>
      <c r="D137" t="s">
        <v>146</v>
      </c>
      <c r="E137" t="str">
        <f t="shared" ref="E137:E155" si="81">"KOUASSI Nicole Flora"</f>
        <v>KOUASSI Nicole Flora</v>
      </c>
      <c r="F137" t="str">
        <f t="shared" ref="F137:F155" si="82">"02252-UNDP (Direct Execution)"</f>
        <v>02252-UNDP (Direct Execution)</v>
      </c>
      <c r="G137" t="s">
        <v>147</v>
      </c>
      <c r="H137" t="s">
        <v>0</v>
      </c>
      <c r="I137" t="s">
        <v>0</v>
      </c>
      <c r="J137" s="26" t="s">
        <v>502</v>
      </c>
      <c r="K137" t="s">
        <v>150</v>
      </c>
      <c r="L137" t="s">
        <v>325</v>
      </c>
      <c r="M137" t="s">
        <v>201</v>
      </c>
      <c r="N137" t="str">
        <f t="shared" si="78"/>
        <v xml:space="preserve"> </v>
      </c>
      <c r="O137" t="str">
        <f t="shared" si="75"/>
        <v xml:space="preserve"> </v>
      </c>
      <c r="P137" t="s">
        <v>0</v>
      </c>
      <c r="Q137" t="s">
        <v>0</v>
      </c>
      <c r="R137" t="str">
        <f t="shared" ref="R137:R155" si="83">"NER10"</f>
        <v>NER10</v>
      </c>
      <c r="S137" t="s">
        <v>153</v>
      </c>
      <c r="T137" t="s">
        <v>154</v>
      </c>
      <c r="U137" t="str">
        <f t="shared" ref="U137:U155" si="84">"001981"</f>
        <v>001981</v>
      </c>
      <c r="V137" t="str">
        <f t="shared" ref="V137:V155" si="85">"30000"</f>
        <v>30000</v>
      </c>
      <c r="W137" t="str">
        <f t="shared" ref="W137:W155" si="86">"11363"</f>
        <v>11363</v>
      </c>
      <c r="X137" t="str">
        <f t="shared" si="77"/>
        <v>75105</v>
      </c>
      <c r="Y137" t="s">
        <v>502</v>
      </c>
      <c r="Z137" t="s">
        <v>194</v>
      </c>
      <c r="AA137">
        <v>1</v>
      </c>
      <c r="AB137" t="s">
        <v>0</v>
      </c>
      <c r="AC137" t="s">
        <v>0</v>
      </c>
      <c r="AD137" t="s">
        <v>0</v>
      </c>
      <c r="AE137" t="str">
        <f t="shared" si="76"/>
        <v>UNDP1</v>
      </c>
      <c r="AF137" t="s">
        <v>284</v>
      </c>
      <c r="AG137" t="s">
        <v>0</v>
      </c>
      <c r="AH137" t="s">
        <v>0</v>
      </c>
      <c r="AI137" t="str">
        <f>"0007535735"</f>
        <v>0007535735</v>
      </c>
      <c r="AJ137" t="s">
        <v>503</v>
      </c>
      <c r="AK137" t="s">
        <v>500</v>
      </c>
      <c r="AL137" t="s">
        <v>501</v>
      </c>
      <c r="AM137" t="str">
        <f>"05"</f>
        <v>05</v>
      </c>
      <c r="AN137" t="str">
        <f t="shared" si="73"/>
        <v xml:space="preserve"> </v>
      </c>
      <c r="AO137" t="str">
        <f t="shared" si="74"/>
        <v xml:space="preserve"> </v>
      </c>
      <c r="AP137" t="str">
        <f t="shared" si="74"/>
        <v xml:space="preserve"> </v>
      </c>
      <c r="AQ137" t="str">
        <f t="shared" si="74"/>
        <v xml:space="preserve"> </v>
      </c>
      <c r="AR137" t="str">
        <f t="shared" si="74"/>
        <v xml:space="preserve"> </v>
      </c>
      <c r="AS137" t="str">
        <f>"0173142798"</f>
        <v>0173142798</v>
      </c>
      <c r="AT137" s="25">
        <v>43265</v>
      </c>
      <c r="AU137" t="s">
        <v>0</v>
      </c>
      <c r="AV137" t="s">
        <v>0</v>
      </c>
    </row>
    <row r="138" spans="1:48">
      <c r="A138" t="str">
        <f t="shared" si="79"/>
        <v>00106074</v>
      </c>
      <c r="B138" t="str">
        <f t="shared" si="80"/>
        <v>00106986</v>
      </c>
      <c r="C138" s="25">
        <v>42997</v>
      </c>
      <c r="D138" t="s">
        <v>146</v>
      </c>
      <c r="E138" t="str">
        <f t="shared" si="81"/>
        <v>KOUASSI Nicole Flora</v>
      </c>
      <c r="F138" t="str">
        <f t="shared" si="82"/>
        <v>02252-UNDP (Direct Execution)</v>
      </c>
      <c r="G138" t="s">
        <v>213</v>
      </c>
      <c r="H138" t="s">
        <v>0</v>
      </c>
      <c r="I138" t="s">
        <v>0</v>
      </c>
      <c r="J138" s="26" t="s">
        <v>504</v>
      </c>
      <c r="K138" t="s">
        <v>150</v>
      </c>
      <c r="L138" t="s">
        <v>403</v>
      </c>
      <c r="M138" t="s">
        <v>201</v>
      </c>
      <c r="N138" t="str">
        <f t="shared" si="78"/>
        <v xml:space="preserve"> </v>
      </c>
      <c r="O138" t="str">
        <f t="shared" si="75"/>
        <v xml:space="preserve"> </v>
      </c>
      <c r="P138" t="s">
        <v>0</v>
      </c>
      <c r="Q138" t="s">
        <v>0</v>
      </c>
      <c r="R138" t="str">
        <f t="shared" si="83"/>
        <v>NER10</v>
      </c>
      <c r="S138" t="s">
        <v>153</v>
      </c>
      <c r="T138" t="s">
        <v>154</v>
      </c>
      <c r="U138" t="str">
        <f t="shared" si="84"/>
        <v>001981</v>
      </c>
      <c r="V138" t="str">
        <f t="shared" si="85"/>
        <v>30000</v>
      </c>
      <c r="W138" t="str">
        <f t="shared" si="86"/>
        <v>11363</v>
      </c>
      <c r="X138" t="str">
        <f t="shared" si="77"/>
        <v>75105</v>
      </c>
      <c r="Y138" t="s">
        <v>504</v>
      </c>
      <c r="Z138" t="s">
        <v>194</v>
      </c>
      <c r="AA138">
        <v>1</v>
      </c>
      <c r="AB138" t="s">
        <v>0</v>
      </c>
      <c r="AC138" t="s">
        <v>0</v>
      </c>
      <c r="AD138" t="s">
        <v>0</v>
      </c>
      <c r="AE138" t="str">
        <f t="shared" si="76"/>
        <v>UNDP1</v>
      </c>
      <c r="AF138" t="s">
        <v>284</v>
      </c>
      <c r="AG138" t="s">
        <v>0</v>
      </c>
      <c r="AH138" t="s">
        <v>0</v>
      </c>
      <c r="AI138" t="str">
        <f>"0007564087"</f>
        <v>0007564087</v>
      </c>
      <c r="AJ138" t="s">
        <v>505</v>
      </c>
      <c r="AK138" t="s">
        <v>506</v>
      </c>
      <c r="AL138" s="25">
        <v>43281</v>
      </c>
      <c r="AM138" t="str">
        <f>"06"</f>
        <v>06</v>
      </c>
      <c r="AN138" t="str">
        <f t="shared" si="73"/>
        <v xml:space="preserve"> </v>
      </c>
      <c r="AO138" t="str">
        <f t="shared" si="74"/>
        <v xml:space="preserve"> </v>
      </c>
      <c r="AP138" t="str">
        <f t="shared" si="74"/>
        <v xml:space="preserve"> </v>
      </c>
      <c r="AQ138" t="str">
        <f t="shared" si="74"/>
        <v xml:space="preserve"> </v>
      </c>
      <c r="AR138" t="str">
        <f t="shared" si="74"/>
        <v xml:space="preserve"> </v>
      </c>
      <c r="AS138" t="str">
        <f>"0174228701"</f>
        <v>0174228701</v>
      </c>
      <c r="AT138" s="25">
        <v>43288</v>
      </c>
      <c r="AU138" t="s">
        <v>0</v>
      </c>
      <c r="AV138" t="s">
        <v>0</v>
      </c>
    </row>
    <row r="139" spans="1:48">
      <c r="A139" t="str">
        <f t="shared" si="79"/>
        <v>00106074</v>
      </c>
      <c r="B139" t="str">
        <f t="shared" si="80"/>
        <v>00106986</v>
      </c>
      <c r="C139" s="25">
        <v>42997</v>
      </c>
      <c r="D139" t="s">
        <v>146</v>
      </c>
      <c r="E139" t="str">
        <f t="shared" si="81"/>
        <v>KOUASSI Nicole Flora</v>
      </c>
      <c r="F139" t="str">
        <f t="shared" si="82"/>
        <v>02252-UNDP (Direct Execution)</v>
      </c>
      <c r="G139" t="s">
        <v>147</v>
      </c>
      <c r="H139" t="s">
        <v>0</v>
      </c>
      <c r="I139" t="s">
        <v>0</v>
      </c>
      <c r="J139" s="26" t="s">
        <v>507</v>
      </c>
      <c r="K139" t="s">
        <v>150</v>
      </c>
      <c r="L139" t="s">
        <v>403</v>
      </c>
      <c r="M139" t="s">
        <v>201</v>
      </c>
      <c r="N139" t="str">
        <f t="shared" si="78"/>
        <v xml:space="preserve"> </v>
      </c>
      <c r="O139" t="str">
        <f t="shared" si="75"/>
        <v xml:space="preserve"> </v>
      </c>
      <c r="P139" t="s">
        <v>0</v>
      </c>
      <c r="Q139" t="s">
        <v>0</v>
      </c>
      <c r="R139" t="str">
        <f t="shared" si="83"/>
        <v>NER10</v>
      </c>
      <c r="S139" t="s">
        <v>153</v>
      </c>
      <c r="T139" t="s">
        <v>154</v>
      </c>
      <c r="U139" t="str">
        <f t="shared" si="84"/>
        <v>001981</v>
      </c>
      <c r="V139" t="str">
        <f t="shared" si="85"/>
        <v>30000</v>
      </c>
      <c r="W139" t="str">
        <f t="shared" si="86"/>
        <v>11363</v>
      </c>
      <c r="X139" t="str">
        <f t="shared" si="77"/>
        <v>75105</v>
      </c>
      <c r="Y139" t="s">
        <v>507</v>
      </c>
      <c r="Z139" t="s">
        <v>194</v>
      </c>
      <c r="AA139">
        <v>1</v>
      </c>
      <c r="AB139" t="s">
        <v>0</v>
      </c>
      <c r="AC139" t="s">
        <v>0</v>
      </c>
      <c r="AD139" t="s">
        <v>0</v>
      </c>
      <c r="AE139" t="str">
        <f t="shared" si="76"/>
        <v>UNDP1</v>
      </c>
      <c r="AF139" t="s">
        <v>284</v>
      </c>
      <c r="AG139" t="s">
        <v>0</v>
      </c>
      <c r="AH139" t="s">
        <v>0</v>
      </c>
      <c r="AI139" t="str">
        <f>"0007564087"</f>
        <v>0007564087</v>
      </c>
      <c r="AJ139" t="s">
        <v>508</v>
      </c>
      <c r="AK139" t="s">
        <v>506</v>
      </c>
      <c r="AL139" s="25">
        <v>43281</v>
      </c>
      <c r="AM139" t="str">
        <f>"06"</f>
        <v>06</v>
      </c>
      <c r="AN139" t="str">
        <f t="shared" si="73"/>
        <v xml:space="preserve"> </v>
      </c>
      <c r="AO139" t="str">
        <f t="shared" si="74"/>
        <v xml:space="preserve"> </v>
      </c>
      <c r="AP139" t="str">
        <f t="shared" si="74"/>
        <v xml:space="preserve"> </v>
      </c>
      <c r="AQ139" t="str">
        <f t="shared" si="74"/>
        <v xml:space="preserve"> </v>
      </c>
      <c r="AR139" t="str">
        <f t="shared" si="74"/>
        <v xml:space="preserve"> </v>
      </c>
      <c r="AS139" t="str">
        <f>"0174228701"</f>
        <v>0174228701</v>
      </c>
      <c r="AT139" s="25">
        <v>43288</v>
      </c>
      <c r="AU139" t="s">
        <v>0</v>
      </c>
      <c r="AV139" t="s">
        <v>0</v>
      </c>
    </row>
    <row r="140" spans="1:48">
      <c r="A140" t="str">
        <f t="shared" si="79"/>
        <v>00106074</v>
      </c>
      <c r="B140" t="str">
        <f t="shared" si="80"/>
        <v>00106986</v>
      </c>
      <c r="C140" s="25">
        <v>42997</v>
      </c>
      <c r="D140" t="s">
        <v>146</v>
      </c>
      <c r="E140" t="str">
        <f t="shared" si="81"/>
        <v>KOUASSI Nicole Flora</v>
      </c>
      <c r="F140" t="str">
        <f t="shared" si="82"/>
        <v>02252-UNDP (Direct Execution)</v>
      </c>
      <c r="G140" t="s">
        <v>147</v>
      </c>
      <c r="H140" t="s">
        <v>0</v>
      </c>
      <c r="I140" t="s">
        <v>0</v>
      </c>
      <c r="J140" s="26" t="s">
        <v>509</v>
      </c>
      <c r="K140" t="s">
        <v>150</v>
      </c>
      <c r="L140" t="s">
        <v>403</v>
      </c>
      <c r="M140" t="s">
        <v>201</v>
      </c>
      <c r="N140" t="str">
        <f t="shared" si="78"/>
        <v xml:space="preserve"> </v>
      </c>
      <c r="O140" t="str">
        <f t="shared" si="75"/>
        <v xml:space="preserve"> </v>
      </c>
      <c r="P140" t="s">
        <v>0</v>
      </c>
      <c r="Q140" t="s">
        <v>0</v>
      </c>
      <c r="R140" t="str">
        <f t="shared" si="83"/>
        <v>NER10</v>
      </c>
      <c r="S140" t="s">
        <v>153</v>
      </c>
      <c r="T140" t="s">
        <v>154</v>
      </c>
      <c r="U140" t="str">
        <f t="shared" si="84"/>
        <v>001981</v>
      </c>
      <c r="V140" t="str">
        <f t="shared" si="85"/>
        <v>30000</v>
      </c>
      <c r="W140" t="str">
        <f t="shared" si="86"/>
        <v>11363</v>
      </c>
      <c r="X140" t="str">
        <f>"76110"</f>
        <v>76110</v>
      </c>
      <c r="Y140" t="s">
        <v>328</v>
      </c>
      <c r="Z140" t="s">
        <v>155</v>
      </c>
      <c r="AA140" t="s">
        <v>0</v>
      </c>
      <c r="AB140" t="s">
        <v>0</v>
      </c>
      <c r="AC140" t="s">
        <v>0</v>
      </c>
      <c r="AD140" t="s">
        <v>0</v>
      </c>
      <c r="AE140" t="str">
        <f t="shared" si="76"/>
        <v>UNDP1</v>
      </c>
      <c r="AF140" t="s">
        <v>284</v>
      </c>
      <c r="AG140" t="s">
        <v>0</v>
      </c>
      <c r="AH140" t="s">
        <v>0</v>
      </c>
      <c r="AI140" t="str">
        <f>"0007565800"</f>
        <v>0007565800</v>
      </c>
      <c r="AJ140" t="s">
        <v>510</v>
      </c>
      <c r="AK140" t="s">
        <v>511</v>
      </c>
      <c r="AL140" s="25">
        <v>43281</v>
      </c>
      <c r="AM140" t="str">
        <f>"06"</f>
        <v>06</v>
      </c>
      <c r="AN140" t="str">
        <f t="shared" si="73"/>
        <v xml:space="preserve"> </v>
      </c>
      <c r="AO140" t="str">
        <f t="shared" si="74"/>
        <v xml:space="preserve"> </v>
      </c>
      <c r="AP140" t="str">
        <f t="shared" si="74"/>
        <v xml:space="preserve"> </v>
      </c>
      <c r="AQ140" t="str">
        <f t="shared" si="74"/>
        <v xml:space="preserve"> </v>
      </c>
      <c r="AR140" t="str">
        <f t="shared" si="74"/>
        <v xml:space="preserve"> </v>
      </c>
      <c r="AS140" t="str">
        <f>"0174312712"</f>
        <v>0174312712</v>
      </c>
      <c r="AT140" s="25">
        <v>43290</v>
      </c>
      <c r="AU140" t="s">
        <v>0</v>
      </c>
      <c r="AV140" t="s">
        <v>0</v>
      </c>
    </row>
    <row r="141" spans="1:48">
      <c r="A141" t="str">
        <f t="shared" si="79"/>
        <v>00106074</v>
      </c>
      <c r="B141" t="str">
        <f t="shared" si="80"/>
        <v>00106986</v>
      </c>
      <c r="C141" s="25">
        <v>42997</v>
      </c>
      <c r="D141" t="s">
        <v>146</v>
      </c>
      <c r="E141" t="str">
        <f t="shared" si="81"/>
        <v>KOUASSI Nicole Flora</v>
      </c>
      <c r="F141" t="str">
        <f t="shared" si="82"/>
        <v>02252-UNDP (Direct Execution)</v>
      </c>
      <c r="G141" t="s">
        <v>147</v>
      </c>
      <c r="H141" t="s">
        <v>0</v>
      </c>
      <c r="I141" t="s">
        <v>0</v>
      </c>
      <c r="J141" s="26" t="s">
        <v>512</v>
      </c>
      <c r="K141" t="s">
        <v>150</v>
      </c>
      <c r="L141" t="s">
        <v>403</v>
      </c>
      <c r="M141" t="s">
        <v>201</v>
      </c>
      <c r="N141" t="str">
        <f t="shared" si="78"/>
        <v xml:space="preserve"> </v>
      </c>
      <c r="O141" t="str">
        <f t="shared" si="75"/>
        <v xml:space="preserve"> </v>
      </c>
      <c r="P141" t="s">
        <v>0</v>
      </c>
      <c r="Q141" t="s">
        <v>0</v>
      </c>
      <c r="R141" t="str">
        <f t="shared" si="83"/>
        <v>NER10</v>
      </c>
      <c r="S141" t="s">
        <v>153</v>
      </c>
      <c r="T141" t="s">
        <v>154</v>
      </c>
      <c r="U141" t="str">
        <f t="shared" si="84"/>
        <v>001981</v>
      </c>
      <c r="V141" t="str">
        <f t="shared" si="85"/>
        <v>30000</v>
      </c>
      <c r="W141" t="str">
        <f t="shared" si="86"/>
        <v>11363</v>
      </c>
      <c r="X141" t="str">
        <f>"76110"</f>
        <v>76110</v>
      </c>
      <c r="Y141" t="s">
        <v>328</v>
      </c>
      <c r="Z141" t="s">
        <v>155</v>
      </c>
      <c r="AA141" t="s">
        <v>0</v>
      </c>
      <c r="AB141" t="s">
        <v>0</v>
      </c>
      <c r="AC141" t="s">
        <v>0</v>
      </c>
      <c r="AD141" t="s">
        <v>0</v>
      </c>
      <c r="AE141" t="str">
        <f t="shared" si="76"/>
        <v>UNDP1</v>
      </c>
      <c r="AF141" t="s">
        <v>284</v>
      </c>
      <c r="AG141" t="s">
        <v>0</v>
      </c>
      <c r="AH141" t="s">
        <v>0</v>
      </c>
      <c r="AI141" t="str">
        <f>"0007565800"</f>
        <v>0007565800</v>
      </c>
      <c r="AJ141" t="s">
        <v>513</v>
      </c>
      <c r="AK141" t="s">
        <v>511</v>
      </c>
      <c r="AL141" s="25">
        <v>43281</v>
      </c>
      <c r="AM141" t="str">
        <f>"06"</f>
        <v>06</v>
      </c>
      <c r="AN141" t="str">
        <f t="shared" si="73"/>
        <v xml:space="preserve"> </v>
      </c>
      <c r="AO141" t="str">
        <f t="shared" si="74"/>
        <v xml:space="preserve"> </v>
      </c>
      <c r="AP141" t="str">
        <f t="shared" si="74"/>
        <v xml:space="preserve"> </v>
      </c>
      <c r="AQ141" t="str">
        <f t="shared" si="74"/>
        <v xml:space="preserve"> </v>
      </c>
      <c r="AR141" t="str">
        <f t="shared" si="74"/>
        <v xml:space="preserve"> </v>
      </c>
      <c r="AS141" t="str">
        <f>"0174312712"</f>
        <v>0174312712</v>
      </c>
      <c r="AT141" s="25">
        <v>43290</v>
      </c>
      <c r="AU141" t="s">
        <v>0</v>
      </c>
      <c r="AV141" t="s">
        <v>0</v>
      </c>
    </row>
    <row r="142" spans="1:48">
      <c r="A142" t="str">
        <f t="shared" si="79"/>
        <v>00106074</v>
      </c>
      <c r="B142" t="str">
        <f t="shared" si="80"/>
        <v>00106986</v>
      </c>
      <c r="C142" s="25">
        <v>42997</v>
      </c>
      <c r="D142" t="s">
        <v>146</v>
      </c>
      <c r="E142" t="str">
        <f t="shared" si="81"/>
        <v>KOUASSI Nicole Flora</v>
      </c>
      <c r="F142" t="str">
        <f t="shared" si="82"/>
        <v>02252-UNDP (Direct Execution)</v>
      </c>
      <c r="G142" t="s">
        <v>213</v>
      </c>
      <c r="H142" t="s">
        <v>226</v>
      </c>
      <c r="I142" t="s">
        <v>220</v>
      </c>
      <c r="J142" s="26" t="s">
        <v>514</v>
      </c>
      <c r="K142" t="s">
        <v>150</v>
      </c>
      <c r="L142" t="s">
        <v>278</v>
      </c>
      <c r="M142" t="s">
        <v>221</v>
      </c>
      <c r="N142" t="str">
        <f t="shared" si="78"/>
        <v xml:space="preserve"> </v>
      </c>
      <c r="O142" t="str">
        <f t="shared" si="75"/>
        <v xml:space="preserve"> </v>
      </c>
      <c r="P142" t="s">
        <v>0</v>
      </c>
      <c r="Q142" s="25">
        <v>43178</v>
      </c>
      <c r="R142" t="str">
        <f t="shared" si="83"/>
        <v>NER10</v>
      </c>
      <c r="S142" t="s">
        <v>153</v>
      </c>
      <c r="T142" t="s">
        <v>154</v>
      </c>
      <c r="U142" t="str">
        <f t="shared" si="84"/>
        <v>001981</v>
      </c>
      <c r="V142" t="str">
        <f t="shared" si="85"/>
        <v>30000</v>
      </c>
      <c r="W142" t="str">
        <f t="shared" si="86"/>
        <v>11363</v>
      </c>
      <c r="X142" t="str">
        <f>"71620"</f>
        <v>71620</v>
      </c>
      <c r="Y142" t="s">
        <v>515</v>
      </c>
      <c r="Z142" t="s">
        <v>155</v>
      </c>
      <c r="AA142" t="s">
        <v>280</v>
      </c>
      <c r="AB142" t="str">
        <f>"0000002521"</f>
        <v>0000002521</v>
      </c>
      <c r="AC142" t="s">
        <v>227</v>
      </c>
      <c r="AD142" t="s">
        <v>156</v>
      </c>
      <c r="AE142" t="str">
        <f t="shared" ref="AE142:AE155" si="87">" "</f>
        <v xml:space="preserve"> </v>
      </c>
      <c r="AF142" t="s">
        <v>284</v>
      </c>
      <c r="AG142" t="s">
        <v>220</v>
      </c>
      <c r="AH142" t="s">
        <v>0</v>
      </c>
      <c r="AI142" t="str">
        <f t="shared" ref="AI142:AI155" si="88">" "</f>
        <v xml:space="preserve"> </v>
      </c>
      <c r="AJ142" t="s">
        <v>284</v>
      </c>
      <c r="AK142" t="s">
        <v>0</v>
      </c>
      <c r="AM142" t="str">
        <f>"03"</f>
        <v>03</v>
      </c>
      <c r="AN142" t="str">
        <f>"0000215198"</f>
        <v>0000215198</v>
      </c>
      <c r="AO142" t="str">
        <f t="shared" si="74"/>
        <v xml:space="preserve"> </v>
      </c>
      <c r="AP142" t="str">
        <f t="shared" si="74"/>
        <v xml:space="preserve"> </v>
      </c>
      <c r="AQ142" t="str">
        <f t="shared" si="74"/>
        <v xml:space="preserve"> </v>
      </c>
      <c r="AR142" t="str">
        <f t="shared" si="74"/>
        <v xml:space="preserve"> </v>
      </c>
      <c r="AS142" t="str">
        <f>"0169301158"</f>
        <v>0169301158</v>
      </c>
      <c r="AT142" s="25">
        <v>43173</v>
      </c>
      <c r="AU142" t="str">
        <f>"0000123970"</f>
        <v>0000123970</v>
      </c>
      <c r="AV142" s="25">
        <v>43175</v>
      </c>
    </row>
    <row r="143" spans="1:48">
      <c r="A143" t="str">
        <f t="shared" si="79"/>
        <v>00106074</v>
      </c>
      <c r="B143" t="str">
        <f t="shared" si="80"/>
        <v>00106986</v>
      </c>
      <c r="C143" s="25">
        <v>42997</v>
      </c>
      <c r="D143" t="s">
        <v>146</v>
      </c>
      <c r="E143" t="str">
        <f t="shared" si="81"/>
        <v>KOUASSI Nicole Flora</v>
      </c>
      <c r="F143" t="str">
        <f t="shared" si="82"/>
        <v>02252-UNDP (Direct Execution)</v>
      </c>
      <c r="G143" t="s">
        <v>213</v>
      </c>
      <c r="H143" t="s">
        <v>516</v>
      </c>
      <c r="I143" t="s">
        <v>220</v>
      </c>
      <c r="J143" s="26" t="s">
        <v>514</v>
      </c>
      <c r="K143" t="s">
        <v>150</v>
      </c>
      <c r="L143" t="s">
        <v>278</v>
      </c>
      <c r="M143" t="s">
        <v>221</v>
      </c>
      <c r="N143" t="str">
        <f t="shared" si="78"/>
        <v xml:space="preserve"> </v>
      </c>
      <c r="O143" t="str">
        <f t="shared" si="75"/>
        <v xml:space="preserve"> </v>
      </c>
      <c r="P143" t="s">
        <v>0</v>
      </c>
      <c r="Q143" s="25">
        <v>43178</v>
      </c>
      <c r="R143" t="str">
        <f t="shared" si="83"/>
        <v>NER10</v>
      </c>
      <c r="S143" t="s">
        <v>153</v>
      </c>
      <c r="T143" t="s">
        <v>154</v>
      </c>
      <c r="U143" t="str">
        <f t="shared" si="84"/>
        <v>001981</v>
      </c>
      <c r="V143" t="str">
        <f t="shared" si="85"/>
        <v>30000</v>
      </c>
      <c r="W143" t="str">
        <f t="shared" si="86"/>
        <v>11363</v>
      </c>
      <c r="X143" t="str">
        <f>"71620"</f>
        <v>71620</v>
      </c>
      <c r="Y143" t="s">
        <v>515</v>
      </c>
      <c r="Z143" t="s">
        <v>155</v>
      </c>
      <c r="AA143" t="s">
        <v>280</v>
      </c>
      <c r="AB143" t="str">
        <f>"0000000171"</f>
        <v>0000000171</v>
      </c>
      <c r="AC143" t="s">
        <v>156</v>
      </c>
      <c r="AD143" t="s">
        <v>156</v>
      </c>
      <c r="AE143" t="str">
        <f t="shared" si="87"/>
        <v xml:space="preserve"> </v>
      </c>
      <c r="AF143" t="s">
        <v>284</v>
      </c>
      <c r="AG143" t="s">
        <v>220</v>
      </c>
      <c r="AH143" t="s">
        <v>0</v>
      </c>
      <c r="AI143" t="str">
        <f t="shared" si="88"/>
        <v xml:space="preserve"> </v>
      </c>
      <c r="AJ143" t="s">
        <v>284</v>
      </c>
      <c r="AK143" t="s">
        <v>0</v>
      </c>
      <c r="AM143" t="str">
        <f>"03"</f>
        <v>03</v>
      </c>
      <c r="AN143" t="str">
        <f>"0000215203"</f>
        <v>0000215203</v>
      </c>
      <c r="AO143" t="str">
        <f t="shared" si="74"/>
        <v xml:space="preserve"> </v>
      </c>
      <c r="AP143" t="str">
        <f t="shared" si="74"/>
        <v xml:space="preserve"> </v>
      </c>
      <c r="AQ143" t="str">
        <f t="shared" si="74"/>
        <v xml:space="preserve"> </v>
      </c>
      <c r="AR143" t="str">
        <f t="shared" si="74"/>
        <v xml:space="preserve"> </v>
      </c>
      <c r="AS143" t="str">
        <f>"0169301161"</f>
        <v>0169301161</v>
      </c>
      <c r="AT143" s="25">
        <v>43173</v>
      </c>
      <c r="AU143" t="str">
        <f>"0000123969"</f>
        <v>0000123969</v>
      </c>
      <c r="AV143" s="25">
        <v>43175</v>
      </c>
    </row>
    <row r="144" spans="1:48">
      <c r="A144" t="str">
        <f t="shared" si="79"/>
        <v>00106074</v>
      </c>
      <c r="B144" t="str">
        <f t="shared" si="80"/>
        <v>00106986</v>
      </c>
      <c r="C144" s="25">
        <v>42997</v>
      </c>
      <c r="D144" t="s">
        <v>146</v>
      </c>
      <c r="E144" t="str">
        <f t="shared" si="81"/>
        <v>KOUASSI Nicole Flora</v>
      </c>
      <c r="F144" t="str">
        <f t="shared" si="82"/>
        <v>02252-UNDP (Direct Execution)</v>
      </c>
      <c r="G144" t="s">
        <v>213</v>
      </c>
      <c r="H144" t="s">
        <v>372</v>
      </c>
      <c r="I144" t="s">
        <v>220</v>
      </c>
      <c r="J144" s="26" t="s">
        <v>514</v>
      </c>
      <c r="K144" t="s">
        <v>150</v>
      </c>
      <c r="L144" t="s">
        <v>278</v>
      </c>
      <c r="M144" t="s">
        <v>221</v>
      </c>
      <c r="N144" t="str">
        <f t="shared" si="78"/>
        <v xml:space="preserve"> </v>
      </c>
      <c r="O144" t="str">
        <f t="shared" si="75"/>
        <v xml:space="preserve"> </v>
      </c>
      <c r="P144" t="s">
        <v>0</v>
      </c>
      <c r="Q144" s="25">
        <v>43178</v>
      </c>
      <c r="R144" t="str">
        <f t="shared" si="83"/>
        <v>NER10</v>
      </c>
      <c r="S144" t="s">
        <v>153</v>
      </c>
      <c r="T144" t="s">
        <v>154</v>
      </c>
      <c r="U144" t="str">
        <f t="shared" si="84"/>
        <v>001981</v>
      </c>
      <c r="V144" t="str">
        <f t="shared" si="85"/>
        <v>30000</v>
      </c>
      <c r="W144" t="str">
        <f t="shared" si="86"/>
        <v>11363</v>
      </c>
      <c r="X144" t="str">
        <f>"71620"</f>
        <v>71620</v>
      </c>
      <c r="Y144" t="s">
        <v>515</v>
      </c>
      <c r="Z144" t="s">
        <v>155</v>
      </c>
      <c r="AA144" t="s">
        <v>280</v>
      </c>
      <c r="AB144" t="str">
        <f>"0000004270"</f>
        <v>0000004270</v>
      </c>
      <c r="AC144" t="s">
        <v>376</v>
      </c>
      <c r="AD144" t="s">
        <v>156</v>
      </c>
      <c r="AE144" t="str">
        <f t="shared" si="87"/>
        <v xml:space="preserve"> </v>
      </c>
      <c r="AF144" t="s">
        <v>284</v>
      </c>
      <c r="AG144" t="s">
        <v>220</v>
      </c>
      <c r="AH144" t="s">
        <v>0</v>
      </c>
      <c r="AI144" t="str">
        <f t="shared" si="88"/>
        <v xml:space="preserve"> </v>
      </c>
      <c r="AJ144" t="s">
        <v>284</v>
      </c>
      <c r="AK144" t="s">
        <v>0</v>
      </c>
      <c r="AM144" t="str">
        <f>"03"</f>
        <v>03</v>
      </c>
      <c r="AN144" t="str">
        <f>"0000215204"</f>
        <v>0000215204</v>
      </c>
      <c r="AO144" t="str">
        <f t="shared" ref="AO144:AR154" si="89">" "</f>
        <v xml:space="preserve"> </v>
      </c>
      <c r="AP144" t="str">
        <f t="shared" si="89"/>
        <v xml:space="preserve"> </v>
      </c>
      <c r="AQ144" t="str">
        <f t="shared" si="89"/>
        <v xml:space="preserve"> </v>
      </c>
      <c r="AR144" t="str">
        <f t="shared" si="89"/>
        <v xml:space="preserve"> </v>
      </c>
      <c r="AS144" t="str">
        <f>"0169301162"</f>
        <v>0169301162</v>
      </c>
      <c r="AT144" s="25">
        <v>43173</v>
      </c>
      <c r="AU144" t="str">
        <f>"0000123972"</f>
        <v>0000123972</v>
      </c>
      <c r="AV144" s="25">
        <v>43175</v>
      </c>
    </row>
    <row r="145" spans="1:48">
      <c r="A145" t="str">
        <f t="shared" si="79"/>
        <v>00106074</v>
      </c>
      <c r="B145" t="str">
        <f t="shared" si="80"/>
        <v>00106986</v>
      </c>
      <c r="C145" s="25">
        <v>42997</v>
      </c>
      <c r="D145" t="s">
        <v>146</v>
      </c>
      <c r="E145" t="str">
        <f t="shared" si="81"/>
        <v>KOUASSI Nicole Flora</v>
      </c>
      <c r="F145" t="str">
        <f t="shared" si="82"/>
        <v>02252-UNDP (Direct Execution)</v>
      </c>
      <c r="G145" t="s">
        <v>213</v>
      </c>
      <c r="H145" t="s">
        <v>222</v>
      </c>
      <c r="I145" t="s">
        <v>220</v>
      </c>
      <c r="J145" s="26" t="s">
        <v>514</v>
      </c>
      <c r="K145" t="s">
        <v>150</v>
      </c>
      <c r="L145" t="s">
        <v>278</v>
      </c>
      <c r="M145" t="s">
        <v>221</v>
      </c>
      <c r="N145" t="str">
        <f t="shared" si="78"/>
        <v xml:space="preserve"> </v>
      </c>
      <c r="O145" t="str">
        <f t="shared" si="75"/>
        <v xml:space="preserve"> </v>
      </c>
      <c r="P145" t="s">
        <v>0</v>
      </c>
      <c r="Q145" s="25">
        <v>43178</v>
      </c>
      <c r="R145" t="str">
        <f t="shared" si="83"/>
        <v>NER10</v>
      </c>
      <c r="S145" t="s">
        <v>153</v>
      </c>
      <c r="T145" t="s">
        <v>154</v>
      </c>
      <c r="U145" t="str">
        <f t="shared" si="84"/>
        <v>001981</v>
      </c>
      <c r="V145" t="str">
        <f t="shared" si="85"/>
        <v>30000</v>
      </c>
      <c r="W145" t="str">
        <f t="shared" si="86"/>
        <v>11363</v>
      </c>
      <c r="X145" t="str">
        <f>"71620"</f>
        <v>71620</v>
      </c>
      <c r="Y145" t="s">
        <v>515</v>
      </c>
      <c r="Z145" t="s">
        <v>155</v>
      </c>
      <c r="AA145" t="s">
        <v>280</v>
      </c>
      <c r="AB145" t="str">
        <f>"0000002074"</f>
        <v>0000002074</v>
      </c>
      <c r="AC145" t="s">
        <v>223</v>
      </c>
      <c r="AD145" t="s">
        <v>156</v>
      </c>
      <c r="AE145" t="str">
        <f t="shared" si="87"/>
        <v xml:space="preserve"> </v>
      </c>
      <c r="AF145" t="s">
        <v>284</v>
      </c>
      <c r="AG145" t="s">
        <v>220</v>
      </c>
      <c r="AH145" t="s">
        <v>0</v>
      </c>
      <c r="AI145" t="str">
        <f t="shared" si="88"/>
        <v xml:space="preserve"> </v>
      </c>
      <c r="AJ145" t="s">
        <v>284</v>
      </c>
      <c r="AK145" t="s">
        <v>0</v>
      </c>
      <c r="AM145" t="str">
        <f>"03"</f>
        <v>03</v>
      </c>
      <c r="AN145" t="str">
        <f>"0000215206"</f>
        <v>0000215206</v>
      </c>
      <c r="AO145" t="str">
        <f t="shared" si="89"/>
        <v xml:space="preserve"> </v>
      </c>
      <c r="AP145" t="str">
        <f t="shared" si="89"/>
        <v xml:space="preserve"> </v>
      </c>
      <c r="AQ145" t="str">
        <f t="shared" si="89"/>
        <v xml:space="preserve"> </v>
      </c>
      <c r="AR145" t="str">
        <f t="shared" si="89"/>
        <v xml:space="preserve"> </v>
      </c>
      <c r="AS145" t="str">
        <f>"0169301164"</f>
        <v>0169301164</v>
      </c>
      <c r="AT145" s="25">
        <v>43173</v>
      </c>
      <c r="AU145" t="str">
        <f>"0000123971"</f>
        <v>0000123971</v>
      </c>
      <c r="AV145" s="25">
        <v>43175</v>
      </c>
    </row>
    <row r="146" spans="1:48">
      <c r="A146" t="str">
        <f t="shared" si="79"/>
        <v>00106074</v>
      </c>
      <c r="B146" t="str">
        <f t="shared" si="80"/>
        <v>00106986</v>
      </c>
      <c r="C146" s="25">
        <v>42997</v>
      </c>
      <c r="D146" t="s">
        <v>146</v>
      </c>
      <c r="E146" t="str">
        <f t="shared" si="81"/>
        <v>KOUASSI Nicole Flora</v>
      </c>
      <c r="F146" t="str">
        <f t="shared" si="82"/>
        <v>02252-UNDP (Direct Execution)</v>
      </c>
      <c r="G146" t="s">
        <v>147</v>
      </c>
      <c r="H146" t="s">
        <v>162</v>
      </c>
      <c r="I146" t="s">
        <v>220</v>
      </c>
      <c r="J146" s="26" t="s">
        <v>517</v>
      </c>
      <c r="K146" t="s">
        <v>150</v>
      </c>
      <c r="L146" t="s">
        <v>298</v>
      </c>
      <c r="M146" t="s">
        <v>221</v>
      </c>
      <c r="N146" t="str">
        <f t="shared" si="78"/>
        <v xml:space="preserve"> </v>
      </c>
      <c r="O146" t="str">
        <f t="shared" si="75"/>
        <v xml:space="preserve"> </v>
      </c>
      <c r="P146" t="s">
        <v>0</v>
      </c>
      <c r="Q146" t="s">
        <v>518</v>
      </c>
      <c r="R146" t="str">
        <f t="shared" si="83"/>
        <v>NER10</v>
      </c>
      <c r="S146" t="s">
        <v>153</v>
      </c>
      <c r="T146" t="s">
        <v>154</v>
      </c>
      <c r="U146" t="str">
        <f t="shared" si="84"/>
        <v>001981</v>
      </c>
      <c r="V146" t="str">
        <f t="shared" si="85"/>
        <v>30000</v>
      </c>
      <c r="W146" t="str">
        <f t="shared" si="86"/>
        <v>11363</v>
      </c>
      <c r="X146" t="str">
        <f>"71615"</f>
        <v>71615</v>
      </c>
      <c r="Y146" t="s">
        <v>519</v>
      </c>
      <c r="Z146" t="s">
        <v>155</v>
      </c>
      <c r="AA146" t="s">
        <v>301</v>
      </c>
      <c r="AB146" t="str">
        <f>"0000007120"</f>
        <v>0000007120</v>
      </c>
      <c r="AC146" t="s">
        <v>164</v>
      </c>
      <c r="AD146" t="s">
        <v>156</v>
      </c>
      <c r="AE146" t="str">
        <f t="shared" si="87"/>
        <v xml:space="preserve"> </v>
      </c>
      <c r="AF146" t="s">
        <v>284</v>
      </c>
      <c r="AG146" t="s">
        <v>220</v>
      </c>
      <c r="AH146" t="s">
        <v>0</v>
      </c>
      <c r="AI146" t="str">
        <f t="shared" si="88"/>
        <v xml:space="preserve"> </v>
      </c>
      <c r="AJ146" t="s">
        <v>284</v>
      </c>
      <c r="AK146" t="s">
        <v>0</v>
      </c>
      <c r="AM146" t="str">
        <f>"04"</f>
        <v>04</v>
      </c>
      <c r="AN146" t="str">
        <f>"0000219529"</f>
        <v>0000219529</v>
      </c>
      <c r="AO146" t="str">
        <f t="shared" si="89"/>
        <v xml:space="preserve"> </v>
      </c>
      <c r="AP146" t="str">
        <f t="shared" si="89"/>
        <v xml:space="preserve"> </v>
      </c>
      <c r="AQ146" t="str">
        <f t="shared" si="89"/>
        <v xml:space="preserve"> </v>
      </c>
      <c r="AR146" t="str">
        <f t="shared" si="89"/>
        <v xml:space="preserve"> </v>
      </c>
      <c r="AS146" t="str">
        <f>"0170539182"</f>
        <v>0170539182</v>
      </c>
      <c r="AT146" t="s">
        <v>520</v>
      </c>
      <c r="AU146" t="str">
        <f>"0000124383"</f>
        <v>0000124383</v>
      </c>
      <c r="AV146" t="s">
        <v>453</v>
      </c>
    </row>
    <row r="147" spans="1:48">
      <c r="A147" t="str">
        <f t="shared" si="79"/>
        <v>00106074</v>
      </c>
      <c r="B147" t="str">
        <f t="shared" si="80"/>
        <v>00106986</v>
      </c>
      <c r="C147" s="25">
        <v>42997</v>
      </c>
      <c r="D147" t="s">
        <v>146</v>
      </c>
      <c r="E147" t="str">
        <f t="shared" si="81"/>
        <v>KOUASSI Nicole Flora</v>
      </c>
      <c r="F147" t="str">
        <f t="shared" si="82"/>
        <v>02252-UNDP (Direct Execution)</v>
      </c>
      <c r="G147" t="s">
        <v>147</v>
      </c>
      <c r="H147" t="s">
        <v>226</v>
      </c>
      <c r="I147" t="s">
        <v>220</v>
      </c>
      <c r="J147" s="26" t="s">
        <v>517</v>
      </c>
      <c r="K147" t="s">
        <v>150</v>
      </c>
      <c r="L147" t="s">
        <v>298</v>
      </c>
      <c r="M147" t="s">
        <v>221</v>
      </c>
      <c r="N147" t="str">
        <f t="shared" si="78"/>
        <v xml:space="preserve"> </v>
      </c>
      <c r="O147" t="str">
        <f t="shared" si="75"/>
        <v xml:space="preserve"> </v>
      </c>
      <c r="P147" t="s">
        <v>0</v>
      </c>
      <c r="Q147" t="s">
        <v>518</v>
      </c>
      <c r="R147" t="str">
        <f t="shared" si="83"/>
        <v>NER10</v>
      </c>
      <c r="S147" t="s">
        <v>153</v>
      </c>
      <c r="T147" t="s">
        <v>154</v>
      </c>
      <c r="U147" t="str">
        <f t="shared" si="84"/>
        <v>001981</v>
      </c>
      <c r="V147" t="str">
        <f t="shared" si="85"/>
        <v>30000</v>
      </c>
      <c r="W147" t="str">
        <f t="shared" si="86"/>
        <v>11363</v>
      </c>
      <c r="X147" t="str">
        <f>"71615"</f>
        <v>71615</v>
      </c>
      <c r="Y147" t="s">
        <v>519</v>
      </c>
      <c r="Z147" t="s">
        <v>155</v>
      </c>
      <c r="AA147" t="s">
        <v>301</v>
      </c>
      <c r="AB147" t="str">
        <f>"0000002521"</f>
        <v>0000002521</v>
      </c>
      <c r="AC147" t="s">
        <v>227</v>
      </c>
      <c r="AD147" t="s">
        <v>156</v>
      </c>
      <c r="AE147" t="str">
        <f t="shared" si="87"/>
        <v xml:space="preserve"> </v>
      </c>
      <c r="AF147" t="s">
        <v>284</v>
      </c>
      <c r="AG147" t="s">
        <v>220</v>
      </c>
      <c r="AH147" t="s">
        <v>0</v>
      </c>
      <c r="AI147" t="str">
        <f t="shared" si="88"/>
        <v xml:space="preserve"> </v>
      </c>
      <c r="AJ147" t="s">
        <v>284</v>
      </c>
      <c r="AK147" t="s">
        <v>0</v>
      </c>
      <c r="AM147" t="str">
        <f>"04"</f>
        <v>04</v>
      </c>
      <c r="AN147" t="str">
        <f>"0000219763"</f>
        <v>0000219763</v>
      </c>
      <c r="AO147" t="str">
        <f t="shared" si="89"/>
        <v xml:space="preserve"> </v>
      </c>
      <c r="AP147" t="str">
        <f t="shared" si="89"/>
        <v xml:space="preserve"> </v>
      </c>
      <c r="AQ147" t="str">
        <f t="shared" si="89"/>
        <v xml:space="preserve"> </v>
      </c>
      <c r="AR147" t="str">
        <f t="shared" si="89"/>
        <v xml:space="preserve"> </v>
      </c>
      <c r="AS147" t="str">
        <f>"0170616578"</f>
        <v>0170616578</v>
      </c>
      <c r="AT147" t="s">
        <v>416</v>
      </c>
      <c r="AU147" t="str">
        <f>"0000124384"</f>
        <v>0000124384</v>
      </c>
      <c r="AV147" t="s">
        <v>453</v>
      </c>
    </row>
    <row r="148" spans="1:48">
      <c r="A148" t="str">
        <f t="shared" si="79"/>
        <v>00106074</v>
      </c>
      <c r="B148" t="str">
        <f t="shared" si="80"/>
        <v>00106986</v>
      </c>
      <c r="C148" s="25">
        <v>42997</v>
      </c>
      <c r="D148" t="s">
        <v>146</v>
      </c>
      <c r="E148" t="str">
        <f t="shared" si="81"/>
        <v>KOUASSI Nicole Flora</v>
      </c>
      <c r="F148" t="str">
        <f t="shared" si="82"/>
        <v>02252-UNDP (Direct Execution)</v>
      </c>
      <c r="G148" t="s">
        <v>147</v>
      </c>
      <c r="H148" t="s">
        <v>521</v>
      </c>
      <c r="I148" t="s">
        <v>220</v>
      </c>
      <c r="J148" s="26" t="s">
        <v>321</v>
      </c>
      <c r="K148" t="s">
        <v>150</v>
      </c>
      <c r="L148" t="s">
        <v>325</v>
      </c>
      <c r="M148" t="s">
        <v>221</v>
      </c>
      <c r="N148" t="str">
        <f t="shared" si="78"/>
        <v xml:space="preserve"> </v>
      </c>
      <c r="O148" t="str">
        <f t="shared" si="75"/>
        <v xml:space="preserve"> </v>
      </c>
      <c r="P148" t="s">
        <v>0</v>
      </c>
      <c r="Q148" t="s">
        <v>522</v>
      </c>
      <c r="R148" t="str">
        <f t="shared" si="83"/>
        <v>NER10</v>
      </c>
      <c r="S148" t="s">
        <v>153</v>
      </c>
      <c r="T148" t="s">
        <v>154</v>
      </c>
      <c r="U148" t="str">
        <f t="shared" si="84"/>
        <v>001981</v>
      </c>
      <c r="V148" t="str">
        <f t="shared" si="85"/>
        <v>30000</v>
      </c>
      <c r="W148" t="str">
        <f t="shared" si="86"/>
        <v>11363</v>
      </c>
      <c r="X148" t="str">
        <f>"71615"</f>
        <v>71615</v>
      </c>
      <c r="Y148" t="s">
        <v>322</v>
      </c>
      <c r="Z148" t="s">
        <v>155</v>
      </c>
      <c r="AA148" t="s">
        <v>340</v>
      </c>
      <c r="AB148" t="str">
        <f>"0000006283"</f>
        <v>0000006283</v>
      </c>
      <c r="AC148" t="s">
        <v>523</v>
      </c>
      <c r="AD148" t="s">
        <v>156</v>
      </c>
      <c r="AE148" t="str">
        <f t="shared" si="87"/>
        <v xml:space="preserve"> </v>
      </c>
      <c r="AF148" t="s">
        <v>284</v>
      </c>
      <c r="AG148" t="s">
        <v>220</v>
      </c>
      <c r="AH148" t="s">
        <v>0</v>
      </c>
      <c r="AI148" t="str">
        <f t="shared" si="88"/>
        <v xml:space="preserve"> </v>
      </c>
      <c r="AJ148" t="s">
        <v>284</v>
      </c>
      <c r="AK148" t="s">
        <v>0</v>
      </c>
      <c r="AM148" t="str">
        <f>"05"</f>
        <v>05</v>
      </c>
      <c r="AN148" t="str">
        <f>"0000221270"</f>
        <v>0000221270</v>
      </c>
      <c r="AO148" t="str">
        <f t="shared" si="89"/>
        <v xml:space="preserve"> </v>
      </c>
      <c r="AP148" t="str">
        <f t="shared" si="89"/>
        <v xml:space="preserve"> </v>
      </c>
      <c r="AQ148" t="str">
        <f t="shared" si="89"/>
        <v xml:space="preserve"> </v>
      </c>
      <c r="AR148" t="str">
        <f t="shared" si="89"/>
        <v xml:space="preserve"> </v>
      </c>
      <c r="AS148" t="str">
        <f>"0171033045"</f>
        <v>0171033045</v>
      </c>
      <c r="AT148" t="s">
        <v>332</v>
      </c>
      <c r="AU148" t="str">
        <f>"1188012807"</f>
        <v>1188012807</v>
      </c>
      <c r="AV148" t="s">
        <v>522</v>
      </c>
    </row>
    <row r="149" spans="1:48">
      <c r="A149" t="str">
        <f t="shared" si="79"/>
        <v>00106074</v>
      </c>
      <c r="B149" t="str">
        <f t="shared" si="80"/>
        <v>00106986</v>
      </c>
      <c r="C149" s="25">
        <v>42997</v>
      </c>
      <c r="D149" t="s">
        <v>146</v>
      </c>
      <c r="E149" t="str">
        <f t="shared" si="81"/>
        <v>KOUASSI Nicole Flora</v>
      </c>
      <c r="F149" t="str">
        <f t="shared" si="82"/>
        <v>02252-UNDP (Direct Execution)</v>
      </c>
      <c r="G149" t="s">
        <v>147</v>
      </c>
      <c r="H149" t="s">
        <v>226</v>
      </c>
      <c r="I149" t="s">
        <v>220</v>
      </c>
      <c r="J149" s="26" t="s">
        <v>321</v>
      </c>
      <c r="K149" t="s">
        <v>150</v>
      </c>
      <c r="L149" t="s">
        <v>325</v>
      </c>
      <c r="M149" t="s">
        <v>221</v>
      </c>
      <c r="N149" t="str">
        <f t="shared" si="78"/>
        <v xml:space="preserve"> </v>
      </c>
      <c r="O149" t="str">
        <f t="shared" si="75"/>
        <v xml:space="preserve"> </v>
      </c>
      <c r="P149" t="s">
        <v>0</v>
      </c>
      <c r="Q149" t="s">
        <v>522</v>
      </c>
      <c r="R149" t="str">
        <f t="shared" si="83"/>
        <v>NER10</v>
      </c>
      <c r="S149" t="s">
        <v>153</v>
      </c>
      <c r="T149" t="s">
        <v>154</v>
      </c>
      <c r="U149" t="str">
        <f t="shared" si="84"/>
        <v>001981</v>
      </c>
      <c r="V149" t="str">
        <f t="shared" si="85"/>
        <v>30000</v>
      </c>
      <c r="W149" t="str">
        <f t="shared" si="86"/>
        <v>11363</v>
      </c>
      <c r="X149" t="str">
        <f>"71615"</f>
        <v>71615</v>
      </c>
      <c r="Y149" t="s">
        <v>322</v>
      </c>
      <c r="Z149" t="s">
        <v>155</v>
      </c>
      <c r="AA149" t="s">
        <v>340</v>
      </c>
      <c r="AB149" t="str">
        <f>"0000002521"</f>
        <v>0000002521</v>
      </c>
      <c r="AC149" t="s">
        <v>227</v>
      </c>
      <c r="AD149" t="s">
        <v>156</v>
      </c>
      <c r="AE149" t="str">
        <f t="shared" si="87"/>
        <v xml:space="preserve"> </v>
      </c>
      <c r="AF149" t="s">
        <v>284</v>
      </c>
      <c r="AG149" t="s">
        <v>220</v>
      </c>
      <c r="AH149" t="s">
        <v>0</v>
      </c>
      <c r="AI149" t="str">
        <f t="shared" si="88"/>
        <v xml:space="preserve"> </v>
      </c>
      <c r="AJ149" t="s">
        <v>284</v>
      </c>
      <c r="AK149" t="s">
        <v>0</v>
      </c>
      <c r="AM149" t="str">
        <f>"05"</f>
        <v>05</v>
      </c>
      <c r="AN149" t="str">
        <f>"0000221274"</f>
        <v>0000221274</v>
      </c>
      <c r="AO149" t="str">
        <f t="shared" si="89"/>
        <v xml:space="preserve"> </v>
      </c>
      <c r="AP149" t="str">
        <f t="shared" si="89"/>
        <v xml:space="preserve"> </v>
      </c>
      <c r="AQ149" t="str">
        <f t="shared" si="89"/>
        <v xml:space="preserve"> </v>
      </c>
      <c r="AR149" t="str">
        <f t="shared" si="89"/>
        <v xml:space="preserve"> </v>
      </c>
      <c r="AS149" t="str">
        <f>"0171033047"</f>
        <v>0171033047</v>
      </c>
      <c r="AT149" t="s">
        <v>332</v>
      </c>
      <c r="AU149" t="str">
        <f>"1188012808"</f>
        <v>1188012808</v>
      </c>
      <c r="AV149" t="s">
        <v>522</v>
      </c>
    </row>
    <row r="150" spans="1:48">
      <c r="A150" t="str">
        <f t="shared" si="79"/>
        <v>00106074</v>
      </c>
      <c r="B150" t="str">
        <f t="shared" si="80"/>
        <v>00106986</v>
      </c>
      <c r="C150" s="25">
        <v>42997</v>
      </c>
      <c r="D150" t="s">
        <v>146</v>
      </c>
      <c r="E150" t="str">
        <f t="shared" si="81"/>
        <v>KOUASSI Nicole Flora</v>
      </c>
      <c r="F150" t="str">
        <f t="shared" si="82"/>
        <v>02252-UNDP (Direct Execution)</v>
      </c>
      <c r="G150" t="s">
        <v>147</v>
      </c>
      <c r="H150" t="s">
        <v>275</v>
      </c>
      <c r="I150" t="s">
        <v>220</v>
      </c>
      <c r="J150" s="26" t="s">
        <v>321</v>
      </c>
      <c r="K150" t="s">
        <v>150</v>
      </c>
      <c r="L150" t="s">
        <v>325</v>
      </c>
      <c r="M150" t="s">
        <v>221</v>
      </c>
      <c r="N150" t="str">
        <f t="shared" si="78"/>
        <v xml:space="preserve"> </v>
      </c>
      <c r="O150" t="str">
        <f t="shared" si="75"/>
        <v xml:space="preserve"> </v>
      </c>
      <c r="P150" t="s">
        <v>0</v>
      </c>
      <c r="Q150" t="s">
        <v>522</v>
      </c>
      <c r="R150" t="str">
        <f t="shared" si="83"/>
        <v>NER10</v>
      </c>
      <c r="S150" t="s">
        <v>153</v>
      </c>
      <c r="T150" t="s">
        <v>154</v>
      </c>
      <c r="U150" t="str">
        <f t="shared" si="84"/>
        <v>001981</v>
      </c>
      <c r="V150" t="str">
        <f t="shared" si="85"/>
        <v>30000</v>
      </c>
      <c r="W150" t="str">
        <f t="shared" si="86"/>
        <v>11363</v>
      </c>
      <c r="X150" t="str">
        <f>"71615"</f>
        <v>71615</v>
      </c>
      <c r="Y150" t="s">
        <v>322</v>
      </c>
      <c r="Z150" t="s">
        <v>155</v>
      </c>
      <c r="AA150" t="s">
        <v>340</v>
      </c>
      <c r="AB150" t="str">
        <f>"0000000238"</f>
        <v>0000000238</v>
      </c>
      <c r="AC150" t="s">
        <v>281</v>
      </c>
      <c r="AD150" t="s">
        <v>156</v>
      </c>
      <c r="AE150" t="str">
        <f t="shared" si="87"/>
        <v xml:space="preserve"> </v>
      </c>
      <c r="AF150" t="s">
        <v>284</v>
      </c>
      <c r="AG150" t="s">
        <v>220</v>
      </c>
      <c r="AH150" t="s">
        <v>0</v>
      </c>
      <c r="AI150" t="str">
        <f t="shared" si="88"/>
        <v xml:space="preserve"> </v>
      </c>
      <c r="AJ150" t="s">
        <v>284</v>
      </c>
      <c r="AK150" t="s">
        <v>0</v>
      </c>
      <c r="AM150" t="str">
        <f>"05"</f>
        <v>05</v>
      </c>
      <c r="AN150" t="str">
        <f>"0000221275"</f>
        <v>0000221275</v>
      </c>
      <c r="AO150" t="str">
        <f t="shared" si="89"/>
        <v xml:space="preserve"> </v>
      </c>
      <c r="AP150" t="str">
        <f t="shared" si="89"/>
        <v xml:space="preserve"> </v>
      </c>
      <c r="AQ150" t="str">
        <f t="shared" si="89"/>
        <v xml:space="preserve"> </v>
      </c>
      <c r="AR150" t="str">
        <f t="shared" si="89"/>
        <v xml:space="preserve"> </v>
      </c>
      <c r="AS150" t="str">
        <f>"0171033048"</f>
        <v>0171033048</v>
      </c>
      <c r="AT150" t="s">
        <v>332</v>
      </c>
      <c r="AU150" t="str">
        <f>"1188012806"</f>
        <v>1188012806</v>
      </c>
      <c r="AV150" t="s">
        <v>522</v>
      </c>
    </row>
    <row r="151" spans="1:48">
      <c r="A151" t="str">
        <f t="shared" si="79"/>
        <v>00106074</v>
      </c>
      <c r="B151" t="str">
        <f t="shared" si="80"/>
        <v>00106986</v>
      </c>
      <c r="C151" s="25">
        <v>42997</v>
      </c>
      <c r="D151" t="s">
        <v>146</v>
      </c>
      <c r="E151" t="str">
        <f t="shared" si="81"/>
        <v>KOUASSI Nicole Flora</v>
      </c>
      <c r="F151" t="str">
        <f t="shared" si="82"/>
        <v>02252-UNDP (Direct Execution)</v>
      </c>
      <c r="G151" t="s">
        <v>213</v>
      </c>
      <c r="H151" t="s">
        <v>516</v>
      </c>
      <c r="I151" t="s">
        <v>220</v>
      </c>
      <c r="J151" s="26" t="s">
        <v>364</v>
      </c>
      <c r="K151" t="s">
        <v>150</v>
      </c>
      <c r="L151" t="s">
        <v>325</v>
      </c>
      <c r="M151" t="s">
        <v>221</v>
      </c>
      <c r="N151" t="str">
        <f t="shared" si="78"/>
        <v xml:space="preserve"> </v>
      </c>
      <c r="O151" t="str">
        <f t="shared" si="75"/>
        <v xml:space="preserve"> </v>
      </c>
      <c r="P151" t="s">
        <v>0</v>
      </c>
      <c r="Q151" t="s">
        <v>368</v>
      </c>
      <c r="R151" t="str">
        <f t="shared" si="83"/>
        <v>NER10</v>
      </c>
      <c r="S151" t="s">
        <v>153</v>
      </c>
      <c r="T151" t="s">
        <v>154</v>
      </c>
      <c r="U151" t="str">
        <f t="shared" si="84"/>
        <v>001981</v>
      </c>
      <c r="V151" t="str">
        <f t="shared" si="85"/>
        <v>30000</v>
      </c>
      <c r="W151" t="str">
        <f t="shared" si="86"/>
        <v>11363</v>
      </c>
      <c r="X151" t="str">
        <f>"71620"</f>
        <v>71620</v>
      </c>
      <c r="Y151" t="s">
        <v>365</v>
      </c>
      <c r="Z151" t="s">
        <v>155</v>
      </c>
      <c r="AA151" t="s">
        <v>340</v>
      </c>
      <c r="AB151" t="str">
        <f>"0000000171"</f>
        <v>0000000171</v>
      </c>
      <c r="AC151" t="s">
        <v>156</v>
      </c>
      <c r="AD151" t="s">
        <v>156</v>
      </c>
      <c r="AE151" t="str">
        <f t="shared" si="87"/>
        <v xml:space="preserve"> </v>
      </c>
      <c r="AF151" t="s">
        <v>284</v>
      </c>
      <c r="AG151" t="s">
        <v>220</v>
      </c>
      <c r="AH151" t="s">
        <v>0</v>
      </c>
      <c r="AI151" t="str">
        <f t="shared" si="88"/>
        <v xml:space="preserve"> </v>
      </c>
      <c r="AJ151" t="s">
        <v>284</v>
      </c>
      <c r="AK151" t="s">
        <v>0</v>
      </c>
      <c r="AM151" t="str">
        <f>"05"</f>
        <v>05</v>
      </c>
      <c r="AN151" t="str">
        <f>"0000225123"</f>
        <v>0000225123</v>
      </c>
      <c r="AO151" t="str">
        <f t="shared" si="89"/>
        <v xml:space="preserve"> </v>
      </c>
      <c r="AP151" t="str">
        <f t="shared" si="89"/>
        <v xml:space="preserve"> </v>
      </c>
      <c r="AQ151" t="str">
        <f t="shared" si="89"/>
        <v xml:space="preserve"> </v>
      </c>
      <c r="AR151" t="str">
        <f t="shared" si="89"/>
        <v xml:space="preserve"> </v>
      </c>
      <c r="AS151" t="str">
        <f>"0171824744"</f>
        <v>0171824744</v>
      </c>
      <c r="AT151" t="s">
        <v>368</v>
      </c>
      <c r="AU151" t="str">
        <f>"0000083048"</f>
        <v>0000083048</v>
      </c>
      <c r="AV151" t="s">
        <v>524</v>
      </c>
    </row>
    <row r="152" spans="1:48">
      <c r="A152" t="str">
        <f t="shared" si="79"/>
        <v>00106074</v>
      </c>
      <c r="B152" t="str">
        <f t="shared" si="80"/>
        <v>00106986</v>
      </c>
      <c r="C152" s="25">
        <v>42997</v>
      </c>
      <c r="D152" t="s">
        <v>146</v>
      </c>
      <c r="E152" t="str">
        <f t="shared" si="81"/>
        <v>KOUASSI Nicole Flora</v>
      </c>
      <c r="F152" t="str">
        <f t="shared" si="82"/>
        <v>02252-UNDP (Direct Execution)</v>
      </c>
      <c r="G152" t="s">
        <v>147</v>
      </c>
      <c r="H152" t="s">
        <v>238</v>
      </c>
      <c r="I152" t="s">
        <v>244</v>
      </c>
      <c r="J152" s="26" t="s">
        <v>525</v>
      </c>
      <c r="K152" t="s">
        <v>150</v>
      </c>
      <c r="L152" t="s">
        <v>403</v>
      </c>
      <c r="M152" t="s">
        <v>221</v>
      </c>
      <c r="N152" t="str">
        <f t="shared" si="78"/>
        <v xml:space="preserve"> </v>
      </c>
      <c r="O152" t="str">
        <f t="shared" si="75"/>
        <v xml:space="preserve"> </v>
      </c>
      <c r="P152" t="s">
        <v>0</v>
      </c>
      <c r="Q152" s="25">
        <v>43262</v>
      </c>
      <c r="R152" t="str">
        <f t="shared" si="83"/>
        <v>NER10</v>
      </c>
      <c r="S152" t="s">
        <v>153</v>
      </c>
      <c r="T152" t="s">
        <v>154</v>
      </c>
      <c r="U152" t="str">
        <f t="shared" si="84"/>
        <v>001981</v>
      </c>
      <c r="V152" t="str">
        <f t="shared" si="85"/>
        <v>30000</v>
      </c>
      <c r="W152" t="str">
        <f t="shared" si="86"/>
        <v>11363</v>
      </c>
      <c r="X152" t="str">
        <f>"71615"</f>
        <v>71615</v>
      </c>
      <c r="Y152" t="s">
        <v>526</v>
      </c>
      <c r="Z152" t="s">
        <v>155</v>
      </c>
      <c r="AA152" t="s">
        <v>455</v>
      </c>
      <c r="AB152" t="str">
        <f>"0000006065"</f>
        <v>0000006065</v>
      </c>
      <c r="AC152" t="s">
        <v>239</v>
      </c>
      <c r="AD152" t="s">
        <v>156</v>
      </c>
      <c r="AE152" t="str">
        <f t="shared" si="87"/>
        <v xml:space="preserve"> </v>
      </c>
      <c r="AF152" t="s">
        <v>284</v>
      </c>
      <c r="AG152" t="s">
        <v>244</v>
      </c>
      <c r="AH152" t="s">
        <v>0</v>
      </c>
      <c r="AI152" t="str">
        <f t="shared" si="88"/>
        <v xml:space="preserve"> </v>
      </c>
      <c r="AJ152" t="s">
        <v>284</v>
      </c>
      <c r="AK152" t="s">
        <v>0</v>
      </c>
      <c r="AM152" t="str">
        <f>"06"</f>
        <v>06</v>
      </c>
      <c r="AN152" t="str">
        <f>"0000229623"</f>
        <v>0000229623</v>
      </c>
      <c r="AO152" t="str">
        <f t="shared" si="89"/>
        <v xml:space="preserve"> </v>
      </c>
      <c r="AP152" t="str">
        <f t="shared" si="89"/>
        <v xml:space="preserve"> </v>
      </c>
      <c r="AQ152" t="str">
        <f t="shared" si="89"/>
        <v xml:space="preserve"> </v>
      </c>
      <c r="AR152" t="str">
        <f t="shared" si="89"/>
        <v xml:space="preserve"> </v>
      </c>
      <c r="AS152" t="str">
        <f>"0173068823"</f>
        <v>0173068823</v>
      </c>
      <c r="AT152" s="25">
        <v>43264</v>
      </c>
      <c r="AU152" t="str">
        <f>"1188013003"</f>
        <v>1188013003</v>
      </c>
      <c r="AV152" s="25">
        <v>43269</v>
      </c>
    </row>
    <row r="153" spans="1:48">
      <c r="A153" t="str">
        <f t="shared" si="79"/>
        <v>00106074</v>
      </c>
      <c r="B153" t="str">
        <f t="shared" si="80"/>
        <v>00106986</v>
      </c>
      <c r="C153" s="25">
        <v>42997</v>
      </c>
      <c r="D153" t="s">
        <v>146</v>
      </c>
      <c r="E153" t="str">
        <f t="shared" si="81"/>
        <v>KOUASSI Nicole Flora</v>
      </c>
      <c r="F153" t="str">
        <f t="shared" si="82"/>
        <v>02252-UNDP (Direct Execution)</v>
      </c>
      <c r="G153" t="s">
        <v>147</v>
      </c>
      <c r="H153" t="s">
        <v>226</v>
      </c>
      <c r="I153" t="s">
        <v>220</v>
      </c>
      <c r="J153" s="26" t="s">
        <v>527</v>
      </c>
      <c r="K153" t="s">
        <v>150</v>
      </c>
      <c r="L153" t="s">
        <v>403</v>
      </c>
      <c r="M153" t="s">
        <v>221</v>
      </c>
      <c r="N153" t="str">
        <f t="shared" si="78"/>
        <v xml:space="preserve"> </v>
      </c>
      <c r="O153" t="str">
        <f t="shared" si="75"/>
        <v xml:space="preserve"> </v>
      </c>
      <c r="P153" t="s">
        <v>0</v>
      </c>
      <c r="Q153" s="25">
        <v>43270</v>
      </c>
      <c r="R153" t="str">
        <f t="shared" si="83"/>
        <v>NER10</v>
      </c>
      <c r="S153" t="s">
        <v>153</v>
      </c>
      <c r="T153" t="s">
        <v>154</v>
      </c>
      <c r="U153" t="str">
        <f t="shared" si="84"/>
        <v>001981</v>
      </c>
      <c r="V153" t="str">
        <f t="shared" si="85"/>
        <v>30000</v>
      </c>
      <c r="W153" t="str">
        <f t="shared" si="86"/>
        <v>11363</v>
      </c>
      <c r="X153" t="str">
        <f>"71615"</f>
        <v>71615</v>
      </c>
      <c r="Y153" t="s">
        <v>528</v>
      </c>
      <c r="Z153" t="s">
        <v>155</v>
      </c>
      <c r="AA153" t="s">
        <v>405</v>
      </c>
      <c r="AB153" t="str">
        <f>"0000002521"</f>
        <v>0000002521</v>
      </c>
      <c r="AC153" t="s">
        <v>227</v>
      </c>
      <c r="AD153" t="s">
        <v>156</v>
      </c>
      <c r="AE153" t="str">
        <f t="shared" si="87"/>
        <v xml:space="preserve"> </v>
      </c>
      <c r="AF153" t="s">
        <v>284</v>
      </c>
      <c r="AG153" t="s">
        <v>220</v>
      </c>
      <c r="AH153" t="s">
        <v>0</v>
      </c>
      <c r="AI153" t="str">
        <f t="shared" si="88"/>
        <v xml:space="preserve"> </v>
      </c>
      <c r="AJ153" t="s">
        <v>284</v>
      </c>
      <c r="AK153" t="s">
        <v>0</v>
      </c>
      <c r="AM153" t="str">
        <f>"06"</f>
        <v>06</v>
      </c>
      <c r="AN153" t="str">
        <f>"0000230503"</f>
        <v>0000230503</v>
      </c>
      <c r="AO153" t="str">
        <f t="shared" si="89"/>
        <v xml:space="preserve"> </v>
      </c>
      <c r="AP153" t="str">
        <f t="shared" si="89"/>
        <v xml:space="preserve"> </v>
      </c>
      <c r="AQ153" t="str">
        <f t="shared" si="89"/>
        <v xml:space="preserve"> </v>
      </c>
      <c r="AR153" t="str">
        <f t="shared" si="89"/>
        <v xml:space="preserve"> </v>
      </c>
      <c r="AS153" t="str">
        <f>"0173167482"</f>
        <v>0173167482</v>
      </c>
      <c r="AT153" s="25">
        <v>43266</v>
      </c>
      <c r="AU153" t="str">
        <f>"0000083264"</f>
        <v>0000083264</v>
      </c>
      <c r="AV153" s="25">
        <v>43269</v>
      </c>
    </row>
    <row r="154" spans="1:48">
      <c r="A154" t="str">
        <f t="shared" si="79"/>
        <v>00106074</v>
      </c>
      <c r="B154" t="str">
        <f t="shared" si="80"/>
        <v>00106986</v>
      </c>
      <c r="C154" s="25">
        <v>42997</v>
      </c>
      <c r="D154" t="s">
        <v>146</v>
      </c>
      <c r="E154" t="str">
        <f t="shared" si="81"/>
        <v>KOUASSI Nicole Flora</v>
      </c>
      <c r="F154" t="str">
        <f t="shared" si="82"/>
        <v>02252-UNDP (Direct Execution)</v>
      </c>
      <c r="G154" t="s">
        <v>147</v>
      </c>
      <c r="H154" t="s">
        <v>529</v>
      </c>
      <c r="I154" t="s">
        <v>220</v>
      </c>
      <c r="J154" s="26" t="s">
        <v>527</v>
      </c>
      <c r="K154" t="s">
        <v>150</v>
      </c>
      <c r="L154" t="s">
        <v>403</v>
      </c>
      <c r="M154" t="s">
        <v>221</v>
      </c>
      <c r="N154" t="str">
        <f t="shared" si="78"/>
        <v xml:space="preserve"> </v>
      </c>
      <c r="O154" t="str">
        <f t="shared" si="75"/>
        <v xml:space="preserve"> </v>
      </c>
      <c r="P154" t="s">
        <v>0</v>
      </c>
      <c r="Q154" s="25">
        <v>43270</v>
      </c>
      <c r="R154" t="str">
        <f t="shared" si="83"/>
        <v>NER10</v>
      </c>
      <c r="S154" t="s">
        <v>153</v>
      </c>
      <c r="T154" t="s">
        <v>154</v>
      </c>
      <c r="U154" t="str">
        <f t="shared" si="84"/>
        <v>001981</v>
      </c>
      <c r="V154" t="str">
        <f t="shared" si="85"/>
        <v>30000</v>
      </c>
      <c r="W154" t="str">
        <f t="shared" si="86"/>
        <v>11363</v>
      </c>
      <c r="X154" t="str">
        <f>"71615"</f>
        <v>71615</v>
      </c>
      <c r="Y154" t="s">
        <v>528</v>
      </c>
      <c r="Z154" t="s">
        <v>155</v>
      </c>
      <c r="AA154" t="s">
        <v>405</v>
      </c>
      <c r="AB154" t="str">
        <f>"0000004178"</f>
        <v>0000004178</v>
      </c>
      <c r="AC154" t="s">
        <v>530</v>
      </c>
      <c r="AD154" t="s">
        <v>156</v>
      </c>
      <c r="AE154" t="str">
        <f t="shared" si="87"/>
        <v xml:space="preserve"> </v>
      </c>
      <c r="AF154" t="s">
        <v>284</v>
      </c>
      <c r="AG154" t="s">
        <v>220</v>
      </c>
      <c r="AH154" t="s">
        <v>0</v>
      </c>
      <c r="AI154" t="str">
        <f t="shared" si="88"/>
        <v xml:space="preserve"> </v>
      </c>
      <c r="AJ154" t="s">
        <v>284</v>
      </c>
      <c r="AK154" t="s">
        <v>0</v>
      </c>
      <c r="AM154" t="str">
        <f>"06"</f>
        <v>06</v>
      </c>
      <c r="AN154" t="str">
        <f>"0000230504"</f>
        <v>0000230504</v>
      </c>
      <c r="AO154" t="str">
        <f t="shared" si="89"/>
        <v xml:space="preserve"> </v>
      </c>
      <c r="AP154" t="str">
        <f t="shared" si="89"/>
        <v xml:space="preserve"> </v>
      </c>
      <c r="AQ154" t="str">
        <f t="shared" si="89"/>
        <v xml:space="preserve"> </v>
      </c>
      <c r="AR154" t="str">
        <f t="shared" si="89"/>
        <v xml:space="preserve"> </v>
      </c>
      <c r="AS154" t="str">
        <f>"0173167484"</f>
        <v>0173167484</v>
      </c>
      <c r="AT154" s="25">
        <v>43266</v>
      </c>
      <c r="AU154" t="str">
        <f>"1188013001"</f>
        <v>1188013001</v>
      </c>
      <c r="AV154" s="25">
        <v>43269</v>
      </c>
    </row>
    <row r="155" spans="1:48">
      <c r="A155" t="str">
        <f t="shared" si="79"/>
        <v>00106074</v>
      </c>
      <c r="B155" t="str">
        <f t="shared" si="80"/>
        <v>00106986</v>
      </c>
      <c r="C155" s="25">
        <v>42997</v>
      </c>
      <c r="D155" t="s">
        <v>146</v>
      </c>
      <c r="E155" t="str">
        <f t="shared" si="81"/>
        <v>KOUASSI Nicole Flora</v>
      </c>
      <c r="F155" t="str">
        <f t="shared" si="82"/>
        <v>02252-UNDP (Direct Execution)</v>
      </c>
      <c r="G155" t="s">
        <v>147</v>
      </c>
      <c r="H155" t="s">
        <v>0</v>
      </c>
      <c r="I155" t="s">
        <v>0</v>
      </c>
      <c r="J155" s="26" t="s">
        <v>531</v>
      </c>
      <c r="K155" t="s">
        <v>150</v>
      </c>
      <c r="L155" t="s">
        <v>278</v>
      </c>
      <c r="M155" t="s">
        <v>532</v>
      </c>
      <c r="N155" t="str">
        <f t="shared" si="78"/>
        <v xml:space="preserve"> </v>
      </c>
      <c r="O155" t="str">
        <f t="shared" si="75"/>
        <v xml:space="preserve"> </v>
      </c>
      <c r="P155" t="s">
        <v>0</v>
      </c>
      <c r="Q155" s="25">
        <v>43166</v>
      </c>
      <c r="R155" t="str">
        <f t="shared" si="83"/>
        <v>NER10</v>
      </c>
      <c r="S155" t="s">
        <v>153</v>
      </c>
      <c r="T155" t="s">
        <v>154</v>
      </c>
      <c r="U155" t="str">
        <f t="shared" si="84"/>
        <v>001981</v>
      </c>
      <c r="V155" t="str">
        <f t="shared" si="85"/>
        <v>30000</v>
      </c>
      <c r="W155" t="str">
        <f t="shared" si="86"/>
        <v>11363</v>
      </c>
      <c r="X155" t="str">
        <f>"71625"</f>
        <v>71625</v>
      </c>
      <c r="Y155" t="s">
        <v>533</v>
      </c>
      <c r="Z155" t="s">
        <v>155</v>
      </c>
      <c r="AA155" t="s">
        <v>280</v>
      </c>
      <c r="AB155" t="s">
        <v>0</v>
      </c>
      <c r="AC155" t="s">
        <v>0</v>
      </c>
      <c r="AD155" t="s">
        <v>0</v>
      </c>
      <c r="AE155" t="str">
        <f t="shared" si="87"/>
        <v xml:space="preserve"> </v>
      </c>
      <c r="AF155" t="s">
        <v>284</v>
      </c>
      <c r="AG155" t="s">
        <v>0</v>
      </c>
      <c r="AH155" t="s">
        <v>0</v>
      </c>
      <c r="AI155" t="str">
        <f t="shared" si="88"/>
        <v xml:space="preserve"> </v>
      </c>
      <c r="AJ155" t="s">
        <v>284</v>
      </c>
      <c r="AK155" t="s">
        <v>534</v>
      </c>
      <c r="AM155" t="str">
        <f>"03"</f>
        <v>03</v>
      </c>
      <c r="AN155" t="str">
        <f>" "</f>
        <v xml:space="preserve"> </v>
      </c>
      <c r="AO155" t="str">
        <f>" "</f>
        <v xml:space="preserve"> </v>
      </c>
      <c r="AP155" t="str">
        <f>"NER10"</f>
        <v>NER10</v>
      </c>
      <c r="AQ155" t="str">
        <f>"5113"</f>
        <v>5113</v>
      </c>
      <c r="AR155" t="str">
        <f>" "</f>
        <v xml:space="preserve"> </v>
      </c>
      <c r="AS155" t="str">
        <f>"0169226076"</f>
        <v>0169226076</v>
      </c>
      <c r="AT155" s="25">
        <v>43172</v>
      </c>
      <c r="AU155" t="s">
        <v>0</v>
      </c>
      <c r="AV155" t="s">
        <v>0</v>
      </c>
    </row>
  </sheetData>
  <autoFilter ref="A8:AV15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J10" sqref="J10"/>
    </sheetView>
  </sheetViews>
  <sheetFormatPr baseColWidth="10" defaultColWidth="9.140625" defaultRowHeight="15"/>
  <cols>
    <col min="1" max="1" width="15.42578125" customWidth="1"/>
  </cols>
  <sheetData>
    <row r="1" spans="1:10" ht="15.75">
      <c r="A1" s="6" t="s">
        <v>64</v>
      </c>
      <c r="B1" s="6"/>
      <c r="C1" s="6"/>
      <c r="D1" s="6"/>
    </row>
    <row r="2" spans="1:10">
      <c r="A2" s="12"/>
      <c r="B2" s="12"/>
      <c r="C2" s="12"/>
      <c r="D2" s="12"/>
    </row>
    <row r="3" spans="1:10">
      <c r="A3" s="12" t="s">
        <v>65</v>
      </c>
      <c r="B3" s="12"/>
      <c r="C3" s="12"/>
      <c r="D3" s="12"/>
    </row>
    <row r="4" spans="1:10" ht="15.75" thickBot="1"/>
    <row r="5" spans="1:10" ht="26.25" thickBot="1">
      <c r="A5" s="58" t="s">
        <v>1</v>
      </c>
      <c r="B5" s="56" t="s">
        <v>66</v>
      </c>
      <c r="C5" s="57"/>
      <c r="D5" s="56" t="s">
        <v>67</v>
      </c>
      <c r="E5" s="57"/>
      <c r="F5" s="56" t="s">
        <v>67</v>
      </c>
      <c r="G5" s="57"/>
      <c r="H5" s="11" t="s">
        <v>5</v>
      </c>
      <c r="I5" s="11" t="s">
        <v>6</v>
      </c>
      <c r="J5" s="58" t="s">
        <v>68</v>
      </c>
    </row>
    <row r="6" spans="1:10" ht="26.25" thickBot="1">
      <c r="A6" s="59"/>
      <c r="B6" s="7" t="s">
        <v>3</v>
      </c>
      <c r="C6" s="7" t="s">
        <v>4</v>
      </c>
      <c r="D6" s="7" t="s">
        <v>3</v>
      </c>
      <c r="E6" s="7" t="s">
        <v>4</v>
      </c>
      <c r="F6" s="7" t="s">
        <v>3</v>
      </c>
      <c r="G6" s="7" t="s">
        <v>4</v>
      </c>
      <c r="H6" s="7"/>
      <c r="I6" s="7"/>
      <c r="J6" s="59"/>
    </row>
    <row r="7" spans="1:10" ht="39" customHeight="1" thickBot="1">
      <c r="A7" s="15" t="s">
        <v>69</v>
      </c>
      <c r="B7" s="8"/>
      <c r="C7" s="8"/>
      <c r="D7" s="8"/>
      <c r="E7" s="8"/>
      <c r="F7" s="8"/>
      <c r="G7" s="8"/>
      <c r="H7" s="8"/>
      <c r="I7" s="8"/>
      <c r="J7" s="8"/>
    </row>
    <row r="8" spans="1:10" ht="64.5" customHeight="1" thickBot="1">
      <c r="A8" s="16" t="s">
        <v>70</v>
      </c>
      <c r="B8" s="8"/>
      <c r="C8" s="8"/>
      <c r="D8" s="9"/>
      <c r="E8" s="8"/>
      <c r="F8" s="8"/>
      <c r="G8" s="8"/>
      <c r="H8" s="8"/>
      <c r="I8" s="8"/>
      <c r="J8" s="8"/>
    </row>
    <row r="9" spans="1:10" ht="115.5" customHeight="1" thickBot="1">
      <c r="A9" s="16" t="s">
        <v>71</v>
      </c>
      <c r="B9" s="8"/>
      <c r="C9" s="8"/>
      <c r="D9" s="8"/>
      <c r="E9" s="8"/>
      <c r="F9" s="8"/>
      <c r="G9" s="8"/>
      <c r="H9" s="8"/>
      <c r="I9" s="8"/>
      <c r="J9" s="8"/>
    </row>
    <row r="10" spans="1:10" ht="51.75" customHeight="1" thickBot="1">
      <c r="A10" s="16" t="s">
        <v>72</v>
      </c>
      <c r="B10" s="8"/>
      <c r="C10" s="8"/>
      <c r="D10" s="8"/>
      <c r="E10" s="8"/>
      <c r="F10" s="8"/>
      <c r="G10" s="8"/>
      <c r="H10" s="8"/>
      <c r="I10" s="8"/>
      <c r="J10" s="8"/>
    </row>
    <row r="11" spans="1:10" ht="26.25" thickBot="1">
      <c r="A11" s="16" t="s">
        <v>73</v>
      </c>
      <c r="B11" s="8"/>
      <c r="C11" s="8"/>
      <c r="D11" s="8"/>
      <c r="E11" s="8"/>
      <c r="F11" s="8"/>
      <c r="G11" s="8"/>
      <c r="H11" s="8"/>
      <c r="I11" s="8"/>
      <c r="J11" s="8"/>
    </row>
    <row r="12" spans="1:10" ht="77.25" customHeight="1" thickBot="1">
      <c r="A12" s="16" t="s">
        <v>74</v>
      </c>
      <c r="B12" s="8"/>
      <c r="C12" s="8"/>
      <c r="D12" s="8"/>
      <c r="E12" s="8"/>
      <c r="F12" s="8"/>
      <c r="G12" s="8"/>
      <c r="H12" s="8"/>
      <c r="I12" s="8"/>
      <c r="J12" s="8"/>
    </row>
    <row r="13" spans="1:10" ht="64.5" customHeight="1" thickBot="1">
      <c r="A13" s="16" t="s">
        <v>75</v>
      </c>
      <c r="B13" s="8"/>
      <c r="C13" s="8"/>
      <c r="D13" s="8"/>
      <c r="E13" s="8"/>
      <c r="F13" s="8"/>
      <c r="G13" s="8"/>
      <c r="H13" s="8"/>
      <c r="I13" s="8"/>
      <c r="J13" s="8"/>
    </row>
    <row r="14" spans="1:10" ht="39" customHeight="1" thickBot="1">
      <c r="A14" s="17" t="s">
        <v>76</v>
      </c>
      <c r="B14" s="10"/>
      <c r="C14" s="10"/>
      <c r="D14" s="10"/>
      <c r="E14" s="10"/>
      <c r="F14" s="10"/>
      <c r="G14" s="10"/>
      <c r="H14" s="10"/>
      <c r="I14" s="10"/>
      <c r="J14" s="10"/>
    </row>
    <row r="15" spans="1:10" ht="15.75" thickBot="1">
      <c r="A15" s="16" t="s">
        <v>77</v>
      </c>
      <c r="B15" s="8"/>
      <c r="C15" s="8"/>
      <c r="D15" s="8"/>
      <c r="E15" s="8"/>
      <c r="F15" s="8"/>
      <c r="G15" s="8"/>
      <c r="H15" s="8"/>
      <c r="I15" s="8"/>
      <c r="J15" s="8"/>
    </row>
    <row r="16" spans="1:10" ht="15.75" thickBot="1">
      <c r="A16" s="17" t="s">
        <v>2</v>
      </c>
      <c r="B16" s="10"/>
      <c r="C16" s="10"/>
      <c r="D16" s="10"/>
      <c r="E16" s="10"/>
      <c r="F16" s="10"/>
      <c r="G16" s="10"/>
      <c r="H16" s="10"/>
      <c r="I16" s="10"/>
      <c r="J16" s="10"/>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Sheet1</vt:lpstr>
      <vt:lpstr>2016</vt:lpstr>
      <vt:lpstr>2017</vt:lpstr>
      <vt:lpstr>Sheet2</vt:lpstr>
      <vt:lpstr>'2016'!PTD_Projet_CROSSBORDER_2016</vt:lpstr>
      <vt:lpstr>'2017'!PTD_Projet_CROSSBORDER_2017</vt:lpstr>
      <vt:lpstr>'2017'!PTD_Projet_CROSSBORDER_2018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user</cp:lastModifiedBy>
  <cp:lastPrinted>2018-10-24T10:10:24Z</cp:lastPrinted>
  <dcterms:created xsi:type="dcterms:W3CDTF">2017-11-15T21:17:43Z</dcterms:created>
  <dcterms:modified xsi:type="dcterms:W3CDTF">2018-10-26T12:16:26Z</dcterms:modified>
</cp:coreProperties>
</file>