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areinternational-my.sharepoint.com/personal/lcoulibaly_care_org/Documents/SWEEP - PBF/RAPPORTS/Bailleurs/Semestre 1 -2018/"/>
    </mc:Choice>
  </mc:AlternateContent>
  <bookViews>
    <workbookView xWindow="0" yWindow="0" windowWidth="19200" windowHeight="7050"/>
  </bookViews>
  <sheets>
    <sheet name="RF Proj budget by UN categories" sheetId="1" r:id="rId1"/>
  </sheets>
  <externalReferences>
    <externalReference r:id="rId2"/>
    <externalReference r:id="rId3"/>
  </externalReferences>
  <definedNames>
    <definedName name="_xlnm.Print_Area" localSheetId="0">'RF Proj budget by UN categories'!$B$5:$H$15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D13" i="1"/>
  <c r="D15" i="1" s="1"/>
  <c r="C12" i="1"/>
  <c r="C11" i="1"/>
  <c r="F10" i="1"/>
  <c r="C9" i="1"/>
  <c r="C8" i="1"/>
  <c r="F7" i="1"/>
  <c r="H7" i="1" s="1"/>
  <c r="C7" i="1"/>
  <c r="G7" i="1" s="1"/>
  <c r="C6" i="1"/>
  <c r="E6" i="1"/>
  <c r="E9" i="1"/>
  <c r="E8" i="1"/>
  <c r="E12" i="1"/>
  <c r="E11" i="1"/>
  <c r="F11" i="1" l="1"/>
  <c r="H11" i="1" s="1"/>
  <c r="F12" i="1"/>
  <c r="H12" i="1" s="1"/>
  <c r="F8" i="1"/>
  <c r="H8" i="1" s="1"/>
  <c r="F9" i="1"/>
  <c r="E13" i="1"/>
  <c r="F6" i="1"/>
  <c r="H6" i="1" s="1"/>
  <c r="G11" i="1"/>
  <c r="G8" i="1"/>
  <c r="C13" i="1"/>
  <c r="C15" i="1" l="1"/>
  <c r="G13" i="1"/>
  <c r="G6" i="1"/>
  <c r="G12" i="1"/>
  <c r="H9" i="1"/>
  <c r="G9" i="1"/>
  <c r="E14" i="1"/>
  <c r="F14" i="1" s="1"/>
  <c r="F13" i="1"/>
  <c r="H13" i="1" s="1"/>
  <c r="G15" i="1" l="1"/>
  <c r="H14" i="1"/>
  <c r="G14" i="1"/>
  <c r="E15" i="1"/>
  <c r="F15" i="1" s="1"/>
  <c r="D20" i="1" l="1"/>
  <c r="D21" i="1" s="1"/>
  <c r="H15" i="1"/>
</calcChain>
</file>

<file path=xl/sharedStrings.xml><?xml version="1.0" encoding="utf-8"?>
<sst xmlns="http://schemas.openxmlformats.org/spreadsheetml/2006/main" count="21" uniqueCount="21">
  <si>
    <t>PBF PROJECT BUDGET</t>
  </si>
  <si>
    <t>CATEGORIES</t>
  </si>
  <si>
    <t>Amount Recipient  Organization CARE International Côte d'Ivoire</t>
  </si>
  <si>
    <t>PREVIOUS EXPENSES JULY-MAR 2018</t>
  </si>
  <si>
    <t>EXPENSES Apr.18</t>
  </si>
  <si>
    <t>TOTAL EXPENSES</t>
  </si>
  <si>
    <t>BALANCE</t>
  </si>
  <si>
    <t>BURN RATE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</si>
  <si>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</si>
  <si>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</si>
  <si>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</si>
  <si>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</si>
  <si>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</si>
  <si>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</si>
  <si>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</si>
  <si>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</si>
  <si>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 xml:space="preserve">8. Indirect Support Costs*  </t>
  </si>
  <si>
    <t>TOTAL</t>
  </si>
  <si>
    <t>Avance reçu</t>
  </si>
  <si>
    <t>Total dépenses et engagements</t>
  </si>
  <si>
    <t>Taux de consommation de l'avance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</si>
</sst>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right" vertical="center" wrapText="1"/>
    </xf>
    <xf numFmtId="10" fontId="3" fillId="0" borderId="1" xfId="2" applyNumberFormat="1" applyFont="1" applyBorder="1" applyAlignment="1">
      <alignment horizontal="right" vertical="center" wrapText="1"/>
    </xf>
    <xf numFmtId="10" fontId="3" fillId="0" borderId="1" xfId="2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0" fontId="2" fillId="2" borderId="1" xfId="2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3" fontId="3" fillId="0" borderId="2" xfId="1" applyFont="1" applyBorder="1" applyAlignment="1">
      <alignment horizontal="right" vertical="center" wrapText="1"/>
    </xf>
    <xf numFmtId="10" fontId="3" fillId="0" borderId="2" xfId="2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43" fontId="2" fillId="2" borderId="4" xfId="1" applyFont="1" applyFill="1" applyBorder="1" applyAlignment="1">
      <alignment horizontal="right" vertical="center" wrapText="1"/>
    </xf>
    <xf numFmtId="10" fontId="3" fillId="2" borderId="5" xfId="2" applyNumberFormat="1" applyFont="1" applyFill="1" applyBorder="1" applyAlignment="1">
      <alignment horizontal="right" vertical="center" wrapText="1"/>
    </xf>
    <xf numFmtId="164" fontId="0" fillId="0" borderId="0" xfId="1" applyNumberFormat="1" applyFont="1"/>
    <xf numFmtId="43" fontId="0" fillId="0" borderId="0" xfId="1" applyFont="1"/>
    <xf numFmtId="43" fontId="0" fillId="0" borderId="0" xfId="0" applyNumberFormat="1"/>
    <xf numFmtId="1" fontId="0" fillId="0" borderId="0" xfId="1" applyNumberFormat="1" applyFont="1" applyProtection="1">
      <protection locked="0"/>
    </xf>
    <xf numFmtId="0" fontId="0" fillId="3" borderId="6" xfId="0" applyFill="1" applyBorder="1" applyProtection="1"/>
    <xf numFmtId="43" fontId="0" fillId="0" borderId="7" xfId="1" applyFont="1" applyBorder="1" applyAlignment="1">
      <alignment horizontal="right"/>
    </xf>
    <xf numFmtId="0" fontId="0" fillId="3" borderId="8" xfId="0" applyFill="1" applyBorder="1" applyProtection="1"/>
    <xf numFmtId="43" fontId="0" fillId="0" borderId="9" xfId="1" applyFont="1" applyBorder="1" applyAlignment="1">
      <alignment horizontal="right"/>
    </xf>
    <xf numFmtId="0" fontId="0" fillId="3" borderId="10" xfId="0" applyFill="1" applyBorder="1" applyProtection="1"/>
    <xf numFmtId="9" fontId="0" fillId="0" borderId="11" xfId="2" applyFont="1" applyBorder="1" applyAlignment="1">
      <alignment horizontal="right"/>
    </xf>
    <xf numFmtId="0" fontId="0" fillId="0" borderId="0" xfId="0" applyFill="1" applyBorder="1" applyProtection="1"/>
    <xf numFmtId="43" fontId="3" fillId="0" borderId="1" xfId="1" applyFont="1" applyFill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oulibaly\OneDrive%20-%20Care%20International\SWEEP%20-%20PBF\FINANCES\Rapport%20financier\Juin18\Copy%20of%20RF%20Budget%20PRF_06092016_CARE%20Final%20April%202018_VF%20L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OFANA/Desktop/GRANTS%20&amp;%20CONTRACT/UN%20PROJECT/DAB%20Upload%20Form_FY_June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AHD"/>
      <sheetName val="Project Activity Budget_Détails"/>
      <sheetName val="RF Proj budget by UN categories"/>
      <sheetName val="April-March 18"/>
      <sheetName val="PIVOT JANV-MARS18"/>
      <sheetName val="Janvier 2018-Mars 18"/>
      <sheetName val="Project Activity Budget"/>
      <sheetName val="Budget M&amp;E (2)"/>
      <sheetName val="PIVOTE TABLE JUL-SEPT17"/>
      <sheetName val="TRANSLIST JUL-SEPT17"/>
      <sheetName val="PIVOT TABLE OCT-DEC17"/>
      <sheetName val="DEPENSES OCT-DEC2017"/>
      <sheetName val="Feuil2"/>
    </sheetNames>
    <sheetDataSet>
      <sheetData sheetId="0"/>
      <sheetData sheetId="1">
        <row r="96">
          <cell r="H96">
            <v>301846.56909090909</v>
          </cell>
        </row>
        <row r="112">
          <cell r="H112">
            <v>148577.30936421818</v>
          </cell>
        </row>
        <row r="120">
          <cell r="H120">
            <v>7090.909090909091</v>
          </cell>
        </row>
        <row r="125">
          <cell r="H125">
            <v>29090.909090909092</v>
          </cell>
        </row>
        <row r="130">
          <cell r="H130">
            <v>356926.82365604874</v>
          </cell>
        </row>
        <row r="140">
          <cell r="H140">
            <v>11818.181818181818</v>
          </cell>
        </row>
        <row r="141">
          <cell r="H141">
            <v>29906.207999999999</v>
          </cell>
        </row>
        <row r="146">
          <cell r="H146">
            <v>61140.710980509597</v>
          </cell>
        </row>
        <row r="147">
          <cell r="H147">
            <v>65420.560749145276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 t="str">
            <v>Étiquettes de lignes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Validation List"/>
      <sheetName val="SWEEP"/>
      <sheetName val="PID_TEMPLATE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4:J25"/>
  <sheetViews>
    <sheetView tabSelected="1" topLeftCell="C1" zoomScaleNormal="100" workbookViewId="0">
      <selection activeCell="J9" sqref="J9"/>
    </sheetView>
  </sheetViews>
  <sheetFormatPr defaultColWidth="11.453125" defaultRowHeight="14.5" x14ac:dyDescent="0.35"/>
  <cols>
    <col min="2" max="2" width="42.54296875" customWidth="1"/>
    <col min="3" max="3" width="37.26953125" customWidth="1"/>
    <col min="4" max="6" width="18.7265625" customWidth="1"/>
    <col min="7" max="7" width="14.81640625" customWidth="1"/>
    <col min="8" max="8" width="18.1796875" customWidth="1"/>
    <col min="10" max="10" width="15.26953125" bestFit="1" customWidth="1"/>
  </cols>
  <sheetData>
    <row r="4" spans="2:10" ht="15" x14ac:dyDescent="0.35">
      <c r="B4" s="1" t="s">
        <v>0</v>
      </c>
      <c r="C4" s="1"/>
      <c r="D4" s="1"/>
      <c r="E4" s="1"/>
      <c r="F4" s="1"/>
      <c r="G4" s="1"/>
      <c r="H4" s="1"/>
    </row>
    <row r="5" spans="2:10" ht="45" x14ac:dyDescent="0.3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2:10" ht="15.5" x14ac:dyDescent="0.35">
      <c r="B6" s="3" t="s">
        <v>8</v>
      </c>
      <c r="C6" s="4">
        <f>'[1]Project Activity Budget_Détails'!H112</f>
        <v>148577.30936421818</v>
      </c>
      <c r="D6" s="4">
        <v>126557.36999999991</v>
      </c>
      <c r="E6" s="4">
        <f>GETPIVOTDATA("BU Amount",[1]Feuil2!$A$3,"Activity ID Reviewed",1)</f>
        <v>9946.59</v>
      </c>
      <c r="F6" s="4">
        <f>+D6+E6</f>
        <v>136503.9599999999</v>
      </c>
      <c r="G6" s="4">
        <f>+C6-F6</f>
        <v>12073.349364218273</v>
      </c>
      <c r="H6" s="5">
        <f>+F6/C6</f>
        <v>0.91874028802997088</v>
      </c>
    </row>
    <row r="7" spans="2:10" ht="15.5" x14ac:dyDescent="0.35">
      <c r="B7" s="3" t="s">
        <v>9</v>
      </c>
      <c r="C7" s="4">
        <f>'[1]Project Activity Budget_Détails'!H120</f>
        <v>7090.909090909091</v>
      </c>
      <c r="D7" s="4">
        <v>9312.5399999999991</v>
      </c>
      <c r="E7" s="4"/>
      <c r="F7" s="4">
        <f t="shared" ref="F7:F15" si="0">+D7+E7</f>
        <v>9312.5399999999991</v>
      </c>
      <c r="G7" s="27">
        <f>+C7-F7</f>
        <v>-2221.6309090909081</v>
      </c>
      <c r="H7" s="6">
        <f>+F7/C7</f>
        <v>1.313306923076923</v>
      </c>
    </row>
    <row r="8" spans="2:10" ht="31" x14ac:dyDescent="0.35">
      <c r="B8" s="3" t="s">
        <v>10</v>
      </c>
      <c r="C8" s="4">
        <f>'[1]Project Activity Budget_Détails'!H125</f>
        <v>29090.909090909092</v>
      </c>
      <c r="D8" s="4">
        <v>2804</v>
      </c>
      <c r="E8" s="4">
        <f>GETPIVOTDATA("BU Amount",[1]Feuil2!$A$3,"Activity ID Reviewed",3)</f>
        <v>931.93000000000006</v>
      </c>
      <c r="F8" s="4">
        <f t="shared" si="0"/>
        <v>3735.9300000000003</v>
      </c>
      <c r="G8" s="27">
        <f>+C8-F8</f>
        <v>25354.979090909092</v>
      </c>
      <c r="H8" s="6">
        <f>+F8/C8</f>
        <v>0.12842259375000001</v>
      </c>
    </row>
    <row r="9" spans="2:10" ht="15.5" x14ac:dyDescent="0.35">
      <c r="B9" s="3" t="s">
        <v>11</v>
      </c>
      <c r="C9" s="4">
        <f>('[1]Project Activity Budget_Détails'!H146)*40%+'[1]Project Activity Budget_Détails'!H140</f>
        <v>36274.466210385661</v>
      </c>
      <c r="D9" s="4">
        <v>13207.99</v>
      </c>
      <c r="E9" s="4">
        <f>GETPIVOTDATA("BU Amount",[1]Feuil2!$A$3,"Activity ID Reviewed",4)</f>
        <v>4409.5000000000018</v>
      </c>
      <c r="F9" s="4">
        <f t="shared" si="0"/>
        <v>17617.490000000002</v>
      </c>
      <c r="G9" s="4">
        <f>+C9-F9</f>
        <v>18656.976210385659</v>
      </c>
      <c r="H9" s="5">
        <f>+F9/C9</f>
        <v>0.48567192961080646</v>
      </c>
    </row>
    <row r="10" spans="2:10" ht="15.5" x14ac:dyDescent="0.35">
      <c r="B10" s="3" t="s">
        <v>12</v>
      </c>
      <c r="C10" s="4">
        <v>0</v>
      </c>
      <c r="D10" s="4">
        <v>0</v>
      </c>
      <c r="E10" s="4"/>
      <c r="F10" s="4">
        <f t="shared" si="0"/>
        <v>0</v>
      </c>
      <c r="G10" s="4"/>
      <c r="H10" s="5"/>
    </row>
    <row r="11" spans="2:10" ht="15.5" x14ac:dyDescent="0.35">
      <c r="B11" s="3" t="s">
        <v>13</v>
      </c>
      <c r="C11" s="4">
        <f>'[1]Project Activity Budget_Détails'!H96+'[1]Project Activity Budget_Détails'!H130+('[1]Project Activity Budget_Détails'!H146)*60%</f>
        <v>695457.81933526357</v>
      </c>
      <c r="D11" s="4">
        <v>258411.16999999998</v>
      </c>
      <c r="E11" s="4">
        <f>GETPIVOTDATA("BU Amount",[1]Feuil2!$A$3,"Activity ID Reviewed",6)</f>
        <v>38298.99000000002</v>
      </c>
      <c r="F11" s="4">
        <f t="shared" si="0"/>
        <v>296710.16000000003</v>
      </c>
      <c r="G11" s="4">
        <f>+C11-F11</f>
        <v>398747.65933526354</v>
      </c>
      <c r="H11" s="5">
        <f>+F11/C11</f>
        <v>0.42664005170522523</v>
      </c>
    </row>
    <row r="12" spans="2:10" ht="22.5" customHeight="1" x14ac:dyDescent="0.35">
      <c r="B12" s="3" t="s">
        <v>14</v>
      </c>
      <c r="C12" s="4">
        <f>'[1]Project Activity Budget_Détails'!H141-'[1]Project Activity Budget_Détails'!H140</f>
        <v>18088.026181818183</v>
      </c>
      <c r="D12" s="4">
        <v>21238.39</v>
      </c>
      <c r="E12" s="4">
        <f>GETPIVOTDATA("BU Amount",[1]Feuil2!$A$3,"Activity ID Reviewed",7)</f>
        <v>2453.7399999999998</v>
      </c>
      <c r="F12" s="4">
        <f>+D12+E12</f>
        <v>23692.129999999997</v>
      </c>
      <c r="G12" s="27">
        <f>+C12-F12</f>
        <v>-5604.1038181818149</v>
      </c>
      <c r="H12" s="6">
        <f>+F12/C12</f>
        <v>1.3098239554636966</v>
      </c>
    </row>
    <row r="13" spans="2:10" ht="15" x14ac:dyDescent="0.35">
      <c r="B13" s="7" t="s">
        <v>15</v>
      </c>
      <c r="C13" s="8">
        <f>SUM(C6:C12)</f>
        <v>934579.43927350384</v>
      </c>
      <c r="D13" s="8">
        <f>SUM(D6:D12)</f>
        <v>431531.4599999999</v>
      </c>
      <c r="E13" s="8">
        <f>SUM(E6:E12)</f>
        <v>56040.750000000022</v>
      </c>
      <c r="F13" s="8">
        <f t="shared" si="0"/>
        <v>487572.2099999999</v>
      </c>
      <c r="G13" s="8">
        <f>+C13-F13</f>
        <v>447007.22927350394</v>
      </c>
      <c r="H13" s="9">
        <f>+F13/C13</f>
        <v>0.52170226468818381</v>
      </c>
    </row>
    <row r="14" spans="2:10" ht="16" thickBot="1" x14ac:dyDescent="0.4">
      <c r="B14" s="10" t="s">
        <v>16</v>
      </c>
      <c r="C14" s="11">
        <f>'[1]Project Activity Budget_Détails'!H147</f>
        <v>65420.560749145276</v>
      </c>
      <c r="D14" s="11">
        <f>+D13*7%</f>
        <v>30207.202199999996</v>
      </c>
      <c r="E14" s="11">
        <f>+E13*7%</f>
        <v>3922.8525000000018</v>
      </c>
      <c r="F14" s="11">
        <f t="shared" si="0"/>
        <v>34130.054700000001</v>
      </c>
      <c r="G14" s="11">
        <f>+C14-F14</f>
        <v>31290.506049145275</v>
      </c>
      <c r="H14" s="12">
        <f>+F14/C14</f>
        <v>0.52170226468818381</v>
      </c>
    </row>
    <row r="15" spans="2:10" ht="16" thickBot="1" x14ac:dyDescent="0.4">
      <c r="B15" s="13" t="s">
        <v>17</v>
      </c>
      <c r="C15" s="14">
        <f>C13+C14</f>
        <v>1000000.0000226491</v>
      </c>
      <c r="D15" s="14">
        <f>D13+D14</f>
        <v>461738.6621999999</v>
      </c>
      <c r="E15" s="14">
        <f>E13+E14</f>
        <v>59963.602500000023</v>
      </c>
      <c r="F15" s="14">
        <f t="shared" si="0"/>
        <v>521702.26469999994</v>
      </c>
      <c r="G15" s="14">
        <f>+C15-F15</f>
        <v>478297.73532264913</v>
      </c>
      <c r="H15" s="15">
        <f>+F15/C15</f>
        <v>0.52170226468818393</v>
      </c>
    </row>
    <row r="16" spans="2:10" x14ac:dyDescent="0.35">
      <c r="C16" s="16"/>
      <c r="D16" s="16"/>
      <c r="E16" s="16"/>
      <c r="F16" s="16"/>
      <c r="G16" s="16"/>
      <c r="J16" s="17"/>
    </row>
    <row r="17" spans="2:5" x14ac:dyDescent="0.35">
      <c r="E17" s="18"/>
    </row>
    <row r="18" spans="2:5" ht="15" thickBot="1" x14ac:dyDescent="0.4">
      <c r="E18" s="18"/>
    </row>
    <row r="19" spans="2:5" x14ac:dyDescent="0.35">
      <c r="B19" s="19">
        <v>1</v>
      </c>
      <c r="C19" s="20" t="s">
        <v>18</v>
      </c>
      <c r="D19" s="21">
        <v>500000</v>
      </c>
    </row>
    <row r="20" spans="2:5" x14ac:dyDescent="0.35">
      <c r="B20" s="19">
        <v>2</v>
      </c>
      <c r="C20" s="22" t="s">
        <v>19</v>
      </c>
      <c r="D20" s="23">
        <f>F15</f>
        <v>521702.26469999994</v>
      </c>
      <c r="E20" s="18"/>
    </row>
    <row r="21" spans="2:5" ht="15" thickBot="1" x14ac:dyDescent="0.4">
      <c r="B21" s="19">
        <v>3</v>
      </c>
      <c r="C21" s="24" t="s">
        <v>20</v>
      </c>
      <c r="D21" s="25">
        <f>D20/D19</f>
        <v>1.0434045293999998</v>
      </c>
    </row>
    <row r="22" spans="2:5" x14ac:dyDescent="0.35">
      <c r="B22" s="19">
        <v>4</v>
      </c>
      <c r="C22" s="26"/>
    </row>
    <row r="23" spans="2:5" x14ac:dyDescent="0.35">
      <c r="B23" s="19">
        <v>5</v>
      </c>
      <c r="C23" s="26"/>
    </row>
    <row r="24" spans="2:5" x14ac:dyDescent="0.35">
      <c r="B24" s="19">
        <v>6</v>
      </c>
      <c r="C24" s="26"/>
    </row>
    <row r="25" spans="2:5" x14ac:dyDescent="0.35">
      <c r="B25" s="19">
        <v>7</v>
      </c>
      <c r="C25" s="26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'https://careinternational-my.sharepoint.com/Users/ALFOFANA/Desktop/GRANTS &amp; CONTRACT/UN PROJECT/[DAB Upload Form_FY_June30.xlsm]Admin'!#REF!</xm:f>
          </x14:formula1>
          <xm:sqref>B19:B25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 Proj budget by UN categories</vt:lpstr>
      <vt:lpstr>'RF Proj budget by UN categories'!Print_Area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Coulibaly, Losseni</dc:creator>
  <cp:lastModifiedBy>Coulibaly, Losseni</cp:lastModifiedBy>
  <dcterms:created xsi:type="dcterms:W3CDTF">2018-06-15T20:48:10Z</dcterms:created>
  <dcterms:modified xsi:type="dcterms:W3CDTF">2018-06-15T20:49:23Z</dcterms:modified>
</cp:coreProperties>
</file>