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onambele\Desktop\"/>
    </mc:Choice>
  </mc:AlternateContent>
  <xr:revisionPtr revIDLastSave="0" documentId="8_{14D0BF77-51B5-4C2F-B1A7-6DAF2E8B1AF9}" xr6:coauthVersionLast="34" xr6:coauthVersionMax="34" xr10:uidLastSave="{00000000-0000-0000-0000-000000000000}"/>
  <bookViews>
    <workbookView xWindow="0" yWindow="0" windowWidth="25200" windowHeight="11775" activeTab="2" xr2:uid="{00000000-000D-0000-FFFF-FFFF00000000}"/>
  </bookViews>
  <sheets>
    <sheet name="ACIAR " sheetId="1" r:id="rId1"/>
    <sheet name="UNHABITAT" sheetId="9" r:id="rId2"/>
    <sheet name="OIM" sheetId="8" r:id="rId3"/>
    <sheet name="CARITAS" sheetId="4" r:id="rId4"/>
    <sheet name="SFCG" sheetId="5" r:id="rId5"/>
    <sheet name="Mercy Corp" sheetId="6" r:id="rId6"/>
    <sheet name="COOPI" sheetId="7" r:id="rId7"/>
  </sheets>
  <externalReferences>
    <externalReference r:id="rId8"/>
    <externalReference r:id="rId9"/>
    <externalReference r:id="rId10"/>
    <externalReference r:id="rId11"/>
    <externalReference r:id="rId12"/>
    <externalReference r:id="rId13"/>
  </externalReferences>
  <definedNames>
    <definedName name="categorie">[1]Budget_Detaille!$A$141:$A$147</definedName>
    <definedName name="catégorie">[2]Budget_Detaille!$A$103:$A$106</definedName>
    <definedName name="categorie.">[3]Budget_Detaille!$A$103:$A$109</definedName>
    <definedName name="categorie2">[3]Budget_Detaille!$A$103:$A$109</definedName>
    <definedName name="categories">#REF!</definedName>
    <definedName name="catégories">[2]Budget_Detaille!$A$103:$A$106</definedName>
    <definedName name="categories.">[4]Budget_Detaille!$A$149:$A$152</definedName>
  </definedNames>
  <calcPr calcId="179021"/>
</workbook>
</file>

<file path=xl/calcChain.xml><?xml version="1.0" encoding="utf-8"?>
<calcChain xmlns="http://schemas.openxmlformats.org/spreadsheetml/2006/main">
  <c r="J113" i="7" l="1"/>
  <c r="AJ112" i="7"/>
  <c r="AA111" i="7"/>
  <c r="W111" i="7"/>
  <c r="AF111" i="7" s="1"/>
  <c r="N111" i="7"/>
  <c r="G111" i="7"/>
  <c r="I111" i="7" s="1"/>
  <c r="A111" i="7"/>
  <c r="AA110" i="7"/>
  <c r="AA112" i="7" s="1"/>
  <c r="U110" i="7"/>
  <c r="W110" i="7" s="1"/>
  <c r="N110" i="7"/>
  <c r="G110" i="7"/>
  <c r="I110" i="7" s="1"/>
  <c r="A110" i="7"/>
  <c r="AA108" i="7"/>
  <c r="W108" i="7"/>
  <c r="N108" i="7"/>
  <c r="I108" i="7"/>
  <c r="AG108" i="7" s="1"/>
  <c r="AJ104" i="7"/>
  <c r="AA103" i="7"/>
  <c r="AB103" i="7" s="1"/>
  <c r="AC103" i="7" s="1"/>
  <c r="W103" i="7"/>
  <c r="AF103" i="7" s="1"/>
  <c r="N103" i="7"/>
  <c r="G103" i="7"/>
  <c r="I103" i="7" s="1"/>
  <c r="R103" i="7" s="1"/>
  <c r="A103" i="7"/>
  <c r="AA102" i="7"/>
  <c r="W102" i="7"/>
  <c r="AF102" i="7" s="1"/>
  <c r="N102" i="7"/>
  <c r="I102" i="7"/>
  <c r="R102" i="7" s="1"/>
  <c r="H102" i="7"/>
  <c r="A102" i="7"/>
  <c r="Y101" i="7"/>
  <c r="AA101" i="7" s="1"/>
  <c r="W101" i="7"/>
  <c r="AF101" i="7" s="1"/>
  <c r="N101" i="7"/>
  <c r="I101" i="7"/>
  <c r="AA100" i="7"/>
  <c r="W100" i="7"/>
  <c r="N100" i="7"/>
  <c r="I100" i="7"/>
  <c r="R100" i="7" s="1"/>
  <c r="AA99" i="7"/>
  <c r="W99" i="7"/>
  <c r="AF99" i="7" s="1"/>
  <c r="N99" i="7"/>
  <c r="F99" i="7"/>
  <c r="I99" i="7" s="1"/>
  <c r="R99" i="7" s="1"/>
  <c r="AA98" i="7"/>
  <c r="T98" i="7"/>
  <c r="W98" i="7" s="1"/>
  <c r="N98" i="7"/>
  <c r="F98" i="7"/>
  <c r="I98" i="7" s="1"/>
  <c r="R98" i="7" s="1"/>
  <c r="AA97" i="7"/>
  <c r="W97" i="7"/>
  <c r="AF97" i="7" s="1"/>
  <c r="N97" i="7"/>
  <c r="F97" i="7"/>
  <c r="I97" i="7" s="1"/>
  <c r="AA96" i="7"/>
  <c r="W96" i="7"/>
  <c r="AF96" i="7" s="1"/>
  <c r="N96" i="7"/>
  <c r="O96" i="7" s="1"/>
  <c r="P96" i="7" s="1"/>
  <c r="G96" i="7"/>
  <c r="I96" i="7" s="1"/>
  <c r="R96" i="7" s="1"/>
  <c r="AA95" i="7"/>
  <c r="AB95" i="7" s="1"/>
  <c r="AC95" i="7" s="1"/>
  <c r="W95" i="7"/>
  <c r="AF95" i="7" s="1"/>
  <c r="N95" i="7"/>
  <c r="G95" i="7"/>
  <c r="I95" i="7" s="1"/>
  <c r="AG95" i="7" s="1"/>
  <c r="AI95" i="7" s="1"/>
  <c r="AF94" i="7"/>
  <c r="AA94" i="7"/>
  <c r="W94" i="7"/>
  <c r="N94" i="7"/>
  <c r="G94" i="7"/>
  <c r="I94" i="7" s="1"/>
  <c r="R94" i="7" s="1"/>
  <c r="AJ92" i="7"/>
  <c r="AA91" i="7"/>
  <c r="W91" i="7"/>
  <c r="AF91" i="7" s="1"/>
  <c r="N91" i="7"/>
  <c r="G91" i="7"/>
  <c r="I91" i="7" s="1"/>
  <c r="R91" i="7" s="1"/>
  <c r="A91" i="7"/>
  <c r="AA90" i="7"/>
  <c r="AB90" i="7" s="1"/>
  <c r="AC90" i="7" s="1"/>
  <c r="W90" i="7"/>
  <c r="AF90" i="7" s="1"/>
  <c r="N90" i="7"/>
  <c r="H90" i="7"/>
  <c r="G90" i="7"/>
  <c r="I90" i="7" s="1"/>
  <c r="AG90" i="7" s="1"/>
  <c r="A90" i="7"/>
  <c r="AA89" i="7"/>
  <c r="W89" i="7"/>
  <c r="N89" i="7"/>
  <c r="G89" i="7"/>
  <c r="I89" i="7" s="1"/>
  <c r="R89" i="7" s="1"/>
  <c r="A89" i="7"/>
  <c r="AJ87" i="7"/>
  <c r="AA87" i="7"/>
  <c r="W87" i="7"/>
  <c r="AF86" i="7"/>
  <c r="AF87" i="7" s="1"/>
  <c r="N86" i="7"/>
  <c r="G86" i="7"/>
  <c r="I86" i="7" s="1"/>
  <c r="AI84" i="7"/>
  <c r="AA84" i="7"/>
  <c r="W84" i="7"/>
  <c r="N84" i="7"/>
  <c r="N87" i="7" s="1"/>
  <c r="I84" i="7"/>
  <c r="AJ80" i="7"/>
  <c r="AF79" i="7"/>
  <c r="AA79" i="7"/>
  <c r="AB79" i="7" s="1"/>
  <c r="AC79" i="7" s="1"/>
  <c r="N79" i="7"/>
  <c r="I79" i="7"/>
  <c r="F79" i="7"/>
  <c r="A79" i="7"/>
  <c r="AF78" i="7"/>
  <c r="AB78" i="7"/>
  <c r="AC78" i="7" s="1"/>
  <c r="AA78" i="7"/>
  <c r="N78" i="7"/>
  <c r="H78" i="7"/>
  <c r="I78" i="7" s="1"/>
  <c r="R78" i="7" s="1"/>
  <c r="A78" i="7"/>
  <c r="AF77" i="7"/>
  <c r="AA77" i="7"/>
  <c r="AB77" i="7" s="1"/>
  <c r="AC77" i="7" s="1"/>
  <c r="N77" i="7"/>
  <c r="H77" i="7"/>
  <c r="I77" i="7" s="1"/>
  <c r="AG77" i="7" s="1"/>
  <c r="A77" i="7"/>
  <c r="AF76" i="7"/>
  <c r="AA76" i="7"/>
  <c r="AB76" i="7" s="1"/>
  <c r="AC76" i="7" s="1"/>
  <c r="N76" i="7"/>
  <c r="H76" i="7"/>
  <c r="I76" i="7" s="1"/>
  <c r="R76" i="7" s="1"/>
  <c r="A76" i="7"/>
  <c r="AF75" i="7"/>
  <c r="AA75" i="7"/>
  <c r="AB75" i="7" s="1"/>
  <c r="O75" i="7"/>
  <c r="P75" i="7" s="1"/>
  <c r="N75" i="7"/>
  <c r="I75" i="7"/>
  <c r="AG75" i="7" s="1"/>
  <c r="AI75" i="7" s="1"/>
  <c r="A75" i="7"/>
  <c r="AA74" i="7"/>
  <c r="W74" i="7" s="1"/>
  <c r="N74" i="7"/>
  <c r="H74" i="7"/>
  <c r="G74" i="7"/>
  <c r="A74" i="7"/>
  <c r="AJ70" i="7"/>
  <c r="AA69" i="7"/>
  <c r="U69" i="7"/>
  <c r="W69" i="7" s="1"/>
  <c r="I69" i="7"/>
  <c r="R69" i="7" s="1"/>
  <c r="A69" i="7"/>
  <c r="AA68" i="7"/>
  <c r="AB68" i="7" s="1"/>
  <c r="W68" i="7"/>
  <c r="AF68" i="7" s="1"/>
  <c r="R68" i="7"/>
  <c r="I68" i="7"/>
  <c r="O68" i="7" s="1"/>
  <c r="A68" i="7"/>
  <c r="AA67" i="7"/>
  <c r="W67" i="7"/>
  <c r="AF67" i="7" s="1"/>
  <c r="I67" i="7"/>
  <c r="A67" i="7"/>
  <c r="AA66" i="7"/>
  <c r="W66" i="7"/>
  <c r="AF66" i="7" s="1"/>
  <c r="N66" i="7"/>
  <c r="I66" i="7"/>
  <c r="A66" i="7"/>
  <c r="AA65" i="7"/>
  <c r="W65" i="7"/>
  <c r="AF65" i="7" s="1"/>
  <c r="N65" i="7"/>
  <c r="I65" i="7"/>
  <c r="R65" i="7" s="1"/>
  <c r="G65" i="7"/>
  <c r="A65" i="7"/>
  <c r="R6" i="7" s="1"/>
  <c r="AA64" i="7"/>
  <c r="W64" i="7"/>
  <c r="AF64" i="7" s="1"/>
  <c r="R64" i="7"/>
  <c r="N64" i="7"/>
  <c r="I64" i="7"/>
  <c r="AB63" i="7"/>
  <c r="AA63" i="7"/>
  <c r="W63" i="7"/>
  <c r="AF63" i="7" s="1"/>
  <c r="N63" i="7"/>
  <c r="O63" i="7" s="1"/>
  <c r="I63" i="7"/>
  <c r="AG63" i="7" s="1"/>
  <c r="AA62" i="7"/>
  <c r="W62" i="7"/>
  <c r="N62" i="7"/>
  <c r="N70" i="7" s="1"/>
  <c r="I62" i="7"/>
  <c r="R62" i="7" s="1"/>
  <c r="AJ61" i="7"/>
  <c r="AA60" i="7"/>
  <c r="AB60" i="7" s="1"/>
  <c r="AC60" i="7" s="1"/>
  <c r="U60" i="7"/>
  <c r="W60" i="7" s="1"/>
  <c r="AF60" i="7" s="1"/>
  <c r="N60" i="7"/>
  <c r="I60" i="7"/>
  <c r="R60" i="7" s="1"/>
  <c r="AA59" i="7"/>
  <c r="W59" i="7"/>
  <c r="AF59" i="7" s="1"/>
  <c r="N59" i="7"/>
  <c r="G59" i="7"/>
  <c r="I59" i="7" s="1"/>
  <c r="R59" i="7" s="1"/>
  <c r="AA58" i="7"/>
  <c r="W58" i="7"/>
  <c r="AF58" i="7" s="1"/>
  <c r="N58" i="7"/>
  <c r="I58" i="7"/>
  <c r="R58" i="7" s="1"/>
  <c r="AA57" i="7"/>
  <c r="AB57" i="7" s="1"/>
  <c r="AC57" i="7" s="1"/>
  <c r="W57" i="7"/>
  <c r="AF57" i="7" s="1"/>
  <c r="N57" i="7"/>
  <c r="H57" i="7"/>
  <c r="G57" i="7"/>
  <c r="AA56" i="7"/>
  <c r="W56" i="7"/>
  <c r="AF56" i="7" s="1"/>
  <c r="O56" i="7"/>
  <c r="P56" i="7" s="1"/>
  <c r="N56" i="7"/>
  <c r="I56" i="7"/>
  <c r="AA55" i="7"/>
  <c r="W55" i="7"/>
  <c r="AF55" i="7" s="1"/>
  <c r="T55" i="7"/>
  <c r="N55" i="7"/>
  <c r="I55" i="7"/>
  <c r="R55" i="7" s="1"/>
  <c r="G55" i="7"/>
  <c r="AA54" i="7"/>
  <c r="W54" i="7"/>
  <c r="AF54" i="7" s="1"/>
  <c r="N54" i="7"/>
  <c r="G54" i="7"/>
  <c r="I54" i="7" s="1"/>
  <c r="AA53" i="7"/>
  <c r="T53" i="7"/>
  <c r="W53" i="7" s="1"/>
  <c r="AF53" i="7" s="1"/>
  <c r="N53" i="7"/>
  <c r="O53" i="7" s="1"/>
  <c r="P53" i="7" s="1"/>
  <c r="G53" i="7"/>
  <c r="I53" i="7" s="1"/>
  <c r="R53" i="7" s="1"/>
  <c r="AA52" i="7"/>
  <c r="W52" i="7"/>
  <c r="AF52" i="7" s="1"/>
  <c r="N52" i="7"/>
  <c r="I52" i="7"/>
  <c r="G52" i="7"/>
  <c r="AA51" i="7"/>
  <c r="AB51" i="7" s="1"/>
  <c r="AC51" i="7" s="1"/>
  <c r="W51" i="7"/>
  <c r="AF51" i="7" s="1"/>
  <c r="N51" i="7"/>
  <c r="I51" i="7"/>
  <c r="AG51" i="7" s="1"/>
  <c r="G51" i="7"/>
  <c r="AA50" i="7"/>
  <c r="W50" i="7"/>
  <c r="AF50" i="7" s="1"/>
  <c r="N50" i="7"/>
  <c r="G50" i="7"/>
  <c r="I50" i="7" s="1"/>
  <c r="AA49" i="7"/>
  <c r="W49" i="7"/>
  <c r="AF49" i="7" s="1"/>
  <c r="N49" i="7"/>
  <c r="G49" i="7"/>
  <c r="I49" i="7" s="1"/>
  <c r="AA48" i="7"/>
  <c r="W48" i="7"/>
  <c r="AF48" i="7" s="1"/>
  <c r="N48" i="7"/>
  <c r="H48" i="7"/>
  <c r="F48" i="7"/>
  <c r="I48" i="7" s="1"/>
  <c r="AG48" i="7" s="1"/>
  <c r="AA47" i="7"/>
  <c r="W47" i="7"/>
  <c r="AF47" i="7" s="1"/>
  <c r="N47" i="7"/>
  <c r="G47" i="7"/>
  <c r="I47" i="7" s="1"/>
  <c r="R47" i="7" s="1"/>
  <c r="AF46" i="7"/>
  <c r="AB46" i="7"/>
  <c r="N46" i="7"/>
  <c r="I46" i="7"/>
  <c r="AG46" i="7" s="1"/>
  <c r="AK46" i="7" s="1"/>
  <c r="G46" i="7"/>
  <c r="AA45" i="7"/>
  <c r="W45" i="7"/>
  <c r="AF45" i="7" s="1"/>
  <c r="N45" i="7"/>
  <c r="G45" i="7"/>
  <c r="I45" i="7" s="1"/>
  <c r="AA44" i="7"/>
  <c r="W44" i="7"/>
  <c r="N44" i="7"/>
  <c r="I44" i="7"/>
  <c r="G44" i="7"/>
  <c r="AJ43" i="7"/>
  <c r="AA42" i="7"/>
  <c r="W42" i="7"/>
  <c r="AF42" i="7" s="1"/>
  <c r="N42" i="7"/>
  <c r="G42" i="7"/>
  <c r="I42" i="7" s="1"/>
  <c r="R42" i="7" s="1"/>
  <c r="AA41" i="7"/>
  <c r="W41" i="7"/>
  <c r="AF41" i="7" s="1"/>
  <c r="N41" i="7"/>
  <c r="G41" i="7"/>
  <c r="I41" i="7" s="1"/>
  <c r="R41" i="7" s="1"/>
  <c r="AA40" i="7"/>
  <c r="W40" i="7"/>
  <c r="AF40" i="7" s="1"/>
  <c r="N40" i="7"/>
  <c r="I40" i="7"/>
  <c r="F40" i="7"/>
  <c r="AA39" i="7"/>
  <c r="W39" i="7"/>
  <c r="AF39" i="7" s="1"/>
  <c r="N39" i="7"/>
  <c r="G39" i="7"/>
  <c r="I39" i="7" s="1"/>
  <c r="AA38" i="7"/>
  <c r="W38" i="7"/>
  <c r="AF38" i="7" s="1"/>
  <c r="N38" i="7"/>
  <c r="I38" i="7"/>
  <c r="G38" i="7"/>
  <c r="AJ37" i="7"/>
  <c r="AA36" i="7"/>
  <c r="AB36" i="7" s="1"/>
  <c r="W36" i="7"/>
  <c r="AF36" i="7" s="1"/>
  <c r="N36" i="7"/>
  <c r="O36" i="7" s="1"/>
  <c r="P36" i="7" s="1"/>
  <c r="I36" i="7"/>
  <c r="R36" i="7" s="1"/>
  <c r="AL35" i="7"/>
  <c r="AF35" i="7"/>
  <c r="AA35" i="7"/>
  <c r="AB35" i="7" s="1"/>
  <c r="U35" i="7"/>
  <c r="N35" i="7"/>
  <c r="O35" i="7" s="1"/>
  <c r="P35" i="7" s="1"/>
  <c r="I35" i="7"/>
  <c r="AG35" i="7" s="1"/>
  <c r="AI35" i="7" s="1"/>
  <c r="AA34" i="7"/>
  <c r="AB34" i="7" s="1"/>
  <c r="W34" i="7"/>
  <c r="AF34" i="7" s="1"/>
  <c r="N34" i="7"/>
  <c r="I34" i="7"/>
  <c r="AA33" i="7"/>
  <c r="W33" i="7"/>
  <c r="AF33" i="7" s="1"/>
  <c r="N33" i="7"/>
  <c r="I33" i="7"/>
  <c r="AA32" i="7"/>
  <c r="U32" i="7"/>
  <c r="W32" i="7" s="1"/>
  <c r="N32" i="7"/>
  <c r="I32" i="7"/>
  <c r="AA31" i="7"/>
  <c r="AB31" i="7" s="1"/>
  <c r="AC31" i="7" s="1"/>
  <c r="W31" i="7"/>
  <c r="AF31" i="7" s="1"/>
  <c r="N31" i="7"/>
  <c r="G31" i="7"/>
  <c r="I31" i="7" s="1"/>
  <c r="R31" i="7" s="1"/>
  <c r="AA30" i="7"/>
  <c r="AB30" i="7" s="1"/>
  <c r="AC30" i="7" s="1"/>
  <c r="W30" i="7"/>
  <c r="AF30" i="7" s="1"/>
  <c r="N30" i="7"/>
  <c r="G30" i="7"/>
  <c r="I30" i="7" s="1"/>
  <c r="AA29" i="7"/>
  <c r="T29" i="7"/>
  <c r="W29" i="7" s="1"/>
  <c r="AF29" i="7" s="1"/>
  <c r="N29" i="7"/>
  <c r="G29" i="7"/>
  <c r="I29" i="7" s="1"/>
  <c r="R29" i="7" s="1"/>
  <c r="AA28" i="7"/>
  <c r="AB28" i="7" s="1"/>
  <c r="W28" i="7"/>
  <c r="AF28" i="7" s="1"/>
  <c r="N28" i="7"/>
  <c r="G28" i="7"/>
  <c r="I28" i="7" s="1"/>
  <c r="AA27" i="7"/>
  <c r="AB27" i="7" s="1"/>
  <c r="W27" i="7"/>
  <c r="AF27" i="7" s="1"/>
  <c r="N27" i="7"/>
  <c r="I27" i="7"/>
  <c r="AG27" i="7" s="1"/>
  <c r="AK27" i="7" s="1"/>
  <c r="G27" i="7"/>
  <c r="AA26" i="7"/>
  <c r="W26" i="7"/>
  <c r="AF26" i="7" s="1"/>
  <c r="N26" i="7"/>
  <c r="I26" i="7"/>
  <c r="R26" i="7" s="1"/>
  <c r="AA25" i="7"/>
  <c r="V25" i="7"/>
  <c r="W25" i="7" s="1"/>
  <c r="AF25" i="7" s="1"/>
  <c r="N25" i="7"/>
  <c r="H25" i="7"/>
  <c r="I25" i="7" s="1"/>
  <c r="R25" i="7" s="1"/>
  <c r="AA24" i="7"/>
  <c r="W24" i="7"/>
  <c r="AF24" i="7" s="1"/>
  <c r="N24" i="7"/>
  <c r="G24" i="7"/>
  <c r="I24" i="7" s="1"/>
  <c r="AA23" i="7"/>
  <c r="W23" i="7"/>
  <c r="AF23" i="7" s="1"/>
  <c r="N23" i="7"/>
  <c r="I23" i="7"/>
  <c r="R23" i="7" s="1"/>
  <c r="AF22" i="7"/>
  <c r="AB22" i="7"/>
  <c r="N22" i="7"/>
  <c r="I22" i="7"/>
  <c r="R22" i="7" s="1"/>
  <c r="AF21" i="7"/>
  <c r="AB21" i="7"/>
  <c r="W21" i="7"/>
  <c r="N21" i="7"/>
  <c r="I21" i="7"/>
  <c r="O21" i="7" s="1"/>
  <c r="P21" i="7" s="1"/>
  <c r="AA20" i="7"/>
  <c r="W20" i="7"/>
  <c r="AF20" i="7" s="1"/>
  <c r="N20" i="7"/>
  <c r="G20" i="7"/>
  <c r="I20" i="7" s="1"/>
  <c r="AG20" i="7" s="1"/>
  <c r="AA19" i="7"/>
  <c r="U19" i="7"/>
  <c r="W19" i="7" s="1"/>
  <c r="AF19" i="7" s="1"/>
  <c r="N19" i="7"/>
  <c r="I19" i="7"/>
  <c r="R19" i="7" s="1"/>
  <c r="AA18" i="7"/>
  <c r="AB18" i="7" s="1"/>
  <c r="AC18" i="7" s="1"/>
  <c r="U18" i="7"/>
  <c r="W18" i="7" s="1"/>
  <c r="AF18" i="7" s="1"/>
  <c r="N18" i="7"/>
  <c r="G18" i="7"/>
  <c r="I18" i="7" s="1"/>
  <c r="AA17" i="7"/>
  <c r="U17" i="7"/>
  <c r="W17" i="7" s="1"/>
  <c r="N17" i="7"/>
  <c r="I17" i="7"/>
  <c r="R17" i="7" s="1"/>
  <c r="AA16" i="7"/>
  <c r="W16" i="7"/>
  <c r="AF16" i="7" s="1"/>
  <c r="N16" i="7"/>
  <c r="G16" i="7"/>
  <c r="I16" i="7" s="1"/>
  <c r="AH15" i="7"/>
  <c r="AB15" i="7"/>
  <c r="N15" i="7"/>
  <c r="J15" i="7"/>
  <c r="G15" i="7"/>
  <c r="I15" i="7" s="1"/>
  <c r="R15" i="7" s="1"/>
  <c r="AB14" i="7"/>
  <c r="N14" i="7"/>
  <c r="G14" i="7"/>
  <c r="I14" i="7" s="1"/>
  <c r="AH13" i="7"/>
  <c r="AB13" i="7"/>
  <c r="N13" i="7"/>
  <c r="G13" i="7"/>
  <c r="I13" i="7" s="1"/>
  <c r="AH12" i="7"/>
  <c r="AB12" i="7"/>
  <c r="N12" i="7"/>
  <c r="J12" i="7"/>
  <c r="G12" i="7"/>
  <c r="I12" i="7" s="1"/>
  <c r="O29" i="7" l="1"/>
  <c r="P29" i="7" s="1"/>
  <c r="AB24" i="7"/>
  <c r="AC24" i="7" s="1"/>
  <c r="AB26" i="7"/>
  <c r="AK35" i="7"/>
  <c r="AB50" i="7"/>
  <c r="AB52" i="7"/>
  <c r="AC52" i="7" s="1"/>
  <c r="AB54" i="7"/>
  <c r="AG56" i="7"/>
  <c r="AI56" i="7" s="1"/>
  <c r="AG64" i="7"/>
  <c r="AK64" i="7" s="1"/>
  <c r="AB66" i="7"/>
  <c r="AG69" i="7"/>
  <c r="AK69" i="7" s="1"/>
  <c r="I74" i="7"/>
  <c r="R74" i="7" s="1"/>
  <c r="AB91" i="7"/>
  <c r="AC91" i="7" s="1"/>
  <c r="O94" i="7"/>
  <c r="P94" i="7" s="1"/>
  <c r="O31" i="7"/>
  <c r="P31" i="7" s="1"/>
  <c r="O34" i="7"/>
  <c r="P34" i="7" s="1"/>
  <c r="AF43" i="7"/>
  <c r="AG24" i="7"/>
  <c r="AB45" i="7"/>
  <c r="AC45" i="7" s="1"/>
  <c r="O51" i="7"/>
  <c r="P51" i="7" s="1"/>
  <c r="AG52" i="7"/>
  <c r="O65" i="7"/>
  <c r="P65" i="7" s="1"/>
  <c r="AG66" i="7"/>
  <c r="AK66" i="7" s="1"/>
  <c r="O76" i="7"/>
  <c r="P76" i="7" s="1"/>
  <c r="AA92" i="7"/>
  <c r="AG100" i="7"/>
  <c r="AK100" i="7" s="1"/>
  <c r="N43" i="7"/>
  <c r="AG67" i="7"/>
  <c r="AI67" i="7" s="1"/>
  <c r="AB87" i="7"/>
  <c r="O91" i="7"/>
  <c r="P91" i="7" s="1"/>
  <c r="AG99" i="7"/>
  <c r="AI99" i="7" s="1"/>
  <c r="AB101" i="7"/>
  <c r="AC101" i="7" s="1"/>
  <c r="R13" i="7"/>
  <c r="AG13" i="7"/>
  <c r="O42" i="7"/>
  <c r="P42" i="7" s="1"/>
  <c r="O86" i="7"/>
  <c r="P86" i="7" s="1"/>
  <c r="O13" i="7"/>
  <c r="P13" i="7" s="1"/>
  <c r="AF17" i="7"/>
  <c r="AB17" i="7"/>
  <c r="AC17" i="7" s="1"/>
  <c r="AI24" i="7"/>
  <c r="AK24" i="7"/>
  <c r="AG39" i="7"/>
  <c r="R39" i="7"/>
  <c r="R49" i="7"/>
  <c r="AG49" i="7"/>
  <c r="AK49" i="7" s="1"/>
  <c r="AB19" i="7"/>
  <c r="AC19" i="7" s="1"/>
  <c r="O18" i="7"/>
  <c r="P18" i="7" s="1"/>
  <c r="R21" i="7"/>
  <c r="AG21" i="7"/>
  <c r="AG23" i="7"/>
  <c r="R27" i="7"/>
  <c r="AB33" i="7"/>
  <c r="AG38" i="7"/>
  <c r="AG40" i="7"/>
  <c r="AI40" i="7" s="1"/>
  <c r="AG41" i="7"/>
  <c r="W61" i="7"/>
  <c r="O49" i="7"/>
  <c r="P49" i="7" s="1"/>
  <c r="R52" i="7"/>
  <c r="O55" i="7"/>
  <c r="P55" i="7" s="1"/>
  <c r="AG58" i="7"/>
  <c r="AI58" i="7" s="1"/>
  <c r="R66" i="7"/>
  <c r="AI66" i="7"/>
  <c r="R67" i="7"/>
  <c r="AF100" i="7"/>
  <c r="AG34" i="7"/>
  <c r="AG22" i="7"/>
  <c r="O26" i="7"/>
  <c r="AG33" i="7"/>
  <c r="AI33" i="7" s="1"/>
  <c r="AB39" i="7"/>
  <c r="AC39" i="7" s="1"/>
  <c r="O41" i="7"/>
  <c r="P41" i="7" s="1"/>
  <c r="AB48" i="7"/>
  <c r="AC48" i="7" s="1"/>
  <c r="O58" i="7"/>
  <c r="P58" i="7" s="1"/>
  <c r="O64" i="7"/>
  <c r="P64" i="7" s="1"/>
  <c r="AI64" i="7"/>
  <c r="AG76" i="7"/>
  <c r="AB97" i="7"/>
  <c r="AC97" i="7" s="1"/>
  <c r="O98" i="7"/>
  <c r="P98" i="7" s="1"/>
  <c r="AB99" i="7"/>
  <c r="AC99" i="7" s="1"/>
  <c r="O100" i="7"/>
  <c r="P100" i="7" s="1"/>
  <c r="AG101" i="7"/>
  <c r="AK101" i="7" s="1"/>
  <c r="AG111" i="7"/>
  <c r="AI111" i="7" s="1"/>
  <c r="W70" i="7"/>
  <c r="O23" i="7"/>
  <c r="P23" i="7" s="1"/>
  <c r="O25" i="7"/>
  <c r="P25" i="7" s="1"/>
  <c r="O27" i="7"/>
  <c r="P27" i="7" s="1"/>
  <c r="AB41" i="7"/>
  <c r="N61" i="7"/>
  <c r="AB49" i="7"/>
  <c r="O52" i="7"/>
  <c r="P52" i="7" s="1"/>
  <c r="I57" i="7"/>
  <c r="AB58" i="7"/>
  <c r="R63" i="7"/>
  <c r="R70" i="7" s="1"/>
  <c r="O67" i="7"/>
  <c r="O69" i="7"/>
  <c r="O78" i="7"/>
  <c r="P78" i="7" s="1"/>
  <c r="I87" i="7"/>
  <c r="O87" i="7" s="1"/>
  <c r="P87" i="7" s="1"/>
  <c r="AK99" i="7"/>
  <c r="AB100" i="7"/>
  <c r="AC100" i="7" s="1"/>
  <c r="R14" i="7"/>
  <c r="AG14" i="7"/>
  <c r="AG16" i="7"/>
  <c r="R16" i="7"/>
  <c r="O45" i="7"/>
  <c r="P45" i="7" s="1"/>
  <c r="AG45" i="7"/>
  <c r="R45" i="7"/>
  <c r="AK48" i="7"/>
  <c r="AI48" i="7"/>
  <c r="AI52" i="7"/>
  <c r="AK52" i="7"/>
  <c r="AK13" i="7"/>
  <c r="AI13" i="7"/>
  <c r="W37" i="7"/>
  <c r="AB16" i="7"/>
  <c r="AC16" i="7" s="1"/>
  <c r="AG19" i="7"/>
  <c r="O19" i="7"/>
  <c r="P19" i="7" s="1"/>
  <c r="AK23" i="7"/>
  <c r="AI23" i="7"/>
  <c r="AG28" i="7"/>
  <c r="R28" i="7"/>
  <c r="AK38" i="7"/>
  <c r="AI38" i="7"/>
  <c r="AK51" i="7"/>
  <c r="AI51" i="7"/>
  <c r="AK56" i="7"/>
  <c r="AI63" i="7"/>
  <c r="AK63" i="7"/>
  <c r="AI77" i="7"/>
  <c r="AK77" i="7"/>
  <c r="R20" i="7"/>
  <c r="AI22" i="7"/>
  <c r="AK22" i="7"/>
  <c r="AB23" i="7"/>
  <c r="AC23" i="7" s="1"/>
  <c r="AA37" i="7"/>
  <c r="AG30" i="7"/>
  <c r="R30" i="7"/>
  <c r="AI39" i="7"/>
  <c r="AK39" i="7"/>
  <c r="AG50" i="7"/>
  <c r="R50" i="7"/>
  <c r="I80" i="7"/>
  <c r="O12" i="7"/>
  <c r="N37" i="7"/>
  <c r="O14" i="7"/>
  <c r="P14" i="7" s="1"/>
  <c r="AG15" i="7"/>
  <c r="O15" i="7"/>
  <c r="P15" i="7" s="1"/>
  <c r="O16" i="7"/>
  <c r="P16" i="7" s="1"/>
  <c r="AG17" i="7"/>
  <c r="O17" i="7"/>
  <c r="P17" i="7" s="1"/>
  <c r="AG18" i="7"/>
  <c r="R18" i="7"/>
  <c r="AK20" i="7"/>
  <c r="AI20" i="7"/>
  <c r="AI21" i="7"/>
  <c r="AK21" i="7"/>
  <c r="AF32" i="7"/>
  <c r="AF37" i="7" s="1"/>
  <c r="AB32" i="7"/>
  <c r="AC32" i="7" s="1"/>
  <c r="AG54" i="7"/>
  <c r="R54" i="7"/>
  <c r="R57" i="7"/>
  <c r="O57" i="7"/>
  <c r="P57" i="7" s="1"/>
  <c r="AG57" i="7"/>
  <c r="O28" i="7"/>
  <c r="P28" i="7" s="1"/>
  <c r="AG29" i="7"/>
  <c r="AG32" i="7"/>
  <c r="W43" i="7"/>
  <c r="I61" i="7"/>
  <c r="AG44" i="7"/>
  <c r="AG47" i="7"/>
  <c r="R48" i="7"/>
  <c r="AG53" i="7"/>
  <c r="AG55" i="7"/>
  <c r="AG59" i="7"/>
  <c r="I37" i="7"/>
  <c r="O20" i="7"/>
  <c r="P20" i="7" s="1"/>
  <c r="AB29" i="7"/>
  <c r="AC29" i="7" s="1"/>
  <c r="AG31" i="7"/>
  <c r="O32" i="7"/>
  <c r="P32" i="7" s="1"/>
  <c r="O33" i="7"/>
  <c r="P33" i="7" s="1"/>
  <c r="R35" i="7"/>
  <c r="O38" i="7"/>
  <c r="AA43" i="7"/>
  <c r="O40" i="7"/>
  <c r="AB40" i="7"/>
  <c r="AC40" i="7" s="1"/>
  <c r="AK40" i="7"/>
  <c r="AG42" i="7"/>
  <c r="O44" i="7"/>
  <c r="O46" i="7"/>
  <c r="P46" i="7" s="1"/>
  <c r="AI46" i="7"/>
  <c r="O47" i="7"/>
  <c r="P47" i="7" s="1"/>
  <c r="AB47" i="7"/>
  <c r="AC47" i="7" s="1"/>
  <c r="O48" i="7"/>
  <c r="P48" i="7" s="1"/>
  <c r="R51" i="7"/>
  <c r="AB53" i="7"/>
  <c r="AC53" i="7" s="1"/>
  <c r="AB55" i="7"/>
  <c r="AC55" i="7" s="1"/>
  <c r="O59" i="7"/>
  <c r="P59" i="7" s="1"/>
  <c r="AG60" i="7"/>
  <c r="AB62" i="7"/>
  <c r="AG65" i="7"/>
  <c r="AF69" i="7"/>
  <c r="AA70" i="7"/>
  <c r="R77" i="7"/>
  <c r="O89" i="7"/>
  <c r="AG89" i="7"/>
  <c r="N92" i="7"/>
  <c r="O90" i="7"/>
  <c r="P90" i="7" s="1"/>
  <c r="AA104" i="7"/>
  <c r="AB94" i="7"/>
  <c r="R95" i="7"/>
  <c r="AF98" i="7"/>
  <c r="AG98" i="7"/>
  <c r="N104" i="7"/>
  <c r="W112" i="7"/>
  <c r="AF110" i="7"/>
  <c r="AF112" i="7" s="1"/>
  <c r="R12" i="7"/>
  <c r="AB20" i="7"/>
  <c r="AC20" i="7" s="1"/>
  <c r="O22" i="7"/>
  <c r="P22" i="7" s="1"/>
  <c r="O24" i="7"/>
  <c r="P24" i="7" s="1"/>
  <c r="AB25" i="7"/>
  <c r="R32" i="7"/>
  <c r="R34" i="7"/>
  <c r="AB38" i="7"/>
  <c r="O39" i="7"/>
  <c r="P39" i="7" s="1"/>
  <c r="R40" i="7"/>
  <c r="AB42" i="7"/>
  <c r="AC42" i="7" s="1"/>
  <c r="R44" i="7"/>
  <c r="AF44" i="7"/>
  <c r="AF61" i="7" s="1"/>
  <c r="R46" i="7"/>
  <c r="AB56" i="7"/>
  <c r="O60" i="7"/>
  <c r="P60" i="7" s="1"/>
  <c r="AB64" i="7"/>
  <c r="AC64" i="7" s="1"/>
  <c r="AB65" i="7"/>
  <c r="AC65" i="7" s="1"/>
  <c r="O66" i="7"/>
  <c r="P66" i="7" s="1"/>
  <c r="AB67" i="7"/>
  <c r="AG68" i="7"/>
  <c r="AI69" i="7"/>
  <c r="AG84" i="7"/>
  <c r="AJ84" i="7" s="1"/>
  <c r="AJ113" i="7" s="1"/>
  <c r="AG86" i="7"/>
  <c r="R86" i="7"/>
  <c r="AF89" i="7"/>
  <c r="AF92" i="7" s="1"/>
  <c r="W92" i="7"/>
  <c r="R90" i="7"/>
  <c r="R92" i="7" s="1"/>
  <c r="AK95" i="7"/>
  <c r="AG97" i="7"/>
  <c r="R97" i="7"/>
  <c r="O30" i="7"/>
  <c r="P30" i="7" s="1"/>
  <c r="R33" i="7"/>
  <c r="R38" i="7"/>
  <c r="I43" i="7"/>
  <c r="O50" i="7"/>
  <c r="P50" i="7" s="1"/>
  <c r="O54" i="7"/>
  <c r="P54" i="7" s="1"/>
  <c r="I70" i="7"/>
  <c r="AG62" i="7"/>
  <c r="AF62" i="7"/>
  <c r="AF70" i="7" s="1"/>
  <c r="AI90" i="7"/>
  <c r="AK90" i="7"/>
  <c r="I92" i="7"/>
  <c r="AG110" i="7"/>
  <c r="R110" i="7"/>
  <c r="I112" i="7"/>
  <c r="AG12" i="7"/>
  <c r="R24" i="7"/>
  <c r="AG25" i="7"/>
  <c r="AG26" i="7"/>
  <c r="AI27" i="7"/>
  <c r="AG36" i="7"/>
  <c r="AB44" i="7"/>
  <c r="AI49" i="7"/>
  <c r="R56" i="7"/>
  <c r="AB59" i="7"/>
  <c r="AC59" i="7" s="1"/>
  <c r="AA61" i="7"/>
  <c r="O62" i="7"/>
  <c r="W80" i="7"/>
  <c r="AF74" i="7"/>
  <c r="AF80" i="7" s="1"/>
  <c r="AK75" i="7"/>
  <c r="O77" i="7"/>
  <c r="P77" i="7" s="1"/>
  <c r="AG79" i="7"/>
  <c r="R79" i="7"/>
  <c r="R101" i="7"/>
  <c r="O102" i="7"/>
  <c r="P102" i="7" s="1"/>
  <c r="AG102" i="7"/>
  <c r="AG103" i="7"/>
  <c r="N112" i="7"/>
  <c r="O110" i="7"/>
  <c r="R111" i="7"/>
  <c r="AK111" i="7"/>
  <c r="AJ71" i="7"/>
  <c r="AB69" i="7"/>
  <c r="R75" i="7"/>
  <c r="O79" i="7"/>
  <c r="P79" i="7" s="1"/>
  <c r="AG91" i="7"/>
  <c r="AG96" i="7"/>
  <c r="O97" i="7"/>
  <c r="P97" i="7" s="1"/>
  <c r="O99" i="7"/>
  <c r="P99" i="7" s="1"/>
  <c r="AI100" i="7"/>
  <c r="AB110" i="7"/>
  <c r="AB111" i="7"/>
  <c r="AC111" i="7" s="1"/>
  <c r="N80" i="7"/>
  <c r="AB74" i="7"/>
  <c r="AG78" i="7"/>
  <c r="AA80" i="7"/>
  <c r="AA113" i="7" s="1"/>
  <c r="W104" i="7"/>
  <c r="AB96" i="7"/>
  <c r="AC96" i="7" s="1"/>
  <c r="AB98" i="7"/>
  <c r="AC98" i="7" s="1"/>
  <c r="O101" i="7"/>
  <c r="P101" i="7" s="1"/>
  <c r="O103" i="7"/>
  <c r="P103" i="7" s="1"/>
  <c r="AB89" i="7"/>
  <c r="AG94" i="7"/>
  <c r="O95" i="7"/>
  <c r="P95" i="7" s="1"/>
  <c r="AB102" i="7"/>
  <c r="AC102" i="7" s="1"/>
  <c r="I104" i="7"/>
  <c r="O111" i="7"/>
  <c r="P111" i="7" s="1"/>
  <c r="AI101" i="7" l="1"/>
  <c r="AK33" i="7"/>
  <c r="AF71" i="7"/>
  <c r="O74" i="7"/>
  <c r="P74" i="7" s="1"/>
  <c r="AK67" i="7"/>
  <c r="R43" i="7"/>
  <c r="AF104" i="7"/>
  <c r="AG74" i="7"/>
  <c r="AG80" i="7" s="1"/>
  <c r="N71" i="7"/>
  <c r="AI41" i="7"/>
  <c r="AK41" i="7"/>
  <c r="AK34" i="7"/>
  <c r="AI34" i="7"/>
  <c r="AI76" i="7"/>
  <c r="AK76" i="7"/>
  <c r="AK58" i="7"/>
  <c r="W71" i="7"/>
  <c r="U71" i="7" s="1"/>
  <c r="AK78" i="7"/>
  <c r="AI78" i="7"/>
  <c r="AK96" i="7"/>
  <c r="AI96" i="7"/>
  <c r="O70" i="7"/>
  <c r="P70" i="7" s="1"/>
  <c r="P62" i="7"/>
  <c r="AK26" i="7"/>
  <c r="AI26" i="7"/>
  <c r="AG70" i="7"/>
  <c r="AK70" i="7" s="1"/>
  <c r="AI62" i="7"/>
  <c r="AK62" i="7"/>
  <c r="AI60" i="7"/>
  <c r="AK60" i="7"/>
  <c r="AI42" i="7"/>
  <c r="AK42" i="7"/>
  <c r="AK55" i="7"/>
  <c r="AI55" i="7"/>
  <c r="AK29" i="7"/>
  <c r="AI29" i="7"/>
  <c r="AK30" i="7"/>
  <c r="AI30" i="7"/>
  <c r="AG43" i="7"/>
  <c r="AK43" i="7" s="1"/>
  <c r="AK94" i="7"/>
  <c r="AG104" i="7"/>
  <c r="AK104" i="7" s="1"/>
  <c r="AI94" i="7"/>
  <c r="AB80" i="7"/>
  <c r="AC74" i="7"/>
  <c r="AK91" i="7"/>
  <c r="AI91" i="7"/>
  <c r="AK103" i="7"/>
  <c r="AI103" i="7"/>
  <c r="AB61" i="7"/>
  <c r="AC61" i="7" s="1"/>
  <c r="AC44" i="7"/>
  <c r="AK25" i="7"/>
  <c r="AI25" i="7"/>
  <c r="R112" i="7"/>
  <c r="AB104" i="7"/>
  <c r="AC104" i="7" s="1"/>
  <c r="AC94" i="7"/>
  <c r="AI89" i="7"/>
  <c r="AK89" i="7"/>
  <c r="O43" i="7"/>
  <c r="P43" i="7" s="1"/>
  <c r="P38" i="7"/>
  <c r="I71" i="7"/>
  <c r="AK53" i="7"/>
  <c r="AI53" i="7"/>
  <c r="AA71" i="7"/>
  <c r="AA115" i="7" s="1"/>
  <c r="AI45" i="7"/>
  <c r="AK45" i="7"/>
  <c r="AK16" i="7"/>
  <c r="AI16" i="7"/>
  <c r="AB92" i="7"/>
  <c r="AC92" i="7" s="1"/>
  <c r="AC89" i="7"/>
  <c r="N113" i="7"/>
  <c r="N115" i="7" s="1"/>
  <c r="AJ115" i="7"/>
  <c r="P110" i="7"/>
  <c r="O112" i="7"/>
  <c r="P112" i="7" s="1"/>
  <c r="AI102" i="7"/>
  <c r="AK102" i="7"/>
  <c r="AK79" i="7"/>
  <c r="AI79" i="7"/>
  <c r="W113" i="7"/>
  <c r="W115" i="7" s="1"/>
  <c r="AK36" i="7"/>
  <c r="AI36" i="7"/>
  <c r="AK110" i="7"/>
  <c r="Z125" i="7"/>
  <c r="AI110" i="7"/>
  <c r="AI112" i="7" s="1"/>
  <c r="AG112" i="7"/>
  <c r="AK112" i="7" s="1"/>
  <c r="V125" i="7"/>
  <c r="O104" i="7"/>
  <c r="P104" i="7" s="1"/>
  <c r="AI86" i="7"/>
  <c r="AI87" i="7" s="1"/>
  <c r="R87" i="7"/>
  <c r="AK68" i="7"/>
  <c r="AI68" i="7"/>
  <c r="R37" i="7"/>
  <c r="R71" i="7" s="1"/>
  <c r="AI98" i="7"/>
  <c r="AK98" i="7"/>
  <c r="P89" i="7"/>
  <c r="O92" i="7"/>
  <c r="P92" i="7" s="1"/>
  <c r="AI65" i="7"/>
  <c r="AK65" i="7"/>
  <c r="AK31" i="7"/>
  <c r="AI31" i="7"/>
  <c r="AI57" i="7"/>
  <c r="AK57" i="7"/>
  <c r="AI54" i="7"/>
  <c r="AK54" i="7"/>
  <c r="AK18" i="7"/>
  <c r="AI18" i="7"/>
  <c r="O37" i="7"/>
  <c r="P12" i="7"/>
  <c r="R80" i="7"/>
  <c r="AI43" i="7"/>
  <c r="AI28" i="7"/>
  <c r="AK28" i="7"/>
  <c r="AK19" i="7"/>
  <c r="AI19" i="7"/>
  <c r="AK14" i="7"/>
  <c r="AI14" i="7"/>
  <c r="AB112" i="7"/>
  <c r="AC112" i="7" s="1"/>
  <c r="AC110" i="7"/>
  <c r="R104" i="7"/>
  <c r="AI44" i="7"/>
  <c r="AK44" i="7"/>
  <c r="AG61" i="7"/>
  <c r="AK61" i="7" s="1"/>
  <c r="AK17" i="7"/>
  <c r="AI17" i="7"/>
  <c r="AI50" i="7"/>
  <c r="AK50" i="7"/>
  <c r="AG37" i="7"/>
  <c r="AI12" i="7"/>
  <c r="AK12" i="7"/>
  <c r="AG92" i="7"/>
  <c r="AK92" i="7" s="1"/>
  <c r="AI97" i="7"/>
  <c r="AK97" i="7"/>
  <c r="AK86" i="7"/>
  <c r="AG87" i="7"/>
  <c r="AK87" i="7" s="1"/>
  <c r="R61" i="7"/>
  <c r="AB43" i="7"/>
  <c r="AC43" i="7" s="1"/>
  <c r="AC38" i="7"/>
  <c r="AB70" i="7"/>
  <c r="AC70" i="7" s="1"/>
  <c r="AC62" i="7"/>
  <c r="P44" i="7"/>
  <c r="O61" i="7"/>
  <c r="P61" i="7" s="1"/>
  <c r="AI59" i="7"/>
  <c r="AK59" i="7"/>
  <c r="AK47" i="7"/>
  <c r="AI47" i="7"/>
  <c r="AK32" i="7"/>
  <c r="AI32" i="7"/>
  <c r="AK15" i="7"/>
  <c r="AI15" i="7"/>
  <c r="I113" i="7"/>
  <c r="I115" i="7" s="1"/>
  <c r="AB37" i="7"/>
  <c r="AK74" i="7" l="1"/>
  <c r="AI74" i="7"/>
  <c r="O80" i="7"/>
  <c r="R113" i="7"/>
  <c r="AA117" i="7"/>
  <c r="AA118" i="7" s="1"/>
  <c r="AA120" i="7" s="1"/>
  <c r="AA11" i="7" s="1"/>
  <c r="W117" i="7"/>
  <c r="W118" i="7" s="1"/>
  <c r="W120" i="7" s="1"/>
  <c r="W11" i="7" s="1"/>
  <c r="AJ120" i="7"/>
  <c r="N117" i="7"/>
  <c r="N118" i="7" s="1"/>
  <c r="N120" i="7" s="1"/>
  <c r="N11" i="7" s="1"/>
  <c r="AI70" i="7"/>
  <c r="AC37" i="7"/>
  <c r="AB71" i="7"/>
  <c r="AC71" i="7" s="1"/>
  <c r="AG71" i="7"/>
  <c r="AK37" i="7"/>
  <c r="AI61" i="7"/>
  <c r="AI80" i="7"/>
  <c r="AI92" i="7"/>
  <c r="O113" i="7"/>
  <c r="P80" i="7"/>
  <c r="O71" i="7"/>
  <c r="P71" i="7" s="1"/>
  <c r="P37" i="7"/>
  <c r="AI104" i="7"/>
  <c r="AI37" i="7"/>
  <c r="I117" i="7"/>
  <c r="J126" i="7" s="1"/>
  <c r="R126" i="7" s="1"/>
  <c r="R115" i="7"/>
  <c r="AG113" i="7"/>
  <c r="AK80" i="7"/>
  <c r="AB113" i="7"/>
  <c r="AC80" i="7"/>
  <c r="AI113" i="7" l="1"/>
  <c r="AB11" i="7"/>
  <c r="AC11" i="7" s="1"/>
  <c r="AJ11" i="7"/>
  <c r="I118" i="7"/>
  <c r="I120" i="7" s="1"/>
  <c r="I11" i="7" s="1"/>
  <c r="O11" i="7" s="1"/>
  <c r="P11" i="7" s="1"/>
  <c r="AG115" i="7"/>
  <c r="J125" i="7"/>
  <c r="R125" i="7" s="1"/>
  <c r="AK113" i="7"/>
  <c r="AI71" i="7"/>
  <c r="AI115" i="7" s="1"/>
  <c r="AB115" i="7"/>
  <c r="AC113" i="7"/>
  <c r="O115" i="7"/>
  <c r="P113" i="7"/>
  <c r="J124" i="7"/>
  <c r="AK71" i="7"/>
  <c r="AH115" i="7" l="1"/>
  <c r="AI120" i="7"/>
  <c r="O117" i="7"/>
  <c r="P117" i="7" s="1"/>
  <c r="P115" i="7"/>
  <c r="R124" i="7"/>
  <c r="R127" i="7" s="1"/>
  <c r="J127" i="7"/>
  <c r="AC115" i="7"/>
  <c r="AB117" i="7"/>
  <c r="AC117" i="7" s="1"/>
  <c r="AG117" i="7"/>
  <c r="AK117" i="7" s="1"/>
  <c r="D5" i="7"/>
  <c r="AK115" i="7"/>
  <c r="AL120" i="7"/>
  <c r="AB118" i="7" l="1"/>
  <c r="AC118" i="7" s="1"/>
  <c r="AG118" i="7"/>
  <c r="AG120" i="7" s="1"/>
  <c r="AK120" i="7" s="1"/>
  <c r="AG11" i="7"/>
  <c r="W125" i="7"/>
  <c r="AA125" i="7"/>
  <c r="O118" i="7"/>
  <c r="D6" i="7"/>
  <c r="D7" i="7" s="1"/>
  <c r="V124" i="7"/>
  <c r="Z124" i="7"/>
  <c r="AB120" i="7"/>
  <c r="AC120" i="7" s="1"/>
  <c r="AG121" i="7" l="1"/>
  <c r="AG122" i="7" s="1"/>
  <c r="V127" i="7"/>
  <c r="W126" i="7" s="1"/>
  <c r="W124" i="7"/>
  <c r="AA124" i="7"/>
  <c r="Z127" i="7"/>
  <c r="AA126" i="7" s="1"/>
  <c r="O120" i="7"/>
  <c r="P120" i="7" s="1"/>
  <c r="P118" i="7"/>
  <c r="R11" i="7"/>
  <c r="AK11" i="7"/>
  <c r="W127" i="7" l="1"/>
  <c r="AA127" i="7"/>
  <c r="L101" i="9" l="1"/>
  <c r="L96" i="9"/>
  <c r="L95" i="9"/>
  <c r="I95" i="9"/>
  <c r="M95" i="9" s="1"/>
  <c r="G95" i="9"/>
  <c r="I94" i="9"/>
  <c r="I92" i="9"/>
  <c r="L89" i="9"/>
  <c r="J89" i="9"/>
  <c r="I88" i="9"/>
  <c r="M88" i="9" s="1"/>
  <c r="L84" i="9"/>
  <c r="L80" i="9"/>
  <c r="I79" i="9"/>
  <c r="M79" i="9" s="1"/>
  <c r="M80" i="9" s="1"/>
  <c r="I76" i="9"/>
  <c r="L76" i="9" s="1"/>
  <c r="M76" i="9" s="1"/>
  <c r="L75" i="9"/>
  <c r="I75" i="9"/>
  <c r="L74" i="9"/>
  <c r="I74" i="9"/>
  <c r="M74" i="9" s="1"/>
  <c r="I73" i="9"/>
  <c r="L72" i="9"/>
  <c r="I72" i="9"/>
  <c r="I67" i="9"/>
  <c r="I66" i="9"/>
  <c r="L65" i="9"/>
  <c r="I65" i="9"/>
  <c r="M64" i="9"/>
  <c r="I64" i="9"/>
  <c r="I63" i="9"/>
  <c r="M63" i="9" s="1"/>
  <c r="I62" i="9"/>
  <c r="M62" i="9" s="1"/>
  <c r="I61" i="9"/>
  <c r="M61" i="9" s="1"/>
  <c r="L60" i="9"/>
  <c r="I60" i="9"/>
  <c r="L59" i="9"/>
  <c r="M59" i="9" s="1"/>
  <c r="I59" i="9"/>
  <c r="M58" i="9"/>
  <c r="I58" i="9"/>
  <c r="L57" i="9"/>
  <c r="I57" i="9"/>
  <c r="L54" i="9"/>
  <c r="K54" i="9"/>
  <c r="I50" i="9"/>
  <c r="I54" i="9" s="1"/>
  <c r="I47" i="9"/>
  <c r="K47" i="9" s="1"/>
  <c r="I46" i="9"/>
  <c r="M46" i="9" s="1"/>
  <c r="L45" i="9"/>
  <c r="L48" i="9" s="1"/>
  <c r="L49" i="9" s="1"/>
  <c r="I45" i="9"/>
  <c r="I42" i="9"/>
  <c r="K42" i="9" s="1"/>
  <c r="K41" i="9"/>
  <c r="I41" i="9"/>
  <c r="M41" i="9" s="1"/>
  <c r="I40" i="9"/>
  <c r="K40" i="9" s="1"/>
  <c r="I39" i="9"/>
  <c r="M39" i="9" s="1"/>
  <c r="I38" i="9"/>
  <c r="K38" i="9" s="1"/>
  <c r="I37" i="9"/>
  <c r="M37" i="9" s="1"/>
  <c r="I36" i="9"/>
  <c r="K36" i="9" s="1"/>
  <c r="L35" i="9"/>
  <c r="L43" i="9" s="1"/>
  <c r="I35" i="9"/>
  <c r="L29" i="9"/>
  <c r="L30" i="9" s="1"/>
  <c r="I28" i="9"/>
  <c r="I29" i="9" s="1"/>
  <c r="I24" i="9"/>
  <c r="M24" i="9" s="1"/>
  <c r="I23" i="9"/>
  <c r="K23" i="9" s="1"/>
  <c r="I22" i="9"/>
  <c r="M22" i="9" s="1"/>
  <c r="I21" i="9"/>
  <c r="K21" i="9" s="1"/>
  <c r="K20" i="9"/>
  <c r="I20" i="9"/>
  <c r="M20" i="9" s="1"/>
  <c r="I19" i="9"/>
  <c r="K19" i="9" s="1"/>
  <c r="I18" i="9"/>
  <c r="M18" i="9" s="1"/>
  <c r="I17" i="9"/>
  <c r="K17" i="9" s="1"/>
  <c r="I16" i="9"/>
  <c r="K16" i="9" s="1"/>
  <c r="I15" i="9"/>
  <c r="K15" i="9" s="1"/>
  <c r="K14" i="9"/>
  <c r="I14" i="9"/>
  <c r="M14" i="9" s="1"/>
  <c r="B5" i="9"/>
  <c r="B6" i="9" s="1"/>
  <c r="B7" i="9" s="1"/>
  <c r="L16" i="9" l="1"/>
  <c r="L25" i="9" s="1"/>
  <c r="M28" i="9"/>
  <c r="M75" i="9"/>
  <c r="K24" i="9"/>
  <c r="K37" i="9"/>
  <c r="M16" i="9"/>
  <c r="K18" i="9"/>
  <c r="K22" i="9"/>
  <c r="M38" i="9"/>
  <c r="M42" i="9"/>
  <c r="M45" i="9"/>
  <c r="I68" i="9"/>
  <c r="M68" i="9" s="1"/>
  <c r="I89" i="9"/>
  <c r="I96" i="9"/>
  <c r="M96" i="9" s="1"/>
  <c r="I43" i="9"/>
  <c r="I48" i="9"/>
  <c r="M48" i="9" s="1"/>
  <c r="L68" i="9"/>
  <c r="M65" i="9"/>
  <c r="M72" i="9"/>
  <c r="M94" i="9"/>
  <c r="M21" i="9"/>
  <c r="K39" i="9"/>
  <c r="K43" i="9" s="1"/>
  <c r="K45" i="9"/>
  <c r="K46" i="9"/>
  <c r="M60" i="9"/>
  <c r="I77" i="9"/>
  <c r="M89" i="9"/>
  <c r="M25" i="9"/>
  <c r="I30" i="9"/>
  <c r="M29" i="9"/>
  <c r="M43" i="9"/>
  <c r="L55" i="9"/>
  <c r="M15" i="9"/>
  <c r="M19" i="9"/>
  <c r="M23" i="9"/>
  <c r="I25" i="9"/>
  <c r="I26" i="9" s="1"/>
  <c r="M36" i="9"/>
  <c r="M40" i="9"/>
  <c r="M47" i="9"/>
  <c r="M57" i="9"/>
  <c r="L77" i="9"/>
  <c r="I80" i="9"/>
  <c r="K28" i="9"/>
  <c r="K29" i="9" s="1"/>
  <c r="K30" i="9" s="1"/>
  <c r="M35" i="9"/>
  <c r="M73" i="9"/>
  <c r="L26" i="9"/>
  <c r="L31" i="9" s="1"/>
  <c r="K48" i="9" l="1"/>
  <c r="K25" i="9"/>
  <c r="K26" i="9" s="1"/>
  <c r="K31" i="9" s="1"/>
  <c r="K32" i="9" s="1"/>
  <c r="I97" i="9"/>
  <c r="K55" i="9"/>
  <c r="K69" i="9" s="1"/>
  <c r="I55" i="9"/>
  <c r="I31" i="9"/>
  <c r="I32" i="9" s="1"/>
  <c r="I69" i="9"/>
  <c r="I99" i="9" s="1"/>
  <c r="I101" i="9" s="1"/>
  <c r="I102" i="9" s="1"/>
  <c r="I104" i="9" s="1"/>
  <c r="M55" i="9"/>
  <c r="L97" i="9"/>
  <c r="M77" i="9"/>
  <c r="M31" i="9"/>
  <c r="L32" i="9"/>
  <c r="M97" i="9" l="1"/>
  <c r="L69" i="9"/>
  <c r="M32" i="9"/>
  <c r="L99" i="9" l="1"/>
  <c r="L104" i="9" s="1"/>
  <c r="L108" i="9" s="1"/>
  <c r="M108" i="9" s="1"/>
  <c r="M69" i="9"/>
  <c r="O186" i="8" l="1"/>
  <c r="I186" i="8"/>
  <c r="R186" i="8" s="1"/>
  <c r="O185" i="8"/>
  <c r="I185" i="8"/>
  <c r="R185" i="8" s="1"/>
  <c r="M184" i="8"/>
  <c r="O184" i="8" s="1"/>
  <c r="G184" i="8"/>
  <c r="I184" i="8" s="1"/>
  <c r="R184" i="8" s="1"/>
  <c r="O183" i="8"/>
  <c r="I183" i="8"/>
  <c r="R183" i="8" s="1"/>
  <c r="O182" i="8"/>
  <c r="I182" i="8"/>
  <c r="R182" i="8" s="1"/>
  <c r="O181" i="8"/>
  <c r="I181" i="8"/>
  <c r="O180" i="8"/>
  <c r="I180" i="8"/>
  <c r="R180" i="8" s="1"/>
  <c r="O178" i="8"/>
  <c r="I178" i="8"/>
  <c r="O177" i="8"/>
  <c r="I177" i="8"/>
  <c r="M176" i="8"/>
  <c r="O176" i="8" s="1"/>
  <c r="G176" i="8"/>
  <c r="I176" i="8" s="1"/>
  <c r="O175" i="8"/>
  <c r="R175" i="8" s="1"/>
  <c r="I175" i="8"/>
  <c r="O174" i="8"/>
  <c r="I174" i="8"/>
  <c r="O173" i="8"/>
  <c r="I173" i="8"/>
  <c r="O172" i="8"/>
  <c r="I172" i="8"/>
  <c r="O166" i="8"/>
  <c r="I166" i="8"/>
  <c r="O165" i="8"/>
  <c r="I165" i="8"/>
  <c r="O164" i="8"/>
  <c r="I164" i="8"/>
  <c r="O163" i="8"/>
  <c r="R163" i="8" s="1"/>
  <c r="I163" i="8"/>
  <c r="O160" i="8"/>
  <c r="I160" i="8"/>
  <c r="R160" i="8" s="1"/>
  <c r="O159" i="8"/>
  <c r="R159" i="8" s="1"/>
  <c r="I159" i="8"/>
  <c r="O156" i="8"/>
  <c r="I156" i="8"/>
  <c r="O155" i="8"/>
  <c r="I155" i="8"/>
  <c r="O153" i="8"/>
  <c r="I153" i="8"/>
  <c r="R152" i="8"/>
  <c r="R153" i="8" s="1"/>
  <c r="O149" i="8"/>
  <c r="I149" i="8"/>
  <c r="R149" i="8" s="1"/>
  <c r="O148" i="8"/>
  <c r="I148" i="8"/>
  <c r="O147" i="8"/>
  <c r="I147" i="8"/>
  <c r="R147" i="8" s="1"/>
  <c r="O146" i="8"/>
  <c r="I146" i="8"/>
  <c r="O144" i="8"/>
  <c r="I144" i="8"/>
  <c r="O143" i="8"/>
  <c r="I143" i="8"/>
  <c r="O142" i="8"/>
  <c r="I142" i="8"/>
  <c r="O141" i="8"/>
  <c r="I141" i="8"/>
  <c r="O134" i="8"/>
  <c r="Q134" i="8" s="1"/>
  <c r="I134" i="8"/>
  <c r="R134" i="8" s="1"/>
  <c r="O133" i="8"/>
  <c r="Q133" i="8" s="1"/>
  <c r="I133" i="8"/>
  <c r="K133" i="8" s="1"/>
  <c r="O132" i="8"/>
  <c r="Q132" i="8" s="1"/>
  <c r="I132" i="8"/>
  <c r="K132" i="8" s="1"/>
  <c r="O131" i="8"/>
  <c r="Q131" i="8" s="1"/>
  <c r="I131" i="8"/>
  <c r="K131" i="8" s="1"/>
  <c r="O130" i="8"/>
  <c r="Q130" i="8" s="1"/>
  <c r="I130" i="8"/>
  <c r="O129" i="8"/>
  <c r="Q129" i="8" s="1"/>
  <c r="I129" i="8"/>
  <c r="K129" i="8" s="1"/>
  <c r="O128" i="8"/>
  <c r="Q128" i="8" s="1"/>
  <c r="K128" i="8"/>
  <c r="I128" i="8"/>
  <c r="O126" i="8"/>
  <c r="Q126" i="8" s="1"/>
  <c r="I126" i="8"/>
  <c r="K126" i="8" s="1"/>
  <c r="O125" i="8"/>
  <c r="Q125" i="8" s="1"/>
  <c r="I125" i="8"/>
  <c r="R125" i="8" s="1"/>
  <c r="O124" i="8"/>
  <c r="Q124" i="8" s="1"/>
  <c r="I124" i="8"/>
  <c r="K124" i="8" s="1"/>
  <c r="O123" i="8"/>
  <c r="Q123" i="8" s="1"/>
  <c r="I123" i="8"/>
  <c r="K123" i="8" s="1"/>
  <c r="O122" i="8"/>
  <c r="Q122" i="8" s="1"/>
  <c r="I122" i="8"/>
  <c r="K122" i="8" s="1"/>
  <c r="O121" i="8"/>
  <c r="Q121" i="8" s="1"/>
  <c r="I121" i="8"/>
  <c r="R121" i="8" s="1"/>
  <c r="O120" i="8"/>
  <c r="Q120" i="8" s="1"/>
  <c r="I120" i="8"/>
  <c r="K120" i="8" s="1"/>
  <c r="O119" i="8"/>
  <c r="Q119" i="8" s="1"/>
  <c r="I119" i="8"/>
  <c r="O118" i="8"/>
  <c r="Q118" i="8" s="1"/>
  <c r="I118" i="8"/>
  <c r="K118" i="8" s="1"/>
  <c r="O116" i="8"/>
  <c r="Q116" i="8" s="1"/>
  <c r="K116" i="8"/>
  <c r="I116" i="8"/>
  <c r="O115" i="8"/>
  <c r="Q115" i="8" s="1"/>
  <c r="I115" i="8"/>
  <c r="K115" i="8" s="1"/>
  <c r="Q114" i="8"/>
  <c r="O114" i="8"/>
  <c r="I114" i="8"/>
  <c r="R114" i="8" s="1"/>
  <c r="O113" i="8"/>
  <c r="Q113" i="8" s="1"/>
  <c r="I113" i="8"/>
  <c r="K113" i="8" s="1"/>
  <c r="O112" i="8"/>
  <c r="Q112" i="8" s="1"/>
  <c r="I112" i="8"/>
  <c r="K112" i="8" s="1"/>
  <c r="O111" i="8"/>
  <c r="Q111" i="8" s="1"/>
  <c r="I111" i="8"/>
  <c r="K111" i="8" s="1"/>
  <c r="O110" i="8"/>
  <c r="Q110" i="8" s="1"/>
  <c r="I110" i="8"/>
  <c r="R110" i="8" s="1"/>
  <c r="O109" i="8"/>
  <c r="Q109" i="8" s="1"/>
  <c r="I109" i="8"/>
  <c r="K109" i="8" s="1"/>
  <c r="O108" i="8"/>
  <c r="Q108" i="8" s="1"/>
  <c r="I108" i="8"/>
  <c r="O106" i="8"/>
  <c r="Q106" i="8" s="1"/>
  <c r="I106" i="8"/>
  <c r="K106" i="8" s="1"/>
  <c r="O105" i="8"/>
  <c r="Q105" i="8" s="1"/>
  <c r="I105" i="8"/>
  <c r="O104" i="8"/>
  <c r="Q104" i="8" s="1"/>
  <c r="I104" i="8"/>
  <c r="K104" i="8" s="1"/>
  <c r="O102" i="8"/>
  <c r="Q102" i="8" s="1"/>
  <c r="I102" i="8"/>
  <c r="O101" i="8"/>
  <c r="Q101" i="8" s="1"/>
  <c r="I101" i="8"/>
  <c r="K101" i="8" s="1"/>
  <c r="O100" i="8"/>
  <c r="Q100" i="8" s="1"/>
  <c r="I100" i="8"/>
  <c r="O99" i="8"/>
  <c r="Q99" i="8" s="1"/>
  <c r="I99" i="8"/>
  <c r="K99" i="8" s="1"/>
  <c r="Q98" i="8"/>
  <c r="O98" i="8"/>
  <c r="I98" i="8"/>
  <c r="R98" i="8" s="1"/>
  <c r="O92" i="8"/>
  <c r="I92" i="8"/>
  <c r="O91" i="8"/>
  <c r="I91" i="8"/>
  <c r="R91" i="8" s="1"/>
  <c r="O88" i="8"/>
  <c r="O89" i="8" s="1"/>
  <c r="I88" i="8"/>
  <c r="I89" i="8" s="1"/>
  <c r="O85" i="8"/>
  <c r="O86" i="8" s="1"/>
  <c r="I85" i="8"/>
  <c r="I86" i="8" s="1"/>
  <c r="O82" i="8"/>
  <c r="O83" i="8" s="1"/>
  <c r="I82" i="8"/>
  <c r="I83" i="8" s="1"/>
  <c r="O79" i="8"/>
  <c r="O80" i="8" s="1"/>
  <c r="I79" i="8"/>
  <c r="I80" i="8" s="1"/>
  <c r="O74" i="8"/>
  <c r="R74" i="8" s="1"/>
  <c r="I74" i="8"/>
  <c r="O73" i="8"/>
  <c r="I73" i="8"/>
  <c r="R73" i="8" s="1"/>
  <c r="O72" i="8"/>
  <c r="I72" i="8"/>
  <c r="R70" i="8"/>
  <c r="O70" i="8"/>
  <c r="I70" i="8"/>
  <c r="O66" i="8"/>
  <c r="O67" i="8" s="1"/>
  <c r="I66" i="8"/>
  <c r="I67" i="8" s="1"/>
  <c r="O63" i="8"/>
  <c r="O64" i="8" s="1"/>
  <c r="I63" i="8"/>
  <c r="I64" i="8" s="1"/>
  <c r="O61" i="8"/>
  <c r="I60" i="8"/>
  <c r="I61" i="8" s="1"/>
  <c r="O57" i="8"/>
  <c r="I57" i="8"/>
  <c r="I58" i="8" s="1"/>
  <c r="O54" i="8"/>
  <c r="I54" i="8"/>
  <c r="I55" i="8" s="1"/>
  <c r="O51" i="8"/>
  <c r="I51" i="8"/>
  <c r="I50" i="8"/>
  <c r="R50" i="8" s="1"/>
  <c r="I48" i="8"/>
  <c r="O47" i="8"/>
  <c r="I47" i="8"/>
  <c r="Q42" i="8"/>
  <c r="I42" i="8"/>
  <c r="R42" i="8" s="1"/>
  <c r="O41" i="8"/>
  <c r="I41" i="8"/>
  <c r="O38" i="8"/>
  <c r="I38" i="8"/>
  <c r="I39" i="8" s="1"/>
  <c r="O35" i="8"/>
  <c r="R35" i="8" s="1"/>
  <c r="I35" i="8"/>
  <c r="O34" i="8"/>
  <c r="I34" i="8"/>
  <c r="O33" i="8"/>
  <c r="I33" i="8"/>
  <c r="R33" i="8" s="1"/>
  <c r="O32" i="8"/>
  <c r="I32" i="8"/>
  <c r="O31" i="8"/>
  <c r="I31" i="8"/>
  <c r="I28" i="8"/>
  <c r="I27" i="8"/>
  <c r="K27" i="8" s="1"/>
  <c r="O26" i="8"/>
  <c r="O29" i="8" s="1"/>
  <c r="Q29" i="8" s="1"/>
  <c r="I26" i="8"/>
  <c r="K26" i="8" s="1"/>
  <c r="O24" i="8"/>
  <c r="I23" i="8"/>
  <c r="K23" i="8" s="1"/>
  <c r="I22" i="8"/>
  <c r="K22" i="8" s="1"/>
  <c r="K24" i="8" s="1"/>
  <c r="O20" i="8"/>
  <c r="O19" i="8"/>
  <c r="I19" i="8"/>
  <c r="K19" i="8" s="1"/>
  <c r="K20" i="8" s="1"/>
  <c r="O18" i="8"/>
  <c r="I18" i="8"/>
  <c r="K16" i="8"/>
  <c r="O15" i="8"/>
  <c r="I15" i="8"/>
  <c r="R143" i="8" l="1"/>
  <c r="R148" i="8"/>
  <c r="R174" i="8"/>
  <c r="R178" i="8"/>
  <c r="R181" i="8"/>
  <c r="I43" i="8"/>
  <c r="R173" i="8"/>
  <c r="R27" i="8"/>
  <c r="R100" i="8"/>
  <c r="R105" i="8"/>
  <c r="R109" i="8"/>
  <c r="R130" i="8"/>
  <c r="R142" i="8"/>
  <c r="R144" i="8"/>
  <c r="R177" i="8"/>
  <c r="R176" i="8"/>
  <c r="R32" i="8"/>
  <c r="R34" i="8"/>
  <c r="I52" i="8"/>
  <c r="I76" i="8" s="1"/>
  <c r="R60" i="8"/>
  <c r="R61" i="8" s="1"/>
  <c r="K100" i="8"/>
  <c r="K105" i="8"/>
  <c r="R118" i="8"/>
  <c r="K121" i="8"/>
  <c r="K125" i="8"/>
  <c r="I150" i="8"/>
  <c r="R156" i="8"/>
  <c r="R26" i="8"/>
  <c r="I20" i="8"/>
  <c r="R19" i="8"/>
  <c r="I36" i="8"/>
  <c r="R63" i="8"/>
  <c r="R64" i="8" s="1"/>
  <c r="R66" i="8"/>
  <c r="R67" i="8" s="1"/>
  <c r="K98" i="8"/>
  <c r="R102" i="8"/>
  <c r="R108" i="8"/>
  <c r="K110" i="8"/>
  <c r="K114" i="8"/>
  <c r="R119" i="8"/>
  <c r="R123" i="8"/>
  <c r="R126" i="8"/>
  <c r="K130" i="8"/>
  <c r="K134" i="8"/>
  <c r="R141" i="8"/>
  <c r="R150" i="8" s="1"/>
  <c r="R155" i="8"/>
  <c r="I167" i="8"/>
  <c r="R164" i="8"/>
  <c r="R166" i="8"/>
  <c r="Q19" i="8"/>
  <c r="Q20" i="8" s="1"/>
  <c r="R99" i="8"/>
  <c r="K102" i="8"/>
  <c r="K108" i="8"/>
  <c r="R112" i="8"/>
  <c r="R116" i="8"/>
  <c r="K119" i="8"/>
  <c r="R128" i="8"/>
  <c r="R132" i="8"/>
  <c r="R146" i="8"/>
  <c r="R161" i="8"/>
  <c r="O167" i="8"/>
  <c r="R165" i="8"/>
  <c r="O16" i="8"/>
  <c r="Q15" i="8"/>
  <c r="Q16" i="8" s="1"/>
  <c r="I29" i="8"/>
  <c r="K28" i="8"/>
  <c r="K29" i="8" s="1"/>
  <c r="O39" i="8"/>
  <c r="R38" i="8"/>
  <c r="R39" i="8" s="1"/>
  <c r="Q41" i="8"/>
  <c r="Q43" i="8" s="1"/>
  <c r="O43" i="8"/>
  <c r="O52" i="8"/>
  <c r="R51" i="8"/>
  <c r="R52" i="8" s="1"/>
  <c r="R54" i="8"/>
  <c r="R55" i="8" s="1"/>
  <c r="O55" i="8"/>
  <c r="O58" i="8"/>
  <c r="R57" i="8"/>
  <c r="R58" i="8" s="1"/>
  <c r="O93" i="8"/>
  <c r="O94" i="8" s="1"/>
  <c r="R92" i="8"/>
  <c r="R93" i="8" s="1"/>
  <c r="O150" i="8"/>
  <c r="R15" i="8"/>
  <c r="R16" i="8" s="1"/>
  <c r="R23" i="8"/>
  <c r="R28" i="8"/>
  <c r="O36" i="8"/>
  <c r="Q36" i="8" s="1"/>
  <c r="R41" i="8"/>
  <c r="R43" i="8" s="1"/>
  <c r="I75" i="8"/>
  <c r="I93" i="8"/>
  <c r="I94" i="8" s="1"/>
  <c r="Q135" i="8"/>
  <c r="R106" i="8"/>
  <c r="R115" i="8"/>
  <c r="R124" i="8"/>
  <c r="R133" i="8"/>
  <c r="O157" i="8"/>
  <c r="I157" i="8"/>
  <c r="I187" i="8"/>
  <c r="R18" i="8"/>
  <c r="R20" i="8" s="1"/>
  <c r="I24" i="8"/>
  <c r="R31" i="8"/>
  <c r="R36" i="8" s="1"/>
  <c r="O48" i="8"/>
  <c r="R47" i="8"/>
  <c r="R48" i="8" s="1"/>
  <c r="R79" i="8"/>
  <c r="R80" i="8" s="1"/>
  <c r="R82" i="8"/>
  <c r="R83" i="8" s="1"/>
  <c r="R85" i="8"/>
  <c r="R86" i="8" s="1"/>
  <c r="R88" i="8"/>
  <c r="R89" i="8" s="1"/>
  <c r="R104" i="8"/>
  <c r="R113" i="8"/>
  <c r="R122" i="8"/>
  <c r="R131" i="8"/>
  <c r="I135" i="8"/>
  <c r="I136" i="8" s="1"/>
  <c r="O187" i="8"/>
  <c r="I16" i="8"/>
  <c r="K15" i="8"/>
  <c r="O75" i="8"/>
  <c r="R72" i="8"/>
  <c r="R75" i="8" s="1"/>
  <c r="K135" i="8"/>
  <c r="R101" i="8"/>
  <c r="R111" i="8"/>
  <c r="R120" i="8"/>
  <c r="R129" i="8"/>
  <c r="O135" i="8"/>
  <c r="O136" i="8" s="1"/>
  <c r="I161" i="8"/>
  <c r="O161" i="8"/>
  <c r="R22" i="8"/>
  <c r="R24" i="8" s="1"/>
  <c r="R172" i="8"/>
  <c r="R29" i="8" l="1"/>
  <c r="R167" i="8"/>
  <c r="R187" i="8"/>
  <c r="I44" i="8"/>
  <c r="I95" i="8" s="1"/>
  <c r="I137" i="8" s="1"/>
  <c r="R157" i="8"/>
  <c r="R135" i="8"/>
  <c r="I188" i="8"/>
  <c r="R76" i="8"/>
  <c r="R44" i="8"/>
  <c r="O44" i="8"/>
  <c r="O76" i="8"/>
  <c r="O188" i="8"/>
  <c r="R136" i="8"/>
  <c r="R94" i="8"/>
  <c r="I190" i="8" l="1"/>
  <c r="R188" i="8"/>
  <c r="I192" i="8"/>
  <c r="I195" i="8"/>
  <c r="O95" i="8"/>
  <c r="O137" i="8" s="1"/>
  <c r="O190" i="8" s="1"/>
  <c r="R95" i="8"/>
  <c r="R137" i="8" s="1"/>
  <c r="R190" i="8" s="1"/>
  <c r="C5" i="8" l="1"/>
  <c r="R192" i="8"/>
  <c r="R195" i="8" s="1"/>
  <c r="O192" i="8"/>
  <c r="O195" i="8" s="1"/>
  <c r="C6" i="8" l="1"/>
  <c r="C7" i="8" s="1"/>
  <c r="G139" i="4" l="1"/>
  <c r="T81" i="4"/>
  <c r="T63" i="4"/>
  <c r="T60" i="4"/>
  <c r="T42" i="4"/>
  <c r="T43" i="4"/>
  <c r="T44" i="4"/>
  <c r="T36" i="4"/>
  <c r="T38" i="4" s="1"/>
  <c r="T37" i="4"/>
  <c r="T29" i="4"/>
  <c r="T34" i="4" s="1"/>
  <c r="T22" i="4"/>
  <c r="T23" i="4"/>
  <c r="T24" i="4"/>
  <c r="T27" i="4"/>
  <c r="T16" i="4"/>
  <c r="T17" i="4"/>
  <c r="T12" i="4"/>
  <c r="T13" i="4"/>
  <c r="T14" i="4"/>
  <c r="U14" i="4" s="1"/>
  <c r="T86" i="4"/>
  <c r="T87" i="4"/>
  <c r="T88" i="4"/>
  <c r="T89" i="4"/>
  <c r="T90" i="4"/>
  <c r="T91" i="4"/>
  <c r="T92" i="4"/>
  <c r="T93" i="4"/>
  <c r="T94" i="4"/>
  <c r="T95" i="4"/>
  <c r="T98" i="4"/>
  <c r="T100" i="4" s="1"/>
  <c r="T102" i="4"/>
  <c r="T103" i="4"/>
  <c r="U103" i="4" s="1"/>
  <c r="T104" i="4"/>
  <c r="T105" i="4"/>
  <c r="T108" i="4"/>
  <c r="T109" i="4"/>
  <c r="T112" i="4"/>
  <c r="T113" i="4"/>
  <c r="T114" i="4"/>
  <c r="T118" i="4"/>
  <c r="T120" i="4"/>
  <c r="T121" i="4"/>
  <c r="T122" i="4"/>
  <c r="T123" i="4"/>
  <c r="U123" i="4" s="1"/>
  <c r="T124" i="4"/>
  <c r="T129" i="4"/>
  <c r="H12" i="4"/>
  <c r="U12" i="4" s="1"/>
  <c r="H13" i="4"/>
  <c r="Q13" i="4" s="1"/>
  <c r="S13" i="4" s="1"/>
  <c r="H14" i="4"/>
  <c r="H16" i="4"/>
  <c r="H17" i="4"/>
  <c r="Q17" i="4" s="1"/>
  <c r="S17" i="4" s="1"/>
  <c r="H18" i="4"/>
  <c r="J18" i="4" s="1"/>
  <c r="H19" i="4"/>
  <c r="H20" i="4"/>
  <c r="H22" i="4"/>
  <c r="J22" i="4" s="1"/>
  <c r="H23" i="4"/>
  <c r="H24" i="4"/>
  <c r="H25" i="4"/>
  <c r="Q25" i="4" s="1"/>
  <c r="S25" i="4" s="1"/>
  <c r="H26" i="4"/>
  <c r="Q26" i="4" s="1"/>
  <c r="S26" i="4" s="1"/>
  <c r="H27" i="4"/>
  <c r="H29" i="4"/>
  <c r="H30" i="4"/>
  <c r="U30" i="4" s="1"/>
  <c r="H31" i="4"/>
  <c r="H32" i="4"/>
  <c r="H33" i="4"/>
  <c r="H35" i="4"/>
  <c r="U35" i="4" s="1"/>
  <c r="H36" i="4"/>
  <c r="Q36" i="4" s="1"/>
  <c r="S36" i="4" s="1"/>
  <c r="H37" i="4"/>
  <c r="Q37" i="4" s="1"/>
  <c r="S37" i="4" s="1"/>
  <c r="H42" i="4"/>
  <c r="Q42" i="4" s="1"/>
  <c r="H43" i="4"/>
  <c r="J43" i="4" s="1"/>
  <c r="H44" i="4"/>
  <c r="Q44" i="4" s="1"/>
  <c r="S44" i="4" s="1"/>
  <c r="H45" i="4"/>
  <c r="H46" i="4"/>
  <c r="Q46" i="4" s="1"/>
  <c r="H47" i="4"/>
  <c r="Q47" i="4" s="1"/>
  <c r="E49" i="4"/>
  <c r="H49" i="4" s="1"/>
  <c r="G50" i="4"/>
  <c r="H50" i="4" s="1"/>
  <c r="U50" i="4" s="1"/>
  <c r="E51" i="4"/>
  <c r="H51" i="4"/>
  <c r="J51" i="4" s="1"/>
  <c r="H53" i="4"/>
  <c r="H54" i="4"/>
  <c r="U54" i="4" s="1"/>
  <c r="H55" i="4"/>
  <c r="H56" i="4"/>
  <c r="H57" i="4"/>
  <c r="H58" i="4"/>
  <c r="H59" i="4"/>
  <c r="H61" i="4"/>
  <c r="H62" i="4"/>
  <c r="U62" i="4" s="1"/>
  <c r="H65" i="4"/>
  <c r="H66" i="4"/>
  <c r="H67" i="4"/>
  <c r="U67" i="4" s="1"/>
  <c r="H68" i="4"/>
  <c r="J68" i="4" s="1"/>
  <c r="H70" i="4"/>
  <c r="H71" i="4"/>
  <c r="H72" i="4"/>
  <c r="F74" i="4"/>
  <c r="H74" i="4" s="1"/>
  <c r="Q74" i="4" s="1"/>
  <c r="S74" i="4" s="1"/>
  <c r="H75" i="4"/>
  <c r="H76" i="4"/>
  <c r="H77" i="4"/>
  <c r="H78" i="4"/>
  <c r="H79" i="4"/>
  <c r="H80" i="4"/>
  <c r="E86" i="4"/>
  <c r="H86" i="4"/>
  <c r="E87" i="4"/>
  <c r="H87" i="4" s="1"/>
  <c r="H88" i="4"/>
  <c r="H89" i="4"/>
  <c r="E90" i="4"/>
  <c r="H90" i="4" s="1"/>
  <c r="H91" i="4"/>
  <c r="E92" i="4"/>
  <c r="H92" i="4" s="1"/>
  <c r="E93" i="4"/>
  <c r="H93" i="4" s="1"/>
  <c r="J93" i="4" s="1"/>
  <c r="E94" i="4"/>
  <c r="H94" i="4" s="1"/>
  <c r="J94" i="4" s="1"/>
  <c r="E95" i="4"/>
  <c r="H95" i="4" s="1"/>
  <c r="H98" i="4"/>
  <c r="H99" i="4"/>
  <c r="U99" i="4" s="1"/>
  <c r="H102" i="4"/>
  <c r="Q102" i="4" s="1"/>
  <c r="H103" i="4"/>
  <c r="H104" i="4"/>
  <c r="H105" i="4"/>
  <c r="H108" i="4"/>
  <c r="H109" i="4"/>
  <c r="Q109" i="4" s="1"/>
  <c r="H112" i="4"/>
  <c r="H113" i="4"/>
  <c r="U113" i="4" s="1"/>
  <c r="H118" i="4"/>
  <c r="H120" i="4"/>
  <c r="H121" i="4"/>
  <c r="U121" i="4" s="1"/>
  <c r="H122" i="4"/>
  <c r="H123" i="4"/>
  <c r="H124" i="4"/>
  <c r="Q14" i="4"/>
  <c r="S14" i="4" s="1"/>
  <c r="N20" i="4"/>
  <c r="N29" i="4"/>
  <c r="N30" i="4"/>
  <c r="N31" i="4"/>
  <c r="N32" i="4"/>
  <c r="P32" i="4" s="1"/>
  <c r="N33" i="4"/>
  <c r="Q33" i="4" s="1"/>
  <c r="S33" i="4" s="1"/>
  <c r="N35" i="4"/>
  <c r="N65" i="4"/>
  <c r="N66" i="4"/>
  <c r="N67" i="4"/>
  <c r="Q67" i="4" s="1"/>
  <c r="S67" i="4"/>
  <c r="N68" i="4"/>
  <c r="P68" i="4" s="1"/>
  <c r="N70" i="4"/>
  <c r="P70" i="4" s="1"/>
  <c r="N71" i="4"/>
  <c r="Q71" i="4"/>
  <c r="S71" i="4" s="1"/>
  <c r="N72" i="4"/>
  <c r="N74" i="4"/>
  <c r="N75" i="4"/>
  <c r="P75" i="4" s="1"/>
  <c r="N76" i="4"/>
  <c r="Q76" i="4"/>
  <c r="S76" i="4" s="1"/>
  <c r="K77" i="4"/>
  <c r="N77" i="4" s="1"/>
  <c r="P77" i="4" s="1"/>
  <c r="K78" i="4"/>
  <c r="N78" i="4" s="1"/>
  <c r="N79" i="4"/>
  <c r="P79" i="4" s="1"/>
  <c r="N80" i="4"/>
  <c r="P80" i="4" s="1"/>
  <c r="N61" i="4"/>
  <c r="Q61" i="4"/>
  <c r="S61" i="4" s="1"/>
  <c r="N62" i="4"/>
  <c r="N54" i="4"/>
  <c r="N55" i="4"/>
  <c r="N56" i="4"/>
  <c r="Q56" i="4" s="1"/>
  <c r="S56" i="4" s="1"/>
  <c r="N57" i="4"/>
  <c r="P57" i="4" s="1"/>
  <c r="N58" i="4"/>
  <c r="P58" i="4" s="1"/>
  <c r="L59" i="4"/>
  <c r="N59" i="4" s="1"/>
  <c r="P59" i="4" s="1"/>
  <c r="S42" i="4"/>
  <c r="O46" i="4"/>
  <c r="R46" i="4" s="1"/>
  <c r="S46" i="4" s="1"/>
  <c r="O47" i="4"/>
  <c r="R47" i="4" s="1"/>
  <c r="S48" i="4"/>
  <c r="O49" i="4"/>
  <c r="R49" i="4" s="1"/>
  <c r="O50" i="4"/>
  <c r="R50" i="4" s="1"/>
  <c r="Q51" i="4"/>
  <c r="S51" i="4" s="1"/>
  <c r="R86" i="4"/>
  <c r="K86" i="4"/>
  <c r="N86" i="4" s="1"/>
  <c r="R87" i="4"/>
  <c r="K87" i="4"/>
  <c r="N87" i="4" s="1"/>
  <c r="P87" i="4" s="1"/>
  <c r="N88" i="4"/>
  <c r="Q88" i="4"/>
  <c r="S88" i="4"/>
  <c r="R89" i="4"/>
  <c r="N89" i="4"/>
  <c r="Q89" i="4"/>
  <c r="K90" i="4"/>
  <c r="N90" i="4" s="1"/>
  <c r="P90" i="4" s="1"/>
  <c r="N91" i="4"/>
  <c r="K92" i="4"/>
  <c r="N92" i="4"/>
  <c r="K93" i="4"/>
  <c r="N93" i="4" s="1"/>
  <c r="P93" i="4" s="1"/>
  <c r="K94" i="4"/>
  <c r="N94" i="4" s="1"/>
  <c r="P94" i="4" s="1"/>
  <c r="R95" i="4"/>
  <c r="K95" i="4"/>
  <c r="N95" i="4" s="1"/>
  <c r="Q95" i="4"/>
  <c r="N98" i="4"/>
  <c r="N99" i="4"/>
  <c r="Q99" i="4"/>
  <c r="Q103" i="4"/>
  <c r="N104" i="4"/>
  <c r="Q104" i="4" s="1"/>
  <c r="N105" i="4"/>
  <c r="N112" i="4"/>
  <c r="N113" i="4"/>
  <c r="Q116" i="4"/>
  <c r="Q117" i="4"/>
  <c r="Q120" i="4"/>
  <c r="N121" i="4"/>
  <c r="N122" i="4"/>
  <c r="N123" i="4"/>
  <c r="Q123" i="4" s="1"/>
  <c r="S123" i="4" s="1"/>
  <c r="N124" i="4"/>
  <c r="Q124" i="4"/>
  <c r="S124" i="4" s="1"/>
  <c r="P16" i="4"/>
  <c r="P17" i="4"/>
  <c r="P18" i="4"/>
  <c r="P19" i="4"/>
  <c r="P31" i="4"/>
  <c r="P54" i="4"/>
  <c r="P61" i="4"/>
  <c r="P69" i="4"/>
  <c r="P71" i="4"/>
  <c r="P73" i="4"/>
  <c r="P76" i="4"/>
  <c r="P78" i="4"/>
  <c r="P86" i="4"/>
  <c r="P88" i="4"/>
  <c r="P89" i="4"/>
  <c r="P95" i="4"/>
  <c r="N38" i="4"/>
  <c r="N52" i="4"/>
  <c r="N100" i="4"/>
  <c r="N118" i="4"/>
  <c r="J14" i="4"/>
  <c r="J25" i="4"/>
  <c r="J29" i="4"/>
  <c r="J31" i="4"/>
  <c r="J33" i="4"/>
  <c r="J36" i="4"/>
  <c r="J42" i="4"/>
  <c r="J46" i="4"/>
  <c r="J48" i="4"/>
  <c r="J55" i="4"/>
  <c r="J56" i="4"/>
  <c r="J59" i="4"/>
  <c r="J67" i="4"/>
  <c r="J69" i="4"/>
  <c r="J71" i="4"/>
  <c r="J72" i="4"/>
  <c r="J73" i="4"/>
  <c r="J76" i="4"/>
  <c r="J80" i="4"/>
  <c r="J88" i="4"/>
  <c r="J89" i="4"/>
  <c r="J91" i="4"/>
  <c r="J95" i="4"/>
  <c r="U124" i="4"/>
  <c r="U120" i="4"/>
  <c r="U112" i="4"/>
  <c r="U98" i="4"/>
  <c r="U95" i="4"/>
  <c r="U94" i="4"/>
  <c r="U92" i="4"/>
  <c r="U91" i="4"/>
  <c r="U88" i="4"/>
  <c r="U86" i="4"/>
  <c r="U80" i="4"/>
  <c r="U79" i="4"/>
  <c r="U77" i="4"/>
  <c r="U76" i="4"/>
  <c r="U75" i="4"/>
  <c r="U73" i="4"/>
  <c r="U72" i="4"/>
  <c r="U71" i="4"/>
  <c r="U70" i="4"/>
  <c r="U69" i="4"/>
  <c r="U68" i="4"/>
  <c r="U64" i="4"/>
  <c r="I63" i="4"/>
  <c r="U59" i="4"/>
  <c r="U56" i="4"/>
  <c r="U55" i="4"/>
  <c r="O42" i="4"/>
  <c r="O43" i="4"/>
  <c r="O44" i="4"/>
  <c r="O45" i="4"/>
  <c r="O51" i="4"/>
  <c r="U48" i="4"/>
  <c r="U46" i="4"/>
  <c r="U44" i="4"/>
  <c r="U42" i="4"/>
  <c r="M39" i="4"/>
  <c r="L39" i="4"/>
  <c r="K39" i="4"/>
  <c r="U33" i="4"/>
  <c r="U32" i="4"/>
  <c r="U31" i="4"/>
  <c r="U29" i="4"/>
  <c r="U25" i="4"/>
  <c r="U24" i="4"/>
  <c r="U20" i="4"/>
  <c r="U19" i="4"/>
  <c r="U13" i="4"/>
  <c r="B7" i="4"/>
  <c r="D7" i="5"/>
  <c r="D13" i="5"/>
  <c r="D16" i="5"/>
  <c r="F16" i="5" s="1"/>
  <c r="D20" i="5"/>
  <c r="D23" i="5"/>
  <c r="F23" i="5" s="1"/>
  <c r="D27" i="5"/>
  <c r="D32" i="5"/>
  <c r="F32" i="5" s="1"/>
  <c r="D34" i="5"/>
  <c r="D39" i="5"/>
  <c r="F39" i="5" s="1"/>
  <c r="D43" i="5"/>
  <c r="D60" i="5"/>
  <c r="F60" i="5" s="1"/>
  <c r="D64" i="5"/>
  <c r="F64" i="5" s="1"/>
  <c r="D67" i="5"/>
  <c r="F67" i="5" s="1"/>
  <c r="D71" i="5"/>
  <c r="D75" i="5"/>
  <c r="F75" i="5" s="1"/>
  <c r="D88" i="5"/>
  <c r="F88" i="5" s="1"/>
  <c r="C94" i="5"/>
  <c r="E81" i="5"/>
  <c r="E82" i="5"/>
  <c r="E83" i="5"/>
  <c r="E84" i="5"/>
  <c r="E85" i="5"/>
  <c r="E86" i="5"/>
  <c r="E87" i="5"/>
  <c r="F87" i="5"/>
  <c r="F86" i="5"/>
  <c r="F85" i="5"/>
  <c r="F84" i="5"/>
  <c r="F83" i="5"/>
  <c r="F82" i="5"/>
  <c r="F81" i="5"/>
  <c r="E73" i="5"/>
  <c r="E74" i="5"/>
  <c r="E75" i="5"/>
  <c r="F74" i="5"/>
  <c r="F73" i="5"/>
  <c r="E71" i="5"/>
  <c r="F70" i="5"/>
  <c r="E70" i="5"/>
  <c r="F69" i="5"/>
  <c r="E69" i="5"/>
  <c r="E66" i="5"/>
  <c r="E67" i="5" s="1"/>
  <c r="F66" i="5"/>
  <c r="E62" i="5"/>
  <c r="E63" i="5"/>
  <c r="F63" i="5"/>
  <c r="F62" i="5"/>
  <c r="F59" i="5"/>
  <c r="E59" i="5"/>
  <c r="F58" i="5"/>
  <c r="E58" i="5"/>
  <c r="F57" i="5"/>
  <c r="E57" i="5"/>
  <c r="F56" i="5"/>
  <c r="E56" i="5"/>
  <c r="F55" i="5"/>
  <c r="E55" i="5"/>
  <c r="F54" i="5"/>
  <c r="E54" i="5"/>
  <c r="F53" i="5"/>
  <c r="E53" i="5"/>
  <c r="F52" i="5"/>
  <c r="E52" i="5"/>
  <c r="F51" i="5"/>
  <c r="E51" i="5"/>
  <c r="F50" i="5"/>
  <c r="E50" i="5"/>
  <c r="F49" i="5"/>
  <c r="E49" i="5"/>
  <c r="F48" i="5"/>
  <c r="E48" i="5"/>
  <c r="F43" i="5"/>
  <c r="E43" i="5"/>
  <c r="F42" i="5"/>
  <c r="E42" i="5"/>
  <c r="F41" i="5"/>
  <c r="E41" i="5"/>
  <c r="F40" i="5"/>
  <c r="E40" i="5"/>
  <c r="F38" i="5"/>
  <c r="E38" i="5"/>
  <c r="F37" i="5"/>
  <c r="E37" i="5"/>
  <c r="F36" i="5"/>
  <c r="E36" i="5"/>
  <c r="F35" i="5"/>
  <c r="E35" i="5"/>
  <c r="F33" i="5"/>
  <c r="E33" i="5"/>
  <c r="E28" i="5"/>
  <c r="E29" i="5"/>
  <c r="E32" i="5" s="1"/>
  <c r="E30" i="5"/>
  <c r="E31" i="5"/>
  <c r="F31" i="5"/>
  <c r="F30" i="5"/>
  <c r="F29" i="5"/>
  <c r="F28" i="5"/>
  <c r="F27" i="5"/>
  <c r="E27" i="5"/>
  <c r="F26" i="5"/>
  <c r="E26" i="5"/>
  <c r="F25" i="5"/>
  <c r="E25" i="5"/>
  <c r="F24" i="5"/>
  <c r="E24" i="5"/>
  <c r="E23" i="5"/>
  <c r="F22" i="5"/>
  <c r="E22" i="5"/>
  <c r="F21" i="5"/>
  <c r="E21" i="5"/>
  <c r="E19" i="5"/>
  <c r="E20" i="5" s="1"/>
  <c r="F19" i="5"/>
  <c r="E8" i="5"/>
  <c r="E9" i="5"/>
  <c r="E10" i="5"/>
  <c r="E11" i="5"/>
  <c r="E12" i="5"/>
  <c r="E14" i="5"/>
  <c r="E15" i="5"/>
  <c r="E16" i="5" s="1"/>
  <c r="F15" i="5"/>
  <c r="F14" i="5"/>
  <c r="F13" i="5"/>
  <c r="F12" i="5"/>
  <c r="F11" i="5"/>
  <c r="F10" i="5"/>
  <c r="F9" i="5"/>
  <c r="F8" i="5"/>
  <c r="F7" i="5"/>
  <c r="F6" i="5"/>
  <c r="E6" i="5"/>
  <c r="F5" i="5"/>
  <c r="E5" i="5"/>
  <c r="F4" i="5"/>
  <c r="E4" i="5"/>
  <c r="G164" i="6"/>
  <c r="E142" i="6"/>
  <c r="E163" i="6"/>
  <c r="E143" i="6"/>
  <c r="E144" i="6"/>
  <c r="E145" i="6"/>
  <c r="E146" i="6"/>
  <c r="E147" i="6"/>
  <c r="E148" i="6"/>
  <c r="E149" i="6"/>
  <c r="E150" i="6"/>
  <c r="E151" i="6"/>
  <c r="F151" i="6" s="1"/>
  <c r="E152" i="6"/>
  <c r="E153" i="6"/>
  <c r="F153" i="6" s="1"/>
  <c r="E154" i="6"/>
  <c r="F154" i="6" s="1"/>
  <c r="H154" i="6" s="1"/>
  <c r="E155" i="6"/>
  <c r="E156" i="6"/>
  <c r="E157" i="6"/>
  <c r="E158" i="6"/>
  <c r="E139" i="6"/>
  <c r="F139" i="6" s="1"/>
  <c r="E134" i="6"/>
  <c r="E135" i="6"/>
  <c r="F135" i="6" s="1"/>
  <c r="H135" i="6" s="1"/>
  <c r="E136" i="6"/>
  <c r="E131" i="6"/>
  <c r="E128" i="6"/>
  <c r="E125" i="6"/>
  <c r="F125" i="6" s="1"/>
  <c r="E75" i="6"/>
  <c r="E76" i="6"/>
  <c r="E77" i="6"/>
  <c r="E78" i="6"/>
  <c r="F78" i="6" s="1"/>
  <c r="H78" i="6" s="1"/>
  <c r="E79" i="6"/>
  <c r="E80" i="6"/>
  <c r="E81" i="6"/>
  <c r="E82" i="6"/>
  <c r="F82" i="6" s="1"/>
  <c r="E83" i="6"/>
  <c r="E84" i="6"/>
  <c r="E85" i="6"/>
  <c r="E86" i="6"/>
  <c r="F86" i="6" s="1"/>
  <c r="H86" i="6" s="1"/>
  <c r="E87" i="6"/>
  <c r="E88" i="6"/>
  <c r="E89" i="6"/>
  <c r="E90" i="6"/>
  <c r="F90" i="6" s="1"/>
  <c r="E91" i="6"/>
  <c r="E92" i="6"/>
  <c r="F92" i="6"/>
  <c r="H92" i="6" s="1"/>
  <c r="E93" i="6"/>
  <c r="E94" i="6"/>
  <c r="E95" i="6"/>
  <c r="E96" i="6"/>
  <c r="F96" i="6" s="1"/>
  <c r="E97" i="6"/>
  <c r="E98" i="6"/>
  <c r="E99" i="6"/>
  <c r="E100" i="6"/>
  <c r="F100" i="6"/>
  <c r="E101" i="6"/>
  <c r="E102" i="6"/>
  <c r="E103" i="6"/>
  <c r="F103" i="6" s="1"/>
  <c r="H103" i="6" s="1"/>
  <c r="E104" i="6"/>
  <c r="F104" i="6" s="1"/>
  <c r="E105" i="6"/>
  <c r="E106" i="6"/>
  <c r="E107" i="6"/>
  <c r="E108" i="6"/>
  <c r="F108" i="6" s="1"/>
  <c r="H108" i="6" s="1"/>
  <c r="E109" i="6"/>
  <c r="E110" i="6"/>
  <c r="E111" i="6"/>
  <c r="F111" i="6" s="1"/>
  <c r="H111" i="6" s="1"/>
  <c r="E112" i="6"/>
  <c r="F112" i="6" s="1"/>
  <c r="H112" i="6" s="1"/>
  <c r="E113" i="6"/>
  <c r="E114" i="6"/>
  <c r="E115" i="6"/>
  <c r="E116" i="6"/>
  <c r="F116" i="6" s="1"/>
  <c r="E117" i="6"/>
  <c r="E118" i="6"/>
  <c r="E119" i="6"/>
  <c r="F119" i="6" s="1"/>
  <c r="H119" i="6" s="1"/>
  <c r="E120" i="6"/>
  <c r="F120" i="6" s="1"/>
  <c r="H120" i="6" s="1"/>
  <c r="E121" i="6"/>
  <c r="E122" i="6"/>
  <c r="E68" i="6"/>
  <c r="E69" i="6"/>
  <c r="F69" i="6" s="1"/>
  <c r="H69" i="6" s="1"/>
  <c r="E66" i="6"/>
  <c r="E59" i="6"/>
  <c r="F59" i="6" s="1"/>
  <c r="H59" i="6" s="1"/>
  <c r="E60" i="6"/>
  <c r="F60" i="6" s="1"/>
  <c r="H60" i="6" s="1"/>
  <c r="E61" i="6"/>
  <c r="E62" i="6"/>
  <c r="E63" i="6"/>
  <c r="F63" i="6" s="1"/>
  <c r="E64" i="6"/>
  <c r="E57" i="6"/>
  <c r="F57" i="6" s="1"/>
  <c r="E55" i="6"/>
  <c r="E51" i="6"/>
  <c r="F51" i="6" s="1"/>
  <c r="H51" i="6" s="1"/>
  <c r="E45" i="6"/>
  <c r="E39" i="6"/>
  <c r="E33" i="6"/>
  <c r="E27" i="6"/>
  <c r="F27" i="6" s="1"/>
  <c r="E21" i="6"/>
  <c r="E15" i="6"/>
  <c r="E9" i="6"/>
  <c r="E161" i="6"/>
  <c r="F161" i="6" s="1"/>
  <c r="D164" i="6"/>
  <c r="C162" i="6"/>
  <c r="E162" i="6"/>
  <c r="I161" i="6"/>
  <c r="I160" i="6"/>
  <c r="E160" i="6"/>
  <c r="I159" i="6"/>
  <c r="E159" i="6"/>
  <c r="I158" i="6"/>
  <c r="I157" i="6"/>
  <c r="I156" i="6"/>
  <c r="I155" i="6"/>
  <c r="I154" i="6"/>
  <c r="I153" i="6"/>
  <c r="I152" i="6"/>
  <c r="I151" i="6"/>
  <c r="I149" i="6"/>
  <c r="I148" i="6"/>
  <c r="I147" i="6"/>
  <c r="I146" i="6"/>
  <c r="I145" i="6"/>
  <c r="I144" i="6"/>
  <c r="I143" i="6"/>
  <c r="E141" i="6"/>
  <c r="F141" i="6" s="1"/>
  <c r="E140" i="6"/>
  <c r="E138" i="6"/>
  <c r="I137" i="6"/>
  <c r="E137" i="6"/>
  <c r="I136" i="6"/>
  <c r="I135" i="6"/>
  <c r="I134" i="6"/>
  <c r="E133" i="6"/>
  <c r="E132" i="6"/>
  <c r="E130" i="6"/>
  <c r="I129" i="6"/>
  <c r="E129" i="6"/>
  <c r="I128" i="6"/>
  <c r="E127" i="6"/>
  <c r="I126" i="6"/>
  <c r="E126" i="6"/>
  <c r="I125" i="6"/>
  <c r="E124" i="6"/>
  <c r="I123" i="6"/>
  <c r="E123" i="6"/>
  <c r="I122" i="6"/>
  <c r="I121" i="6"/>
  <c r="I120" i="6"/>
  <c r="I119" i="6"/>
  <c r="I118" i="6"/>
  <c r="I117" i="6"/>
  <c r="I116" i="6"/>
  <c r="I115" i="6"/>
  <c r="I114" i="6"/>
  <c r="I113" i="6"/>
  <c r="I112" i="6"/>
  <c r="I111" i="6"/>
  <c r="I109" i="6"/>
  <c r="I108" i="6"/>
  <c r="I107" i="6"/>
  <c r="I105" i="6"/>
  <c r="I104" i="6"/>
  <c r="I103" i="6"/>
  <c r="I102" i="6"/>
  <c r="I101" i="6"/>
  <c r="I100" i="6"/>
  <c r="I99" i="6"/>
  <c r="I97" i="6"/>
  <c r="I96" i="6"/>
  <c r="I95" i="6"/>
  <c r="I94" i="6"/>
  <c r="I93" i="6"/>
  <c r="I91" i="6"/>
  <c r="I90" i="6"/>
  <c r="I88" i="6"/>
  <c r="I87" i="6"/>
  <c r="I86" i="6"/>
  <c r="I85" i="6"/>
  <c r="I84" i="6"/>
  <c r="I83" i="6"/>
  <c r="I82" i="6"/>
  <c r="I81" i="6"/>
  <c r="I80" i="6"/>
  <c r="I79" i="6"/>
  <c r="I78" i="6"/>
  <c r="I77" i="6"/>
  <c r="I76" i="6"/>
  <c r="E74" i="6"/>
  <c r="E73" i="6"/>
  <c r="I72" i="6"/>
  <c r="E72" i="6"/>
  <c r="I71" i="6"/>
  <c r="E71" i="6"/>
  <c r="I70" i="6"/>
  <c r="E70" i="6"/>
  <c r="I69" i="6"/>
  <c r="I68" i="6"/>
  <c r="I67" i="6"/>
  <c r="E67" i="6"/>
  <c r="I66" i="6"/>
  <c r="I65" i="6"/>
  <c r="E65" i="6"/>
  <c r="I64" i="6"/>
  <c r="I63" i="6"/>
  <c r="I62" i="6"/>
  <c r="I61" i="6"/>
  <c r="I60" i="6"/>
  <c r="I59" i="6"/>
  <c r="I58" i="6"/>
  <c r="E58" i="6"/>
  <c r="F58" i="6" s="1"/>
  <c r="H58" i="6" s="1"/>
  <c r="I57" i="6"/>
  <c r="I56" i="6"/>
  <c r="E56" i="6"/>
  <c r="I55" i="6"/>
  <c r="E54" i="6"/>
  <c r="E53" i="6"/>
  <c r="I52" i="6"/>
  <c r="E52" i="6"/>
  <c r="I51" i="6"/>
  <c r="I50" i="6"/>
  <c r="E50" i="6"/>
  <c r="F50" i="6" s="1"/>
  <c r="H50" i="6" s="1"/>
  <c r="I49" i="6"/>
  <c r="E49" i="6"/>
  <c r="F49" i="6" s="1"/>
  <c r="H49" i="6" s="1"/>
  <c r="I48" i="6"/>
  <c r="E48" i="6"/>
  <c r="I47" i="6"/>
  <c r="E47" i="6"/>
  <c r="F47" i="6"/>
  <c r="H47" i="6" s="1"/>
  <c r="I46" i="6"/>
  <c r="E46" i="6"/>
  <c r="F46" i="6"/>
  <c r="H46" i="6" s="1"/>
  <c r="I45" i="6"/>
  <c r="I44" i="6"/>
  <c r="E44" i="6"/>
  <c r="I43" i="6"/>
  <c r="E43" i="6"/>
  <c r="I42" i="6"/>
  <c r="E42" i="6"/>
  <c r="I41" i="6"/>
  <c r="E41" i="6"/>
  <c r="I40" i="6"/>
  <c r="E40" i="6"/>
  <c r="I39" i="6"/>
  <c r="I38" i="6"/>
  <c r="E38" i="6"/>
  <c r="I37" i="6"/>
  <c r="E37" i="6"/>
  <c r="I36" i="6"/>
  <c r="E36" i="6"/>
  <c r="I35" i="6"/>
  <c r="E35" i="6"/>
  <c r="I34" i="6"/>
  <c r="E34" i="6"/>
  <c r="I33" i="6"/>
  <c r="I32" i="6"/>
  <c r="E32" i="6"/>
  <c r="I31" i="6"/>
  <c r="E31" i="6"/>
  <c r="I30" i="6"/>
  <c r="E30" i="6"/>
  <c r="I29" i="6"/>
  <c r="E29" i="6"/>
  <c r="I28" i="6"/>
  <c r="E28" i="6"/>
  <c r="I27" i="6"/>
  <c r="I26" i="6"/>
  <c r="E26" i="6"/>
  <c r="I25" i="6"/>
  <c r="E25" i="6"/>
  <c r="I24" i="6"/>
  <c r="E24" i="6"/>
  <c r="I23" i="6"/>
  <c r="E23" i="6"/>
  <c r="I22" i="6"/>
  <c r="E22" i="6"/>
  <c r="I21" i="6"/>
  <c r="I20" i="6"/>
  <c r="E20" i="6"/>
  <c r="I19" i="6"/>
  <c r="E19" i="6"/>
  <c r="I18" i="6"/>
  <c r="E18" i="6"/>
  <c r="I17" i="6"/>
  <c r="E17" i="6"/>
  <c r="I16" i="6"/>
  <c r="E16" i="6"/>
  <c r="I15" i="6"/>
  <c r="E14" i="6"/>
  <c r="E13" i="6"/>
  <c r="E12" i="6"/>
  <c r="E11" i="6"/>
  <c r="E10" i="6"/>
  <c r="I9" i="6"/>
  <c r="T56" i="1"/>
  <c r="T78" i="1"/>
  <c r="T79" i="1" s="1"/>
  <c r="T114" i="1"/>
  <c r="T151" i="1"/>
  <c r="T179" i="1"/>
  <c r="T220" i="1"/>
  <c r="T247" i="1"/>
  <c r="T285" i="1"/>
  <c r="H14" i="1"/>
  <c r="H15" i="1"/>
  <c r="H16" i="1"/>
  <c r="Q16" i="1" s="1"/>
  <c r="H17" i="1"/>
  <c r="H18" i="1"/>
  <c r="H19" i="1"/>
  <c r="H20" i="1"/>
  <c r="H21" i="1"/>
  <c r="H22" i="1"/>
  <c r="H23" i="1"/>
  <c r="H25" i="1"/>
  <c r="H26" i="1"/>
  <c r="H27" i="1"/>
  <c r="H28" i="1"/>
  <c r="H29" i="1"/>
  <c r="H30" i="1"/>
  <c r="H31" i="1"/>
  <c r="H32" i="1"/>
  <c r="Q32" i="1" s="1"/>
  <c r="H33" i="1"/>
  <c r="H34" i="1"/>
  <c r="H35" i="1"/>
  <c r="H37" i="1"/>
  <c r="H38" i="1"/>
  <c r="H39" i="1"/>
  <c r="H40" i="1"/>
  <c r="H41" i="1"/>
  <c r="H42" i="1"/>
  <c r="H44" i="1"/>
  <c r="H45" i="1"/>
  <c r="H46" i="1"/>
  <c r="Q46" i="1" s="1"/>
  <c r="H47" i="1"/>
  <c r="H48" i="1"/>
  <c r="H49" i="1"/>
  <c r="H50" i="1"/>
  <c r="H51" i="1"/>
  <c r="H52" i="1"/>
  <c r="H53" i="1"/>
  <c r="H54" i="1"/>
  <c r="H58" i="1"/>
  <c r="H59" i="1"/>
  <c r="H60" i="1"/>
  <c r="H68" i="1"/>
  <c r="H69" i="1"/>
  <c r="Q69" i="1" s="1"/>
  <c r="H70" i="1"/>
  <c r="H71" i="1"/>
  <c r="H72" i="1"/>
  <c r="H73" i="1"/>
  <c r="H74" i="1"/>
  <c r="H75" i="1"/>
  <c r="H76" i="1"/>
  <c r="H82" i="1"/>
  <c r="H83" i="1"/>
  <c r="H84" i="1"/>
  <c r="Q84" i="1" s="1"/>
  <c r="H85" i="1"/>
  <c r="Q85" i="1" s="1"/>
  <c r="H86" i="1"/>
  <c r="H87" i="1"/>
  <c r="H88" i="1"/>
  <c r="Q88" i="1" s="1"/>
  <c r="H89" i="1"/>
  <c r="Q89" i="1" s="1"/>
  <c r="H91" i="1"/>
  <c r="H92" i="1"/>
  <c r="H93" i="1"/>
  <c r="H94" i="1"/>
  <c r="H95" i="1"/>
  <c r="H96" i="1"/>
  <c r="H97" i="1"/>
  <c r="H98" i="1"/>
  <c r="H99" i="1"/>
  <c r="H101" i="1"/>
  <c r="H102" i="1"/>
  <c r="Q102" i="1" s="1"/>
  <c r="H103" i="1"/>
  <c r="Q103" i="1" s="1"/>
  <c r="H104" i="1"/>
  <c r="Q104" i="1" s="1"/>
  <c r="H105" i="1"/>
  <c r="H106" i="1"/>
  <c r="Q106" i="1" s="1"/>
  <c r="H107" i="1"/>
  <c r="Q107" i="1" s="1"/>
  <c r="H108" i="1"/>
  <c r="Q108" i="1" s="1"/>
  <c r="H109" i="1"/>
  <c r="Q109" i="1" s="1"/>
  <c r="H110" i="1"/>
  <c r="Q110" i="1" s="1"/>
  <c r="H112" i="1"/>
  <c r="H113" i="1" s="1"/>
  <c r="H116" i="1"/>
  <c r="H117" i="1"/>
  <c r="H118" i="1"/>
  <c r="H119" i="1"/>
  <c r="H120" i="1"/>
  <c r="H121" i="1"/>
  <c r="H122" i="1"/>
  <c r="H123" i="1"/>
  <c r="H124" i="1"/>
  <c r="H126" i="1"/>
  <c r="H127" i="1"/>
  <c r="H128" i="1"/>
  <c r="H129" i="1"/>
  <c r="H130" i="1"/>
  <c r="H131" i="1"/>
  <c r="H132" i="1"/>
  <c r="H133" i="1"/>
  <c r="H135" i="1"/>
  <c r="H136" i="1"/>
  <c r="Q136" i="1" s="1"/>
  <c r="H137" i="1"/>
  <c r="H138" i="1"/>
  <c r="H139" i="1"/>
  <c r="H140" i="1"/>
  <c r="H141" i="1"/>
  <c r="H142" i="1"/>
  <c r="H143" i="1"/>
  <c r="H144" i="1"/>
  <c r="Q144" i="1" s="1"/>
  <c r="H145" i="1"/>
  <c r="H146" i="1"/>
  <c r="H147" i="1"/>
  <c r="H150" i="1"/>
  <c r="U150" i="1" s="1"/>
  <c r="H153" i="1"/>
  <c r="H154" i="1"/>
  <c r="H155" i="1"/>
  <c r="H156" i="1"/>
  <c r="H157" i="1"/>
  <c r="H158" i="1"/>
  <c r="H159" i="1"/>
  <c r="H160" i="1"/>
  <c r="H161" i="1"/>
  <c r="H162" i="1"/>
  <c r="H164" i="1"/>
  <c r="H165" i="1"/>
  <c r="Q165" i="1" s="1"/>
  <c r="H166" i="1"/>
  <c r="H167" i="1"/>
  <c r="H168" i="1"/>
  <c r="H169" i="1"/>
  <c r="H170" i="1"/>
  <c r="H172" i="1"/>
  <c r="H174" i="1" s="1"/>
  <c r="H175" i="1"/>
  <c r="H178" i="1"/>
  <c r="H185" i="1"/>
  <c r="H186" i="1"/>
  <c r="H188" i="1"/>
  <c r="H189" i="1"/>
  <c r="Q189" i="1" s="1"/>
  <c r="H190" i="1"/>
  <c r="H191" i="1"/>
  <c r="H192" i="1"/>
  <c r="H193" i="1"/>
  <c r="H194" i="1"/>
  <c r="H195" i="1"/>
  <c r="H197" i="1"/>
  <c r="H198" i="1"/>
  <c r="H199" i="1"/>
  <c r="H200" i="1"/>
  <c r="H201" i="1"/>
  <c r="H202" i="1"/>
  <c r="Q202" i="1" s="1"/>
  <c r="H203" i="1"/>
  <c r="H204" i="1"/>
  <c r="H205" i="1"/>
  <c r="H207" i="1"/>
  <c r="Q207" i="1" s="1"/>
  <c r="H208" i="1"/>
  <c r="H209" i="1"/>
  <c r="H210" i="1"/>
  <c r="Q210" i="1" s="1"/>
  <c r="H211" i="1"/>
  <c r="Q211" i="1" s="1"/>
  <c r="H212" i="1"/>
  <c r="H213" i="1"/>
  <c r="Q213" i="1" s="1"/>
  <c r="H214" i="1"/>
  <c r="Q214" i="1" s="1"/>
  <c r="H216" i="1"/>
  <c r="H217" i="1"/>
  <c r="H218" i="1"/>
  <c r="H222" i="1"/>
  <c r="Q222" i="1" s="1"/>
  <c r="H223" i="1"/>
  <c r="Q223" i="1" s="1"/>
  <c r="H224" i="1"/>
  <c r="H234" i="1"/>
  <c r="H239" i="1"/>
  <c r="H242" i="1"/>
  <c r="H246" i="1"/>
  <c r="H283" i="1"/>
  <c r="H284" i="1"/>
  <c r="U284" i="1" s="1"/>
  <c r="H281" i="1"/>
  <c r="H276" i="1"/>
  <c r="H278" i="1" s="1"/>
  <c r="H277" i="1"/>
  <c r="H270" i="1"/>
  <c r="Q270" i="1" s="1"/>
  <c r="H271" i="1"/>
  <c r="H272" i="1"/>
  <c r="H273" i="1"/>
  <c r="H266" i="1"/>
  <c r="H267" i="1"/>
  <c r="Q267" i="1" s="1"/>
  <c r="H262" i="1"/>
  <c r="H263" i="1"/>
  <c r="H252" i="1"/>
  <c r="Q252" i="1" s="1"/>
  <c r="H253" i="1"/>
  <c r="Q253" i="1" s="1"/>
  <c r="H254" i="1"/>
  <c r="H255" i="1"/>
  <c r="H256" i="1"/>
  <c r="H257" i="1"/>
  <c r="Q257" i="1" s="1"/>
  <c r="H258" i="1"/>
  <c r="H259" i="1"/>
  <c r="N14" i="1"/>
  <c r="Q14" i="1"/>
  <c r="N15" i="1"/>
  <c r="N16" i="1"/>
  <c r="N17" i="1"/>
  <c r="Q17" i="1" s="1"/>
  <c r="N18" i="1"/>
  <c r="Q18" i="1" s="1"/>
  <c r="N19" i="1"/>
  <c r="N20" i="1"/>
  <c r="Q20" i="1"/>
  <c r="N21" i="1"/>
  <c r="Q21" i="1" s="1"/>
  <c r="N22" i="1"/>
  <c r="Q22" i="1"/>
  <c r="N23" i="1"/>
  <c r="N25" i="1"/>
  <c r="Q25" i="1" s="1"/>
  <c r="N26" i="1"/>
  <c r="Q26" i="1"/>
  <c r="N27" i="1"/>
  <c r="N28" i="1"/>
  <c r="N29" i="1"/>
  <c r="N30" i="1"/>
  <c r="Q30" i="1"/>
  <c r="N31" i="1"/>
  <c r="N32" i="1"/>
  <c r="N33" i="1"/>
  <c r="Q33" i="1" s="1"/>
  <c r="N34" i="1"/>
  <c r="Q34" i="1" s="1"/>
  <c r="N35" i="1"/>
  <c r="N37" i="1"/>
  <c r="N38" i="1"/>
  <c r="N39" i="1"/>
  <c r="N40" i="1"/>
  <c r="Q40" i="1" s="1"/>
  <c r="N41" i="1"/>
  <c r="N42" i="1"/>
  <c r="N44" i="1"/>
  <c r="Q44" i="1"/>
  <c r="N45" i="1"/>
  <c r="Q45" i="1" s="1"/>
  <c r="N46" i="1"/>
  <c r="N47" i="1"/>
  <c r="N48" i="1"/>
  <c r="Q48" i="1" s="1"/>
  <c r="N49" i="1"/>
  <c r="N50" i="1"/>
  <c r="Q50" i="1"/>
  <c r="N51" i="1"/>
  <c r="N52" i="1"/>
  <c r="Q52" i="1" s="1"/>
  <c r="N53" i="1"/>
  <c r="Q53" i="1" s="1"/>
  <c r="N54" i="1"/>
  <c r="N69" i="1"/>
  <c r="N70" i="1"/>
  <c r="N71" i="1"/>
  <c r="N72" i="1"/>
  <c r="N73" i="1"/>
  <c r="N74" i="1"/>
  <c r="N75" i="1"/>
  <c r="Q75" i="1" s="1"/>
  <c r="N76" i="1"/>
  <c r="N62" i="1"/>
  <c r="Q62" i="1" s="1"/>
  <c r="N63" i="1"/>
  <c r="Q63" i="1" s="1"/>
  <c r="N64" i="1"/>
  <c r="Q64" i="1" s="1"/>
  <c r="N65" i="1"/>
  <c r="Q65" i="1" s="1"/>
  <c r="N66" i="1"/>
  <c r="Q66" i="1" s="1"/>
  <c r="N67" i="1"/>
  <c r="Q67" i="1" s="1"/>
  <c r="N58" i="1"/>
  <c r="N59" i="1"/>
  <c r="Q59" i="1" s="1"/>
  <c r="N60" i="1"/>
  <c r="Q60" i="1"/>
  <c r="Q82" i="1"/>
  <c r="Q83" i="1"/>
  <c r="Q86" i="1"/>
  <c r="Q87" i="1"/>
  <c r="N91" i="1"/>
  <c r="N92" i="1"/>
  <c r="N93" i="1"/>
  <c r="Q93" i="1" s="1"/>
  <c r="N94" i="1"/>
  <c r="N95" i="1"/>
  <c r="N96" i="1"/>
  <c r="N97" i="1"/>
  <c r="Q97" i="1" s="1"/>
  <c r="N98" i="1"/>
  <c r="N99" i="1"/>
  <c r="Q99" i="1"/>
  <c r="Q101" i="1"/>
  <c r="Q105" i="1"/>
  <c r="Q112" i="1"/>
  <c r="Q113" i="1" s="1"/>
  <c r="S113" i="1" s="1"/>
  <c r="N116" i="1"/>
  <c r="N117" i="1"/>
  <c r="N118" i="1"/>
  <c r="N119" i="1"/>
  <c r="Q119" i="1" s="1"/>
  <c r="N120" i="1"/>
  <c r="Q120" i="1" s="1"/>
  <c r="N121" i="1"/>
  <c r="N122" i="1"/>
  <c r="N123" i="1"/>
  <c r="N124" i="1"/>
  <c r="Q124" i="1"/>
  <c r="N126" i="1"/>
  <c r="Q126" i="1" s="1"/>
  <c r="N127" i="1"/>
  <c r="N128" i="1"/>
  <c r="Q128" i="1"/>
  <c r="N129" i="1"/>
  <c r="N130" i="1"/>
  <c r="Q130" i="1" s="1"/>
  <c r="N131" i="1"/>
  <c r="N132" i="1"/>
  <c r="Q132" i="1"/>
  <c r="N133" i="1"/>
  <c r="N135" i="1"/>
  <c r="N136" i="1"/>
  <c r="N137" i="1"/>
  <c r="N138" i="1"/>
  <c r="Q138" i="1" s="1"/>
  <c r="N139" i="1"/>
  <c r="N140" i="1"/>
  <c r="N141" i="1"/>
  <c r="N142" i="1"/>
  <c r="Q142" i="1" s="1"/>
  <c r="N143" i="1"/>
  <c r="N144" i="1"/>
  <c r="N145" i="1"/>
  <c r="N146" i="1"/>
  <c r="Q146" i="1" s="1"/>
  <c r="N147" i="1"/>
  <c r="N149" i="1"/>
  <c r="Q149" i="1" s="1"/>
  <c r="Q150" i="1"/>
  <c r="S150" i="1" s="1"/>
  <c r="Q178" i="1"/>
  <c r="S178" i="1" s="1"/>
  <c r="N172" i="1"/>
  <c r="Q172" i="1"/>
  <c r="Q174" i="1" s="1"/>
  <c r="S174" i="1" s="1"/>
  <c r="N164" i="1"/>
  <c r="Q164" i="1" s="1"/>
  <c r="N165" i="1"/>
  <c r="N166" i="1"/>
  <c r="Q166" i="1" s="1"/>
  <c r="N167" i="1"/>
  <c r="Q167" i="1" s="1"/>
  <c r="N168" i="1"/>
  <c r="Q168" i="1" s="1"/>
  <c r="N169" i="1"/>
  <c r="N170" i="1"/>
  <c r="N153" i="1"/>
  <c r="Q153" i="1"/>
  <c r="N154" i="1"/>
  <c r="N155" i="1"/>
  <c r="Q155" i="1"/>
  <c r="N156" i="1"/>
  <c r="N157" i="1"/>
  <c r="Q157" i="1" s="1"/>
  <c r="N158" i="1"/>
  <c r="Q158" i="1" s="1"/>
  <c r="N159" i="1"/>
  <c r="N160" i="1"/>
  <c r="N161" i="1"/>
  <c r="Q161" i="1" s="1"/>
  <c r="N162" i="1"/>
  <c r="Q162" i="1" s="1"/>
  <c r="Q185" i="1"/>
  <c r="Q186" i="1"/>
  <c r="N188" i="1"/>
  <c r="N189" i="1"/>
  <c r="N190" i="1"/>
  <c r="N191" i="1"/>
  <c r="Q191" i="1" s="1"/>
  <c r="N192" i="1"/>
  <c r="N193" i="1"/>
  <c r="Q193" i="1"/>
  <c r="N194" i="1"/>
  <c r="N195" i="1"/>
  <c r="Q195" i="1" s="1"/>
  <c r="N197" i="1"/>
  <c r="Q197" i="1" s="1"/>
  <c r="N198" i="1"/>
  <c r="N199" i="1"/>
  <c r="N200" i="1"/>
  <c r="Q200" i="1" s="1"/>
  <c r="N201" i="1"/>
  <c r="Q201" i="1" s="1"/>
  <c r="N202" i="1"/>
  <c r="N203" i="1"/>
  <c r="N204" i="1"/>
  <c r="Q204" i="1" s="1"/>
  <c r="N205" i="1"/>
  <c r="Q208" i="1"/>
  <c r="Q212" i="1"/>
  <c r="N216" i="1"/>
  <c r="N217" i="1"/>
  <c r="Q217" i="1" s="1"/>
  <c r="N218" i="1"/>
  <c r="Q224" i="1"/>
  <c r="N226" i="1"/>
  <c r="Q226" i="1" s="1"/>
  <c r="N227" i="1"/>
  <c r="Q227" i="1" s="1"/>
  <c r="N228" i="1"/>
  <c r="Q228" i="1" s="1"/>
  <c r="N229" i="1"/>
  <c r="Q229" i="1" s="1"/>
  <c r="N230" i="1"/>
  <c r="Q230" i="1" s="1"/>
  <c r="N231" i="1"/>
  <c r="Q231" i="1" s="1"/>
  <c r="N232" i="1"/>
  <c r="Q232" i="1" s="1"/>
  <c r="N233" i="1"/>
  <c r="Q233" i="1"/>
  <c r="N235" i="1"/>
  <c r="N240" i="1"/>
  <c r="N242" i="1" s="1"/>
  <c r="N241" i="1"/>
  <c r="Q241" i="1" s="1"/>
  <c r="N243" i="1"/>
  <c r="N246" i="1" s="1"/>
  <c r="Q243" i="1"/>
  <c r="Q246" i="1" s="1"/>
  <c r="S246" i="1" s="1"/>
  <c r="Q244" i="1"/>
  <c r="Q245" i="1"/>
  <c r="N283" i="1"/>
  <c r="Q283" i="1"/>
  <c r="Q284" i="1" s="1"/>
  <c r="Q281" i="1"/>
  <c r="N276" i="1"/>
  <c r="Q276" i="1"/>
  <c r="N277" i="1"/>
  <c r="Q277" i="1" s="1"/>
  <c r="N270" i="1"/>
  <c r="N271" i="1"/>
  <c r="N272" i="1"/>
  <c r="Q272" i="1" s="1"/>
  <c r="N273" i="1"/>
  <c r="Q273" i="1" s="1"/>
  <c r="N262" i="1"/>
  <c r="N263" i="1"/>
  <c r="Q263" i="1" s="1"/>
  <c r="N252" i="1"/>
  <c r="N253" i="1"/>
  <c r="N254" i="1"/>
  <c r="Q254" i="1" s="1"/>
  <c r="N255" i="1"/>
  <c r="Q255" i="1"/>
  <c r="N256" i="1"/>
  <c r="N258" i="1"/>
  <c r="Q258" i="1" s="1"/>
  <c r="N259" i="1"/>
  <c r="N90" i="1"/>
  <c r="N111" i="1"/>
  <c r="N113" i="1"/>
  <c r="N174" i="1"/>
  <c r="N178" i="1"/>
  <c r="N187" i="1"/>
  <c r="N215" i="1"/>
  <c r="N225" i="1"/>
  <c r="N284" i="1"/>
  <c r="N281" i="1"/>
  <c r="N268" i="1"/>
  <c r="W250" i="1"/>
  <c r="J180" i="1"/>
  <c r="J181" i="1" s="1"/>
  <c r="K134" i="1"/>
  <c r="Q45" i="4" l="1"/>
  <c r="S45" i="4" s="1"/>
  <c r="J45" i="4"/>
  <c r="U45" i="4"/>
  <c r="I32" i="4"/>
  <c r="J32" i="4" s="1"/>
  <c r="J34" i="4" s="1"/>
  <c r="Q32" i="4"/>
  <c r="S32" i="4" s="1"/>
  <c r="J23" i="4"/>
  <c r="Q23" i="4"/>
  <c r="S23" i="4" s="1"/>
  <c r="N219" i="1"/>
  <c r="Q58" i="1"/>
  <c r="Q61" i="1" s="1"/>
  <c r="N61" i="1"/>
  <c r="Q159" i="1"/>
  <c r="E60" i="5"/>
  <c r="U18" i="4"/>
  <c r="J13" i="4"/>
  <c r="J86" i="4"/>
  <c r="Q86" i="4"/>
  <c r="Q78" i="4"/>
  <c r="S78" i="4" s="1"/>
  <c r="J78" i="4"/>
  <c r="U78" i="4"/>
  <c r="U57" i="4"/>
  <c r="Q57" i="4"/>
  <c r="S57" i="4" s="1"/>
  <c r="J57" i="4"/>
  <c r="N150" i="1"/>
  <c r="Q235" i="1"/>
  <c r="Q239" i="1" s="1"/>
  <c r="S239" i="1" s="1"/>
  <c r="N239" i="1"/>
  <c r="Q188" i="1"/>
  <c r="H100" i="1"/>
  <c r="U100" i="1" s="1"/>
  <c r="Q38" i="1"/>
  <c r="U37" i="4"/>
  <c r="J37" i="4"/>
  <c r="Q62" i="4"/>
  <c r="S62" i="4" s="1"/>
  <c r="Q18" i="4"/>
  <c r="S18" i="4" s="1"/>
  <c r="Q77" i="4"/>
  <c r="S77" i="4" s="1"/>
  <c r="Q198" i="1"/>
  <c r="Q29" i="4"/>
  <c r="S29" i="4" s="1"/>
  <c r="P29" i="4"/>
  <c r="Q27" i="4"/>
  <c r="S27" i="4" s="1"/>
  <c r="J27" i="4"/>
  <c r="U27" i="4"/>
  <c r="U23" i="4"/>
  <c r="Q122" i="1"/>
  <c r="Q256" i="1"/>
  <c r="N68" i="1"/>
  <c r="Q37" i="1"/>
  <c r="N43" i="1"/>
  <c r="Q28" i="1"/>
  <c r="Q118" i="4"/>
  <c r="Q105" i="4"/>
  <c r="U102" i="4"/>
  <c r="U89" i="4"/>
  <c r="Q271" i="1"/>
  <c r="Q274" i="1" s="1"/>
  <c r="Q192" i="1"/>
  <c r="Q147" i="1"/>
  <c r="Q143" i="1"/>
  <c r="Q139" i="1"/>
  <c r="Q118" i="1"/>
  <c r="Q95" i="1"/>
  <c r="Q91" i="1"/>
  <c r="Q73" i="1"/>
  <c r="F15" i="6"/>
  <c r="H15" i="6" s="1"/>
  <c r="F39" i="6"/>
  <c r="H39" i="6" s="1"/>
  <c r="F122" i="6"/>
  <c r="F118" i="6"/>
  <c r="H118" i="6" s="1"/>
  <c r="F114" i="6"/>
  <c r="F110" i="6"/>
  <c r="H110" i="6" s="1"/>
  <c r="F102" i="6"/>
  <c r="F95" i="6"/>
  <c r="H95" i="6" s="1"/>
  <c r="F88" i="6"/>
  <c r="H88" i="6" s="1"/>
  <c r="F84" i="6"/>
  <c r="H84" i="6" s="1"/>
  <c r="F80" i="6"/>
  <c r="H80" i="6" s="1"/>
  <c r="F76" i="6"/>
  <c r="H76" i="6" s="1"/>
  <c r="F131" i="6"/>
  <c r="E64" i="5"/>
  <c r="U51" i="4"/>
  <c r="J77" i="4"/>
  <c r="J81" i="4" s="1"/>
  <c r="J44" i="4"/>
  <c r="P56" i="4"/>
  <c r="N125" i="4"/>
  <c r="Q113" i="4"/>
  <c r="H114" i="4"/>
  <c r="T21" i="4"/>
  <c r="Q205" i="1"/>
  <c r="Q169" i="1"/>
  <c r="Q171" i="1" s="1"/>
  <c r="S171" i="1" s="1"/>
  <c r="Q135" i="1"/>
  <c r="Q98" i="1"/>
  <c r="Q94" i="1"/>
  <c r="Q76" i="1"/>
  <c r="Q72" i="1"/>
  <c r="Q42" i="1"/>
  <c r="Q29" i="1"/>
  <c r="H187" i="1"/>
  <c r="U187" i="1" s="1"/>
  <c r="Q96" i="1"/>
  <c r="Q92" i="1"/>
  <c r="Q74" i="1"/>
  <c r="H55" i="1"/>
  <c r="U55" i="1" s="1"/>
  <c r="F48" i="6"/>
  <c r="H48" i="6" s="1"/>
  <c r="F126" i="6"/>
  <c r="F133" i="6"/>
  <c r="F45" i="6"/>
  <c r="H45" i="6" s="1"/>
  <c r="F61" i="6"/>
  <c r="H61" i="6" s="1"/>
  <c r="F94" i="6"/>
  <c r="F87" i="6"/>
  <c r="H87" i="6" s="1"/>
  <c r="F79" i="6"/>
  <c r="H79" i="6" s="1"/>
  <c r="F136" i="6"/>
  <c r="H136" i="6" s="1"/>
  <c r="F155" i="6"/>
  <c r="U16" i="4"/>
  <c r="U36" i="4"/>
  <c r="J26" i="4"/>
  <c r="P67" i="4"/>
  <c r="Q72" i="4"/>
  <c r="S72" i="4" s="1"/>
  <c r="Q79" i="4"/>
  <c r="S79" i="4" s="1"/>
  <c r="Q75" i="4"/>
  <c r="S75" i="4" s="1"/>
  <c r="Q70" i="4"/>
  <c r="S70" i="4" s="1"/>
  <c r="Q58" i="4"/>
  <c r="S58" i="4" s="1"/>
  <c r="H268" i="1"/>
  <c r="U268" i="1" s="1"/>
  <c r="Q266" i="1"/>
  <c r="Q268" i="1" s="1"/>
  <c r="Q54" i="1"/>
  <c r="H43" i="1"/>
  <c r="U43" i="1" s="1"/>
  <c r="Q49" i="4"/>
  <c r="S49" i="4" s="1"/>
  <c r="U49" i="4"/>
  <c r="J49" i="4"/>
  <c r="N278" i="1"/>
  <c r="Q278" i="1"/>
  <c r="Q234" i="1"/>
  <c r="S234" i="1" s="1"/>
  <c r="Q154" i="1"/>
  <c r="N163" i="1"/>
  <c r="H260" i="1"/>
  <c r="U260" i="1" s="1"/>
  <c r="H125" i="1"/>
  <c r="U125" i="1" s="1"/>
  <c r="N206" i="1"/>
  <c r="Q111" i="1"/>
  <c r="S111" i="1" s="1"/>
  <c r="N55" i="1"/>
  <c r="N24" i="1"/>
  <c r="Q203" i="1"/>
  <c r="Q199" i="1"/>
  <c r="Q206" i="1" s="1"/>
  <c r="S206" i="1" s="1"/>
  <c r="Q194" i="1"/>
  <c r="Q190" i="1"/>
  <c r="H96" i="4"/>
  <c r="U87" i="4"/>
  <c r="J87" i="4"/>
  <c r="Q87" i="4"/>
  <c r="S87" i="4" s="1"/>
  <c r="N264" i="1"/>
  <c r="N234" i="1"/>
  <c r="N247" i="1" s="1"/>
  <c r="N196" i="1"/>
  <c r="N220" i="1" s="1"/>
  <c r="N248" i="1" s="1"/>
  <c r="N171" i="1"/>
  <c r="Q240" i="1"/>
  <c r="Q242" i="1" s="1"/>
  <c r="S242" i="1" s="1"/>
  <c r="Q216" i="1"/>
  <c r="Q160" i="1"/>
  <c r="H163" i="1"/>
  <c r="Q156" i="1"/>
  <c r="Q140" i="1"/>
  <c r="J90" i="4"/>
  <c r="U90" i="4"/>
  <c r="H24" i="1"/>
  <c r="Q187" i="1"/>
  <c r="Q131" i="1"/>
  <c r="Q41" i="1"/>
  <c r="H264" i="1"/>
  <c r="U264" i="1" s="1"/>
  <c r="H206" i="1"/>
  <c r="U206" i="1" s="1"/>
  <c r="H171" i="1"/>
  <c r="H179" i="1" s="1"/>
  <c r="H148" i="1"/>
  <c r="U148" i="1" s="1"/>
  <c r="H36" i="1"/>
  <c r="U36" i="1" s="1"/>
  <c r="T180" i="1"/>
  <c r="E39" i="5"/>
  <c r="E88" i="5"/>
  <c r="U43" i="4"/>
  <c r="U47" i="4"/>
  <c r="J79" i="4"/>
  <c r="J75" i="4"/>
  <c r="J70" i="4"/>
  <c r="J30" i="4"/>
  <c r="J17" i="4"/>
  <c r="O33" i="4"/>
  <c r="P33" i="4" s="1"/>
  <c r="Q106" i="4"/>
  <c r="Q54" i="4"/>
  <c r="S54" i="4" s="1"/>
  <c r="Q63" i="4"/>
  <c r="S63" i="4" s="1"/>
  <c r="Q35" i="4"/>
  <c r="Q68" i="4"/>
  <c r="S68" i="4" s="1"/>
  <c r="Q259" i="1"/>
  <c r="Q260" i="1" s="1"/>
  <c r="N274" i="1"/>
  <c r="Q225" i="1"/>
  <c r="Q170" i="1"/>
  <c r="Q127" i="1"/>
  <c r="Q123" i="1"/>
  <c r="Q116" i="1"/>
  <c r="Q71" i="1"/>
  <c r="Q49" i="1"/>
  <c r="Q218" i="1"/>
  <c r="H134" i="1"/>
  <c r="H116" i="6"/>
  <c r="U17" i="4"/>
  <c r="U22" i="4"/>
  <c r="U26" i="4"/>
  <c r="U58" i="4"/>
  <c r="J58" i="4"/>
  <c r="J54" i="4"/>
  <c r="J47" i="4"/>
  <c r="N63" i="4"/>
  <c r="N106" i="4"/>
  <c r="S86" i="4"/>
  <c r="Q65" i="4"/>
  <c r="S65" i="4" s="1"/>
  <c r="Q22" i="4"/>
  <c r="S22" i="4" s="1"/>
  <c r="H28" i="4"/>
  <c r="H61" i="1"/>
  <c r="U61" i="1" s="1"/>
  <c r="T248" i="1"/>
  <c r="F162" i="6"/>
  <c r="H162" i="6" s="1"/>
  <c r="U105" i="4"/>
  <c r="P72" i="4"/>
  <c r="P81" i="4" s="1"/>
  <c r="P62" i="4"/>
  <c r="S89" i="4"/>
  <c r="Q80" i="4"/>
  <c r="S80" i="4" s="1"/>
  <c r="Q122" i="4"/>
  <c r="S122" i="4" s="1"/>
  <c r="Q59" i="4"/>
  <c r="S59" i="4" s="1"/>
  <c r="Q31" i="4"/>
  <c r="S31" i="4" s="1"/>
  <c r="T28" i="4"/>
  <c r="T52" i="4"/>
  <c r="T82" i="4" s="1"/>
  <c r="S61" i="1"/>
  <c r="U163" i="1"/>
  <c r="U24" i="1"/>
  <c r="S225" i="1"/>
  <c r="S247" i="1" s="1"/>
  <c r="Q247" i="1"/>
  <c r="H151" i="1"/>
  <c r="U151" i="1" s="1"/>
  <c r="U134" i="1"/>
  <c r="T181" i="1"/>
  <c r="S187" i="1"/>
  <c r="H215" i="1"/>
  <c r="F17" i="6"/>
  <c r="H17" i="6" s="1"/>
  <c r="F42" i="6"/>
  <c r="H42" i="6" s="1"/>
  <c r="F56" i="6"/>
  <c r="H56" i="6" s="1"/>
  <c r="F34" i="5"/>
  <c r="E34" i="5"/>
  <c r="F20" i="5"/>
  <c r="D44" i="5"/>
  <c r="N148" i="1"/>
  <c r="N36" i="1"/>
  <c r="Q90" i="1"/>
  <c r="H219" i="1"/>
  <c r="F11" i="6"/>
  <c r="H11" i="6" s="1"/>
  <c r="F13" i="6"/>
  <c r="H13" i="6" s="1"/>
  <c r="H27" i="6"/>
  <c r="F29" i="6"/>
  <c r="H29" i="6" s="1"/>
  <c r="F31" i="6"/>
  <c r="H31" i="6" s="1"/>
  <c r="F52" i="6"/>
  <c r="H52" i="6" s="1"/>
  <c r="F54" i="6"/>
  <c r="H54" i="6" s="1"/>
  <c r="H63" i="6"/>
  <c r="F65" i="6"/>
  <c r="H65" i="6" s="1"/>
  <c r="F71" i="6"/>
  <c r="H71" i="6"/>
  <c r="F73" i="6"/>
  <c r="H73" i="6"/>
  <c r="H90" i="6"/>
  <c r="H114" i="6"/>
  <c r="H122" i="6"/>
  <c r="F124" i="6"/>
  <c r="H124" i="6" s="1"/>
  <c r="H126" i="6"/>
  <c r="H133" i="6"/>
  <c r="H141" i="6"/>
  <c r="F159" i="6"/>
  <c r="H159" i="6" s="1"/>
  <c r="F33" i="6"/>
  <c r="H33" i="6" s="1"/>
  <c r="H57" i="6"/>
  <c r="F62" i="6"/>
  <c r="H62" i="6" s="1"/>
  <c r="F121" i="6"/>
  <c r="H121" i="6" s="1"/>
  <c r="F113" i="6"/>
  <c r="H113" i="6" s="1"/>
  <c r="F105" i="6"/>
  <c r="H105" i="6" s="1"/>
  <c r="H100" i="6"/>
  <c r="F97" i="6"/>
  <c r="H97" i="6" s="1"/>
  <c r="F89" i="6"/>
  <c r="H89" i="6" s="1"/>
  <c r="F81" i="6"/>
  <c r="H81" i="6" s="1"/>
  <c r="F128" i="6"/>
  <c r="H128" i="6" s="1"/>
  <c r="H139" i="6"/>
  <c r="F156" i="6"/>
  <c r="H156" i="6" s="1"/>
  <c r="H151" i="6"/>
  <c r="F148" i="6"/>
  <c r="H148" i="6" s="1"/>
  <c r="F145" i="6"/>
  <c r="H145" i="6" s="1"/>
  <c r="F142" i="6"/>
  <c r="H142" i="6"/>
  <c r="P20" i="4"/>
  <c r="P21" i="4" s="1"/>
  <c r="N21" i="4"/>
  <c r="H274" i="1"/>
  <c r="U274" i="1" s="1"/>
  <c r="F19" i="6"/>
  <c r="H19" i="6" s="1"/>
  <c r="F40" i="6"/>
  <c r="H40" i="6" s="1"/>
  <c r="F44" i="6"/>
  <c r="H44" i="6" s="1"/>
  <c r="N134" i="1"/>
  <c r="Q100" i="1"/>
  <c r="S100" i="1" s="1"/>
  <c r="Q145" i="1"/>
  <c r="Q141" i="1"/>
  <c r="Q137" i="1"/>
  <c r="Q133" i="1"/>
  <c r="Q129" i="1"/>
  <c r="Q134" i="1" s="1"/>
  <c r="S134" i="1" s="1"/>
  <c r="Q121" i="1"/>
  <c r="Q117" i="1"/>
  <c r="H77" i="1"/>
  <c r="U77" i="1" s="1"/>
  <c r="Q70" i="1"/>
  <c r="Q77" i="1" s="1"/>
  <c r="S77" i="1" s="1"/>
  <c r="Q51" i="1"/>
  <c r="Q47" i="1"/>
  <c r="Q39" i="1"/>
  <c r="Q43" i="1" s="1"/>
  <c r="S43" i="1" s="1"/>
  <c r="Q35" i="1"/>
  <c r="Q31" i="1"/>
  <c r="Q27" i="1"/>
  <c r="Q23" i="1"/>
  <c r="Q19" i="1"/>
  <c r="Q15" i="1"/>
  <c r="F16" i="6"/>
  <c r="H16" i="6" s="1"/>
  <c r="F18" i="6"/>
  <c r="H18" i="6" s="1"/>
  <c r="F20" i="6"/>
  <c r="H20" i="6" s="1"/>
  <c r="F22" i="6"/>
  <c r="H22" i="6" s="1"/>
  <c r="F23" i="6"/>
  <c r="H23" i="6" s="1"/>
  <c r="F24" i="6"/>
  <c r="H24" i="6" s="1"/>
  <c r="F25" i="6"/>
  <c r="H25" i="6" s="1"/>
  <c r="F26" i="6"/>
  <c r="H26" i="6" s="1"/>
  <c r="F41" i="6"/>
  <c r="H41" i="6"/>
  <c r="F43" i="6"/>
  <c r="H43" i="6" s="1"/>
  <c r="F67" i="6"/>
  <c r="H67" i="6"/>
  <c r="H82" i="6"/>
  <c r="H125" i="6"/>
  <c r="F132" i="6"/>
  <c r="H132" i="6" s="1"/>
  <c r="F140" i="6"/>
  <c r="H140" i="6" s="1"/>
  <c r="F163" i="6"/>
  <c r="H163" i="6" s="1"/>
  <c r="E164" i="6"/>
  <c r="H161" i="6"/>
  <c r="F21" i="6"/>
  <c r="H21" i="6" s="1"/>
  <c r="F64" i="6"/>
  <c r="H64" i="6" s="1"/>
  <c r="F68" i="6"/>
  <c r="H68" i="6" s="1"/>
  <c r="F115" i="6"/>
  <c r="H115" i="6" s="1"/>
  <c r="F107" i="6"/>
  <c r="H107" i="6" s="1"/>
  <c r="H102" i="6"/>
  <c r="F99" i="6"/>
  <c r="H99" i="6" s="1"/>
  <c r="H94" i="6"/>
  <c r="F91" i="6"/>
  <c r="H91" i="6" s="1"/>
  <c r="F83" i="6"/>
  <c r="H83" i="6" s="1"/>
  <c r="F75" i="6"/>
  <c r="H75" i="6" s="1"/>
  <c r="F158" i="6"/>
  <c r="H158" i="6" s="1"/>
  <c r="H153" i="6"/>
  <c r="F150" i="6"/>
  <c r="H150" i="6" s="1"/>
  <c r="F147" i="6"/>
  <c r="H147" i="6" s="1"/>
  <c r="F144" i="6"/>
  <c r="H144" i="6" s="1"/>
  <c r="N260" i="1"/>
  <c r="N125" i="1"/>
  <c r="N100" i="1"/>
  <c r="N114" i="1" s="1"/>
  <c r="N77" i="1"/>
  <c r="Q262" i="1"/>
  <c r="Q264" i="1" s="1"/>
  <c r="Q209" i="1"/>
  <c r="Q215" i="1" s="1"/>
  <c r="Q68" i="1"/>
  <c r="S68" i="1" s="1"/>
  <c r="H225" i="1"/>
  <c r="H247" i="1" s="1"/>
  <c r="H196" i="1"/>
  <c r="U196" i="1" s="1"/>
  <c r="H111" i="1"/>
  <c r="U111" i="1" s="1"/>
  <c r="H90" i="1"/>
  <c r="F10" i="6"/>
  <c r="H10" i="6" s="1"/>
  <c r="F12" i="6"/>
  <c r="H12" i="6" s="1"/>
  <c r="F14" i="6"/>
  <c r="H14" i="6" s="1"/>
  <c r="F28" i="6"/>
  <c r="H28" i="6" s="1"/>
  <c r="F30" i="6"/>
  <c r="H30" i="6" s="1"/>
  <c r="F32" i="6"/>
  <c r="H32" i="6" s="1"/>
  <c r="F34" i="6"/>
  <c r="H34" i="6" s="1"/>
  <c r="F35" i="6"/>
  <c r="H35" i="6" s="1"/>
  <c r="F36" i="6"/>
  <c r="H36" i="6" s="1"/>
  <c r="F37" i="6"/>
  <c r="H37" i="6" s="1"/>
  <c r="F38" i="6"/>
  <c r="H38" i="6" s="1"/>
  <c r="F53" i="6"/>
  <c r="H53" i="6" s="1"/>
  <c r="F70" i="6"/>
  <c r="H70" i="6"/>
  <c r="F72" i="6"/>
  <c r="H72" i="6" s="1"/>
  <c r="F74" i="6"/>
  <c r="H74" i="6" s="1"/>
  <c r="F123" i="6"/>
  <c r="H123" i="6" s="1"/>
  <c r="F127" i="6"/>
  <c r="H127" i="6" s="1"/>
  <c r="F129" i="6"/>
  <c r="H129" i="6" s="1"/>
  <c r="F130" i="6"/>
  <c r="H130" i="6" s="1"/>
  <c r="F137" i="6"/>
  <c r="H137" i="6" s="1"/>
  <c r="F138" i="6"/>
  <c r="H138" i="6" s="1"/>
  <c r="F160" i="6"/>
  <c r="H160" i="6"/>
  <c r="C163" i="6"/>
  <c r="I163" i="6" s="1"/>
  <c r="I162" i="6"/>
  <c r="F9" i="6"/>
  <c r="H9" i="6" s="1"/>
  <c r="F55" i="6"/>
  <c r="H55" i="6" s="1"/>
  <c r="F66" i="6"/>
  <c r="H66" i="6" s="1"/>
  <c r="F117" i="6"/>
  <c r="H117" i="6" s="1"/>
  <c r="F109" i="6"/>
  <c r="H109" i="6" s="1"/>
  <c r="F106" i="6"/>
  <c r="H106" i="6" s="1"/>
  <c r="H104" i="6"/>
  <c r="F101" i="6"/>
  <c r="H101" i="6" s="1"/>
  <c r="F98" i="6"/>
  <c r="H98" i="6" s="1"/>
  <c r="H96" i="6"/>
  <c r="F93" i="6"/>
  <c r="H93" i="6" s="1"/>
  <c r="F85" i="6"/>
  <c r="H85" i="6" s="1"/>
  <c r="F77" i="6"/>
  <c r="H77" i="6" s="1"/>
  <c r="H131" i="6"/>
  <c r="F134" i="6"/>
  <c r="H134" i="6" s="1"/>
  <c r="F157" i="6"/>
  <c r="H157" i="6" s="1"/>
  <c r="H155" i="6"/>
  <c r="F152" i="6"/>
  <c r="H152" i="6" s="1"/>
  <c r="F149" i="6"/>
  <c r="H149" i="6" s="1"/>
  <c r="F143" i="6"/>
  <c r="H143" i="6" s="1"/>
  <c r="D17" i="5"/>
  <c r="E7" i="5"/>
  <c r="N96" i="4"/>
  <c r="P92" i="4"/>
  <c r="F146" i="6"/>
  <c r="H146" i="6" s="1"/>
  <c r="E13" i="5"/>
  <c r="D89" i="5"/>
  <c r="F71" i="5"/>
  <c r="P55" i="4"/>
  <c r="P60" i="4" s="1"/>
  <c r="N60" i="4"/>
  <c r="H110" i="4"/>
  <c r="U108" i="4"/>
  <c r="Q108" i="4"/>
  <c r="Q110" i="4" s="1"/>
  <c r="U109" i="4"/>
  <c r="T110" i="4"/>
  <c r="U110" i="4" s="1"/>
  <c r="U122" i="4"/>
  <c r="U114" i="4"/>
  <c r="N114" i="4"/>
  <c r="Q112" i="4"/>
  <c r="Q114" i="4" s="1"/>
  <c r="H60" i="4"/>
  <c r="U60" i="4" s="1"/>
  <c r="U53" i="4"/>
  <c r="Q20" i="4"/>
  <c r="S20" i="4" s="1"/>
  <c r="J20" i="4"/>
  <c r="J16" i="4"/>
  <c r="H21" i="4"/>
  <c r="U21" i="4" s="1"/>
  <c r="Q16" i="4"/>
  <c r="O52" i="4"/>
  <c r="Q94" i="4"/>
  <c r="S94" i="4" s="1"/>
  <c r="Q90" i="4"/>
  <c r="S90" i="4" s="1"/>
  <c r="H63" i="4"/>
  <c r="U63" i="4" s="1"/>
  <c r="U61" i="4"/>
  <c r="J24" i="4"/>
  <c r="Q24" i="4"/>
  <c r="Q19" i="4"/>
  <c r="S19" i="4" s="1"/>
  <c r="J19" i="4"/>
  <c r="J28" i="4"/>
  <c r="I28" i="4" s="1"/>
  <c r="P63" i="4"/>
  <c r="O63" i="4" s="1"/>
  <c r="S95" i="4"/>
  <c r="Q30" i="4"/>
  <c r="P30" i="4"/>
  <c r="P34" i="4" s="1"/>
  <c r="N34" i="4"/>
  <c r="H125" i="4"/>
  <c r="H100" i="4"/>
  <c r="U100" i="4" s="1"/>
  <c r="Q98" i="4"/>
  <c r="Q100" i="4" s="1"/>
  <c r="Q93" i="4"/>
  <c r="S93" i="4" s="1"/>
  <c r="U93" i="4"/>
  <c r="H81" i="4"/>
  <c r="U81" i="4" s="1"/>
  <c r="Q66" i="4"/>
  <c r="T15" i="4"/>
  <c r="T39" i="4" s="1"/>
  <c r="Q91" i="4"/>
  <c r="S91" i="4" s="1"/>
  <c r="P91" i="4"/>
  <c r="H106" i="4"/>
  <c r="Q92" i="4"/>
  <c r="S92" i="4" s="1"/>
  <c r="J92" i="4"/>
  <c r="J96" i="4" s="1"/>
  <c r="Q50" i="4"/>
  <c r="S50" i="4" s="1"/>
  <c r="J50" i="4"/>
  <c r="J52" i="4" s="1"/>
  <c r="S47" i="4"/>
  <c r="H52" i="4"/>
  <c r="Q43" i="4"/>
  <c r="T106" i="4"/>
  <c r="U106" i="4" s="1"/>
  <c r="U104" i="4"/>
  <c r="N81" i="4"/>
  <c r="Q121" i="4"/>
  <c r="S121" i="4" s="1"/>
  <c r="H38" i="4"/>
  <c r="U38" i="4" s="1"/>
  <c r="J35" i="4"/>
  <c r="J38" i="4" s="1"/>
  <c r="T96" i="4"/>
  <c r="Q55" i="4"/>
  <c r="H34" i="4"/>
  <c r="U34" i="4" s="1"/>
  <c r="Q12" i="4"/>
  <c r="J12" i="4"/>
  <c r="J15" i="4" s="1"/>
  <c r="H15" i="4"/>
  <c r="T125" i="4"/>
  <c r="N151" i="1" l="1"/>
  <c r="J60" i="4"/>
  <c r="I60" i="4" s="1"/>
  <c r="N285" i="1"/>
  <c r="Q55" i="1"/>
  <c r="S55" i="1" s="1"/>
  <c r="Q125" i="1"/>
  <c r="Q163" i="1"/>
  <c r="S163" i="1" s="1"/>
  <c r="S179" i="1" s="1"/>
  <c r="P96" i="4"/>
  <c r="N78" i="1"/>
  <c r="N79" i="1" s="1"/>
  <c r="N181" i="1" s="1"/>
  <c r="N249" i="1" s="1"/>
  <c r="N287" i="1" s="1"/>
  <c r="N56" i="1"/>
  <c r="H56" i="1"/>
  <c r="N179" i="1"/>
  <c r="N180" i="1" s="1"/>
  <c r="Q196" i="1"/>
  <c r="S196" i="1" s="1"/>
  <c r="S220" i="1" s="1"/>
  <c r="S248" i="1" s="1"/>
  <c r="S96" i="4"/>
  <c r="Q36" i="1"/>
  <c r="S36" i="1" s="1"/>
  <c r="Q148" i="1"/>
  <c r="S148" i="1" s="1"/>
  <c r="Q285" i="1"/>
  <c r="Q38" i="4"/>
  <c r="S35" i="4"/>
  <c r="S38" i="4" s="1"/>
  <c r="H39" i="4"/>
  <c r="U39" i="4" s="1"/>
  <c r="O34" i="4"/>
  <c r="Q24" i="1"/>
  <c r="S24" i="1" s="1"/>
  <c r="S56" i="1" s="1"/>
  <c r="S79" i="1" s="1"/>
  <c r="U28" i="4"/>
  <c r="Q125" i="4"/>
  <c r="S78" i="1"/>
  <c r="H78" i="1"/>
  <c r="U78" i="1" s="1"/>
  <c r="Q219" i="1"/>
  <c r="S219" i="1" s="1"/>
  <c r="O81" i="4"/>
  <c r="S215" i="1"/>
  <c r="S126" i="4"/>
  <c r="I96" i="4"/>
  <c r="J126" i="4"/>
  <c r="P126" i="4"/>
  <c r="O96" i="4"/>
  <c r="S55" i="4"/>
  <c r="S60" i="4" s="1"/>
  <c r="Q60" i="4"/>
  <c r="J82" i="4"/>
  <c r="I52" i="4"/>
  <c r="O60" i="4"/>
  <c r="P82" i="4"/>
  <c r="E89" i="5"/>
  <c r="F89" i="5"/>
  <c r="F164" i="6"/>
  <c r="I15" i="4"/>
  <c r="Q52" i="4"/>
  <c r="S43" i="4"/>
  <c r="S52" i="4" s="1"/>
  <c r="U15" i="4"/>
  <c r="I34" i="4"/>
  <c r="I81" i="4"/>
  <c r="H220" i="1"/>
  <c r="N39" i="4"/>
  <c r="T249" i="1"/>
  <c r="Q179" i="1"/>
  <c r="Q78" i="1"/>
  <c r="N126" i="4"/>
  <c r="S125" i="1"/>
  <c r="Q151" i="1"/>
  <c r="H285" i="1"/>
  <c r="U285" i="1" s="1"/>
  <c r="Q15" i="4"/>
  <c r="S12" i="4"/>
  <c r="S15" i="4" s="1"/>
  <c r="T126" i="4"/>
  <c r="U96" i="4"/>
  <c r="H82" i="4"/>
  <c r="U82" i="4" s="1"/>
  <c r="U52" i="4"/>
  <c r="Q96" i="4"/>
  <c r="S66" i="4"/>
  <c r="S81" i="4" s="1"/>
  <c r="Q81" i="4"/>
  <c r="S24" i="4"/>
  <c r="S28" i="4" s="1"/>
  <c r="Q28" i="4"/>
  <c r="J21" i="4"/>
  <c r="I21" i="4" s="1"/>
  <c r="H126" i="4"/>
  <c r="H114" i="1"/>
  <c r="U90" i="1"/>
  <c r="P39" i="4"/>
  <c r="O21" i="4"/>
  <c r="F44" i="5"/>
  <c r="E44" i="5"/>
  <c r="S16" i="4"/>
  <c r="S21" i="4" s="1"/>
  <c r="R21" i="4" s="1"/>
  <c r="Q21" i="4"/>
  <c r="F17" i="5"/>
  <c r="D45" i="5"/>
  <c r="H79" i="1"/>
  <c r="U56" i="1"/>
  <c r="U125" i="4"/>
  <c r="Q34" i="4"/>
  <c r="S30" i="4"/>
  <c r="S34" i="4" s="1"/>
  <c r="R34" i="4" s="1"/>
  <c r="T83" i="4"/>
  <c r="N82" i="4"/>
  <c r="E17" i="5"/>
  <c r="S90" i="1"/>
  <c r="S114" i="1" s="1"/>
  <c r="Q114" i="1"/>
  <c r="Q126" i="4" l="1"/>
  <c r="S151" i="1"/>
  <c r="S180" i="1" s="1"/>
  <c r="S181" i="1" s="1"/>
  <c r="S249" i="1" s="1"/>
  <c r="S287" i="1" s="1"/>
  <c r="S290" i="1" s="1"/>
  <c r="S292" i="1" s="1"/>
  <c r="Q56" i="1"/>
  <c r="Q220" i="1"/>
  <c r="Q248" i="1" s="1"/>
  <c r="V248" i="1" s="1"/>
  <c r="Q180" i="1"/>
  <c r="R126" i="4"/>
  <c r="R28" i="4"/>
  <c r="Q79" i="1"/>
  <c r="I126" i="4"/>
  <c r="R52" i="4"/>
  <c r="J39" i="4"/>
  <c r="J83" i="4" s="1"/>
  <c r="I39" i="4"/>
  <c r="E45" i="5"/>
  <c r="E91" i="5" s="1"/>
  <c r="F45" i="5"/>
  <c r="D91" i="5"/>
  <c r="Q39" i="4"/>
  <c r="T287" i="1"/>
  <c r="Q82" i="4"/>
  <c r="R60" i="4"/>
  <c r="R79" i="1"/>
  <c r="U79" i="1"/>
  <c r="H180" i="1"/>
  <c r="U180" i="1" s="1"/>
  <c r="U114" i="1"/>
  <c r="S82" i="4"/>
  <c r="R81" i="4"/>
  <c r="N83" i="4"/>
  <c r="N128" i="4" s="1"/>
  <c r="O82" i="4"/>
  <c r="H83" i="4"/>
  <c r="H128" i="4" s="1"/>
  <c r="P83" i="4"/>
  <c r="O39" i="4"/>
  <c r="S39" i="4"/>
  <c r="R15" i="4"/>
  <c r="T128" i="4"/>
  <c r="U126" i="4"/>
  <c r="H248" i="1"/>
  <c r="U248" i="1" s="1"/>
  <c r="U220" i="1"/>
  <c r="I82" i="4"/>
  <c r="N289" i="1"/>
  <c r="N290" i="1" s="1"/>
  <c r="N292" i="1" s="1"/>
  <c r="O126" i="4"/>
  <c r="R96" i="4"/>
  <c r="Q181" i="1" l="1"/>
  <c r="Q249" i="1" s="1"/>
  <c r="Q287" i="1" s="1"/>
  <c r="R82" i="4"/>
  <c r="R248" i="1"/>
  <c r="U83" i="4"/>
  <c r="Q83" i="4"/>
  <c r="T130" i="4"/>
  <c r="U128" i="4"/>
  <c r="D93" i="5"/>
  <c r="D94" i="5" s="1"/>
  <c r="F94" i="5" s="1"/>
  <c r="F91" i="5"/>
  <c r="B5" i="1"/>
  <c r="Q289" i="1"/>
  <c r="B6" i="1" s="1"/>
  <c r="S83" i="4"/>
  <c r="R39" i="4"/>
  <c r="P128" i="4"/>
  <c r="O83" i="4"/>
  <c r="Q128" i="4"/>
  <c r="I83" i="4"/>
  <c r="J128" i="4"/>
  <c r="T290" i="1"/>
  <c r="N129" i="4"/>
  <c r="N130" i="4" s="1"/>
  <c r="H129" i="4"/>
  <c r="U129" i="4" s="1"/>
  <c r="H181" i="1"/>
  <c r="Q290" i="1" l="1"/>
  <c r="Q292" i="1" s="1"/>
  <c r="H249" i="1"/>
  <c r="U181" i="1"/>
  <c r="O128" i="4"/>
  <c r="P130" i="4"/>
  <c r="O130" i="4" s="1"/>
  <c r="F93" i="5"/>
  <c r="E93" i="5"/>
  <c r="E94" i="5" s="1"/>
  <c r="Q129" i="4"/>
  <c r="Q130" i="4" s="1"/>
  <c r="V83" i="4" s="1"/>
  <c r="B7" i="1"/>
  <c r="J130" i="4"/>
  <c r="I128" i="4"/>
  <c r="R25" i="1"/>
  <c r="R285" i="1"/>
  <c r="R260" i="1"/>
  <c r="R249" i="1"/>
  <c r="H130" i="4"/>
  <c r="T292" i="1"/>
  <c r="S128" i="4"/>
  <c r="R83" i="4"/>
  <c r="U130" i="4"/>
  <c r="I130" i="4" l="1"/>
  <c r="H287" i="1"/>
  <c r="U249" i="1"/>
  <c r="R128" i="4"/>
  <c r="S130" i="4"/>
  <c r="R130" i="4" s="1"/>
  <c r="H289" i="1" l="1"/>
  <c r="H290" i="1" s="1"/>
  <c r="U287" i="1"/>
  <c r="H292" i="1" l="1"/>
  <c r="U292" i="1" s="1"/>
  <c r="U290" i="1"/>
  <c r="M30" i="9"/>
  <c r="M26"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author>
  </authors>
  <commentList>
    <comment ref="C17" authorId="0" shapeId="0" xr:uid="{00000000-0006-0000-0600-000001000000}">
      <text>
        <r>
          <rPr>
            <b/>
            <sz val="9"/>
            <color indexed="81"/>
            <rFont val="Tahoma"/>
            <family val="2"/>
          </rPr>
          <t>DELL: Ici nous travaillons avec l'Association locale Amusco</t>
        </r>
        <r>
          <rPr>
            <sz val="9"/>
            <color indexed="81"/>
            <rFont val="Tahoma"/>
            <family val="2"/>
          </rPr>
          <t xml:space="preserve">
</t>
        </r>
      </text>
    </comment>
    <comment ref="V17" authorId="0" shapeId="0" xr:uid="{00000000-0006-0000-0600-000002000000}">
      <text>
        <r>
          <rPr>
            <b/>
            <sz val="9"/>
            <color indexed="81"/>
            <rFont val="Tahoma"/>
            <family val="2"/>
          </rPr>
          <t>DELL:</t>
        </r>
        <r>
          <rPr>
            <sz val="9"/>
            <color indexed="81"/>
            <rFont val="Tahoma"/>
            <family val="2"/>
          </rPr>
          <t xml:space="preserve">
Ajusté de 8 à 11</t>
        </r>
      </text>
    </comment>
    <comment ref="AD17" authorId="0" shapeId="0" xr:uid="{00000000-0006-0000-0600-000003000000}">
      <text>
        <r>
          <rPr>
            <b/>
            <sz val="9"/>
            <color indexed="81"/>
            <rFont val="Tahoma"/>
            <family val="2"/>
          </rPr>
          <t>KY:</t>
        </r>
        <r>
          <rPr>
            <sz val="9"/>
            <color indexed="81"/>
            <rFont val="Tahoma"/>
            <family val="2"/>
          </rPr>
          <t xml:space="preserve">
Dotation en matériels aux partenaires locaux:
*ordinateur=450$
*Moto senke=648$
*imprimante=250$
*generateur=150$
STAFF suplémentaire:
*1 para-juriste=200*8=1600
*prime animateur=2*25$*11*=550$.</t>
        </r>
      </text>
    </comment>
    <comment ref="U66" authorId="0" shapeId="0" xr:uid="{00000000-0006-0000-0600-000004000000}">
      <text>
        <r>
          <rPr>
            <b/>
            <sz val="9"/>
            <color indexed="81"/>
            <rFont val="Tahoma"/>
            <family val="2"/>
          </rPr>
          <t>KY:</t>
        </r>
        <r>
          <rPr>
            <sz val="9"/>
            <color indexed="81"/>
            <rFont val="Tahoma"/>
            <family val="2"/>
          </rPr>
          <t xml:space="preserve">
*Affiche=500$
*dépliant=500$
*tee-shirt=2000$
*bandérole=300$
*autocolant=1000$
*calendrier coopi=1134$
</t>
        </r>
      </text>
    </comment>
  </commentList>
</comments>
</file>

<file path=xl/sharedStrings.xml><?xml version="1.0" encoding="utf-8"?>
<sst xmlns="http://schemas.openxmlformats.org/spreadsheetml/2006/main" count="2820" uniqueCount="1340">
  <si>
    <t xml:space="preserve">Fonds de Coherence pour la Stabilisation: Budget par Activité </t>
  </si>
  <si>
    <t>(a) Nom de l'organisation:</t>
  </si>
  <si>
    <t>ACIAR</t>
  </si>
  <si>
    <t>(b) Titre du Projet:</t>
  </si>
  <si>
    <t>Pamoja kwa Amani (Ensemble pour la paix)</t>
  </si>
  <si>
    <t xml:space="preserve">(c) Pour la Periode: </t>
  </si>
  <si>
    <t>Juin 2017-Mai 2019</t>
  </si>
  <si>
    <t>(d) Total du Budget (USD):</t>
  </si>
  <si>
    <r>
      <t>(e) GMS 7%  (USD)_</t>
    </r>
    <r>
      <rPr>
        <b/>
        <sz val="10"/>
        <color rgb="FFFF0000"/>
        <rFont val="Calibri"/>
        <family val="2"/>
        <scheme val="minor"/>
      </rPr>
      <t>Couts Indirects (max 7%:</t>
    </r>
  </si>
  <si>
    <t xml:space="preserve">(f) Budget TOTAL </t>
  </si>
  <si>
    <t>PRODUITS</t>
  </si>
  <si>
    <t>ACTIVITES</t>
  </si>
  <si>
    <t>CATEGORIES DE DEPENSE*</t>
  </si>
  <si>
    <t>Organisation Lead</t>
  </si>
  <si>
    <t>Quantite</t>
  </si>
  <si>
    <t>Cout Unitaire</t>
  </si>
  <si>
    <t>Duree/           Frequence</t>
  </si>
  <si>
    <t xml:space="preserve"> Budget Année 1</t>
  </si>
  <si>
    <t>% du Budget Genre</t>
  </si>
  <si>
    <t>Montant de l'activite lie au genre</t>
  </si>
  <si>
    <t>Budget Année 2</t>
  </si>
  <si>
    <t>BUDGET TOTAL</t>
  </si>
  <si>
    <t>% Budget total liee au genre ***</t>
  </si>
  <si>
    <t>Montant total lie au genre</t>
  </si>
  <si>
    <t>Depenses Réelles</t>
  </si>
  <si>
    <t>% par rapport au prévu</t>
  </si>
  <si>
    <t>Explication des écarts</t>
  </si>
  <si>
    <t xml:space="preserve">COUTS DIRECTS LIES AUX ACTIVITES </t>
  </si>
  <si>
    <t>Objectif spécifique 1:
Soutien accru et inclusif (impliquant l'Etat et les différents groupes de population : les hommes, les femmes, les filles et les garçons) pour la stratégie de stabilisation et de sécurité, au niveau communautaire</t>
  </si>
  <si>
    <t>Résultat  1.1: 
Les Solutions de Paix  aux problèmes, sont adoptées et endossées par les parties prenantes aux différents niveaux (Province, Nation, etc.) et mise en œuvre</t>
  </si>
  <si>
    <t xml:space="preserve">Produit 1.1.1 : les problématiques  de conflits sont connues dans la zone d’intervention </t>
  </si>
  <si>
    <t>activités 1.1.1.1: Barza Communautaires</t>
  </si>
  <si>
    <t>Location salle de réunion pour barza Communautaire</t>
  </si>
  <si>
    <t xml:space="preserve">Services Contractuels </t>
  </si>
  <si>
    <t>C'est une consommation normale. Le premier tour des barza a été réalisé et puis il y a des dépenses mensuelles qui sont exécutées au rythme régulier.</t>
  </si>
  <si>
    <t>Repas et pause café au cours du Barza</t>
  </si>
  <si>
    <t>Couverture médiatique du barza</t>
  </si>
  <si>
    <t>Fournitures pédagogiques pour barza</t>
  </si>
  <si>
    <t>Fournitures, produits de base, materiels</t>
  </si>
  <si>
    <t>Frais Itinérance pour équipe animateurs</t>
  </si>
  <si>
    <t>Frais de deplacement</t>
  </si>
  <si>
    <t>Achat carburant véhicule pour Barza</t>
  </si>
  <si>
    <t>Frais généraux de fonctionnement et autres coûts directs</t>
  </si>
  <si>
    <t>Achat carburant moto pour Barza</t>
  </si>
  <si>
    <t>Frais Itinérance coordinateur ACIAR</t>
  </si>
  <si>
    <t>Frais communication téléphone</t>
  </si>
  <si>
    <t>Location d'une pick up pour suivi des activités terrain</t>
  </si>
  <si>
    <t>Total</t>
  </si>
  <si>
    <t>Activité 1.1.1.2. : Approfondissement et analyse des problèmes prioritaires retenus dans des focus group.</t>
  </si>
  <si>
    <t>Frais recherche sur les différents thèmes</t>
  </si>
  <si>
    <t xml:space="preserve">Transferts et subventions </t>
  </si>
  <si>
    <t>Cette ligne aussi connaît une consommation régulière, sauf que un léger retard car nous sommes encore en train de travailler plus sur une seule problématique"L'éradication de la FRPI" et là nous n'avons plus besoin des approfondissements car nous attendons le feu vert des autorités pour pousser plus loin les activités.</t>
  </si>
  <si>
    <t>Location trois motos pour recherche sur terrain</t>
  </si>
  <si>
    <t>Location des salles de réunions</t>
  </si>
  <si>
    <t>Frais de transport des participants</t>
  </si>
  <si>
    <t>Fournitures pour atelier avec les focus groups</t>
  </si>
  <si>
    <t>Repas et pause café pour les participants</t>
  </si>
  <si>
    <t>Carburant pour les motos pour suivi</t>
  </si>
  <si>
    <t>carburant pour véhicule</t>
  </si>
  <si>
    <t xml:space="preserve">Frais itinérance animateurs </t>
  </si>
  <si>
    <t xml:space="preserve">Frais itinérance Coordinateur </t>
  </si>
  <si>
    <t>S/Total</t>
  </si>
  <si>
    <t>Activité 1.1.1.3 : Approfondissement;  interviews et documentation sur les problèmes prioritaires avec des personnalités Clés de la communauté.</t>
  </si>
  <si>
    <t>Frais pour organisation entretien par site</t>
  </si>
  <si>
    <t>Nous avons connu un léger dépassement car nous avons affecté les fonds prévu sur cette ligne; aux réalisations d'un point de la feuille de route produit de la session de Leadership à savoir la recherche des cartes coloniales pour régler les conflits fonciers des limites des terres. les missions à kinshasa et en Europe ont été prises en charge dans ce cadre.</t>
  </si>
  <si>
    <t>Fonds souples pour documentations diverses</t>
  </si>
  <si>
    <t>Carburants pour les véhicules</t>
  </si>
  <si>
    <t>Activité 1.1.1.4. : Réunions bimestrielles de suivi des ILP</t>
  </si>
  <si>
    <t>Frais suivi et accompagnement des ILP</t>
  </si>
  <si>
    <t>La problématique FRPI, nous a pris tout le temps au lancement du projet, cela a freiné un peu la réalisation des activités régulières programmées dans le cadre du projet.</t>
  </si>
  <si>
    <t>Frais de remplissage fiches de monitoring</t>
  </si>
  <si>
    <t>Location salle pour organisation réunion Bimensuelle</t>
  </si>
  <si>
    <t>restauration au cours de la réunion mensuelle</t>
  </si>
  <si>
    <t>Remboursement des frais de transport des participants</t>
  </si>
  <si>
    <t>Fournitures pédagogiques participants</t>
  </si>
  <si>
    <t>Carburant pour les véhicules</t>
  </si>
  <si>
    <t>Frais itinérance animateurs et chauffeurs</t>
  </si>
  <si>
    <t>Sous total Produit 1.1.1.</t>
  </si>
  <si>
    <t xml:space="preserve">Produit 1.1.2: Les priorités de plans d’action inclusifs et sensibles au genre sont rassemblées dans les conventions sectorielles </t>
  </si>
  <si>
    <t>Activité 1.1.2.1 : Plaidoyer et suivi des résolutions au niveau local et provincial</t>
  </si>
  <si>
    <t>Repas et pause café Réunion Assemblée Provinciale</t>
  </si>
  <si>
    <t>Peu d'activités ont été menées dans ce cadre étant donné que, la session sur le Leadership Cohésif et la réunion du Comité Consultatif du projet, aide déjà a bien mené un plaidoyer au niveau provincial.</t>
  </si>
  <si>
    <t>Divers frais fournitures et autres</t>
  </si>
  <si>
    <t xml:space="preserve">Couverture médiatique </t>
  </si>
  <si>
    <t>Activité 1.1.2.2 : Plaidoyer au niveau National et autres.</t>
  </si>
  <si>
    <t>Billet pour mission de plaidoyer à Kinshasa</t>
  </si>
  <si>
    <t>Beaucoup d'activités ont été initiées par le ST du projet dès le lancement du projet : 1° Les activités du groupe d'engagement politique, et 2° l'Eradication du phénomène FRPI a ressorti comme première priorité du projet, ce qui a entraîné plusieurs voyages de plaidoyer au niveau national. Chaquefois une autorisation du ST soutient ce changement.</t>
  </si>
  <si>
    <t>Prise en charge de la réunion avec les membres du Caucus des parlementaires de l'Ituri à Kin</t>
  </si>
  <si>
    <t>Différents transports taxi à Kinshasa</t>
  </si>
  <si>
    <t>Fonds souples pour besoins divers à Kinshasa</t>
  </si>
  <si>
    <t>DSA pour les membres de la délégation</t>
  </si>
  <si>
    <t>Frais de couverture médiatique du plaidoyer</t>
  </si>
  <si>
    <t>A.1.1.2.3. Réunions de Comité Consultatif du projet</t>
  </si>
  <si>
    <t xml:space="preserve">Pour besoin d'informer les communautés de l'évolutions des activités par rapport aux recommandations de la session sur le Leadership; une première réunion extraordinaire du Comité Consultatif du projet a été réalisé, bien que non prévu. Cela explique cette réalisation hative de 74% </t>
  </si>
  <si>
    <t>Logement et prise en charge des participants à la réunion</t>
  </si>
  <si>
    <t>restauration au cours de l'atelier</t>
  </si>
  <si>
    <t>Location salle de la formation</t>
  </si>
  <si>
    <t>Indemnités pour agents</t>
  </si>
  <si>
    <t>Fournitures pour les participants</t>
  </si>
  <si>
    <t>Honaires des experts pour la formation</t>
  </si>
  <si>
    <t>Sous total Produit 1.1.2</t>
  </si>
  <si>
    <t>Ce dépassement est du à la réalisation des activités de Plaidoyer au niveau National la première année pourtant cela était prévu la deuxième année.</t>
  </si>
  <si>
    <t>Sous total RESULTAT 1.1</t>
  </si>
  <si>
    <t xml:space="preserve">Résultat  1.2:  Les mécanismes de transformation  des conflits sont mis en place </t>
  </si>
  <si>
    <t>Produit 1.2.1: Les structures locales de transformation de conflits sont renforcées et opérationnelles</t>
  </si>
  <si>
    <t xml:space="preserve">Activité 1.2.1.1: Organisation d'un atelier de lancement du Projet.  </t>
  </si>
  <si>
    <t>Location de la salle de réunion pour deux jours</t>
  </si>
  <si>
    <t>cette activité a été normallement réalisée. Plus des gens ont forcé pour participer ce qui explique ce leger dépassement dans l'utilisation des fonds.</t>
  </si>
  <si>
    <t>Frais itinérance pour les animateurs ACIAR</t>
  </si>
  <si>
    <t>carburant pour les véhicules</t>
  </si>
  <si>
    <t>Fournitures pour session</t>
  </si>
  <si>
    <t xml:space="preserve"> Activité 1.2.1.2. : Sessions de renforcement des capacités des membres des ILP </t>
  </si>
  <si>
    <t>Location salle de réunions pour la formation</t>
  </si>
  <si>
    <t>Ce dépassement sur le budget, est justifié par une mauvaise planification et estimation des coûts. Nous avons prévu travailler sur 4 sites regroupement des ILP mais dans la réalisation nous avons eu 5 sites de regroupements, avec 19 ILP au lieu des 16 prévus dans le document du Projet.</t>
  </si>
  <si>
    <t>restauration des participants à la formation</t>
  </si>
  <si>
    <t>logement et restauration du soir des non résident</t>
  </si>
  <si>
    <t>Remboursement transport des non résident</t>
  </si>
  <si>
    <t>Remboursement transport des  personnes du site</t>
  </si>
  <si>
    <t>FI des animateurs sessions formation ILP</t>
  </si>
  <si>
    <t>Activité 1.2.1.3 : Session de formation sur le Leadership Cohésif</t>
  </si>
  <si>
    <t>Nous avons connu un grand engouement pour la réalisation de cette session. Aussi pour répondre au principe de l'inclusivité, nous avons sous pression doublé le nombre des participants et surtout avec des députés nationaux et sénateurs qui sont venus directement de Kin. cela a doublé les frais, mais nous avons eu l'autorisation du secrétariat technique qui a autorisé de l'argent de la ligne sur les cérémonies des accords de paix pour réussir cette session si importante.</t>
  </si>
  <si>
    <t>Logement et prise en charge des participants à la session</t>
  </si>
  <si>
    <t>Ideminités pour agents</t>
  </si>
  <si>
    <t>Frais de transport pour les experts en Leadership</t>
  </si>
  <si>
    <t>Perdiem pour les experts pendant la formation</t>
  </si>
  <si>
    <t xml:space="preserve"> Activité 1.2.1.4 : Equipement des ILP</t>
  </si>
  <si>
    <t>Appui aux initiatives d'autonomisation des CLES</t>
  </si>
  <si>
    <t>cette activité n'a pas encore démarré, espérons au trimestre IV, car les bénéficiaires réclament.</t>
  </si>
  <si>
    <t>Sous total Produit 1.2.1</t>
  </si>
  <si>
    <t>Par rapport aux trois trimestres la consommation du budget est normal</t>
  </si>
  <si>
    <t xml:space="preserve">Produit 1.2.2: Les cadres de dialogues sont facilités </t>
  </si>
  <si>
    <t>Activité 1.2.2.1. Les cadres de Concertation au niveau des chefferies</t>
  </si>
  <si>
    <t>les activités n'ont pas démarré.</t>
  </si>
  <si>
    <t>Remboursement des frais de transport participants non résidant</t>
  </si>
  <si>
    <t>Payement frais de transport aux résidents</t>
  </si>
  <si>
    <t>FI animateurs Cadres de Concertation</t>
  </si>
  <si>
    <t>FI Coordinateur pour cadre de concertation</t>
  </si>
  <si>
    <t>fournitures pour les participants</t>
  </si>
  <si>
    <t>Activité 1.2.2.2 : Les médiations pour des conflits spécifiques</t>
  </si>
  <si>
    <t>Locations de la salle de réunion pour deux jours</t>
  </si>
  <si>
    <t>Les médiations n'ont pas démarré; l'attention étant plus fixée sur le FRPI.</t>
  </si>
  <si>
    <t xml:space="preserve">Remboursement des frais de transport participants </t>
  </si>
  <si>
    <t>restauration au cours de la médiation</t>
  </si>
  <si>
    <t>Activité 1.2.2.3 : Les conférences inclusives ou tables rondes</t>
  </si>
  <si>
    <t>En principe cette dépense devait être affectée sur le plaidoyer national, car nous avons utilisé les fonds pour financer les réunions suivantes au niveau de Kinshasa: 1° l'atelier de l'élaboration du Plan de démobilisation FRPI, l'atelier de finalisation de ce plan et la réunion du Comité de suivi du STAREC sur le phénomène FRPI. Nous avons eu l'autorisation du Secrétariat Technique pour opérer tous ces changements.</t>
  </si>
  <si>
    <t>restauration des participants à la table ronde</t>
  </si>
  <si>
    <t>Logement et restaurantion du soir pour les non résidant</t>
  </si>
  <si>
    <t>Rembousement frais de transport aux personnalité de Bunia</t>
  </si>
  <si>
    <t>logement et restauration du soir des participants venus de Bunia</t>
  </si>
  <si>
    <t>Transport pour les autres invités locaux</t>
  </si>
  <si>
    <t>Fournitures pour la session des participants</t>
  </si>
  <si>
    <t>FI des animateurs pour soutenir organisation</t>
  </si>
  <si>
    <t>Frais d'itinérance du Coordinateur</t>
  </si>
  <si>
    <t xml:space="preserve">Honoraires pour quelques </t>
  </si>
  <si>
    <t>Activité 1.2.2.4 : Les célébrations des signatures des accords de Paix</t>
  </si>
  <si>
    <t>Forfait buget à élaborer plus tard</t>
  </si>
  <si>
    <t>cette activité n'est pas encore programmée.</t>
  </si>
  <si>
    <t>Sous total Produit 1.2.2</t>
  </si>
  <si>
    <t xml:space="preserve">Produit 1.2.3: Les résultats et solutions du processus de dialogue sont partagés </t>
  </si>
  <si>
    <t>Activité1.2.3.1. : Atelier d’élaboration des messages de sensibilisation</t>
  </si>
  <si>
    <t>Location des salles pour les ateliers</t>
  </si>
  <si>
    <t>activité pas encore réalisée</t>
  </si>
  <si>
    <t>Frais de transport des résidents</t>
  </si>
  <si>
    <t>restauration pendant les travaux</t>
  </si>
  <si>
    <t>FI des animateurs atelier élaboration message de sensibilisation</t>
  </si>
  <si>
    <t>Honoraires à payer aux experts pour élaboration des messages</t>
  </si>
  <si>
    <t>Activité 1.2.3.2. Production des outils de sensibilisation</t>
  </si>
  <si>
    <t>Visa pour séjour en Uganda de deux personnes</t>
  </si>
  <si>
    <t>Activité pas encore réalisée.</t>
  </si>
  <si>
    <t>Frais entrée et sortie véhicules</t>
  </si>
  <si>
    <t>assurance Véhicules</t>
  </si>
  <si>
    <t>Frais de mission equipe ACIAR</t>
  </si>
  <si>
    <t>Production T shirt</t>
  </si>
  <si>
    <t>Production des affiches et dépliants</t>
  </si>
  <si>
    <t xml:space="preserve">Activité 1.2.3.3 : Diffusion des messages de sensibilisation à travers les ILP et autres leaders communautaires. </t>
  </si>
  <si>
    <t>Soutien aux ILP pour pour les séances de sensibilisation</t>
  </si>
  <si>
    <t>activité pas encore réalisée.</t>
  </si>
  <si>
    <t>Activité 1.2.3.4 : Diffusion des messages de sensibilisation à SFCG</t>
  </si>
  <si>
    <t>Soutien aux radios communautaires pour sensibilisation</t>
  </si>
  <si>
    <t>Sous total Produit 1.2.3</t>
  </si>
  <si>
    <t>Sous total RESULTAT 1.2</t>
  </si>
  <si>
    <t>Sous-total Objective Specifique 1</t>
  </si>
  <si>
    <t xml:space="preserve">Objectif spécifique 6: La cohésion sociale intra et intercommunautaire et la résilience des communautés sont renforcées grâce à des activités de relance économique et de réintégration des jeunes « à risques » </t>
  </si>
  <si>
    <t>Résultat 6.3 : L’instauration de mécanismes de micro finance durables et profitables a tous ont renforces la résilience des membres des communautés ciblées</t>
  </si>
  <si>
    <t>Produit 6.3.1 : Les MUSO renforcées et opérationnelles</t>
  </si>
  <si>
    <t xml:space="preserve">Activité 6.3.1.1 : Identification et sensibilisation à la création des nouvelles Muso (au cours des barza communautaires) </t>
  </si>
  <si>
    <t>Frais location des salles pour les réunions sensibilisations</t>
  </si>
  <si>
    <t>Activité normalement réalisée.</t>
  </si>
  <si>
    <t>Frais matériels pour pédagogiques pour réunions</t>
  </si>
  <si>
    <t>total</t>
  </si>
  <si>
    <t xml:space="preserve">Activité 6.3.1.2 : Formation des cadres des Muso </t>
  </si>
  <si>
    <t>Location de formation des membres comité Groupement des MUSO</t>
  </si>
  <si>
    <t>restauration des participation formation</t>
  </si>
  <si>
    <t>Fournitures pédagogiques pour les participants à la session</t>
  </si>
  <si>
    <t xml:space="preserve">Remboursement des frais de transport </t>
  </si>
  <si>
    <t>Frais Itinérance animateurs Muso</t>
  </si>
  <si>
    <t>Activité 6.3.1.3. : Suivi et accompagnement des MUSO Activité 6.3.1.4 : Réunions bimestrielles d’échanges d’expériences entre les Muso</t>
  </si>
  <si>
    <t>Animation et accompagnement des Muso</t>
  </si>
  <si>
    <t xml:space="preserve">La faible utilisation des fonds se justifient par la longue tournée à cause du grand nombre des Muso nous faisons des tournées plus longues. </t>
  </si>
  <si>
    <t>Location salle de réunion mensuelle Muso</t>
  </si>
  <si>
    <t>location d'un pick up pour les missions staff Muso</t>
  </si>
  <si>
    <t>Communication télephone</t>
  </si>
  <si>
    <t>Activité 6.3.1.5. : Accompagnement à l’élaboration des RI des MUSO</t>
  </si>
  <si>
    <t>l'activité n'était pas encore réalisée.</t>
  </si>
  <si>
    <t>Remboursement des frais de transport des personnes non résidents</t>
  </si>
  <si>
    <t>Activité 6.3.1.6: Enquêtes de classification</t>
  </si>
  <si>
    <t>Frais enquêtes de classification</t>
  </si>
  <si>
    <t>L'activité n'était pas encore réalisée.</t>
  </si>
  <si>
    <t>carburant pour motos</t>
  </si>
  <si>
    <t>perdiem consultant pendant les enquêtes</t>
  </si>
  <si>
    <t>sous total produit 6.3.1.</t>
  </si>
  <si>
    <t>Produit 6.3.2. : Les Groupements MUSO sont mise en place et contribuent à la pérennisation de l’outil Muso</t>
  </si>
  <si>
    <t>Activité 6.3.2.1 : Sensibilisation à la mise en place de Groupement de Muso</t>
  </si>
  <si>
    <t>Location salle de réunion</t>
  </si>
  <si>
    <t>restauration des participation lors de l'AG</t>
  </si>
  <si>
    <t>Divers fournitures pour l'animation de l'AG</t>
  </si>
  <si>
    <t xml:space="preserve">Activité 6.3.2.2. : Formation des membres des comités de groupement des MUSO </t>
  </si>
  <si>
    <t xml:space="preserve">Carburant pour les motos </t>
  </si>
  <si>
    <t>Activité 6.3.2.3 : Equipement et appui Caisse de Refinancement GM.</t>
  </si>
  <si>
    <t>Forfait</t>
  </si>
  <si>
    <t>Activité 6.3.2.4.  Suivi des MUSO par les animateurs endogènes et echange d'experience avec d'autres groupement économiques</t>
  </si>
  <si>
    <t>Frais de suivi des MUSO par animateurs endogènes</t>
  </si>
  <si>
    <t>Forunitures pour suivi des MUSO</t>
  </si>
  <si>
    <t xml:space="preserve">Activité 6.3.2.5 Appui organisationnel et statutaires (Assemblées Générales, Comité de Gestion, Comité des Sages, etc.) des Groupement des MUSO </t>
  </si>
  <si>
    <t>Frais forfétaire pour soutenir la réalisation des réunions statutaires</t>
  </si>
  <si>
    <t>sous total produit 6.3.2.</t>
  </si>
  <si>
    <t>Sous-total Objective Specifique 6</t>
  </si>
  <si>
    <t>SOUS-TOTAL COUTS DIRECTS LIES AUX ACTIVITES (au minimum 60% du budget total)</t>
  </si>
  <si>
    <t xml:space="preserve">COUTS DIRECTS DE SOUTIEN </t>
  </si>
  <si>
    <t xml:space="preserve"> 1) Personnel et autres employés (lies au soutien)</t>
  </si>
  <si>
    <t>Caissière projet</t>
  </si>
  <si>
    <t>Personnel et autres employés</t>
  </si>
  <si>
    <t>Consommation normale du budget par rapport au nombre des mois.</t>
  </si>
  <si>
    <t>Secrétaire logisticien</t>
  </si>
  <si>
    <t>Assistant  administratif du Projet</t>
  </si>
  <si>
    <t>Assistant financier du projet</t>
  </si>
  <si>
    <t>Chargée de Suivi - Evaluation du projet</t>
  </si>
  <si>
    <t>Chargé de Programme Dialogue Démocratique</t>
  </si>
  <si>
    <t>Coordinateur du Projet</t>
  </si>
  <si>
    <t>Chauffeurs</t>
  </si>
  <si>
    <t xml:space="preserve"> 2) Fournitures, produits de base, materiels (lies au soutien)</t>
  </si>
  <si>
    <t>fournitures de bureau</t>
  </si>
  <si>
    <t>Consommation normale, du budget</t>
  </si>
  <si>
    <t>Carburants et Lubrifiants pour les courses locales</t>
  </si>
  <si>
    <t>3) Equipements et mobilier (lies au soutien)</t>
  </si>
  <si>
    <t>Ordinateurs (Lap - top) pour agents du terrain et services d'appui</t>
  </si>
  <si>
    <t>Equipements et mobilier</t>
  </si>
  <si>
    <t>Pour répondre au besoin du projet nous avons acheté plus d'équipement pour les agents du projet. Les prévisions n'étaient pas bien faites.</t>
  </si>
  <si>
    <t>Mobiliers  pour équipements bureau</t>
  </si>
  <si>
    <t xml:space="preserve"> 4) Services Contractuels (lies au soutien)</t>
  </si>
  <si>
    <t xml:space="preserve">Location bureau </t>
  </si>
  <si>
    <t>Consommation noramale et certains retard de paiement de la connexion internet.</t>
  </si>
  <si>
    <t>Téléphone pour le bureau</t>
  </si>
  <si>
    <t>Connexion Internet</t>
  </si>
  <si>
    <t>Services de gardiennage</t>
  </si>
  <si>
    <t>5) Frais de deplacement (lies au soutien)</t>
  </si>
  <si>
    <t>Frais de suivi des opérations par les service des finances</t>
  </si>
  <si>
    <t>Missions</t>
  </si>
  <si>
    <t>Première mission à faire à la fin de la première année.</t>
  </si>
  <si>
    <t>Carburant pour le suivi du terrain</t>
  </si>
  <si>
    <t xml:space="preserve"> 6) Transferts et subventions (lies au soutien)</t>
  </si>
  <si>
    <t xml:space="preserve"> Transferts et subventions (lies au soutien)</t>
  </si>
  <si>
    <t>7) Frais généraux de fonctionnement et autres couts directs (lies au soutien)</t>
  </si>
  <si>
    <t>Frais generaux de fonctionnement et autres couts directs</t>
  </si>
  <si>
    <t>La consommation est normale.</t>
  </si>
  <si>
    <t>SOUS-TOTAL COUTS DIRECTS DE SOUTIEN (ne peuvent représentés plus de 35% du budget total)</t>
  </si>
  <si>
    <t>COUTS TOTAL DU PROGRAMME</t>
  </si>
  <si>
    <t>Year 1</t>
  </si>
  <si>
    <t>Year 2</t>
  </si>
  <si>
    <t>Cout total lies au genre (min. 15%) ***</t>
  </si>
  <si>
    <t>Couts Indirects (max 7%)**</t>
  </si>
  <si>
    <t>COUTS TOTAL (PROGRAMME + COUTS INDIRECTS)</t>
  </si>
  <si>
    <t>GMS 7% Agent de Gestion (USD)****</t>
  </si>
  <si>
    <t>Total Global</t>
  </si>
  <si>
    <t>Produits</t>
  </si>
  <si>
    <t>Activities / descriptions</t>
  </si>
  <si>
    <t>T1</t>
  </si>
  <si>
    <t>T2</t>
  </si>
  <si>
    <t>T3</t>
  </si>
  <si>
    <t>Dépenses réelles (T1+T2+T3)</t>
  </si>
  <si>
    <t>% par rapport au prévisionnel</t>
  </si>
  <si>
    <t>% consommé par rapport au budget année 1</t>
  </si>
  <si>
    <t>COUTS PROGRAMME PARTAGES</t>
  </si>
  <si>
    <t>Produit 6.1.1</t>
  </si>
  <si>
    <t>Responsable de Programme</t>
  </si>
  <si>
    <t>Produit 6.1.2</t>
  </si>
  <si>
    <t>Produit 6.1.3</t>
  </si>
  <si>
    <t>Produit 6.1.4</t>
  </si>
  <si>
    <t xml:space="preserve"> Produit 6.1.5</t>
  </si>
  <si>
    <t>personnel Support</t>
  </si>
  <si>
    <t>Responsable de Programme (Bunia) @20%</t>
  </si>
  <si>
    <t>Produit 6</t>
  </si>
  <si>
    <t>Program manager</t>
  </si>
  <si>
    <t>Officier Programme (2)</t>
  </si>
  <si>
    <t>Mobilisateur Communautaire (2)</t>
  </si>
  <si>
    <t>Assistant de programme</t>
  </si>
  <si>
    <t>Officier bureau terrain / programme (Bunia) @100%</t>
  </si>
  <si>
    <t>Déplacement pour suivi</t>
  </si>
  <si>
    <t>Frais Suivi et Evaluation</t>
  </si>
  <si>
    <t>Frais de Visibilité</t>
  </si>
  <si>
    <t>Sous-total couts prorgamme partages</t>
  </si>
  <si>
    <t>OBJECTIVE SPECIFIQUE 6</t>
  </si>
  <si>
    <t>Resultat 6.1 Le développement d’une agriculture plus productive et résiliente a réduit les tensions entre les agriculteurs et les éleveurs</t>
  </si>
  <si>
    <t>Etude de marche chaine de valeur et moyens de subsistance</t>
  </si>
  <si>
    <t xml:space="preserve">Cartographie des acteurs économiques </t>
  </si>
  <si>
    <t>Indentification et Soutien aux parcelles agricoles (IP)</t>
  </si>
  <si>
    <t>Formations/renforcement des Organisation d'Eleveurs</t>
  </si>
  <si>
    <t xml:space="preserve">Formations/renforcement des Organisation Agriculteurs </t>
  </si>
  <si>
    <t>Foire Agricoles</t>
  </si>
  <si>
    <t>Jours ouverts avec les fournisseurs de semences</t>
  </si>
  <si>
    <t xml:space="preserve">Soutien aux agriculteurs sur les parcelles de pâturage </t>
  </si>
  <si>
    <t>Renforcement des groupement collectives</t>
  </si>
  <si>
    <t xml:space="preserve">Activités de médiation </t>
  </si>
  <si>
    <t xml:space="preserve">Réunions/exchanges entre les acteurs de la chaine de valeur </t>
  </si>
  <si>
    <t>Sous-total Objective Specifique 3</t>
  </si>
  <si>
    <t>1.1 Personnel de support Goma - Expatrie</t>
  </si>
  <si>
    <t>Directeur National (Goma) @4%</t>
  </si>
  <si>
    <t>Directrice Adjointe - Programmes  (Goma) @4%</t>
  </si>
  <si>
    <t>Directeur Adjoint - Opérations  (Goma) @4%</t>
  </si>
  <si>
    <t>Directrice Financier (Goma) @4%</t>
  </si>
  <si>
    <t>Responsable des Achats (Goma) @4%</t>
  </si>
  <si>
    <t>Responsable RH admin (Goma) @4%</t>
  </si>
  <si>
    <t>Spécialiste de l'analyse de processus (Goma) @4%</t>
  </si>
  <si>
    <t>Conseillère genre (Goma) @4%</t>
  </si>
  <si>
    <t>Gestionnaire, Suivi, Evaluation et GIS (Goma) @4%</t>
  </si>
  <si>
    <t>Officier des communications (Goma) @2%</t>
  </si>
  <si>
    <t>Responsable Logistique (Goma) @4%</t>
  </si>
  <si>
    <t>Responsable financier (Goma) @4%</t>
  </si>
  <si>
    <t>Stagiaire (Goma) @4%</t>
  </si>
  <si>
    <t>1.2 Personnel de support Goma - National</t>
  </si>
  <si>
    <t>Responsible Sécuritaire @3%</t>
  </si>
  <si>
    <t>Officier Sécuritaire @3%</t>
  </si>
  <si>
    <t>Equipe Finance (5 - Goma) @3%</t>
  </si>
  <si>
    <t>Senior Finance Officer/Chief Accountant @3%</t>
  </si>
  <si>
    <t>Senior Account Officer @3%</t>
  </si>
  <si>
    <t>Assistant Financier - Banque @3%</t>
  </si>
  <si>
    <t>Assistant Financier - Caisse @3%</t>
  </si>
  <si>
    <t>Assistant Financier - Volant @3%</t>
  </si>
  <si>
    <t>Equipe des Ressources Humaines et Administratives (7-Goma) @3%</t>
  </si>
  <si>
    <t>Chef d'equipe RH @3%</t>
  </si>
  <si>
    <t>Data Base Manager @3%</t>
  </si>
  <si>
    <t>Officier RH - Volant @3%</t>
  </si>
  <si>
    <t>Assitant RH @3%</t>
  </si>
  <si>
    <t>Administratif de Liaison @3%</t>
  </si>
  <si>
    <t>Officier Administratif @3%</t>
  </si>
  <si>
    <t>Officier Appui contractuel @3%</t>
  </si>
  <si>
    <t>Equipe Achats (5-Goma) @3%</t>
  </si>
  <si>
    <t>Chef d'equipe Acheteurs @3%</t>
  </si>
  <si>
    <t>Officier Acheteur @3%</t>
  </si>
  <si>
    <t>Officier Data Base @3%</t>
  </si>
  <si>
    <t>Equipe Logistique (9-Goma) @3%</t>
  </si>
  <si>
    <t>Logisticien Volant @3%</t>
  </si>
  <si>
    <t>Officier Logistique @3%</t>
  </si>
  <si>
    <t>Officier des Assets @3%</t>
  </si>
  <si>
    <t>Officier Magasinier @3%</t>
  </si>
  <si>
    <t>Officier Charroi @3%</t>
  </si>
  <si>
    <t>Assistant Stock Database @3%</t>
  </si>
  <si>
    <t>Assistant Warehouse @3%</t>
  </si>
  <si>
    <t>Property Admin Assistant @3%</t>
  </si>
  <si>
    <t>Informaticien (1 - Goma) @3%</t>
  </si>
  <si>
    <t>Officier redevabilité (2 - Goma) @3%</t>
  </si>
  <si>
    <t>Officier des communications (1 - Goma) @3%</t>
  </si>
  <si>
    <t>SHARED STAFF (6 - Goma) @3%</t>
  </si>
  <si>
    <t>2.2.1 Divers équipements / fournitures</t>
  </si>
  <si>
    <t>3.1.1. vehicule type 4x4</t>
  </si>
  <si>
    <t>5.1 Goma - Bunia/ Bunia - Goma/ Bunia - Terrain</t>
  </si>
  <si>
    <t>5.2.1 Location de voiture, carburant - Bunia</t>
  </si>
  <si>
    <t>5.2.2 Location de voiture, carburant - Goma</t>
  </si>
  <si>
    <t>7.1.1. Autres frais généraux de fonctionnement et autres couts directs - Goma</t>
  </si>
  <si>
    <t>Honoraires Professionnels  (juidiques, etc.) @4%</t>
  </si>
  <si>
    <t>Location, réparation, et entretien d'équipment @4%</t>
  </si>
  <si>
    <t>Location, services collectifs, et entretien de bureau @4%</t>
  </si>
  <si>
    <t>Services de sécurité @4%</t>
  </si>
  <si>
    <t>Fournitures de bureau, etc @4%</t>
  </si>
  <si>
    <t>Communications mobiles, internet, etc. @4%</t>
  </si>
  <si>
    <t>Frais bancaires @4%</t>
  </si>
  <si>
    <t>7.1.2. Autres frais généraux de fonctionnement et autres couts directs - Bunia</t>
  </si>
  <si>
    <t>Office costs (rent, utilities, generator fuel)</t>
  </si>
  <si>
    <t>Internet</t>
  </si>
  <si>
    <t>Services de sécurité (33%)</t>
  </si>
  <si>
    <t>Ménagere</t>
  </si>
  <si>
    <t>Communications mobiles/cellulaires</t>
  </si>
  <si>
    <t>Réparation et entretien d’équipement</t>
  </si>
  <si>
    <t>Fournitures de bureau, services, etc</t>
  </si>
  <si>
    <t xml:space="preserve">Frais bancaires </t>
  </si>
  <si>
    <t>SOUS-TOTAL COUTS DIRECTS DE SOUTIEN</t>
  </si>
  <si>
    <t>Indirect costs recovery (7%)</t>
  </si>
  <si>
    <t>Rapport Financier au 30 Juin 2018</t>
  </si>
  <si>
    <t>Solde</t>
  </si>
  <si>
    <t>Commentaire</t>
  </si>
  <si>
    <t>BL</t>
  </si>
  <si>
    <t>Communication</t>
  </si>
  <si>
    <t xml:space="preserve">Les spots radiophoniques  de sensibilisation </t>
  </si>
  <si>
    <t>Spot Radio</t>
  </si>
  <si>
    <t xml:space="preserve">la production des spots radios seront faite apèrs la formation des journalistes des radios partenaires, </t>
  </si>
  <si>
    <t>Impression Bande dessiné</t>
  </si>
  <si>
    <t xml:space="preserve">Cette dépense sera exécutée après la validation de la bande dessinée produite par le consultant producteur   </t>
  </si>
  <si>
    <t>Consultance conception bande dessiné</t>
  </si>
  <si>
    <t>Le consultant est en cours de concevoir la bande dessinée, il sera donc payé une fois le travail finalisé et après validation du produit.</t>
  </si>
  <si>
    <t>Une magasine radio couvre le processus de dialogue</t>
  </si>
  <si>
    <t xml:space="preserve">Emission PAMOJA KWA AMANI </t>
  </si>
  <si>
    <t>16 émissions sont déjà produites et diffusées et 4 émissions sont en cours de production</t>
  </si>
  <si>
    <t>Formation des partenaires radio sur la le journalisme sensible aux conflits et le dialogue democratique</t>
  </si>
  <si>
    <t xml:space="preserve">Une formation avec les journalistes des radios partanaires est déjà réalisée, une autre est prévue au cours de ce mois d'Août 2018.  </t>
  </si>
  <si>
    <t>Frais de diffusion pour les produits media ("Jeune Reporteur", PAMOJA KWA AMANI)</t>
  </si>
  <si>
    <t xml:space="preserve">Cette ligne complètera la ligne de matériels d'appui aux radios partenaires. Ces frais seront payés au moment de la diffusion. </t>
  </si>
  <si>
    <t>Appui aux productions des partenaires radio</t>
  </si>
  <si>
    <t xml:space="preserve">Les besoins en matériels sont déjà identifiés auprès des radios partenaires et les processus d'achat est en cours. A ce stade, il ne reste que la livraison     </t>
  </si>
  <si>
    <t>Frais de déplacement</t>
  </si>
  <si>
    <t xml:space="preserve">Des missions d'identification des messages des spots radios, mission d'identification et sélection des radios partenaires dans les zones d'implémentation, mission d'appui à la co-production sont effectué dans les zones de mise en œuvre des activités.  </t>
  </si>
  <si>
    <t>Resoures humaines media</t>
  </si>
  <si>
    <t>Journalist du projet pour couverture mediatique</t>
  </si>
  <si>
    <t xml:space="preserve">Un journaliste est affecté pour ce projet tout son salaire est chargé sur cette ligne car il est totalement prix par ce projet.   </t>
  </si>
  <si>
    <t>Soutien technique équipe media (Chargée de media, écrivan, Expert production radio, Technicien radio)</t>
  </si>
  <si>
    <t xml:space="preserve">Tous les salaires des trois techniciens médias qui interviennent à titre d'appuis  pour ce projet est chargé sur cette ligne.   </t>
  </si>
  <si>
    <t>Sous-total Communication</t>
  </si>
  <si>
    <t>OBJECTIVE SPECIFIQUE 5:Le renforcement de la gouvernance sécuritaire ainsi que de la collaboration et de la redevabilité entre les autorités en charge de la sécurité et les populations permet de réduire les risques sécuritaires et de protection auxquels les femmes, les hommes, les jeunes et les enfants de la zone prioritaire sont exposés</t>
  </si>
  <si>
    <t xml:space="preserve"> Produit 5.1.3</t>
  </si>
  <si>
    <t>Activités de rapprochement et rédevabilité (J+)</t>
  </si>
  <si>
    <t xml:space="preserve">Ces activités ont été retardées à cause d'irrégularité de transfert des fonds à SFCG  
</t>
  </si>
  <si>
    <t>Cinema mobile  (J+)</t>
  </si>
  <si>
    <t>Kit cinema mobile  (J+)</t>
  </si>
  <si>
    <t xml:space="preserve">Le Kit est déjà acheté par le partanaire radio. </t>
  </si>
  <si>
    <t xml:space="preserve"> Produit 5.2.1</t>
  </si>
  <si>
    <t>Redynamisation de 4 CLS/CLSP</t>
  </si>
  <si>
    <t>3/4 CLSP ont été redynamisé durant la prémiere année de mise en œuvre. Il y a une surdépense suite à la sous-estimation du bugdet</t>
  </si>
  <si>
    <t>Formation des CLS/CLSP :</t>
  </si>
  <si>
    <t>3/4 CLSP sont déjà formé, il reste un seul qui attend la finalisation de construction du commissariat de la PNC (à Burasi).  Il est remarqué que le taux de consommation est élevé sur cette ligne alors qu’une activité reste non réalisée, il se justifie par le fait que le budget de chaque formation a été sous-estimé dès le départ.</t>
  </si>
  <si>
    <t>Appui au fonctionnement des CLS/CLSP</t>
  </si>
  <si>
    <t xml:space="preserve">3/4 CLSP bénéficie déjà de leur appui au fonctionnement. Toutefois la sous-dépense de cette ligne est justifiée par le fait que le processus de formation de ces 3/4 CLSP a pris largement du temps à cause de l'irrégularité de transfert de fond.   </t>
  </si>
  <si>
    <t>Produit 5.2.2</t>
  </si>
  <si>
    <t>Bulletin de score  (J+)</t>
  </si>
  <si>
    <t>Ces  activités sont en cours de réalisation et dont les dépenses ne sont pas encore chargées dans le système et non encore enregistré car ne sont pas encore finalisée  à la hauteur de 1425$</t>
  </si>
  <si>
    <t>Tribune d'expression populaire  (J+)</t>
  </si>
  <si>
    <t>Réunion developpement du Plan  (J+)</t>
  </si>
  <si>
    <t xml:space="preserve">Ces  activités sont en cours de réalisation et dont les dépenses ne sont pas encore chargées dans le système et non encore enregistré car ne sont pas encore finalisée. Il faut </t>
  </si>
  <si>
    <t>Validation du Plan  (J+)</t>
  </si>
  <si>
    <t xml:space="preserve">Cette ligne sera utilisée à la fin du processus de rédaction des plans locaux de sécurités pour les quatre entités administratives dans lesquelles on y trouve les 4 CLSP.  </t>
  </si>
  <si>
    <t>Produit 5.3.1</t>
  </si>
  <si>
    <t>Appui à la realisation des Plan de securité</t>
  </si>
  <si>
    <t>Redynamisation de 4 CdB  (J+)</t>
  </si>
  <si>
    <t xml:space="preserve">3/4 CdB sont déjà redynamisés, il reste un qui attend la finalisation du construction du commissariat de la PNC à Burasi. Les dépenses sont élevées sur cette ligne à cause de sous-estimation du budget dès le départ pour chaque CdB.  </t>
  </si>
  <si>
    <t>Formation des CdB sur les la transformation des conflits, genre et les droits de l'homme: salle, rafraichissement, accompagnateurs locaux  (J+)</t>
  </si>
  <si>
    <t xml:space="preserve">3/4 CdB ont déjà reçus la formation, il reste un qui attend la finalisation du construction du commissariat de la PNC à Burasi. Les dépenses sont élevées sur cette ligne à cause de sous-estimation du budget dès le départ pour chaque CdB.  </t>
  </si>
  <si>
    <t>Frais de fonctionnement CdB  (J+)</t>
  </si>
  <si>
    <t xml:space="preserve">En cours d'appui mensul. La sous dépense est justifiée par le fait que les formations des CdB ont été reatrdées à cause de l'irregularité de transfert de fond; alors que le paiement de ces frais est conditionnée par le début de la formation.  </t>
  </si>
  <si>
    <t>Activités de sensibilisation  (J+)</t>
  </si>
  <si>
    <t>Staff</t>
  </si>
  <si>
    <t>Coordinateur OS5--SFCG</t>
  </si>
  <si>
    <t xml:space="preserve">Cette ligne est une contribution au salaire du chef de projet </t>
  </si>
  <si>
    <t>Assistant au projet OS5-SFCG</t>
  </si>
  <si>
    <t xml:space="preserve">Cette ligne a été utilisée pour le payement du salaire de l'assistant au programme Pamoja kwa Amani pris en totalité par le projet,
</t>
  </si>
  <si>
    <t>Subvention partenaire mise en oeuvre Justice+  (J+)</t>
  </si>
  <si>
    <t xml:space="preserve">Cette ligne a été utilisée pour le paiement des salaires du personnel de l’organisation partenaire Justice Plus: Coordonnateur, Logisticien, financier, caissier, chauffeur, fourniture du bureau, logement et restauration des staffs lors de mission sur terrain, les frais de transport des participant lors d’identification et sélection des CLSP et CDB </t>
  </si>
  <si>
    <t>Sous-total Objective Specifique 5</t>
  </si>
  <si>
    <t xml:space="preserve">Directeur des Finances </t>
  </si>
  <si>
    <t>Cette ligne a servi pour le paiement de salaire du directeur de finance pour l'appui fait à ce projet.</t>
  </si>
  <si>
    <t>Directeur des Programs</t>
  </si>
  <si>
    <t>Idm</t>
  </si>
  <si>
    <t>Directeur Pays</t>
  </si>
  <si>
    <t>Program Associate</t>
  </si>
  <si>
    <t>Coordinatrice DME</t>
  </si>
  <si>
    <t>Expert Formation</t>
  </si>
  <si>
    <t>Assistant DME</t>
  </si>
  <si>
    <t>Chef de bureau (Goma)</t>
  </si>
  <si>
    <t xml:space="preserve">Idm, le sur dépense est justifié à cause de sous-estimation des dépense dès le départ.  </t>
  </si>
  <si>
    <t xml:space="preserve">Charge Administration et Finances (Goma) </t>
  </si>
  <si>
    <t xml:space="preserve">Idm, le surdépense est justifié à cause de sous-estimation des dépense dès le départ.  </t>
  </si>
  <si>
    <t>Assistant Administrateur-Comptable (Bunia)</t>
  </si>
  <si>
    <t xml:space="preserve">Idm, le sous dépense est justifié par le fait que pour une partie de la  premiere année, son salaire a été plus chargé sur un autre projet. </t>
  </si>
  <si>
    <t>Logistcien (Bunia)</t>
  </si>
  <si>
    <t>Chauffeur et mécanicien (Bunia)</t>
  </si>
  <si>
    <t>Sous-total Personnel de soutiens</t>
  </si>
  <si>
    <t xml:space="preserve">Matériel informatique pour le staff - ordinateur, imprimante, appareil photos </t>
  </si>
  <si>
    <t xml:space="preserve">Une partie des achats des équipements en matériels pour le Staff a été, en cas de besoin en matériels par les staffs du projet d'autres achats seront fait.  </t>
  </si>
  <si>
    <t xml:space="preserve">Fournitures de Bureaux Projet et Consommables </t>
  </si>
  <si>
    <t xml:space="preserve">Les fournitures de bureau ont été achetées pour cette période. La sous dépense est justifiée par le fait que l'achat des fournitures arrivent progressivement.  </t>
  </si>
  <si>
    <t>Sous-total Fournitures</t>
  </si>
  <si>
    <t>Entretien Générateur bureau (y compris carburant)</t>
  </si>
  <si>
    <t xml:space="preserve">Cette ligne est surchargée à cause des achats en équipement solaires et leurs installations  </t>
  </si>
  <si>
    <t>Sous-total Equipements</t>
  </si>
  <si>
    <t>Communication/contrat Vodacom</t>
  </si>
  <si>
    <t xml:space="preserve">Une partie de frais de paiement de facture de communication a été affectée à cette ligne, elle surchargé à cause de sous-estimation des dépense dès le départ.  </t>
  </si>
  <si>
    <t>Sécurité et netoyage bureau</t>
  </si>
  <si>
    <t xml:space="preserve">Cette ligne est déjà en négative car le budget disponible est inférieur par apport aux dépenses prévues.  </t>
  </si>
  <si>
    <t>Sous-total Service Contractuels</t>
  </si>
  <si>
    <t>Voyages staff de terrain (per diem et hébergement)</t>
  </si>
  <si>
    <t>Les dépenses de voyages de staffs en missions ont été enregistrées totalement sur cette ligne. Elle est siffusaments chargée car les dépenses ont été sous-estimées dès le départ.</t>
  </si>
  <si>
    <t xml:space="preserve">Vol nationaux </t>
  </si>
  <si>
    <t>Les dépenses de taxe de voyages de staffs en missions ont été enregistrées totalement sur cette ligne. Elle est siffusaments chargée car les dépenses ont été sous-estimées dès le départ.</t>
  </si>
  <si>
    <t>Sous-total Frais de déplacement</t>
  </si>
  <si>
    <t>Frais bancaires, services professionelle</t>
  </si>
  <si>
    <t xml:space="preserve">Toutes les opérations bancaires réalisées au cours de cette période ont été enregistrées à cette ligne, elle est surchargée à cause de la sous-estimation des dépenses sur cette ligne.  </t>
  </si>
  <si>
    <t>Location Bureau (Bunia)</t>
  </si>
  <si>
    <t xml:space="preserve">Une partie de loyé pour Bunia a été chargé sur un autre projet, toutefois d'autres payement de loyé traine encore raison pour laquelle cette ligne semble n'est pas dépensé. </t>
  </si>
  <si>
    <t>Location Bureau  (Goma)</t>
  </si>
  <si>
    <t xml:space="preserve">Dépense sous-estimées dés le départ. </t>
  </si>
  <si>
    <t>Electricité et eau</t>
  </si>
  <si>
    <t xml:space="preserve">Cette lignes à servie pour l'achat des matériels servant à l'installation de l'énergie solaire.  Elle est surchargée à causes de coût lié à cette installation de l’énergie, en plus le budget a été sous-estimé dès le départ. </t>
  </si>
  <si>
    <t>Entretien et reparation de vehicule (y compris carburant)</t>
  </si>
  <si>
    <t xml:space="preserve">les dépenses viennent suivant les besoins </t>
  </si>
  <si>
    <t>Staff support gestion de supervsion par l'equipe regionale</t>
  </si>
  <si>
    <t>Cette ligne couvre les dépenses de salaires liées à l'appui de l'équipe régionale</t>
  </si>
  <si>
    <t>Staff support suivi et évalution</t>
  </si>
  <si>
    <t xml:space="preserve">Cette ligne couvre les dépenses de salaires liées à l'appui de l'équipe suivi et évaluation. </t>
  </si>
  <si>
    <t>Sous-total Frais Services Généraux</t>
  </si>
  <si>
    <t>000</t>
  </si>
  <si>
    <t>UNHABITAT</t>
  </si>
  <si>
    <t>Pamoja kwa amani (Ensemble pour la paix)</t>
  </si>
  <si>
    <t>(d) Total du Budget Programmatique et Couts indirects (USD):</t>
  </si>
  <si>
    <r>
      <t>(e) GMS 7% Agent de Gestion (USD)****</t>
    </r>
    <r>
      <rPr>
        <b/>
        <sz val="10"/>
        <color rgb="FFFF0000"/>
        <rFont val="Calibri"/>
        <family val="2"/>
        <scheme val="minor"/>
      </rPr>
      <t>Couts Indirects (max 7%):</t>
    </r>
  </si>
  <si>
    <t xml:space="preserve">(f) GRAND TOTAL </t>
  </si>
  <si>
    <t>WBSE</t>
  </si>
  <si>
    <t>Budget Narrative</t>
  </si>
  <si>
    <t xml:space="preserve">Produit 1.2.1: Les structures locales de transformation de conflits sont renforcées et opérationnelles </t>
  </si>
  <si>
    <t>SB-008231.01</t>
  </si>
  <si>
    <t>Elaboration d’un document d’analyse des causes profondes des conflits communautaires et fonciers qui met en exergue leurs motivations, typologies, caractéristiques, natures et les pistes de solutions durables.</t>
  </si>
  <si>
    <t>Services contractuels</t>
  </si>
  <si>
    <t>UN-HABITAT</t>
  </si>
  <si>
    <t xml:space="preserve">Développement et mise en place des systèmes d’alerte précoce et de référencement des cas des conflits communautaires complexes (formation des délégués communautaires cooptés dans le Système d’Alerte Précoce et référencement des confits – SAP –)
</t>
  </si>
  <si>
    <t>Installation de 5 antennes de la Commission Foncière de l’Ituri (Boga, Gety, Kasenyi, Idohu, Nyakunde) pour l’identification, le monitoring et la prise en charge des conflits fonciers.</t>
  </si>
  <si>
    <t xml:space="preserve">Sensibilisation médiatique des parties prenantes engagées dans le processus de dialogue démocratiqu:diffusion de spots fonciers et théatres audio sur le foncier. 
</t>
  </si>
  <si>
    <t>??</t>
  </si>
  <si>
    <t>Médiation de  cas conflits fonciers complexes à connotation communautaire avec risques de violences dans la zone cible en synergie avec les autorités locales, leaders communautaires, acteurs de la société civile, Services du contentieux fonciers avec l’appui des experts d’UN-HABITAT.</t>
  </si>
  <si>
    <t xml:space="preserve">Formation des Animateurs fonciers de la CFI et autres acteurs de la zone sur les MARC dans le domaine du foncier. </t>
  </si>
  <si>
    <t>Consultation semestrielle entre équipe de médiation de la CFI, Autorités coutumières et SAP pour un état des lieux sur la dynamique des fonciers et stratégies des réponses adéquates</t>
  </si>
  <si>
    <t>Développement de synergie avec  l'administration foncière et les  structures communautaires engagées dans la gestion des conflits, descentes conjointes de médiation fonciere complexe.</t>
  </si>
  <si>
    <t>Organisation d’une conférence sur la cohabitation pacifique entre les communautés locales des WALESE VOKUNTU et le gestionnaire ICCN dans la Réserve Naturelle de Mont Hoyo.</t>
  </si>
  <si>
    <t>Appui en Activités Génératrices des Revenus   à la CFI pour une autonomisation et une pérennisation de son intervention dans la Zone du Projet.</t>
  </si>
  <si>
    <t xml:space="preserve">Aménagement des abris pour la tenue des activités de médiations foncières et Barzas communautaires dans Boga (1),  Gety (1),   , Kasenyi (1),   , Idohu (1),   , Nyakunde (1),   </t>
  </si>
  <si>
    <r>
      <t xml:space="preserve">Produit 1.2.2: Les cadres de dialogues sont facilités                                                                                                                                                            </t>
    </r>
    <r>
      <rPr>
        <b/>
        <sz val="16"/>
        <rFont val="Calibri"/>
        <family val="2"/>
        <scheme val="minor"/>
      </rPr>
      <t xml:space="preserve"> </t>
    </r>
    <r>
      <rPr>
        <b/>
        <sz val="16"/>
        <color rgb="FFFF0000"/>
        <rFont val="Calibri"/>
        <family val="2"/>
        <scheme val="minor"/>
      </rPr>
      <t xml:space="preserve"> (WBSE……………………….)</t>
    </r>
  </si>
  <si>
    <t>SB-008231.02</t>
  </si>
  <si>
    <t xml:space="preserve">Renforcement des capacités des acteurs locaux (communautés, autorités politico administratives et coutumières, acteurs de la société civile, groupes des jeunes, groupes des femmes, etc.) sur les mécanismes alternatifs de résolution des conflits notamment fonciers. </t>
  </si>
  <si>
    <t xml:space="preserve">OBJECTIVE SPECIFIQUE 2: Le renforcement de la gouvernance foncière ainsi que de la collaboration et redevabilité entre les autorités en charge du foncier et les populations contribue à la réduction du nombre et de l’ampleur des conflits fonciers.  </t>
  </si>
  <si>
    <r>
      <t xml:space="preserve">Produit 2.1.1Les capacités institutionnelles et opérationnelles de l'Administration foncière sont renforcées </t>
    </r>
    <r>
      <rPr>
        <b/>
        <sz val="12"/>
        <color rgb="FFFF0000"/>
        <rFont val="Arial"/>
        <family val="2"/>
      </rPr>
      <t xml:space="preserve"> </t>
    </r>
  </si>
  <si>
    <t>SB-008231.03</t>
  </si>
  <si>
    <t>Diagnostic institutionnel de la circonscription   foncière du territoire d’Irumu</t>
  </si>
  <si>
    <t xml:space="preserve">Appui à l’administration foncière du territoire Irumu en équipements topographiques, cartographiques et de mobilité pour l’accompagnement des communautés locales au processus de démarcation participative des terres communautaires </t>
  </si>
  <si>
    <t xml:space="preserve">Production et diffusion des textes légaux pour une bonne gouvernance foncière au niveau des ETD (loi foncière, code agricole, code forestier, loi sur la conservation de la nature, code de la famille) </t>
  </si>
  <si>
    <t xml:space="preserve">Vulgarisation et diffusion de l’approche de Planification Foncière Communautaire Participative (PCFP) au profit des circonscriptions foncières et leaders communautaires </t>
  </si>
  <si>
    <t xml:space="preserve">Formation des agents de la circonscription foncière ciblée sur les MARC, l’éthique et la déontologie ainsi que la manipulation des matériels topographiques et cartographiques (GIS, station totale) </t>
  </si>
  <si>
    <t xml:space="preserve">Renforcement des capacités du cadastre foncier sur la numérisation des données cadastrales de la circonscription foncière d’Irumu </t>
  </si>
  <si>
    <t>Appui à des réunions périodiques de concertation et synergie de collaboration entre les autorités   locales-chefs terriens, Administration Territoriale et l’Administration foncière d’Irumu sur les questions foncières et réponses.</t>
  </si>
  <si>
    <t>Rénovation et équipement  de la Brigade Foncière de Kasenyi</t>
  </si>
  <si>
    <r>
      <t>Produit 2.1.2 Les Communautés locales y compris les peuples autochtones sont informées et sensibilisés sur les rôles et attributions de l'Administration foncière avec ses services à fournir</t>
    </r>
    <r>
      <rPr>
        <b/>
        <sz val="12"/>
        <color rgb="FFFF0000"/>
        <rFont val="Calibri"/>
        <family val="2"/>
        <scheme val="minor"/>
      </rPr>
      <t xml:space="preserve"> </t>
    </r>
  </si>
  <si>
    <t>SB-008231.04</t>
  </si>
  <si>
    <t xml:space="preserve">Organisation des journées portes ouvertes de l’Administration foncière au profit les communautés locales sur les instances de gestion du foncier, de résolution des conflits, leur composition, leur fonctionnement et leurs rôles et attributions de l’Administration foncière dans une gestion de proximité </t>
  </si>
  <si>
    <t xml:space="preserve">Sessions de Renforcement des capacités des autorités locales, acteurs de la société civile et  chefs terriens sur les droits fonciers et procédures légales des membres des communautés locales hommes et femmes </t>
  </si>
  <si>
    <t xml:space="preserve">Session de formation mixte des autorités locales et coutumières et groupes de femmes sur les droits des femmes à la terre et à la propriété pour la promotion des droits fonciers des femmes dans la partie Sud Irumu </t>
  </si>
  <si>
    <t>Produit 2.1.3 Les droits fonciers des communautés locales y compris les peuples autochtones sont sécurisés</t>
  </si>
  <si>
    <t>SB-008231.05</t>
  </si>
  <si>
    <t xml:space="preserve">Formation des cartographes communautaires pour accompagner les travaux de la cartographie des terres communautaires ciblées (pâturages collectifs, concessions agropastorales, espaces des champs communautaires, terres coutumières de réserve) </t>
  </si>
  <si>
    <t>Activité a mettre en oeuvre l'année 2</t>
  </si>
  <si>
    <t>Appui à l’identification et à la cartographie des terres communautaires (pâturages collectifs, concessions agropastorales, espaces des champs communautaires, terres coutumières de réserve) pour la prévention des conflits fonciers intercommunautaires</t>
  </si>
  <si>
    <t xml:space="preserve">Appui à l’administration foncière pour la sécurisation de droits fonciers issus de médiations foncières réussies </t>
  </si>
  <si>
    <t xml:space="preserve">Plaidoyer auprès des chefs coutumiers et chefs terriens pour l’accès des groupes de femmes, groupes des jeunes démobilisés et des peuples autochtones pygmées à la terre en vue de leur autonomisation/développement socioéconomique </t>
  </si>
  <si>
    <t>Sous-total Objective Specifique 2</t>
  </si>
  <si>
    <t>FRAIS DE COORDINATION DU PROJET</t>
  </si>
  <si>
    <t xml:space="preserve"> SB-008231.06</t>
  </si>
  <si>
    <t>Baseline du projet conjoint</t>
  </si>
  <si>
    <t>Atelier de lancement du projet</t>
  </si>
  <si>
    <t>Coordonnateur du programme(SC9)</t>
  </si>
  <si>
    <t>Visite terrain (8) CTS</t>
  </si>
  <si>
    <t>frais de deplacement</t>
  </si>
  <si>
    <t>Réunions CTC (8)</t>
  </si>
  <si>
    <t>Revue annuelle interne</t>
  </si>
  <si>
    <t>Visibilité du projet  conjoint (base commune de terrain)</t>
  </si>
  <si>
    <t xml:space="preserve">Batiment identfié a Getty Etat et contratctualisation en cours </t>
  </si>
  <si>
    <t>Stratégie de Mobilisation de Fonds</t>
  </si>
  <si>
    <r>
      <t xml:space="preserve">Interface avec les autorités </t>
    </r>
    <r>
      <rPr>
        <sz val="12"/>
        <color theme="4"/>
        <rFont val="Cambria"/>
        <family val="1"/>
      </rPr>
      <t>(participation active des autorités coutumières dans le suivi du projet )</t>
    </r>
  </si>
  <si>
    <t>Atelier de clôture du projet</t>
  </si>
  <si>
    <t>Evaluation finale</t>
  </si>
  <si>
    <t>Sous total frais de coordination</t>
  </si>
  <si>
    <t>SB-008231.07</t>
  </si>
  <si>
    <t>SB-008231.07.01</t>
  </si>
  <si>
    <t>2.1.1 Chef de projet</t>
  </si>
  <si>
    <t>Personne</t>
  </si>
  <si>
    <t>2.1.2 Assistant au programme</t>
  </si>
  <si>
    <t>2.1.3 Assistant M&amp;E</t>
  </si>
  <si>
    <t>2.1.4 Chauffeur</t>
  </si>
  <si>
    <t xml:space="preserve">2.1.5 Associé Admin Fin </t>
  </si>
  <si>
    <t>SB-008231.07.02</t>
  </si>
  <si>
    <t>Fournitures, produits de base, materiels (lies au soutien)</t>
  </si>
  <si>
    <t>SB-008231.07.03</t>
  </si>
  <si>
    <t>Equipement et mobilier</t>
  </si>
  <si>
    <t>SB-008231.07.04</t>
  </si>
  <si>
    <t>Frais de deplacement (lies au soutien)</t>
  </si>
  <si>
    <t>Missions de suivi de la mise en œuvre</t>
  </si>
  <si>
    <t>SB-008231.07.05</t>
  </si>
  <si>
    <t>Frais de visibilite</t>
  </si>
  <si>
    <t xml:space="preserve">Autres frais generaux de fonctionnement </t>
  </si>
  <si>
    <t xml:space="preserve">1ere tranche </t>
  </si>
  <si>
    <t>CARITAS</t>
  </si>
  <si>
    <t>Caritas Bunia</t>
  </si>
  <si>
    <t>Mai 2017-Avril 2019</t>
  </si>
  <si>
    <t>(e) GMS 7% Agent de Gestion (USD):</t>
  </si>
  <si>
    <t>% du Budget Genre**</t>
  </si>
  <si>
    <t>% du Budget Genre*</t>
  </si>
  <si>
    <t>% Budget liee au genre ***</t>
  </si>
  <si>
    <t>Dépense réelle</t>
  </si>
  <si>
    <t>OBJECTIVE SPECIFIQUE 4:</t>
  </si>
  <si>
    <t>Produit 4.1.1; Les réponses aux enjeux de gouvernance sont identifiées et apportées</t>
  </si>
  <si>
    <t xml:space="preserve">A 4.1.1.1 : diagnostic participatif sur les capacités institutionnelles  et opérationnelles  des ETD ainsi que de leurs services techniques.  </t>
  </si>
  <si>
    <t xml:space="preserve">Caritas </t>
  </si>
  <si>
    <t>Ce dépassement se justifie par le fait que cette activité devrait etre facilitée par les Inspecteurs de la Territoriale. Donc, en plus de 720$ alloué pour cette activité, Caritas a payé 900$ pour prendre en charge deux Inspecteurs pendant 9 jours sur le terrain en raison de 50$ par jour par personne,</t>
  </si>
  <si>
    <t>A 4.1.1.2 : Formation/recyclage des autorités des ETD et de leurs services techniques</t>
  </si>
  <si>
    <t>Cette activité est en cours de réalisation. Elle se poursuit sur les autres ETD (Mitego, Tchabi et Boga),</t>
  </si>
  <si>
    <t>A 4.1.1.3 : Appui aux ETD en équipement de bureau (Laptot, imprimante photocopieuse, groupe électrogène, fournitures) et documentation.</t>
  </si>
  <si>
    <t>Cett activité a été réalisée en 100%</t>
  </si>
  <si>
    <t>Produit 4.1.2: Les plans locaux de paix et de développement sont mis en place</t>
  </si>
  <si>
    <t>A 4.1.2.1 : Préparation de la planification locale </t>
  </si>
  <si>
    <t>Caritas</t>
  </si>
  <si>
    <t>Non planifiée au premier trimestre</t>
  </si>
  <si>
    <t>A 4.1.2.2 : Organisation de diagnostic participatif  </t>
  </si>
  <si>
    <t>A 4.1.2.3 : Formulation et élaboration du PDL/PIL/PAI</t>
  </si>
  <si>
    <t>A 4.1.2.4 : Adoption du PDL/PIL/PAI</t>
  </si>
  <si>
    <t>A.4.1.2.5 : Suivi de la mise en œuvre du PLD et du Budget Participatif au niveau des ETD</t>
  </si>
  <si>
    <t>Produit 4.1.3: Les connaissances des autorités et des animateurs des structures citoyennes à la base sont renforcées</t>
  </si>
  <si>
    <t>A 4.1.3.1 : Formation des structures citoyennes communautaires sur le rôle, mission et règle d’organisation  de structure citoyenne</t>
  </si>
  <si>
    <t xml:space="preserve">Le recyclage (formation des formateurs) des staffs de projet sur les règles d'organisation a paru prioritaire avant de former les membres des structures citoyennes </t>
  </si>
  <si>
    <t>A 4.1.3.2 : Formation des structures citoyennes sur les principes de gouvernance inclusive (Décentralisation, Démocratie, participation citoyenne, Analyse sociale)</t>
  </si>
  <si>
    <t xml:space="preserve">Le recyclage (formation des formateurs) des staffs de projet sur la gouvernance inclusive a paru prioritaire avant de former les membres des structures citoyennes </t>
  </si>
  <si>
    <t>A 4.1.3.3 : Formation des structures citoyennes sur le plaidoyer et la mobilisation communautaire</t>
  </si>
  <si>
    <t xml:space="preserve">Le recyclage (formation des formateurs) des staffs de projet sur les techniques de plaidoyer a paru prioritaire avant de former les membres des structures citoyennes </t>
  </si>
  <si>
    <t>A 4.1.3.4 : Formation des structure citoyennes sur la culture fiscale (Impôts et taxes)</t>
  </si>
  <si>
    <t xml:space="preserve">Le recyclage (formation des formateurs) des staffs de projet sur la fiscalité a paru prioritaire avant de former les membres des structures citoyennes, Elle n'a pas été planifiée au premier trimestre. </t>
  </si>
  <si>
    <t>A 4.1.3.5 : Formation des autorités sur les impôts et taxes ainsi que le mode de gestion des recettes issues des impôts et taxes</t>
  </si>
  <si>
    <t>La formation des structures citoyennes a paru prioritaire avant de former les autorités des ETD. Elle n'a pa été planifiée au premier trimestre.</t>
  </si>
  <si>
    <t>A 4.1.3.6 : Formation des autorités sur les principes de gouvernance inclusive (Décentralisation, Démocratie,  Participation citoyenne et la redevabilite)</t>
  </si>
  <si>
    <t>Produit 4.1.4: Les mécanismes de concertation entre ETD, autorités provinciales et la population sont opérationnels</t>
  </si>
  <si>
    <t>A 4.1.4.1 : Mise en place et renforcement des structures citoyennes communautaires</t>
  </si>
  <si>
    <t>Le contexte sécuritaire n'a pas permis de réaliser cette activité au premier trimestre car les structures citoyennes doivent etre inclusives, C'est-à-dire, elles devront intégrer toutes les couches sociales dispercées à travers l'ETD.</t>
  </si>
  <si>
    <t>A 4.1.4.2 : Création d’un Cadre de concertation entre les décideurs et les structures citoyennes communautaires au niveau des ETD</t>
  </si>
  <si>
    <t>Cette activité n'a pas été planifiée au premier trimestre.</t>
  </si>
  <si>
    <t>A 4.1.4.3 : Echange d’expérience entre les autorités piloté par l’Administrateur du territoire</t>
  </si>
  <si>
    <t>A 4.1.4.4 : Cadre de concertation  entre la Société civile, les responsables des ETDs,  l’Administrateur du Territoire,  l’Assemblée  et l’Exécutif Provincial</t>
  </si>
  <si>
    <t>A 4.1.4.5 : Forum économique des ETD du Sud Irumu avec des bailleurs de fonds, investisseurs, humanitaire, operateurs économiques (Actuel et potentiels)</t>
  </si>
  <si>
    <t>Produit 4.1.5: Les communications sur les devoirs et droits des citoyens sont assurées</t>
  </si>
  <si>
    <r>
      <t>A.4.1.5.1</t>
    </r>
    <r>
      <rPr>
        <sz val="12"/>
        <color indexed="10"/>
        <rFont val="Calibri"/>
        <family val="2"/>
      </rPr>
      <t> : Emissions radios</t>
    </r>
  </si>
  <si>
    <t>Cette activité a été budgétisée chez SFCG</t>
  </si>
  <si>
    <r>
      <t>A.4.1.5.2</t>
    </r>
    <r>
      <rPr>
        <sz val="12"/>
        <rFont val="Calibri"/>
        <family val="2"/>
      </rPr>
      <t xml:space="preserve"> : Production des dépliants </t>
    </r>
  </si>
  <si>
    <r>
      <t>A.4.1.5.3</t>
    </r>
    <r>
      <rPr>
        <sz val="12"/>
        <rFont val="Calibri"/>
        <family val="2"/>
      </rPr>
      <t xml:space="preserve"> : Production  des affiches </t>
    </r>
  </si>
  <si>
    <t>SOUS-TOTAL Objectif  specifique 4</t>
  </si>
  <si>
    <t xml:space="preserve">OBJECTIVE SPECIFIQUE 6: La cohésion sociale et la résilience des communautés sont renforcées </t>
  </si>
  <si>
    <t>Resultat 6.2:</t>
  </si>
  <si>
    <t>La cohabitation pacifique et la resilience  sont renforcées chez les jeunes à risque</t>
  </si>
  <si>
    <r>
      <t xml:space="preserve">Produit 6.2.1: Les capacités des jeunes à risque sont renforcées en métier professionnel                         </t>
    </r>
    <r>
      <rPr>
        <b/>
        <sz val="10"/>
        <color indexed="10"/>
        <rFont val="Cambria"/>
        <family val="1"/>
      </rPr>
      <t xml:space="preserve">
</t>
    </r>
  </si>
  <si>
    <t>A6.2.1.1. Réaliser les études socioéconomiques de base de la zone et des bénéficiaires</t>
  </si>
  <si>
    <t>Deux analystes (consultants dont une femme et un homme) seront recrutés par site pour des etudes de base afin de degager les listes des metiers remunerateurs/filieres porteuses possibles dans la zone et cela au debut de la premiere annee. Cout= forfait de 5000$ pour couvrir les frais des honoraires des analystes.</t>
  </si>
  <si>
    <t>Le processus de recrutement de consultant est en cours</t>
  </si>
  <si>
    <t>A. 6.2.1.2. Identifier, sélectionner les bénéficiaires et valider leur  liste par le Comité local de sélection</t>
  </si>
  <si>
    <t>Frais pour les reunions preparatoires pour la mise sur pied des comités de selection/ETD (location salles, fournitures, communication...) et la prestation de ces comités de selection: reunions pour constituer les comités: 200$/ETD; séance de validation des listes: 200$/ETD; collation des membres du comité 400$/ETD</t>
  </si>
  <si>
    <t>A. 6.2.1.3. Informer les bénéficiaires sur les activités du projet (et restituer les resultats de l'etude de base)</t>
  </si>
  <si>
    <t>Frais pour les sejours des animateurs du projet lors des reunions d'information avec les beneficiaires en presence des membres des comités de selection/ETD : 2personnes x 4jrs/ETD x 50$/jr = 400$/ETD</t>
  </si>
  <si>
    <t>A. 6.2.1.4. Appuyer les bénéficiaires dans le choix des métiers et du projet de micro entreprise/AGR</t>
  </si>
  <si>
    <t>Frais pour les sejours des animateurs du projet lors des seances d'elaboration des plans d'affaire avec les beneficiaires : 2personnes x 4jrs/ETD x 50$/jr = 400$/ETD</t>
  </si>
  <si>
    <t>Il s'agit de construire un batiment en durable qui servira de centre de formation, selon le devis en annexe</t>
  </si>
  <si>
    <t>A.6.2.1.5. b) Mettre en place cinq infrastructures temporaires (ateliers écoles) pour l’apprentissage des métiers </t>
  </si>
  <si>
    <t>Il s'agit de construire des locaux  en semi durable qui serviront d'ateliers ecoles selon  le devis en annexe</t>
  </si>
  <si>
    <t>A.6.2.1.6. Renforcer les capacités techniques des bénéficiaires</t>
  </si>
  <si>
    <t>A.6.2.1.6. a) Honoraires des formateurs</t>
  </si>
  <si>
    <t xml:space="preserve">Une convention sera negociée et signée  avec une organisation de formation presente dans le milieu (AJEDEC par exemple). Celle-ci recrutera des formateurs (moyenne trois/site), chacun avec une specialité. Et chaque formateur prestera en principe durant 4 mois, soit 2 mois pour le 1er groupe d'apprenant et 2 mois pour le second groupe. </t>
  </si>
  <si>
    <t>A.6.2.1.6. b)   Collation pour les apprenants</t>
  </si>
  <si>
    <t>Un repas est prevu aux apprenants durant la periode d'apprentissage de metiers (pour une valeur de 1,5$/pers/jour)</t>
  </si>
  <si>
    <t>A.6.2.1.6. c)  Materiels et fournitures pedagogiques</t>
  </si>
  <si>
    <t>Il s'agit d'acheter des fournitures et materiels specifiques pour chaque filiere de formation. Un forfait de 350$/filiere/site X 2 est prevu, soit: 6 sites x 3 filieres x 2 x 350$= 12600$</t>
  </si>
  <si>
    <t>Produit 6.2.2: Les micro-entreprises sont créées par les groupements des jeunes</t>
  </si>
  <si>
    <t>A6.2.2.1. Structurer les bénéficiaires autour des métiers et micro entreprises/ AGR</t>
  </si>
  <si>
    <t xml:space="preserve">A6.2.2.1. a) Appuyer les jeunes formés à se constituer en des groupes d'environ 15 -20 membres et accompagner les réunions/seances d'elaboration des textes reglementaires ou statutaires ainsi que les assemblées générales électives. </t>
  </si>
  <si>
    <t>Frais pour les sejours des animateurs du projet lors des missions d'appui aux groupements des jeunes pour l'elaboration des textes reglementaire (statuts, ROI,…) : 2personnes x 3jrs/ETD x 50$/jr = 300$/ETD</t>
  </si>
  <si>
    <t xml:space="preserve"> A6.2.2.1. b) Appuyer  la legalisation des statuts des groupements des jeunes</t>
  </si>
  <si>
    <t>Il s'agit de payer les frais de legalisation. On negociera pour qu'un payement d'ensemble soit fait pour les associations d'une ETD, soit 300$/ETD x 7=  2100$</t>
  </si>
  <si>
    <t xml:space="preserve">A6.2.2.2. Renforcer les capacités gestionnaires des bénéficiaires </t>
  </si>
  <si>
    <t>A6.2.2.2. a) Organiser des seminaires de formation des dirigeants  des groupements des jeunes</t>
  </si>
  <si>
    <t>Deux seminaires de formation seront organisees en deux sites differents: le premier pour les presidents, vice-prsidentes et secretaires; le second pour les presidents, tresoriers et commissaires aux comptes. Chaque seminaire reunira en moyenne 60 participants, dont au moins 18 femmes (voir vice presidentes et tresorieres des groupes). Parmi les formateurs, il y aura une comptable. Cout: (60X15$/jX3j)X2</t>
  </si>
  <si>
    <t>A6.2.2.3 Renforcer le capital de démarrage des micro entreprises/ AGRs des bénéficiaires</t>
  </si>
  <si>
    <t>A6.2.2.3. a) .Donner à chaque groupe un kit collectif et un fonds de démarrage</t>
  </si>
  <si>
    <t>Le kit collectif aura la valeur de 150$/membre et le fond de demarrage une valeur de 50$ par membre, soit une valeur totale de 200$ par membre et de 3000$ par groupement. Les femmes et hommes membres de groupes auront droit de la meme maniere au kit collectif. Les filles/femmes auront des postes de responsabilité  à egalité dans la gestion de l'association/groupement.</t>
  </si>
  <si>
    <t xml:space="preserve">Produit 6.2.3: Les micro-entreprises sont opérationnelles et génèrent des revenus </t>
  </si>
  <si>
    <t>A6.2.3.1. Assurer le coaching des groupes et suivi de la gestion des micros entreprises/ AGR</t>
  </si>
  <si>
    <t>Le staff du projet (3personnes dont une femme) se deplacent  pour visiter les micros entreprises, les appuyer avec des conseils sur la gestion financiere…: Frais de deplacement et sejour: 3pers X 50$/j X 2j/site X 6 site X 3 visite de suivi&amp;appui conseil</t>
  </si>
  <si>
    <t>A6.2.3.2. Organiser des échanges d’expériences entre les dirigeants des micros entreprises</t>
  </si>
  <si>
    <t>Il s'agit de payer le frais de deplacement et de sejour pour les dirigeants des microentreprises lors des missions d'echanges d'experiences avec les dirigeants d'autres sites. 3 missions d'echanges x (18pers  x 25$/j x 2j); 3missions/semestre x 2semestres.</t>
  </si>
  <si>
    <t>Produit 6.2.4: Les actions menées par les jeunes à risque contribuent au processus de cohésion sociale dans la ZP</t>
  </si>
  <si>
    <t xml:space="preserve">A.6.2.4.1. : Promouvoir la Communication et mobilisation inclusive des jeunes à risque – </t>
  </si>
  <si>
    <t>Appui aux Conseils locaux de la Jeunesse dans chaque ETD dans leur role de mobilisation communautaire</t>
  </si>
  <si>
    <t xml:space="preserve">Forfait pour organisation de réunions/activités mensuelles des Conseils de la Jeunesse dans chaque ETD (fournitures, matériels, frais transport, etc.). Activités prévues sur 10 mois (4 mois la 1e annee et 6 mois la 2e annee): formations sur prévention de conflits, le role de la jeunesse dans la stabilisation/développement, l'autonomisation des filles, la production de petites analyses pour générer la matière pour les plaidoyers </t>
  </si>
  <si>
    <t>Actions de mobilisation communautaire pour les jenues, incluant les jeunes à risque (plaidoyer, rencontres, etc.)</t>
  </si>
  <si>
    <t xml:space="preserve">Actions communautaires de mobilisation menés par les structures de jeunes en collaboration avec les Conseils de la Jeunesse auprès des décideurs locaux, ou remontées aux niveaux provincial, national. Forfait pour frais divers (fournitures, impression, communication) </t>
  </si>
  <si>
    <t>A.6.2.4.1.a) Diffusion d'émissions radios 'par les jeunes pour les jeunes' sur les radios communautaires locales</t>
  </si>
  <si>
    <t>CARITAS/SFCG</t>
  </si>
  <si>
    <t>Un montant de $2100 pour 7 émissions radio don’t 3 la 2e annee et 4 la 2e annee, avec des rediffusions, cela auprès des radios communautaires locales. Cout=preparation d'une emission (200$) et diffusion (4X25$=100$)</t>
  </si>
  <si>
    <t xml:space="preserve">A.6.2.4.1. b)Appui aux clubs d'écoute des jeunes relatif aux émissions radio sur les conflits communautaires et les pistes de solution identifiés au niveau local </t>
  </si>
  <si>
    <t xml:space="preserve">Sur cette ligne, un montant de 3500$ est affecté à  Search for Commun Ground pour appui aux clubs d'écoute de jeunes: fourniture de radios recepteurs, récolte d'informations sur les conflits notamment ceux touchant les filles/femmes, production de matériel pour les émissions à relayer sur les radios communautaires </t>
  </si>
  <si>
    <t>A.6.2.4.2.Développer des activités récréatives, socioculturelles impliquant les bénéficiaires du projet :</t>
  </si>
  <si>
    <t xml:space="preserve">A.6.2.4.2. a) Organisation d'un balai culturel des jeunes des différentes ETD </t>
  </si>
  <si>
    <t>Frais de location de véhicules pour transport des jeunes (filles et garçons) vers le site choisi, collation pour ces jeunes, acquisition des accoutrements, etc. pour organisation d'un balais culturel (danses culturels et sketchs avec des messages de paix et de cohabitation pacifique, servant egalement à la détraumatisation collective)</t>
  </si>
  <si>
    <t>A.6.2.4.2. b) Organisation de tournois sportifs entre les jeunes des différentes ETD</t>
  </si>
  <si>
    <t>Equipement (ballons et jeu complet de vareuses) pour deux équipes de football dans chaque ETD (1 equipe de garçons, 1 équipe de filles). Organisation de matchs en interne dans tous les ETD</t>
  </si>
  <si>
    <t>A.6.2.4.2.c) Projection de films éducatifs pour les jeunes</t>
  </si>
  <si>
    <t>Forfait 200$/ETD/année pour couts divers (location des salles, rétroprojecteurs, générateurs, acquisition des supports audio visuels (DVD,CD) pour organiser la projection de films éducatifs suivis par des débats entre les filles et les garçons</t>
  </si>
  <si>
    <r>
      <t>A.6.2.4.3 : Assistance et accompagnement psycho-social des jeunes « à risque »</t>
    </r>
    <r>
      <rPr>
        <u/>
        <sz val="10"/>
        <rFont val="Cambria"/>
        <family val="1"/>
      </rPr>
      <t xml:space="preserve"> </t>
    </r>
  </si>
  <si>
    <t xml:space="preserve">Identification  des Assistants psycho-sociaux (APS) dans les 7 ETD </t>
  </si>
  <si>
    <t>Suite à élaboration des critères de sélection des APS, une équipe CARITAS fera des missions de sélection des APS sur le terrain, en participant aussi aux barzas communautaires (OS1) - dans l'équipe de sélection au moins 1 femme et 50% des APS séléctionnés seront des filles/femmes. Frais de sejour de l'equipe: 3 pers X 50$/jr X 2jr/ETD X 7 ETD =2100$</t>
  </si>
  <si>
    <t>A.6.2.4.3.a) Formation des APS (Agents psycho-sociaux) sur les techniques d'assistance psycho-social des jeunes à risque</t>
  </si>
  <si>
    <t>Formation et recyclage de 14 APS et 21 animateurs locaux (=délégués  issus des groupements des jeunes), dont  50% seront des femmes. La formation durera 4 jours. Cout: repas et sejour= (35APS X 3jr X 25$) + (3formateurs X 4jr X 50$)=3225$; location salles=3jr X 50$=150$; Materiels pedagogiques: 780$</t>
  </si>
  <si>
    <t>A.6.2.4.3. b) Evaluation de l'état de stress post - traumatique des jeunes à risque</t>
  </si>
  <si>
    <t>Sélection des bénéficiaires à travers l'évaluation de l'état du stress post traumatique réalisée par une équipe technique CARITAS à travers des missions, consultations et rencontres des jeunes déjà identifiés sur le terrain. Frais de l'équipe (incluant au moins 1 femme) pour le travail de sélection dans 7 ETD - et l'identification d'au moins 30% des filles/femmes bénéficiaires . Cout: 2pers X 3jr/ETD X 50$/jr X7ETD=2100$</t>
  </si>
  <si>
    <t>A.6.2.4.3. c) Séances d'écoute active des jeunes à risque</t>
  </si>
  <si>
    <r>
      <t xml:space="preserve">Frais de prestation de 14 APS pour 10 mois pour l'écoute individuelle des jeunes à risque sélectionnés dans les 7 ETD (écoute et suivi de l'évolution de l'état psychologique par les APS; référencement des cas compliqués aux animateurs et psychologues); </t>
    </r>
    <r>
      <rPr>
        <b/>
        <sz val="10"/>
        <rFont val="Cambria"/>
        <family val="1"/>
      </rPr>
      <t>total de 700 jeunes estimés, dont 400 filles et 300 garcons</t>
    </r>
    <r>
      <rPr>
        <sz val="10"/>
        <rFont val="Cambria"/>
        <family val="1"/>
      </rPr>
      <t xml:space="preserve"> (10jeunes/mois/ETD x 7 ETD x 10 mois). Les services pour les jeunes sont gratuits. Cout de service: 14APS x 10mois x 60$=8400$</t>
    </r>
  </si>
  <si>
    <t>A.6.2.4.3. d) Médiations familiales et communautaires par les APS</t>
  </si>
  <si>
    <t>Frais de déplacement des APS pour des séances de médiation dans les familles pour les jeunes en conflit familial/communautaire dans  les 7 ETD (5séances par ETD estimés l'année 2). Cout: 2 animateurs x 5 jeunes/ETD x 7ETDx 50$/animateur =3500$</t>
  </si>
  <si>
    <t>A.6.2.4.3. e) Séances de thérapies de groupes</t>
  </si>
  <si>
    <t>De l'écoute individuelle vers le travail du groupe en vue d'échanges d'expériences et activités récréatives. Forfait pour frais divers pour séances mensuelles (causeries, travaux,  loisirs,…): 1 séance/ETD/trimestre x 180$ x  3 trimestre= 3780$</t>
  </si>
  <si>
    <t>A.6.2.4.3. f) Debriefing collectif et individuel (remotivation) des APS, animateurs et psychologues</t>
  </si>
  <si>
    <t>Organisation de 2 séances de debriefing (1/semestre)  à l'intention des APS, animateurs et psychologue en vue de leur détraumatisation. Forfait pour les frais de transport, restauration et logement des participants. Cout: 2 seances x 315$ = 630$</t>
  </si>
  <si>
    <t>Sous-total Objective Specifique 6 R6.2</t>
  </si>
  <si>
    <t>Coordonnateur</t>
  </si>
  <si>
    <t>Le coordonnateur represente l'organisation CARITAS au sein du consortium et devant les autres partenaires; il supervise toutes les activités du projet et repond en dernier ressort des aspects financiers et administratifs. Basé à Bunia. Sa prestation est calculée à 40% par mois durant 24 mois.</t>
  </si>
  <si>
    <t xml:space="preserve">Chargé de projet </t>
  </si>
  <si>
    <t>Le Chargé de projet est la personne clé du projet apres le coordonnateur; il organise toutes les activités, participe aux reunions en rapport avec le projet, propose les rapports à la signature du coordonnateur. Sa prestation est à  100% dans le projet, durant 24 mois. Il est basé à  Bunia. Il appuie le Coordonnateur et accompagne les animateurs points focaux.</t>
  </si>
  <si>
    <t xml:space="preserve">Animateur point focal gouvernance </t>
  </si>
  <si>
    <t xml:space="preserve">L'animateur point focal gouvernance est la personne clé du projet pour l'objectif 4; il assiste le Chargé de projet dans l'organisation des activités, participe egalement aux reunions en rapport avec le projet,  Il rapporte au chargé de projet  . Sa prestation est à  100% dans le projet, durant 24mois. </t>
  </si>
  <si>
    <t xml:space="preserve">Animateur Point Focal Reinsertion </t>
  </si>
  <si>
    <r>
      <t xml:space="preserve">L'animateur point focal reinsertion professionnelle est la personne clé du projet pour l'objectif 6/ resultat 2; il assiste le Chargé de projet dans l'organisation des activités, participe egalement aux reunions en rapport avec le projet, et supervise les centres de formation, et les micros entreprises. Il rapporte au chargé de projet  . Sa prestation est à  100% dans le projet, durant 22 mois. NB: </t>
    </r>
    <r>
      <rPr>
        <sz val="10"/>
        <color indexed="10"/>
        <rFont val="Cambria"/>
        <family val="1"/>
      </rPr>
      <t xml:space="preserve">Les animateurs points focaux appuient les animateurs dans la mis en oeuvre des activtés sur le terrain. </t>
    </r>
  </si>
  <si>
    <t>Animatrice Point focal Psycho social</t>
  </si>
  <si>
    <t xml:space="preserve">L'animatrice point focal psycho social assiste le Chargé de projet dans la mise en œuvre de toutes les activités relatives à l'aspect de la réinsertion phsyco-sociale des jeunes "à risques", incluant leur accompagnement, les sensibilisations , la formation des APS; elle participe egalement aux reunions en rapport avec le projet. Elle rapporte au chargé de projet  . Sa prestation est à  40% dans le projet, durant 22 mois. </t>
  </si>
  <si>
    <t>Animateurs  Volet Gouvernance</t>
  </si>
  <si>
    <t>Les 2 Animateurs volet Gouvernance (1 homme et 1 femme) seront recrutés en temps plein seulement pour l'année 1 car l'année 2 consistera plus dans le suivi qui sera fait par le Coordonnateur, le chargé de projet et le chargé de suivi</t>
  </si>
  <si>
    <t>Animateurs Volet Reinsertion professionnelle</t>
  </si>
  <si>
    <t>Deux animateurs de volet reinsertion professionnelle (1 homme + 1 femme) sont les collaborateurs des animateurs points focaux ; ils sont les agents de proximité avec les beneficiaires; ils auront la responsabilité d'accompagner les groupements des jeunes et les micros entreprises créées. Leur prestation sera de 18 mois (8 la 1e annee et 10 mois la 2e annee), et cela à 100% de temps:</t>
  </si>
  <si>
    <t xml:space="preserve">Charge de suivi </t>
  </si>
  <si>
    <t xml:space="preserve">Le Chargé de suivi fait le suivi-accompagnement avec les animateurs points focaux et le suivi-evaluation avec le chargé de projet et le coordonnateur. Sa prestation est de 30% de temps durant 24 mois. </t>
  </si>
  <si>
    <t>Comptable</t>
  </si>
  <si>
    <t>Le comptable assiste le Coordonnateur dans la gestion financière du projet, s'occupe de tenir la comptabilité du projet et preparer le rapport financier. Affecté au projet en temps partiel (25% durant 24 mois).</t>
  </si>
  <si>
    <t>Logisticien</t>
  </si>
  <si>
    <t>Le logisticien appuioe l'equipe du projet pour ce qui est des aspects logistiques (achats, passation de marché,....). Il est affecté au projet en temps partiel (25% durant 6 mois: 4 mois la 1e année et 2 mois la seconde année).</t>
  </si>
  <si>
    <t>2.1</t>
  </si>
  <si>
    <t>Fournitures et materiels</t>
  </si>
  <si>
    <t>Un montant de 100 $ par mois servira pour l'achat des fournitures et autres matériels de bureau</t>
  </si>
  <si>
    <t>2.2</t>
  </si>
  <si>
    <t xml:space="preserve">Fournitures et materiels </t>
  </si>
  <si>
    <t xml:space="preserve">Il s'agit des frais liés aux exigences logistiques: stockage etdistribution des kits dans les differents sites; achat et transport des tentes pour abriter les annexes des ateliers ecoles pour les pratiques; egalement achat de complement des materiels de communication pour les formations </t>
  </si>
  <si>
    <t>3.1</t>
  </si>
  <si>
    <t xml:space="preserve">Equipement et mobilier </t>
  </si>
  <si>
    <t xml:space="preserve">il s'agit d'un ordinateur portable et une Imprimante </t>
  </si>
  <si>
    <t>3.2</t>
  </si>
  <si>
    <t>Il sera question d'achat d'une moto AG pour le volet Gouvernance</t>
  </si>
  <si>
    <t>3.3</t>
  </si>
  <si>
    <t>Equipements informatiques (4 ordinateurs portatifs + 2 imprimante, photocopieur,  1 camera, 1 dictaphone, 1 retroprojecteur, etc.)</t>
  </si>
  <si>
    <t>Equipements informatiques et audio visuels pour le travail de bureau et de terrain (portables, imprimante, caméra, retroprojecteur, etc)</t>
  </si>
  <si>
    <t>3.4</t>
  </si>
  <si>
    <t xml:space="preserve"> Motos et accessoires</t>
  </si>
  <si>
    <t xml:space="preserve"> Il s'agit d'acheter 3 motos pour le suivi de terrain, volet reinsertion professionnelle</t>
  </si>
  <si>
    <t>4.1</t>
  </si>
  <si>
    <t xml:space="preserve">Services contractuels </t>
  </si>
  <si>
    <t xml:space="preserve">Honoraire pour les 3 Consultants qui seront recrutés pour la production du PDL dont un expert en planification, un autre en socio économique et un dernier en environnement </t>
  </si>
  <si>
    <t>4.2</t>
  </si>
  <si>
    <t xml:space="preserve">Frais de descente sur le terrain pour les 3 Consultants précités </t>
  </si>
  <si>
    <t>5.1</t>
  </si>
  <si>
    <t xml:space="preserve">Perdiem deplacement pour la realisation des activites </t>
  </si>
  <si>
    <t xml:space="preserve">ces montants serviront pour les descentes sur terrain </t>
  </si>
  <si>
    <t>5.2</t>
  </si>
  <si>
    <t>Frais de déplacement (carburant et entretien motos et vehicules utilisés dans le projet)</t>
  </si>
  <si>
    <t xml:space="preserve"> location occasionnelle de véhicules, Forfait trimestriel pour carburant et entretien de vehicule et motos. La location de vehicule sera obligée pour les missions du coordonnateur, et durant les periodes pluvieuses, surtout pour le transport du personnel feminin.</t>
  </si>
  <si>
    <t>7.1</t>
  </si>
  <si>
    <t>Frais généraux de fonctionnement et autres couts directs</t>
  </si>
  <si>
    <t>Cette ligne a plus supporté le frais de communication des agents du terrain afin de se rassurer des questions sécuritaires, De meme, cette ligne compense la sous-budgétisation constatée au niveau de fournitures bureau,</t>
  </si>
  <si>
    <t>7.2</t>
  </si>
  <si>
    <t xml:space="preserve">Frais Suivi </t>
  </si>
  <si>
    <t>Frais  pour les missions de suivi de l'organisation de mise en œuvre</t>
  </si>
  <si>
    <t>7.3</t>
  </si>
  <si>
    <t>Frais de suivi&amp;evaluation conjoint et participatif du projet avec les autorités</t>
  </si>
  <si>
    <t>Frais pour les missions de suivi et evaluation conjoints et  participatifs avec les autorités 1X par semestre dans les 7 ETD. Ministeres et services provinciaux impliqués ( Interieur et affaires coutumieres, Jeunesse, Plan, Genre et Aff. Sociales…), Services techniques de l'Administration territoiriale et des ETD; societé civile provinciale; presse. Location de vehicules de transport, frais de restauration et logement, frais securitaires et depenses imprevues liées à chaque mission</t>
  </si>
  <si>
    <t>7.4</t>
  </si>
  <si>
    <t>Frais de visibilité</t>
  </si>
  <si>
    <r>
      <t xml:space="preserve">Tous les produits de visibilité et outils de communication conçus tel que panneaux, casquettes, T-shirts, </t>
    </r>
    <r>
      <rPr>
        <sz val="10"/>
        <color indexed="10"/>
        <rFont val="Cambria"/>
        <family val="1"/>
      </rPr>
      <t>Reportages radio, etc. NB: sur cette ligne, un montant de 4312$ est affecté d'office à SFCG pour la communication</t>
    </r>
  </si>
  <si>
    <t>7.5</t>
  </si>
  <si>
    <t xml:space="preserve">Services communs (Loyer, internet, securité) au niveau du bureau de coordination et de la base commune </t>
  </si>
  <si>
    <t xml:space="preserve">Trimestriel - contribution au fonctionnement  de la CARITAS (frais des services de sécurité, internet, loyer, etc. ) et contribution au loyer d'un bureau de base commune (en proportion avec le nombre du personnel du projet), une partie des coûts d'électricté et d'eau, des frais des services de sécurité, des abonnements mensuels à internet, frais de téléphonie, etc.  </t>
  </si>
  <si>
    <t>Cout Total Programme</t>
  </si>
  <si>
    <t>Couts Indirects (7%)**</t>
  </si>
  <si>
    <t>Le montant alloué au genre represente 17% du budget global Caritas</t>
  </si>
  <si>
    <t>Notes:</t>
  </si>
  <si>
    <t xml:space="preserve">Inserer/Supprimer autant de lignes que necessaires pour adjuster le budget au resultats/produits/activites </t>
  </si>
  <si>
    <t xml:space="preserve">* Il y a sept categories:  1) Personnel et autres employés 2) Fournitures, produits de base, materiels 3) Equipements et mobilier 4) Services Contractuels 5) Frais de deplacement 6) Transferts et subventions 7) Frais generaux de fonctionnement et autres couts directs (Voir la note explicative sur  l’élaboration d’un budget à soumettre au Fonds) </t>
  </si>
  <si>
    <t xml:space="preserve">** Ce sont des "Services Generaux de Gestion", qui sont calculés selon la formule suivante:  </t>
  </si>
  <si>
    <t>Budget programmatique: Budget total/1.07</t>
  </si>
  <si>
    <t>SGG:  budget total/1.07*0.07</t>
  </si>
  <si>
    <t>*** Chaque projet ISSSS doit assurer que 15% des fonds sont consacree a les objetifs sensible au genre (Voir les lignes directrices sur l'integration du Genre dans les programmes de stabilisation)</t>
  </si>
  <si>
    <t>Formulas (ne pas supprimer):</t>
  </si>
  <si>
    <t xml:space="preserve">Dépenses réelles </t>
  </si>
  <si>
    <t xml:space="preserve">% par rapport aux prévus </t>
  </si>
  <si>
    <t>OIM</t>
  </si>
  <si>
    <r>
      <t>(e) GMS 7% Agent de Gestion (USD)****</t>
    </r>
    <r>
      <rPr>
        <sz val="11"/>
        <color rgb="FFFF0000"/>
        <rFont val="Calibri"/>
        <family val="2"/>
        <scheme val="minor"/>
      </rPr>
      <t>_Couts Indirects (max 7%::</t>
    </r>
  </si>
  <si>
    <t>Montant de l'activite lié au genre</t>
  </si>
  <si>
    <t>Dépenses(Consommation du budget)</t>
  </si>
  <si>
    <t>% de realisation Par rapport au budget Année 1</t>
  </si>
  <si>
    <t xml:space="preserve">OBJECTIVE SPECIFIQUE 3: Les autorités compétentes adoptent et mettent en application des mesures qui renforcement la transparence dans l’exploitation et la gestion des ressources minières dans la zone prioritaire.  </t>
  </si>
  <si>
    <t>Résultat  3.1:  La qualité de services techniques de l’Etat en charge des mines et autres parties prenantes est améliorée</t>
  </si>
  <si>
    <t xml:space="preserve">Produit 3.1.1 : L’engagement de parties prenantes à l’amélioration de la gouvernance minière est obtenu  </t>
  </si>
  <si>
    <t xml:space="preserve">Activité 3.1.1.1: Organisation des consultations bilatérales et multilatérales avec les parties prenantes ; </t>
  </si>
  <si>
    <t>CS.0903.CD60.54.01.001</t>
  </si>
  <si>
    <t>Consultations et séances de travail avec les services techniques des mines, les proprietaires terriens, société civile et les représentants des exploitatnts artisanaux de l'or</t>
  </si>
  <si>
    <t xml:space="preserve">Sous total </t>
  </si>
  <si>
    <t>Activité 3.1.1.2: Atelier de Sensibilisation et séance de travail avec les parties prenantes (ministère provincial, services techniques des mines, acteurs thématiques, coopératives minières, etc.) sur la nécessité de la mise en place et fonctionnement d’un Comité de Suivi des Activités Minières au niveau de la province</t>
  </si>
  <si>
    <t>CS.0903.CD60.54.01.002</t>
  </si>
  <si>
    <t>Reunions Bilaterales OIM/societes civiles thematiques mines</t>
  </si>
  <si>
    <t>CS.0903.CD60.54.01.003</t>
  </si>
  <si>
    <t>Ateliers de Formation</t>
  </si>
  <si>
    <t>fournitures, produits de base, materiels</t>
  </si>
  <si>
    <t>Produit 3.1.2 : La capacité des services et institutions membres du comité de suivi des activités minières de la province de l'Ituri est renforcée</t>
  </si>
  <si>
    <t>Activité .3.1.2.1: Création de la commission provinciale de suivi des activités minières (CSAM) en province de l’Ituri,</t>
  </si>
  <si>
    <t>CS.0903.CD60.54.05.001</t>
  </si>
  <si>
    <t>Atelier de creation d'un comite provincial des activites minieres ad-hoc</t>
  </si>
  <si>
    <t>CS.0903.CD60.54.05.002</t>
  </si>
  <si>
    <t>Sélection des membres du comite had-hoc de redaction d'un projet d'arrete de CSAM</t>
  </si>
  <si>
    <t xml:space="preserve">Activité .3.1.2.2 : Renforcement des capacités des membres de la Commission de Suivi des activités minières ;  </t>
  </si>
  <si>
    <t>CS.0903.CD60.54.05.003</t>
  </si>
  <si>
    <t>Formation et séance de travail</t>
  </si>
  <si>
    <t>CS.0903.CD60.54.05.004</t>
  </si>
  <si>
    <t>Séance de travail et de rédaction de projet d'arreté de CSAM</t>
  </si>
  <si>
    <t>CS.0903.CD60.54.05.005</t>
  </si>
  <si>
    <t>Restitution des travaux de projet d'arrete de CSAM</t>
  </si>
  <si>
    <t xml:space="preserve">Activité .3.1.2.3: Suivi et accompagnement des réunions périodiques de la CSAM;
</t>
  </si>
  <si>
    <t>CS.0903.CD60.54.05.006</t>
  </si>
  <si>
    <t>Accompagement des missions des membres de la comission CSAM</t>
  </si>
  <si>
    <t>CS.0903.CD60.54.05.007</t>
  </si>
  <si>
    <t>Appui au fonctionnement du CSAM</t>
  </si>
  <si>
    <t>CS.0903.CD60.54.01.004</t>
  </si>
  <si>
    <t>Appui aux réunions statutaires du CSAM et les représentants exploitats artisanaux de la zone</t>
  </si>
  <si>
    <t>CS.0903.CD60.54.01.005</t>
  </si>
  <si>
    <t>Réunions bi-mensuelles de CSAM Ituri</t>
  </si>
  <si>
    <t>CS.0903.CD60.54.01.006</t>
  </si>
  <si>
    <t>Réunion extraordinaires de CSAM</t>
  </si>
  <si>
    <t>Produit 3.1.3. : Le cadre de concertation des acteurs miniers artisanal est mise en place et renforcé.</t>
  </si>
  <si>
    <t>Activité .3.1.3.1: Faciliter et soutenir les échanges inter provinces afin d’harmoniser les approches.</t>
  </si>
  <si>
    <t>CS.0903.CD60.54.05.008</t>
  </si>
  <si>
    <t>Ateliers interprovinces sur l'echange d'experience sur la structure CSAM</t>
  </si>
  <si>
    <t>Activité 3.1.3.2: Formation des agents des services techniques de mines, les délègues de la société civile et  les membres des coopératives sur  les mécanismes de traçabilité et de certification des minerais ;</t>
  </si>
  <si>
    <t>CS.0903.CD60.54.05.009</t>
  </si>
  <si>
    <t xml:space="preserve">Atelier de formation </t>
  </si>
  <si>
    <t>CS.0903.CD60.54.05.010</t>
  </si>
  <si>
    <t>Réunion inter-Province d'echange d'experience de CSAM</t>
  </si>
  <si>
    <t xml:space="preserve">Sous total R 3.1. </t>
  </si>
  <si>
    <t>Résultat .3.2: Les coopératives minières sont créées, opérationnelles et renforcées dans la ZP</t>
  </si>
  <si>
    <t xml:space="preserve">Produit 3.2.1 : Les membres des coopératives minières comprennent la nécessite de signature d'un protocole d'accord avec les  détenteurs de titres miniers actifs dans la zone du projet; </t>
  </si>
  <si>
    <t xml:space="preserve">Activité 3.2.1.1 : Les associations et groupements des exploitations minières sont constitués en coopératives ; </t>
  </si>
  <si>
    <t>CS.0903.CD60.54.05.011</t>
  </si>
  <si>
    <t>Reunions de sensiblitisation des membres des cooperatives minieres</t>
  </si>
  <si>
    <t>Activité 3.2.1.2: Les coopératives minières artisanales de la ZP sont créées  par décret suivant les dispositions du code minier du Congo ;</t>
  </si>
  <si>
    <t>CS.0903.CD60.54.05.012</t>
  </si>
  <si>
    <t>Seminaire d'information portant sur la légalisation des cooperative</t>
  </si>
  <si>
    <t>CS.0903.CD60.54.07.001</t>
  </si>
  <si>
    <t>Appui aux séances de  travail de redaction des agréements des cooperatives minière</t>
  </si>
  <si>
    <t>Activité 3.2.1.3: Les capacités institutionnelles des coopératives sont renforcées ;</t>
  </si>
  <si>
    <t>CS.0903.CD60.54.05.013</t>
  </si>
  <si>
    <t>Ateliers de renforcement de capacite institutionnelle et de formalisation des cooperatives</t>
  </si>
  <si>
    <t>Activité 3.2.1.4: Renforcement des capacités des coopératives sur le code minier sur les lois et règlements miniers, les législations nationales, régionales et internationales sur le commerce  responsable des minerais</t>
  </si>
  <si>
    <t>CS.0903.CD60.54.05.014</t>
  </si>
  <si>
    <t>Seminaires de formation des cooperatives sur les lois, reglements et mecanismes regissant l'exploitation minieres artisanale</t>
  </si>
  <si>
    <t>Produit 3.2.2 : Les détenteurs des titres miniers et autres entreprises minières de la ZP approuvent et  signent un protocole d'accord avec les coopératives opérant dans leurs concessions ;</t>
  </si>
  <si>
    <t>Activité 3.3.2.1 : Sensibilisation  et entretien  individuels avec les exploitants artisanaux et les concessionnaires</t>
  </si>
  <si>
    <t>CS.0903.CD60.54.05.015</t>
  </si>
  <si>
    <t>Rencontre bilatérale de facilitation des negociations sur les protocole d'accord avec  Kilomoto</t>
  </si>
  <si>
    <t xml:space="preserve">Produit 3.2.3 : Une chaine d’approvisionnement pilote de traçabilité de l’or est mise en œuvre dans la zone du projet ; </t>
  </si>
  <si>
    <t xml:space="preserve">Activité 3.3.3.1: Les sites miniers recommandés par la Commission de suivi des activités minières sont évalués suivant les critères SALT ; </t>
  </si>
  <si>
    <t>CS.0903.CD60.57.02.001</t>
  </si>
  <si>
    <t>Missions d'evaluations SALT des sites miniers aurifères</t>
  </si>
  <si>
    <t xml:space="preserve">Activité 3.3.3.2: 6 sites miniers d'or sont qualifiés et validés pour la mise en œuvre d'un projet pilote de traçabilité de l'or ; </t>
  </si>
  <si>
    <t>CS.0903.CD60.57.02.002</t>
  </si>
  <si>
    <t>Missions conjointe de qualification des sites miniers</t>
  </si>
  <si>
    <r>
      <t>Activité 3.3.3.3: un arrêté de validation des sites miniers qualifiés est signé ;</t>
    </r>
    <r>
      <rPr>
        <i/>
        <u/>
        <sz val="11"/>
        <color theme="1"/>
        <rFont val="Calibri"/>
        <family val="2"/>
        <scheme val="minor"/>
      </rPr>
      <t xml:space="preserve"> </t>
    </r>
  </si>
  <si>
    <t>Suivi auprès des autorités pour la validation</t>
  </si>
  <si>
    <t>Activité 3.3.3.4: un point de vente est construit, équipe et remis au ministère provincial des mines pour le fonctionnement des services techniques dans le cadre de la traçabilité de l'or</t>
  </si>
  <si>
    <t>CS.0903.CD60.57.02.003</t>
  </si>
  <si>
    <t>Mission d'identification de parcelle pour la construction d'un PdV et autres travaux préparatoire</t>
  </si>
  <si>
    <t>CS.0903.CD60.82.10.001</t>
  </si>
  <si>
    <t>Construction d'un PDV</t>
  </si>
  <si>
    <t>CS.0903.CD60.82.10.002</t>
  </si>
  <si>
    <t>Innauguration et céremonie de remise officielle de l'ouvrage</t>
  </si>
  <si>
    <t>Résultat 3.3 : Des activités alternatives génératrices de revenus sont créées autour des sites miniers.</t>
  </si>
  <si>
    <t>Produit 3.3.1 : Des activités  génératrices de revenus femmes sont créées autour des sites miniers.</t>
  </si>
  <si>
    <t xml:space="preserve">Activité 3.3.1.1: Sélection et identification des bénéficiaires autour des sites miniers; </t>
  </si>
  <si>
    <t>CS.0903.CD60.51.03.001</t>
  </si>
  <si>
    <t>Missions d'identification des des associations et operateurs économiques</t>
  </si>
  <si>
    <t>Sous total</t>
  </si>
  <si>
    <t xml:space="preserve">Activité 3.3.1.2 : Identification des besoins et collection des choix des bénéficiaires selon les filières d’activités ;  </t>
  </si>
  <si>
    <t>CS.0903.CD60.56.03.001</t>
  </si>
  <si>
    <t xml:space="preserve">Sélection des associations des femmes, des ex-combattants et des jeunes </t>
  </si>
  <si>
    <t xml:space="preserve">Activité 3.3.1.3 : Organisation des membres en groupes selon les filières et accompagné la tenue l’assemblée générale constituante et élective pour la mise en place des comités de gestion de groupements associatifs ; </t>
  </si>
  <si>
    <t>CS.0903.CD60.56.03.002</t>
  </si>
  <si>
    <t xml:space="preserve">Appui à la constitution des groupes de membres et accompagnement des réuniions statutaires </t>
  </si>
  <si>
    <r>
      <t xml:space="preserve">Produit 3.3.2 : </t>
    </r>
    <r>
      <rPr>
        <sz val="11"/>
        <color theme="1"/>
        <rFont val="Calibri"/>
        <family val="2"/>
        <scheme val="minor"/>
      </rPr>
      <t>Les capacités des associations des petits opérateurs économiques autour des sites miniers sont renforcées</t>
    </r>
    <r>
      <rPr>
        <sz val="11"/>
        <color theme="1"/>
        <rFont val="Calibri"/>
        <family val="2"/>
        <scheme val="minor"/>
      </rPr>
      <t xml:space="preserve"> </t>
    </r>
  </si>
  <si>
    <t>Activité 3.3.2.1: Accompagnement et renforcement des capacités des associations des petits opérateurs économiques autour des sites miniers</t>
  </si>
  <si>
    <t>CS.0903.CD60.56.03.003</t>
  </si>
  <si>
    <t>Identification analyse et sélection des besoins des operateurs économiques</t>
  </si>
  <si>
    <r>
      <t xml:space="preserve">Produit 3.3.3 : </t>
    </r>
    <r>
      <rPr>
        <sz val="11"/>
        <color theme="1"/>
        <rFont val="Calibri"/>
        <family val="2"/>
        <scheme val="minor"/>
      </rPr>
      <t xml:space="preserve">Des AGR pilotes sont initiées en faveur d'une ou deux associations de petits operateurs  vulnérables ; </t>
    </r>
  </si>
  <si>
    <t xml:space="preserve">Activité 3.3.3.1 : Accompagnement, soutien et appui financier aux AGR pilotes des associations des petits opérateurs  les plus vulnérables </t>
  </si>
  <si>
    <t>CS.0903.CD60.56.03.004</t>
  </si>
  <si>
    <t>Soutien aux AGR pilotes des femmes et association des ex-combattants</t>
  </si>
  <si>
    <t>CS.0903.CD60.56.03.005</t>
  </si>
  <si>
    <t>Accompagement des activités des femmes au tours des sites</t>
  </si>
  <si>
    <t xml:space="preserve">Sous total R 3.3. </t>
  </si>
  <si>
    <t>Produit 5.2.2 : L’efficacité de la police de proximité est assurée par la construction/ équipement des infrastructures policières prioritaires</t>
  </si>
  <si>
    <t>A5.2.2.1 Construction d'un SC à Mitego</t>
  </si>
  <si>
    <t>CS.0903.CD60.82.06.001</t>
  </si>
  <si>
    <t xml:space="preserve">Construction d'un sous commissariats à Mitego </t>
  </si>
  <si>
    <t>IOM-OS5</t>
  </si>
  <si>
    <t>CS.0903.CD60.82.06.002</t>
  </si>
  <si>
    <t xml:space="preserve">Supervision et suivi travaux des construction  </t>
  </si>
  <si>
    <t>IOM-OS 5</t>
  </si>
  <si>
    <t>CS.0903.CD60.82.06.003</t>
  </si>
  <si>
    <t>Panneaux des 10 règles d'or</t>
  </si>
  <si>
    <t>CS.0903.CD60.82.06.004</t>
  </si>
  <si>
    <t xml:space="preserve">Voyage et mission de terrain </t>
  </si>
  <si>
    <t>CS.0903.CD60.82.06.005</t>
  </si>
  <si>
    <t>Inauguration et remise des ouvrages</t>
  </si>
  <si>
    <t xml:space="preserve">A5.2.2.2  Dotation en moyens de transport et matériels de communication aux infrastructures policières prioritaires </t>
  </si>
  <si>
    <t>CS.0903.CD60.82.06.006</t>
  </si>
  <si>
    <t xml:space="preserve">Achat de 10 telephones  portables </t>
  </si>
  <si>
    <t>CS.0903.CD60.82.06.007</t>
  </si>
  <si>
    <t xml:space="preserve">Achat de 1 voiture 4*4 </t>
  </si>
  <si>
    <t>CS.0903.CD60.82.06.008</t>
  </si>
  <si>
    <t>Achat de 2 Moto DT Yamaha ou 4 Moto DT TOYO</t>
  </si>
  <si>
    <t>A5.2.2.3  Dotation en mobiliers de  bureau</t>
  </si>
  <si>
    <t>CS.0903.CD60.82.06.009</t>
  </si>
  <si>
    <t xml:space="preserve">20 Matelas de 6 pousses </t>
  </si>
  <si>
    <t>CS.0903.CD60.82.06.010</t>
  </si>
  <si>
    <t>20 Couverture</t>
  </si>
  <si>
    <t>CS.0903.CD60.82.06.011</t>
  </si>
  <si>
    <t xml:space="preserve">20 Lits en bois Local </t>
  </si>
  <si>
    <t>CS.0903.CD60.82.06.012</t>
  </si>
  <si>
    <t xml:space="preserve">Meubles bureau </t>
  </si>
  <si>
    <t>CS.0903.CD60.82.06.013</t>
  </si>
  <si>
    <t>Etagères</t>
  </si>
  <si>
    <t>CS.0903.CD60.82.06.014</t>
  </si>
  <si>
    <t>Chaises de bureau (prefabriquée)</t>
  </si>
  <si>
    <t>CS.0903.CD60.82.06.015</t>
  </si>
  <si>
    <t xml:space="preserve">Chaises visiteurs métaliques prefabriquées </t>
  </si>
  <si>
    <t>CS.0903.CD60.82.06.016</t>
  </si>
  <si>
    <t>Bancs d'acceuil préfabriqués</t>
  </si>
  <si>
    <t>CS.0903.CD60.82.06.017</t>
  </si>
  <si>
    <t>Transport et manutention</t>
  </si>
  <si>
    <t xml:space="preserve">A5.2.2.4 Dotation en equipements informatiques et fournitures de bureau </t>
  </si>
  <si>
    <t>CS.0903.CD60.82.06.018</t>
  </si>
  <si>
    <t>Laptop</t>
  </si>
  <si>
    <t>CS.0903.CD60.82.06.019</t>
  </si>
  <si>
    <t>Modem vodacom + carte</t>
  </si>
  <si>
    <t>CS.0903.CD60.82.06.020</t>
  </si>
  <si>
    <t>Imprimante</t>
  </si>
  <si>
    <t>CS.0903.CD60.82.06.021</t>
  </si>
  <si>
    <t xml:space="preserve">Scanner HP </t>
  </si>
  <si>
    <t>CS.0903.CD60.82.06.022</t>
  </si>
  <si>
    <t>Onduleur</t>
  </si>
  <si>
    <t>CS.0903.CD60.82.06.023</t>
  </si>
  <si>
    <t>Stabilisateur</t>
  </si>
  <si>
    <t>CS.0903.CD60.82.06.024</t>
  </si>
  <si>
    <t>Multiprise</t>
  </si>
  <si>
    <t>CS.0903.CD60.82.06.025</t>
  </si>
  <si>
    <t>Fourniture de bureau</t>
  </si>
  <si>
    <t xml:space="preserve">Fond de contingences </t>
  </si>
  <si>
    <t xml:space="preserve">A.2.2.5 Renforcement des capacités, accompagnement professionnel et contrôle , suivi, evaluation internes </t>
  </si>
  <si>
    <t>CS.0903.CD60.54.10.001</t>
  </si>
  <si>
    <t xml:space="preserve">Atelier de renforcement des capacités de 30 Agents PNC </t>
  </si>
  <si>
    <t>CS.0903.CD60.54.10.002</t>
  </si>
  <si>
    <t xml:space="preserve">Atelier des cadres / gestion Logistiquecpour 10 policiers </t>
  </si>
  <si>
    <t>CS.0903.CD60.54.10.003</t>
  </si>
  <si>
    <t>Formation de 5 informaticiens / 2 Chauffers Auto /  5 Moto</t>
  </si>
  <si>
    <t>CS.0903.CD60.50.05.001</t>
  </si>
  <si>
    <t>Sensibilisation  de la communauté sur la PNC ( OS 1 - DD)</t>
  </si>
  <si>
    <t>CS.0903.CD60.54.11.001</t>
  </si>
  <si>
    <t xml:space="preserve">Mettre en place une equipe de 5 coachs dediés à l'accompagnement des policiers </t>
  </si>
  <si>
    <t>CS.0903.CD60.54.11.002</t>
  </si>
  <si>
    <t xml:space="preserve">Soutenir la logistique et le deploiement des coachs </t>
  </si>
  <si>
    <t>CS.0903.CD60.57.02.004</t>
  </si>
  <si>
    <t>Appui au controle interne , Suivi et evaluation</t>
  </si>
  <si>
    <t>Personnel OS 3</t>
  </si>
  <si>
    <t>CS.0903.CD10.11.04.001</t>
  </si>
  <si>
    <t>Kinshasa Support Staff (5%)</t>
  </si>
  <si>
    <t>CS.0903.CD60.11.02.001</t>
  </si>
  <si>
    <t>Project Field Coordinator (100%)</t>
  </si>
  <si>
    <t>CS.0903.CD60.11.04.001</t>
  </si>
  <si>
    <t xml:space="preserve">Admin/fin/log Assistant (50%) </t>
  </si>
  <si>
    <t>CS.0903.CD60.11.04.002</t>
  </si>
  <si>
    <t xml:space="preserve">Driver (50%) </t>
  </si>
  <si>
    <t>Personnel OS 5</t>
  </si>
  <si>
    <t>CS.0903.CD60.12.05.001</t>
  </si>
  <si>
    <t>Equipements IT, véhicules/maintenance et mobilier</t>
  </si>
  <si>
    <t>CS.0903.CD60.12.09.002</t>
  </si>
  <si>
    <t>Sécurité, Bureau et Maintenance</t>
  </si>
  <si>
    <t>OIM - OS 5</t>
  </si>
  <si>
    <t>Sous total service contractuelles</t>
  </si>
  <si>
    <t>CS.0903.CD60.12.02.001</t>
  </si>
  <si>
    <t>IOM Duty travel</t>
  </si>
  <si>
    <t>CS.0903.CD60.12.04.001</t>
  </si>
  <si>
    <t xml:space="preserve">Fuel </t>
  </si>
  <si>
    <t>IOM OS 5</t>
  </si>
  <si>
    <t>Frais généraux  OS 3</t>
  </si>
  <si>
    <t>CS.0903.CD60.12.06.001</t>
  </si>
  <si>
    <t>Furniture and equipment</t>
  </si>
  <si>
    <t>CS.0903.CD60.12.08.001</t>
  </si>
  <si>
    <t>OIM Office supply</t>
  </si>
  <si>
    <t>CS.0903.CD60.12.10.001</t>
  </si>
  <si>
    <t>OIM other office costs</t>
  </si>
  <si>
    <t>CS.0903.CD60.12.09.001</t>
  </si>
  <si>
    <t>UNDSS Shared costs</t>
  </si>
  <si>
    <t>CS.0903.CD10.12.01.002</t>
  </si>
  <si>
    <t>CS.0903.CD40.12.10.001</t>
  </si>
  <si>
    <t xml:space="preserve">IOM Goma support  costs </t>
  </si>
  <si>
    <t>CS.0903.CD10.12.01.001</t>
  </si>
  <si>
    <t xml:space="preserve">IOM Kinshasa support  costs </t>
  </si>
  <si>
    <t>Frais généraux  OS 5</t>
  </si>
  <si>
    <t xml:space="preserve">sous total </t>
  </si>
  <si>
    <t>1ere tranche reçue</t>
  </si>
  <si>
    <t>Commentaires</t>
  </si>
  <si>
    <t xml:space="preserve">Cette legere sous consommation s'explique par le fait que certain staff ont commences quelques mois apres le debut du projet.   </t>
  </si>
  <si>
    <t xml:space="preserve">Certaines activites prevue pour l'annee 1 ont ete replanifie pour l'annee 2  </t>
  </si>
  <si>
    <t>Les prelevements sont progressif et Certain postes etaient pas encore pourvus</t>
  </si>
  <si>
    <t>La consommation se fait selon le besoin et il est progressif</t>
  </si>
  <si>
    <t>Certaine activites sont transferer a l'annee 2</t>
  </si>
  <si>
    <t>ῡῡῡ</t>
  </si>
  <si>
    <t>Ce depassement était dῡ à une mauvaise affectation des charges aux deuxième trimestre 2018; le reclassement a été fait au mois d'aout 2018 pour ajuster la ligne.</t>
  </si>
  <si>
    <t>Ce depassement  est dῡ au fait qu'il y a eu des  realisations et  engagements prévus au budget2 qui ont impacté sur le budget1. Les travaux de construction du commisseriat de la PNC à Burasi sont encours, le véhicule et les motos destinés à la PNC ont été acquis.Les ajustements seront faits à la reception de la deuxième tranche.</t>
  </si>
  <si>
    <t xml:space="preserve">Ce depassement est dῡ essentiellement du aux depenses d'entretien du vehicle et achat d'equipement informatique dontt l'utilisation s'étale sur la durée du projet. Les ajustements seront faits à la reception de la deuxieme tranche. </t>
  </si>
  <si>
    <t xml:space="preserve">Ce depassement est essentiellement dῡ aux plusieurs missions effectuées dans le cadre de la mise en eouvre des activités du projet. Les ajustements seront faits à la reception de la deuxième tranche </t>
  </si>
  <si>
    <t>Ce pourtage tient compte aussi des réalisations et des engagements encours lesquels engagements et réalisations prévus au budget2 ont impacté  sur le budget1. Les ajustement seront faits à la reception de la deuxième tranche</t>
  </si>
  <si>
    <t>Cette activité a ete realisée a 100 %</t>
  </si>
  <si>
    <t>Les activités de mediation sont menees en fonction des conflits identfiés et de la disponibilité des parties prenantes au conflit.</t>
  </si>
  <si>
    <t>Ces consultations seront menees au courant du second sementre de l'annee 2018</t>
  </si>
  <si>
    <t>Cette activité sera realisée a partir du mois d'octobre 2018</t>
  </si>
  <si>
    <t>Cette activité a ete realisée a 97 %</t>
  </si>
  <si>
    <t>Cette activité sera realisée apres l'amenagement du batiment de la brigade fonciere</t>
  </si>
  <si>
    <t>Cette activité sera realisée apres la dotation des equipements a l'administration fonciere</t>
  </si>
  <si>
    <t>Cette activité sera menee dans la deuxieme phase du projet</t>
  </si>
  <si>
    <t>Processus de recrutement du constructeur en cours de finalisation</t>
  </si>
  <si>
    <t>Cette activité a ete realisée a 99 %</t>
  </si>
  <si>
    <t xml:space="preserve"> Il s'agit de la prise en charge du Coordonnateur du projet don’t le salaire est deja bloqué sur un PO</t>
  </si>
  <si>
    <t xml:space="preserve">les fonds sont disponibles pour cette ligne à la hauteur de  92 %, mais au stade actuel une seule mission est déjà tenue </t>
  </si>
  <si>
    <t>Pour la premiere annee une reunion organisée</t>
  </si>
  <si>
    <t>La revue annuelle interne est prevue au en 18 au 19 septembre 2018</t>
  </si>
  <si>
    <t>Activité a mettre en oeuvre au corant de l'année 2</t>
  </si>
  <si>
    <t>Une partie du salaire sur PO en fonction du contrat</t>
  </si>
  <si>
    <t xml:space="preserve">Matériels de communication pour des formations ou campagnes de sensibilisation, reproduction des  posters, dépliants, T-shirts, casquettes,… </t>
  </si>
  <si>
    <t>Acquisition de mobilier et equipement informatique</t>
  </si>
  <si>
    <t>Frais de mission sur terrain et carburant, les sites a couvrir tres eloignés les uns des autres</t>
  </si>
  <si>
    <t>Couts liés a la contribution au loyer du bureau, achat carburant, entretien vehicules, etc…</t>
  </si>
  <si>
    <t xml:space="preserve">(a) Nom de l'organisation: </t>
  </si>
  <si>
    <t>COOPI</t>
  </si>
  <si>
    <r>
      <t>(e) GMS 7% Agent de Gestion (USD)****</t>
    </r>
    <r>
      <rPr>
        <b/>
        <sz val="8"/>
        <color indexed="10"/>
        <rFont val="Calibri"/>
        <family val="2"/>
      </rPr>
      <t>_Couts Indirects (max 7%</t>
    </r>
    <r>
      <rPr>
        <b/>
        <sz val="8"/>
        <rFont val="Calibri"/>
        <family val="2"/>
      </rPr>
      <t>::</t>
    </r>
  </si>
  <si>
    <t>VARIATION LIGNE</t>
  </si>
  <si>
    <t>% VARIATION</t>
  </si>
  <si>
    <t>Explication</t>
  </si>
  <si>
    <t>depense reelle</t>
  </si>
  <si>
    <t>% par rapport au Budget globale prevu</t>
  </si>
  <si>
    <r>
      <t>EXPLICATIONS REAMENAGEMENT BUDGET1&amp;2: (</t>
    </r>
    <r>
      <rPr>
        <b/>
        <sz val="8"/>
        <color rgb="FF00B050"/>
        <rFont val="Calibri"/>
        <family val="2"/>
        <scheme val="minor"/>
      </rPr>
      <t>Couleur VERTE= Budget dégagé</t>
    </r>
    <r>
      <rPr>
        <b/>
        <sz val="8"/>
        <rFont val="Calibri"/>
        <family val="2"/>
        <scheme val="minor"/>
      </rPr>
      <t xml:space="preserve"> et </t>
    </r>
    <r>
      <rPr>
        <b/>
        <sz val="8"/>
        <color rgb="FF0070C0"/>
        <rFont val="Calibri"/>
        <family val="2"/>
        <scheme val="minor"/>
      </rPr>
      <t>Couleur BLEUE=Budget engagé</t>
    </r>
    <r>
      <rPr>
        <b/>
        <sz val="8"/>
        <rFont val="Calibri"/>
        <family val="2"/>
        <scheme val="minor"/>
      </rPr>
      <t xml:space="preserve">). </t>
    </r>
    <r>
      <rPr>
        <b/>
        <sz val="8"/>
        <color rgb="FFFF0000"/>
        <rFont val="Calibri"/>
        <family val="2"/>
        <scheme val="minor"/>
      </rPr>
      <t>Les nouvelles lignes sont en écritures rouges.</t>
    </r>
  </si>
  <si>
    <t>BUDGET REVISE ANNEE 1</t>
  </si>
  <si>
    <t>BUDGET INITIAL ANNEE 1</t>
  </si>
  <si>
    <t>BUDGET REVISE ANNEE 2</t>
  </si>
  <si>
    <t>BUDGET INITIAL ANNEE 2</t>
  </si>
  <si>
    <t>OBJECTIVE SPECIFIQUE 7: Les niveaux de Violence Sexuelle et Basée sur le Genre (VSBG) sont réduits dans les zone prioritaire, 
grâce à la transformation des pratiques et des normes sociales  négatives  qui  contribuent  à  ce  type  de violence.</t>
  </si>
  <si>
    <t>Produit 7.1.1.</t>
  </si>
  <si>
    <t>Formation de Pairs Educateurs VSBG de groupes d’hommes et animateurs encadreurs/formateurs AL</t>
  </si>
  <si>
    <t>Il s'agit de payer: i) supports formation x 1,5$/participant, ii) restauration x 2,5$/participant, iii) Remboursement transport x 4 $/participant</t>
  </si>
  <si>
    <t>Formation de Pairs Educateurs VSBG de clubs/Brigades scolaires</t>
  </si>
  <si>
    <t>Il s'agit de payer: i) supports formation x 1,5$/participant, ii) restauration x 2,5$/participant</t>
  </si>
  <si>
    <t>Formation des autorités locales (56) et leaders communautaires (194)</t>
  </si>
  <si>
    <r>
      <t xml:space="preserve">Il s'agit de payer: i) supports formation x 1,5$/participant, ii) restauration x </t>
    </r>
    <r>
      <rPr>
        <sz val="8"/>
        <color rgb="FFFF0000"/>
        <rFont val="Calibri"/>
        <family val="2"/>
      </rPr>
      <t>4$/participant</t>
    </r>
    <r>
      <rPr>
        <sz val="8"/>
        <color theme="1"/>
        <rFont val="Calibri"/>
        <family val="2"/>
      </rPr>
      <t>, iii) Remboursement transport x</t>
    </r>
    <r>
      <rPr>
        <sz val="8"/>
        <color rgb="FFFF0000"/>
        <rFont val="Calibri"/>
        <family val="2"/>
      </rPr>
      <t xml:space="preserve"> 4,5 $/participant</t>
    </r>
  </si>
  <si>
    <t>Formation des officiers des agents de sécurité (PNC, ANR, FARDC) et officiers de FRPI</t>
  </si>
  <si>
    <t>Appui aux groupes d'hommes et clubs/brigades scolaires pour la CCC de VSBG</t>
  </si>
  <si>
    <t>Ce reliquat va renforcer l'alphabetisation LB:722004</t>
  </si>
  <si>
    <t>Pour la 2eme annualité, il s'agit de Primes de travail pour 15 groupes d'hommes x 60$ X 11 mois= 9900$, Appui materiel Groupe d'hommes (sac + fournitures + T-shit de CCC aux VSBG) pour 15 groupes  et 15 Clubs scolaires x 40$=1200$,1 banderole avec message  VSBG par brigade /club scolaire 15 x28,6$=429$</t>
  </si>
  <si>
    <t>nous avons dégagé 2033$ sur cette ligne comme reliquat sur la 1ère année, ce qui a permis de compenser les gaps des lignes de cette même année dont les couts étaient sous-estimés.</t>
  </si>
  <si>
    <t xml:space="preserve">Appui association locale-AL (CEMADEF) pour encadrer 2 groupes d'hommes et 2 brigades scolaires.    </t>
  </si>
  <si>
    <t>Transferts et subventions à AMSCO</t>
  </si>
  <si>
    <t>il s'agit d'appuyer le partenaire locale AMSCO sur l'année2 en renforcement de capacité et transfert de compétence</t>
  </si>
  <si>
    <t>Ce budget suplémentaire, provient des lignes AJP et servira à doter les associations partenaires locaux en matériels comme appui à leur fonctionnement. Dotation en matériels aux partenaires locaux:
Dotation en matériels aux partenaires locaux:
*ordinateur=450$; *Moto senke=648$
*imprimante=250$; *generateur=150$
STAFF suplémentaire:
*1 para-juriste=200*8=1600
*prime animateur=2*25$*11*=550$.</t>
  </si>
  <si>
    <t>avec 4320$ en plus, il s'agit d'appuyer le partenaire locale AMSCO sur l'année2 en renforcement de capacité et transfert de compétence</t>
  </si>
  <si>
    <t xml:space="preserve">Appui association locale-AL (PACADI et AFM) pour encadrer 6 groupes d'hommes et 6 brigades scolaires.    </t>
  </si>
  <si>
    <t>Transferts et subventions</t>
  </si>
  <si>
    <t>il s'agit d'appuyer le partenaires locale PACADI ET AFM sur l'année2 en renforcement de capacité et transfert de compétence</t>
  </si>
  <si>
    <t>Ce budget suplémentaire, provient des lignes AJP et servira à doter les associations partenaires locaux en matériels comme appui à leur fonctionnement. Dotation en matériels aux partenaires locaux:
Dotation en matériels aux partenaires locaux:
*ordinateur=2*450$=900$; *Moto senke=2*648$=1296$; *imprimante=2*250$=500$
*generateur=2*150$=300$
STAFF suplémentaire:
*1 para-juriste=2*200*8=3200$
*prime animateur=2*2*25$*11*=1100$.</t>
  </si>
  <si>
    <t>avec 10290$ en plus, il s'agit d'appuyer le partenaire locale PACADI ET AFM sur l'année2 en renforcement de capacité et transfert de compétence</t>
  </si>
  <si>
    <t xml:space="preserve">Appui association locale-AL (GAD) pour encadrer 7 groupes d'hommes et 7 brigades scolaires.    </t>
  </si>
  <si>
    <t>il s'agit d'appuyer le partenaire locale GAD sur l'année2 en renforcement de capacité et transfert de compétence</t>
  </si>
  <si>
    <t>avec 4320$ en plus, il s'agit d'appuyer le partenaire locale GAD sur l'année2 en renforcement de capacité et transfert de compétence</t>
  </si>
  <si>
    <t xml:space="preserve">Appui aux FARDC et FRPI </t>
  </si>
  <si>
    <t>Il s'agit de: i) frais de communication (carte telephonique) de 20$/mois pour le monitoring (alerte et denonciation) des cas VSBG avec 7 sections FARDC (1 par chefferie) pour 28 offociers FARDC animateurs (14Fe)   + 1 commandement FRPI de 4 commandants animateurs; ii) prime service de 20$/mois , T-shirt avec message VSBG  200 X10$</t>
  </si>
  <si>
    <t>nous avons dégagé 1748$ sur cette ligne comme reliquat sur la 1ère année, ce qui a permis de compenser les gaps des lignes de cette même année dont les couts étaient sous-estimés.</t>
  </si>
  <si>
    <t>Formation sur le genre aux staffs de la mise en œuvre des toutes les OS du programme</t>
  </si>
  <si>
    <t xml:space="preserve">Il s'agit de: i) papeterie x 75$, ii) Cocktail x 125$ </t>
  </si>
  <si>
    <t>Consultance DIVIGENRE pour formation sur les VBSG et le Genre</t>
  </si>
  <si>
    <t>Contrat de service pour formation sur le genre: il s'agit de: i) restauration+logement x 20$/Jr, ii) prime service x 35$/Jr, iii) transport x 10$</t>
  </si>
  <si>
    <t>nous avons dégagé 755$ sur cette ligne comme reliquat sur la 1ère année, ce qui a permis de compenser les gaps des lignes de cette même année dont les couts étaient sous-estimés.</t>
  </si>
  <si>
    <t xml:space="preserve">Protocole d’accord avec VJI-Voix de la Jeunesse de l’Ituri pour lea CCC aux VSBG (journée scolaire, etc.) </t>
  </si>
  <si>
    <t xml:space="preserve">Contrat de servive pour: i)conception et reporgraphie de 1 CD/Vidéo VSBG x 1000$, ii) realiser15 journées socioculturelles scolaires x 200$=3000$ </t>
  </si>
  <si>
    <t>Journées de cinémas mobiles de CCC et sensibilisation (30 journées) ,</t>
  </si>
  <si>
    <t xml:space="preserve"> location meubles et site de journée x 15$ x 30seances=450$; cock tail + remboursement transport invité special x 15$ x 30 journées =450$, Banderoles avec message VSBG pour la visibilité 75$</t>
  </si>
  <si>
    <t xml:space="preserve">Materiels de CCC en masse aux VSBG (posters VSBG, crieur public) </t>
  </si>
  <si>
    <t xml:space="preserve">Il s'agit d'acheter: 210 Affiches A6 couleurs  avec message  VSBG A1 x2$=420$ , Multiplication des 2100 depliants X 0,25=525$, Multiplication des calendriers 2018-2019 avec messages </t>
  </si>
  <si>
    <t xml:space="preserve">Communication pour le CC aux VSBG par SFCG  </t>
  </si>
  <si>
    <t xml:space="preserve">Il s'agit de: i) 80 débats/émissions pour 20 mois (4 émissions par mois) x 40$=3200$, ii) 80 spots x 15$=1200$, iii) Bande dessinée VSBG + reporgraphie  x 1200$  Total 5,900$  
BUDGET DONNE' A SFCG
</t>
  </si>
  <si>
    <t xml:space="preserve">Materiels de  CCC aux VSBG à 4 églises  </t>
  </si>
  <si>
    <t xml:space="preserve">Il s'agit d'acheter 1 kit de materiel de CCC/Snesibilisation selon les besoins de chaque eglise: baflles, microphones, groupes electriques, etc. pour un forfait de 300$ par eglise </t>
  </si>
  <si>
    <t xml:space="preserve">Plans communautaires de CCC VSBG, couplés aux plans/cadres communautaires du monitoring de VSBG </t>
  </si>
  <si>
    <t>Il s'agit de: i) papeterie pour elaborationx 7,5$; ii) location site/espace + meubles x 12,5$; iii) Cock tail/Remboursement transport x 20$</t>
  </si>
  <si>
    <t xml:space="preserve">Appuyer AJP pour la CCC et monitoring de VBSG   </t>
  </si>
  <si>
    <t xml:space="preserve">COOPI </t>
  </si>
  <si>
    <t>Etant donné que AJP n'est plus crédible sur le terrain, alors cette ligne appuyera desormais les associations locales d'exécution, partenaires de COOPI (GAD-AFM-PACADI-AMSCO). Et aussi renforcer l'équippe de COOPI en terme de supperviseur APS et juridique ainsi que la couverture de l'admin/log expat sur 03 mois.</t>
  </si>
  <si>
    <t>Il s'agit de: i) renumeration de 2 Superviseurs de CCC/Sensibilisateurs (1Fe) x 400$=800$/mois, et 1 Coordo AJP x 150$/mois, ii) frais de suivi (perdiem, comunication, location/achat moto pour transport, carburant, fournitures, etc.) x 125$/mois, iii) communication internet pour 2 sous basesx 125$=250$ /mois; soit 1325$</t>
  </si>
  <si>
    <t>nous avons dégagé 665$ sur cette ligne comme reliquat sur la 1ère année et 15900$ en totalité sur la 2ème année pour faciliter le transfert de compétence aux associations locales et la prise en charge médicale des survivants de VSBG.</t>
  </si>
  <si>
    <t>Forums de plaidoyer sur les VSBG</t>
  </si>
  <si>
    <t xml:space="preserve">Il s'agit de: i) location site/espace + meubles x 30$; ii) Cock tail/Remborusement transport à cas de besoins x 55$ </t>
  </si>
  <si>
    <t xml:space="preserve">Ateliers de dialogue/palabre sur les VSBG </t>
  </si>
  <si>
    <t xml:space="preserve">Il s'agit de: i) location site/espace + meubles x 15$; ii) Cock tail/Rembousement transport à cas de besoins x 15$ </t>
  </si>
  <si>
    <t>Appuyer les plaidoyers locaux des initiatives des femmes et filles sur les violences du genre par chefferie</t>
  </si>
  <si>
    <t>Ce reliquat est renvoyé à l'année2</t>
  </si>
  <si>
    <t xml:space="preserve">frais de transport et autres depenses sejours pendant les plaidoyers au niveau de la chefferie x 75$/plaidoyer, ii) papeterie et services speciaux (impression memo, etc) x 50$/plaidoyer </t>
  </si>
  <si>
    <t>Activité reportée à l'année2 pour 250$</t>
  </si>
  <si>
    <t xml:space="preserve">Appui logistique en matériels informatiques aux associations locales (PACADI, AFM, AMSCO, GAD) </t>
  </si>
  <si>
    <t>Il s'agit de payer: i) 4 kits matériels informatiques (ordinateurs+imprimantes)x700$ =2800$,</t>
  </si>
  <si>
    <t>il s'agit de doter les  partenaires locaux en ordinateurs et imprimantes evc 2800$</t>
  </si>
  <si>
    <t xml:space="preserve">Appui logistique en matériels roulants aux associations locales (PACADI, AFM, AMSCO, GAD) </t>
  </si>
  <si>
    <t xml:space="preserve">Il s'agit de payer:  ii) 4 motos+maintenance x 900$ =3600$, iii) </t>
  </si>
  <si>
    <t>il s'agit de doter les  partenaires locaux en motos plus frais d’entretien avec 3600$</t>
  </si>
  <si>
    <t>Prise en charge medicale de survivants de VSBG</t>
  </si>
  <si>
    <t xml:space="preserve"> 38725$ dégagé, Il s'agit d'appuyer 8 structures sanitaires (FOSA) aux activités/dépenses suivantes: i) 6PEPx1400$ =8400$, ii) Médicaments et matériels médicaux essentiels (Kits IST, etc.) x 750$ x 8 FOSA= 6000$, iii) Primes services 8FOSA et supervision BCZS  x 125$ x10mois = 10000$, IV) Remb. transport survivants= 150x15,5$ =2325$, V) 1Sup. Médicale x12moisx1000$=12000$</t>
  </si>
  <si>
    <t>Matériels de sensibilisation</t>
  </si>
  <si>
    <t>Il s'agit des affiches, teeshirt, etc…</t>
  </si>
  <si>
    <t>Il s'agit des affiches, teeshirt, etc… pour 864$</t>
  </si>
  <si>
    <t>ce taux de consommation est réel par rapport au budget globale</t>
  </si>
  <si>
    <t>Produit 7.2.1</t>
  </si>
  <si>
    <t>721001</t>
  </si>
  <si>
    <t xml:space="preserve">Plans/Cadres scolaires pour alerte et denonciation precoce de cas de VSBG en milieux scolaires </t>
  </si>
  <si>
    <t>Il s'agit de: i) papeterie pour elaboration x 5$; ii) Cock tail x 20$</t>
  </si>
  <si>
    <t>721002</t>
  </si>
  <si>
    <t xml:space="preserve">Fiches de collecte et documentation de cas de VSBG  </t>
  </si>
  <si>
    <t xml:space="preserve">Pour paiement service repographie d'environ 2500 fiches x 0,35$=875$, ii achat papier x 150$, cartouches et autres consommables information pour impression fiches x 550$  </t>
  </si>
  <si>
    <t>721003</t>
  </si>
  <si>
    <t xml:space="preserve">Fonctionnement de cadres scolaires (18) et communautaires (18) pour alerte et dénonciation des cas de VSBG aux PNC et FARDC  </t>
  </si>
  <si>
    <t xml:space="preserve">Il s'agit de: i) frais communication ( carte prepayés et/ou paiement abonnement communication) x 10$: ii) frais transport pour aller denoncer et suivre les cas x 5$; soit 15$/mois, reproduction des deplians de sensibilisation 2450  x0,25=612,5$, Frais de suivi des activités </t>
  </si>
  <si>
    <t>nous avons dégagé 3600$ sur cette ligne comme reliquat sur la 1ère année, ce qui a permis de compenser les gaps des lignes de cette même année dont les couts étaient sous-estimés.</t>
  </si>
  <si>
    <t>721004</t>
  </si>
  <si>
    <t xml:space="preserve">Materiels de points/centres d’appel téléphonique pour alerte et dénonciation de cas VSBG </t>
  </si>
  <si>
    <t xml:space="preserve">Il s'agit de: i) 30 telephones x 20$; ii) kits solaires pour charger les telephones (panneau solaire+baterrie) x 50$  </t>
  </si>
  <si>
    <t>nous avons dégagé 1000$ pour compenser les autres lignes de meme rubrique.</t>
  </si>
  <si>
    <t>721005</t>
  </si>
  <si>
    <t xml:space="preserve">Analyse de tendance des cas  VSBG avec les communautés(rapports, réunions, etc.). </t>
  </si>
  <si>
    <t>Il s'agit de: i) papeterie x 20$; ii) location site/espace + meubles x 35$; iii) Cock tail/Remborusement transport à cas de besoins x 95$</t>
  </si>
  <si>
    <t>nous avons dégagé 525$ pour compenser les autres lignes de meme rubrique.</t>
  </si>
  <si>
    <t>Produit 7.2.2</t>
  </si>
  <si>
    <t>722001</t>
  </si>
  <si>
    <t>Protocole d’accord avec les CS/HGR  via le BCZS pour les soutiens psychosociaux</t>
  </si>
  <si>
    <t>Ce reliquat va renforcer la prise en charge survivants VSBG  LB:722001</t>
  </si>
  <si>
    <t>Pour le service de soutien psychosocial avec 8 CS/HGR x 40$ x18 mois. On va plus utiliser les sages femmes pour la PEC Psychosociale pour renforcer le genre dans les structures sanitaires</t>
  </si>
  <si>
    <t>nous avons dégagé 2080$ sur cette ligne comme reliquat sur la 1ère année, ce qui a permis de compenser les gaps des lignes de cette même année dont les couts étaient sous-estimés.</t>
  </si>
  <si>
    <t>722002</t>
  </si>
  <si>
    <t>Fiches d'identification/referencement et Papeterie/materiels pour Archivage des cas de VSBG dans les structures sanitaires et MAF</t>
  </si>
  <si>
    <t xml:space="preserve">Il s'agit de: i) reprographie 2250fiches x1,5$=3375$, ii) fournitures (classeurs, etuis, clear bag, fardes, etc.) x 25$ x 11CS/HGR/7MAF=450$ , ii) iv) 7 kits meubles pour archivage (table bureau/armoire et etagere) x 170$=1190$, iii)  1 ordinateur pour Responsable BDD x 550$; </t>
  </si>
  <si>
    <t>nous avons dégagé 1169$ sur cette ligne comme reliquat sur la 1ère année et 715$ sur année2, ce qui a permis de compenser les gaps des lignes de cette même année dont les couts étaient sous-estimés.</t>
  </si>
  <si>
    <t>722003</t>
  </si>
  <si>
    <t>Appui à AL à aménager et equiper les maisons de femmes (MAF) pour les cours d’alphabétisation, activités theurapétiques et SAFE</t>
  </si>
  <si>
    <t>Il s'agit des materiels (mobiliers) x 250$MAF; ii) legere rehabilitation x 600$/MAF</t>
  </si>
  <si>
    <t>722004</t>
  </si>
  <si>
    <t>Appui AL à materiels et autres frais pour realiser les cours d’alphabétisation, activités theurapétiques/PEC Psychosociale et SAFE</t>
  </si>
  <si>
    <t xml:space="preserve">Il s'agit des materiels pour cours d'alphabetisation et activités theurapetiques pour 7MAF x 200$s=1400$; prime 7 animateurs pedgagogiques/Activités SAFE x 25$ x 15 mois= 2625$; prime 7 APS x 50$ x 20 mois= 7000$; 7materies activité SAFE x 1000$=7000$ </t>
  </si>
  <si>
    <t>nous avons dégagé 1527$ sur cette ligne comme reliquat sur la 1ère année, ce qui a permis de compenser les gaps des lignes de cette même année dont les couts étaient sous-estimés.</t>
  </si>
  <si>
    <t>722005</t>
  </si>
  <si>
    <t>Frais/subvention pour la reinsertion scolaires des enfants de VSBG et autres enfants vulnerables de la communauté</t>
  </si>
  <si>
    <t xml:space="preserve">Il s'agit de: i) petits fournitures scolaires pour enfant x 5$/an; iii) frais scolaire x 25$/enfant/an </t>
  </si>
  <si>
    <t>722006</t>
  </si>
  <si>
    <t xml:space="preserve">Formation/recyclage de 8 infirmiers, 7 APS, 7 animateurs pedagogiques des AL pour la PEC ychosociale et SAFE  </t>
  </si>
  <si>
    <t>cette provision vient du reliquat de l'année1, reconduit à l'année2</t>
  </si>
  <si>
    <t>Il s'agit de payer: i) supports formation x 2$/participant, ii) restauration x 3$/participant, iii) Remboursement transport x 10$/participant</t>
  </si>
  <si>
    <t>nous avons dégagé 457$ sur cette ligne comme reliquat sur la 1ère année, ce qui a permis de compenser les gaps des lignes de cette même année dont les couts étaient sous-estimés.</t>
  </si>
  <si>
    <t>722007</t>
  </si>
  <si>
    <t>Consultance pour la formation (1 Fe)</t>
  </si>
  <si>
    <t>Contrat/protocole de service pour formation</t>
  </si>
  <si>
    <t>722008</t>
  </si>
  <si>
    <t xml:space="preserve">Expertise Genre et Gestion de base des données (1Fe) </t>
  </si>
  <si>
    <t>l'experte genre aura 3 mois X656=1968$ pour le reste de mois  de la 1ère annualité y compris 100 $ pour taxes/mois, 50$ pour soins medicaux/mois</t>
  </si>
  <si>
    <t>il s'agit du complément pour couvrir le salaire de l'experte genre sur toute la période du projet (soit 2142$ année1 et 1920$ année2)</t>
  </si>
  <si>
    <t>722009</t>
  </si>
  <si>
    <t xml:space="preserve">Chef projet/Coordinateur des interventions VSBG </t>
  </si>
  <si>
    <t>Il s'agit de 1200$ pour salaire/mois, 250 $ pour taxes/mois, 50$ pour soins medicaux/mois</t>
  </si>
  <si>
    <t>nous avaons dégagé 1388,72$ pour compenser la ligne experte genre en complément sur année1</t>
  </si>
  <si>
    <t>722010</t>
  </si>
  <si>
    <t xml:space="preserve">Appuyer AJP pour l’identification, écoute, referencement  de survivants VSBG et suivi de PEC psycho et activité SAFE  </t>
  </si>
  <si>
    <r>
      <t xml:space="preserve">COOPI </t>
    </r>
    <r>
      <rPr>
        <sz val="10"/>
        <color indexed="10"/>
        <rFont val="Calibri"/>
        <family val="2"/>
      </rPr>
      <t/>
    </r>
  </si>
  <si>
    <t>Il s'agit de: i) renumeration de 4 Superviseurs psychologues + 1 Superviseur SAFE (3Fe) x 400$=2000$/mois, et 1 Coordo AJP x 150$/mois, ii) frais de suivi (perdiem, comunication, location/achat moto pour transport, fournitures) x 150$/mois, iii) location + maintenance+ mobiliers 2 sous base terrain AJP-COOPI  (Komanda, Kasenyi/Boga ) x250$= 500$/mois; soit 2800$</t>
  </si>
  <si>
    <t>nous avons dégagé 1710$ sur cette ligne comme reliquat sur la 1ère année et 33600$ en totalité sur la 2ème année pour faciliter le transfert de compétence aux associations locales et la prise en charge médicale des survivants de VSBG.</t>
  </si>
  <si>
    <t>722011</t>
  </si>
  <si>
    <t>Appuyer ONG-AJP à aménager et équiper les cliniques juridiques pour l'impunité contre les VSBG</t>
  </si>
  <si>
    <t>Il s'agit de: i) mobiliers x 125$/clinique, legere rehabilitation x 400$, iii) papeteries x 200$</t>
  </si>
  <si>
    <t>nous avons dégagé 315$ sur cette ligne comme reliquat sur la 1ère année en complément pour faciliter le transfert de compétence aux associations locales et la prise en charge médicale des survivants de VSBG.</t>
  </si>
  <si>
    <t>722012</t>
  </si>
  <si>
    <t xml:space="preserve">Appuyer AJP à organiser les cliniques juridiques fixes et mobiles </t>
  </si>
  <si>
    <t xml:space="preserve">Il s'agit de: i) renumeration de 5 para juristes(3Fe) x 200$=1000$/mois, 1 Juriste Formateur x 400$/mois x6mois=2400$ (120$/mois), Coordo AJP pour suivi juridique  x 150$/mois, ii) frais pour cliniques mobiles (transport, communication, restauration, hebergement, etc.) x 30$ x 5cliniques=150$/mois,  iii) frais fonctionnement/papeteries 4 sous bases/bureaux terrain x 40$=160$/mois, iv) secruité/entretien 2 sous bases x 150$=300$/mois; frais fonctionnement bureau coordination AJP x 125$/mois
Dans la zone, il y a quasi absence de cliniques juridiques, toute fois, COOPI a mis en place avec son partenaire AJP 2 cliniques juridiques à Kagaba et Komanda par son projet d'urgence de VSBG financé par le Fond Humnaitaire jusqu'à dec. 2017. Ces interventions seront complementaires avec les intervention de ces 2 cliniques juridiques jusqu'à decembre 2017. </t>
  </si>
  <si>
    <t>nous avons dégagé 2340$ sur cette ligne comme reliquat sur la 1ère année et 24060 en totalité sur la 2ème année pour faciliter le transfert de compétence aux associations locales et la prise en charge médicale des survivants de VSBG.</t>
  </si>
  <si>
    <t>722013</t>
  </si>
  <si>
    <t>Formation 5 para juristes (3Fe) pour l’accompagnement juridique</t>
  </si>
  <si>
    <t>Il s'agit de payer: i) supports formation x 2$/participant, ii) restauration x 3$/participant, iii) Remboursement transport + Logement x 10$/participant</t>
  </si>
  <si>
    <t>nous avons dégagé 375$ sur cette ligne comme reliquat sur la 1ère année pour ramener l'activité à l'année2</t>
  </si>
  <si>
    <t>722014</t>
  </si>
  <si>
    <t xml:space="preserve">Protocole d’accord avec 8 commissariats de PNC </t>
  </si>
  <si>
    <t xml:space="preserve"> Il s'agit de: i) papeterie et prime service x 10$/mois, ii) frais de transfert et arrestation de présumés (transport, restauration, hébergement, communication, etc.) x 30$/mois </t>
  </si>
  <si>
    <t>nous avons dégagé 1600$ sur cette ligne comme reliquat sur la 1ère année, ce qui a permis de compenser les gaps des lignes de cette même année dont les couts étaient sous-estimés.</t>
  </si>
  <si>
    <t>722015</t>
  </si>
  <si>
    <t>Formation de 16 OPJ (5Fe)pour la PEC Judiciaire</t>
  </si>
  <si>
    <t>722016</t>
  </si>
  <si>
    <t xml:space="preserve">Appuyer les activités juridiques par les magistrats afin de régulariser les détentions de présumés au niveau des PNC </t>
  </si>
  <si>
    <t xml:space="preserve">Il s'agit de: i) frais sejour (hotel, restauration, transport, communication, etc.) x 85$/mois, ii) frais service (perdiem) x 75$/mois; via un protocole avec le Tribunal de paix d'Irumu </t>
  </si>
  <si>
    <t>nous avons dégagé 445$ sur cette ligne comme reliquat sur la 1ère année, ce qui a permis de compenser les gaps des lignes de cette même année dont les couts étaient sous-estimés.</t>
  </si>
  <si>
    <t>722017</t>
  </si>
  <si>
    <t xml:space="preserve">Appuyer le Tribunal de Paix d'Irumu à Bunia à organiser 4 audiences foraines  </t>
  </si>
  <si>
    <t xml:space="preserve">Il s'agit de: i) frais service (prime, communication) de juge x 1500$, ii) frais sejour (restauration, hebergement, transport) x 500$/ par audience, </t>
  </si>
  <si>
    <t>nous avons dégagé 2000$ sur cette ligne comme reliquat sur la 1ère année et 1000$ sur 2ème année, ce qui a permis de compenser les gaps des lignes de cette même année dont les couts étaient sous-estimés.</t>
  </si>
  <si>
    <t xml:space="preserve"> Produit 2.2.3.</t>
  </si>
  <si>
    <t>722301</t>
  </si>
  <si>
    <t>Appuyer DIVIGENRE pour coordination (reunions et suivi/supervisions) via un protocole d'accord</t>
  </si>
  <si>
    <t>Papeteries x 45$/mois, Cock taill x 50$/reunion/mois, Frais communication (internet, sms, etc.) pour partage invitation et CR x 25$/mois, Carburant/lubrifiant generateur et autres x 80$/mois, iii) frais service (prime, communication) par supervision x 200$ (100$/mois), iv) frais sejour (hebergement, restauration, transport) par supervision x 170$ (85$/mois)</t>
  </si>
  <si>
    <t>722302</t>
  </si>
  <si>
    <t>Enquêtes Connaissance Attitude Pratique (CAP) aux VSGB; couplées avec etudes du programme</t>
  </si>
  <si>
    <t>Coordination du consortium (UNHABITAT)</t>
  </si>
  <si>
    <t>722303</t>
  </si>
  <si>
    <t>Ateliers de restitution sur les bonnes pratiques et le rapport des enquêtes CAP de VSBG.</t>
  </si>
  <si>
    <t>Il s'agit de: i) supports/papeteries atelier x 25$, ii) cocktail x 75$, iii) remboursement transport participants speciaux x 50$; iv) locale salle x 50$</t>
  </si>
  <si>
    <t>722304</t>
  </si>
  <si>
    <t>Frais de mission de staffs du projet</t>
  </si>
  <si>
    <t xml:space="preserve">Pour hotel chef de projet (moyenne de 4 Jrs de mission/mois x 15$= 60$), de Responsable BDD (moyenne de 2Jrs de mission/mois x 15$=30$) restauration chef projet, Expert Genre/Respo BDD (moyenne de 6Jrs x 7$=42$),Hotel + Restaurant  pour le chauffeur 22$, diverses taxes routieres (moyenne de 50$/mois), 48$/mission/mois de kit de securitaire (medicale, de toillette, etc.)   </t>
  </si>
  <si>
    <t>il s'agit du complément pour couvrir les frais de missions de l'année 1  pour 2777$ et année 2 pour 3000$</t>
  </si>
  <si>
    <t>722305</t>
  </si>
  <si>
    <t>Frais de Visibilite</t>
  </si>
  <si>
    <t>Il s'agit de: i) 7 Panneaux de visibilité x 125$=875$, ii) T-shit et gilets de visibilité à 30 staffs techniques et de support x 15$=450$, iii) 22 autocolants des motos/vehicules et portes de base x 5$=110$</t>
  </si>
  <si>
    <t>722306</t>
  </si>
  <si>
    <t>Superviseur-sensibilisateur/Psychologue</t>
  </si>
  <si>
    <t>Nouvelle ligne creée pour la supervision para-juriste et APS. Ces couts ont été récupérés également sur les lignes du partenaire AJP qui ne sera pas reconduit en année2</t>
  </si>
  <si>
    <t>iii) 1 Superviseur-sensibilisateur/Psychologue x 800$x10mois =8000$</t>
  </si>
  <si>
    <r>
      <t xml:space="preserve">Il s'agit de payer les salaires/rémunération, taxes, soins médicaux, etc. de: 1 Superviseur-sensibilisateur/Psychologue x 800$x10mois </t>
    </r>
    <r>
      <rPr>
        <b/>
        <sz val="9"/>
        <color rgb="FFFF0000"/>
        <rFont val="Calibri"/>
        <family val="2"/>
      </rPr>
      <t>=8000$</t>
    </r>
  </si>
  <si>
    <t>722307</t>
  </si>
  <si>
    <t xml:space="preserve">Expert juriste </t>
  </si>
  <si>
    <t>iv) 1Expert Juristex800$ x 12 mois =8000$</t>
  </si>
  <si>
    <r>
      <t xml:space="preserve">Il s'agit de payer les salaires/rémunération, taxes, soins médicaux, etc. de: 1 Expert juriste x 800$x10mois </t>
    </r>
    <r>
      <rPr>
        <b/>
        <sz val="9"/>
        <color rgb="FFFF0000"/>
        <rFont val="Calibri"/>
        <family val="2"/>
      </rPr>
      <t>=8000$</t>
    </r>
  </si>
  <si>
    <t>722308</t>
  </si>
  <si>
    <t>Appui à la coordination du Groupe de travail genre et de lutte contre les VSBG</t>
  </si>
  <si>
    <t>il s'agit de : koctail, papéterie, …</t>
  </si>
  <si>
    <t>il s'agit de : cocktail, papeterie, autres urgences genre … pour 480$</t>
  </si>
  <si>
    <t>800001</t>
  </si>
  <si>
    <t>Admin/Log expat (Bunia)</t>
  </si>
  <si>
    <t>Il faut impérativement 3 mois de couverture pour l'admin expat pour le monitoring financier et la gestion comptable d'où les 12600$ recupéré sur plusieurs LB RH du partenaire AJP non reconduit</t>
  </si>
  <si>
    <t>Il s'agit de salaire, taxes, soins medicaux, etc.</t>
  </si>
  <si>
    <t>il s'agit de couvrir le salaire de l'admin expat pour 3 mois sur l'année1  de 12278$ et 1 mois sup. sur l'année2 en complément</t>
  </si>
  <si>
    <t>800002</t>
  </si>
  <si>
    <t>Chef de mission</t>
  </si>
  <si>
    <t>nous avons augmenté de 1199,75$ car sous-estimé en année1</t>
  </si>
  <si>
    <t>800003</t>
  </si>
  <si>
    <t>Admin/comptable</t>
  </si>
  <si>
    <t>nous avons dégagé 2710,67$ année1  pour compenser les autres lignes de la meme rubrique</t>
  </si>
  <si>
    <t>800004</t>
  </si>
  <si>
    <t>nous avons augmenté de 498$ sur cette ligne comme complément sur la 1ère année car sous-estimée.</t>
  </si>
  <si>
    <t>800005</t>
  </si>
  <si>
    <t>Chauffeur/Mecanicien</t>
  </si>
  <si>
    <t>nous avons dégagé 433$ sur cette ligne comme reliquat sur la 1ère année pour compensation des autres lignes de la meme rubrique.</t>
  </si>
  <si>
    <t>800006</t>
  </si>
  <si>
    <t>Journaliers</t>
  </si>
  <si>
    <t>Pour la manutention des materiels du projetet autres services occasionnels du projet</t>
  </si>
  <si>
    <t>nous avons augmenté de 1972$ sur cette ligne comme complément sur la 1ère année car sous-estimée.</t>
  </si>
  <si>
    <t>800101</t>
  </si>
  <si>
    <t>Ordinateurs</t>
  </si>
  <si>
    <t>Pour acheter 2 ordinateur pour la gestion du projet: 1 pour le chef de projet, 1 pour l'adminsitration/logistique</t>
  </si>
  <si>
    <t>800201</t>
  </si>
  <si>
    <t>Abonnement telephone</t>
  </si>
  <si>
    <t xml:space="preserve">Contrat service par reseau telephonique pour payer l'abonnement de communication telephonique  de l'administration x 50$/mois, logistique de support x 50$, programme x 50$  </t>
  </si>
  <si>
    <t>1244$ en sus, il s'agit de couvrir le gap sur l'année1 en complément du budget initial sous-estimé</t>
  </si>
  <si>
    <t>800202</t>
  </si>
  <si>
    <t>Abonnement internet</t>
  </si>
  <si>
    <t>Contrat service pour payer l'abonnement internet x 400$/mois</t>
  </si>
  <si>
    <t>520$ en sus, il s'agit de couvrir le gap sur l'année1 en complément du budget initial sous-estimé</t>
  </si>
  <si>
    <t>800203</t>
  </si>
  <si>
    <t>Service de Entretien/ Securité</t>
  </si>
  <si>
    <t xml:space="preserve">Il s'agit de contrat service: i) entretien de bases x 300$ x 10 mois=3000$, ii) gardienage de bases x 600$ x 15 mois=9000$ </t>
  </si>
  <si>
    <t>913$ dégagé, il s'agit de couvrir le gap des autres lignes sur l'année1 en complément du budget initial sous-estimé</t>
  </si>
  <si>
    <t>800301</t>
  </si>
  <si>
    <t xml:space="preserve">Location vehicule </t>
  </si>
  <si>
    <t>Contrat cadre location vehicule de suivi des activités du projet, renumeration chauffeur, etc.</t>
  </si>
  <si>
    <t>800302</t>
  </si>
  <si>
    <t>Materiels/maintenance motos</t>
  </si>
  <si>
    <t xml:space="preserve">Maintenance de 5 motos ( 1 COOPI, partenaire locaL: 4 AJP à raison de 1 moto/base terrain) mis à la disposition du projet; il sagit de payer: i) pieces d'entretien de 5 motos x 30$ x 24mois=3600$, ii) service d'entretien x 15$/service x 24 mois=360$  </t>
  </si>
  <si>
    <t>800303</t>
  </si>
  <si>
    <t xml:space="preserve">Materiels/maintenance vehicule  </t>
  </si>
  <si>
    <t>pour la maintenance de vehicule COOPI mis au projet pour la qualité de suivi relativement à l'etendue de la zone d'intervention. Il s'agit des depenses suivantes: i) pieces/materiels de maintenance x 4500$, ii) paiement service de maintenance (contrat de service) x 2500$</t>
  </si>
  <si>
    <t>938$ il s'agit de couvrir le gap sur l'année1 en complément du budget initial sous-estimé et une dimunition de 630$ sur l'année2</t>
  </si>
  <si>
    <t>800304</t>
  </si>
  <si>
    <t>Carburants/lubrifiants vehicules</t>
  </si>
  <si>
    <t>Il s'agit d'une moyenne de 320 litres/mois pour le vehicule de location et de COOPI mis à la disposition du projet: 300L pour carbuarnt et  20L pour lubrifiant</t>
  </si>
  <si>
    <t>800305</t>
  </si>
  <si>
    <t>Carburants/lubrifiants motos</t>
  </si>
  <si>
    <t>Il s'agit des carburant (50L/mois/moto) et lubrifiant (5L/mois/moto) mises au projet</t>
  </si>
  <si>
    <t>800306</t>
  </si>
  <si>
    <t>Carburants/lubrifiants generateurs</t>
  </si>
  <si>
    <t>Pour le carburant (70L/mois) et lubrifiant (5L/mois)pour le generateur</t>
  </si>
  <si>
    <t>800307</t>
  </si>
  <si>
    <t xml:space="preserve">Frais Transport materiels </t>
  </si>
  <si>
    <t>Il s'agit de la location de 5 courses (A/R)  par an; soit 10 courses pour 2 ans avec un camion de 7Ton x 250$=2500$ pour transpoter les materiels du projet de Bunia à 4 sous bases du projet qui vont etre mises en place (Kasenyi, Boga, Komanda, Gety); ii) transport/freet aerien d'intrants medicaux (kit Pep, etc.) de Goma à Bunia x 500$</t>
  </si>
  <si>
    <t>800308</t>
  </si>
  <si>
    <t>Frais de missions - pour S&amp;E</t>
  </si>
  <si>
    <t xml:space="preserve">Pour hotel de staffs de Kin pour le S&amp;E interne pour une moyenne de 10Jrs/S&amp;E x 45$ x 5S&amp;E = 2250$, restauration pour 10Jrs x 10$ x 5S&amp;E=500$, diverses taxes pendant le voyage pour 5S&amp;E x 50$=150$   </t>
  </si>
  <si>
    <t>800309</t>
  </si>
  <si>
    <t>Vols  nationaux</t>
  </si>
  <si>
    <t xml:space="preserve">Il s'agit de: i) 1 billet avec taxes (A/R) de Kin-Bunia x 700$ pour le S&amp;E interne financier par le Coordo admin, 2 billets avec taxes (A/R) de Kin-Bunia pour le S&amp;E interne de la mise en œuvre d'action par le Coordo programme x 700$=1400$   </t>
  </si>
  <si>
    <t>800310</t>
  </si>
  <si>
    <t>Vols internationaux</t>
  </si>
  <si>
    <t xml:space="preserve">Il s'agit de 4 billets avec taxes (A/R) de Europe-Bunia et Europe-Kin des staffs expatriés directs et de support (S&amp;E) x 1300$=5200$   </t>
  </si>
  <si>
    <t>800401</t>
  </si>
  <si>
    <t xml:space="preserve">Il s'agit de renumeration/salaire: i)Coordinateur admin du M&amp;E audits et spot cheeck interne x 4500$/mois x 2S&amp;E=9000$,  Taxes, prime, hotel, vol etc.1000$ de ii) Assistant programme pour le rapportages de projet et de S&amp;E x 4500$, iii) Referent SGBV/Coordo programme pour le S&amp;E internex3300$x3S&amp;E=9900$ et frais pour mission 800$ </t>
  </si>
  <si>
    <t>nous avons dégagé 3324$ sur cette ligne comme reliquat sur la 1ère année, ce qui a permis de compenser les gaps des lignes de cette même année dont les couts étaient sous-estimés.</t>
  </si>
  <si>
    <t>800402</t>
  </si>
  <si>
    <t>Autres frais generaux de fonctionnement</t>
  </si>
  <si>
    <t>Il s'agit de: i) location/maintenance bureaux COOPI (Bunia/Kin) (7000$), ii) fournitures bureaux COOPI (5600$) , iii) Frais bancaire (5400$)</t>
  </si>
  <si>
    <t>nous avons dégagé 3482$ sur cette ligne comme reliquat sur la 1ère année, ce qui a permis de compenser les gaps des lignes de cette même année dont les couts étaient sous-estimés.</t>
  </si>
  <si>
    <t>Initial</t>
  </si>
  <si>
    <t>par rapport au budget année1, le taux de consommation est de 97%</t>
  </si>
  <si>
    <t xml:space="preserve">Budget Detaille trois catégories de dépenses </t>
  </si>
  <si>
    <t>Budget Tot</t>
  </si>
  <si>
    <t>% Budget</t>
  </si>
  <si>
    <t xml:space="preserve">Budget Detaille </t>
  </si>
  <si>
    <t xml:space="preserve">Budget Total  </t>
  </si>
  <si>
    <t xml:space="preserve">% Total Budget </t>
  </si>
  <si>
    <t xml:space="preserve">Contrôle </t>
  </si>
  <si>
    <r>
      <t xml:space="preserve">Budget Genre  </t>
    </r>
    <r>
      <rPr>
        <sz val="8"/>
        <rFont val="Calibri"/>
        <family val="2"/>
      </rPr>
      <t>(au minimum 15% du budget total)</t>
    </r>
  </si>
  <si>
    <r>
      <t xml:space="preserve">Budget Genre  </t>
    </r>
    <r>
      <rPr>
        <sz val="8"/>
        <color indexed="10"/>
        <rFont val="Calibri"/>
        <family val="2"/>
      </rPr>
      <t>(au minimum 15% du budget total)</t>
    </r>
  </si>
  <si>
    <r>
      <t xml:space="preserve">couts d’évaluation </t>
    </r>
    <r>
      <rPr>
        <sz val="8"/>
        <rFont val="Calibri"/>
        <family val="2"/>
      </rPr>
      <t xml:space="preserve">ne doivent pas dépasser 2% du budget total </t>
    </r>
  </si>
  <si>
    <r>
      <t xml:space="preserve">couts d’évaluation </t>
    </r>
    <r>
      <rPr>
        <sz val="8"/>
        <color indexed="10"/>
        <rFont val="Calibri"/>
        <family val="2"/>
      </rPr>
      <t xml:space="preserve">ne doivent pas dépasser 2% du budget total </t>
    </r>
  </si>
  <si>
    <t>Reparti entre suivi et evalauation</t>
  </si>
  <si>
    <t>Cout GMS 7%</t>
  </si>
  <si>
    <r>
      <t xml:space="preserve">couts de suivi </t>
    </r>
    <r>
      <rPr>
        <sz val="8"/>
        <rFont val="Calibri"/>
        <family val="2"/>
      </rPr>
      <t xml:space="preserve">ne doivent pas dépasser 3% du budget total </t>
    </r>
  </si>
  <si>
    <r>
      <t xml:space="preserve">couts de suivi </t>
    </r>
    <r>
      <rPr>
        <sz val="8"/>
        <color indexed="10"/>
        <rFont val="Calibri"/>
        <family val="2"/>
      </rPr>
      <t xml:space="preserve">ne doivent pas dépasser 3% du budget total </t>
    </r>
  </si>
  <si>
    <t xml:space="preserve">Total </t>
  </si>
  <si>
    <t xml:space="preserve">Total S&amp;E </t>
  </si>
  <si>
    <t xml:space="preserve">**** Que si l'organisation lead est un ONGI, le Agent de Gestion (PNUD) recoit 7% du budget total (couts totales programmatique et couts indirects).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</si>
</sst>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4" formatCode="_(&quot;$&quot;* #,##0.00_);_(&quot;$&quot;* \(#,##0.00\);_(&quot;$&quot;* &quot;-&quot;??_);_(@_)"/>
    <numFmt numFmtId="43" formatCode="_(* #,##0.00_);_(* \(#,##0.00\);_(* &quot;-&quot;??_);_(@_)"/>
    <numFmt numFmtId="164" formatCode="_-* #,##0.00\ &quot;€&quot;_-;\-* #,##0.00\ &quot;€&quot;_-;_-* &quot;-&quot;??\ &quot;€&quot;_-;_-@_-"/>
    <numFmt numFmtId="165" formatCode="_-* #,##0.00\ _€_-;\-* #,##0.00\ _€_-;_-* &quot;-&quot;??\ _€_-;_-@_-"/>
    <numFmt numFmtId="166" formatCode="_ * #,##0.00_ ;_ * \-#,##0.00_ ;_ * &quot;-&quot;??_ ;_ @_ "/>
    <numFmt numFmtId="167" formatCode="_(* #,##0_);_(* \(#,##0\);_(* &quot;-&quot;??_);_(@_)"/>
    <numFmt numFmtId="168" formatCode="_(&quot;$&quot;* #,##0_);_(&quot;$&quot;* \(#,##0\);_(&quot;$&quot;* &quot;-&quot;??_);_(@_)"/>
    <numFmt numFmtId="169" formatCode="_-[$$-409]* #,##0.00_ ;_-[$$-409]* \-#,##0.00\ ;_-[$$-409]* &quot;-&quot;??_ ;_-@_ "/>
    <numFmt numFmtId="170" formatCode="#,##0.00_ ;\-#,##0.00\ "/>
    <numFmt numFmtId="171" formatCode="_([$$-409]* #,##0.00_);_([$$-409]* \(#,##0.00\);_([$$-409]* &quot;-&quot;??_);_(@_)"/>
    <numFmt numFmtId="172" formatCode="#,##0.0_);\(#,##0.0\)"/>
    <numFmt numFmtId="173" formatCode="_-* #,##0\ _$_U_S_-;\-* #,##0\ _$_U_S_-;_-* &quot;-&quot;??\ _$_U_S_-;_-@_-"/>
    <numFmt numFmtId="174" formatCode="_-* #,##0.00\ _$_U_S_-;\-* #,##0.00\ _$_U_S_-;_-* &quot;-&quot;??\ _$_U_S_-;_-@_-"/>
    <numFmt numFmtId="175" formatCode="_-* #,##0\ _€_-;\-* #,##0\ _€_-;_-* &quot;-&quot;??\ _€_-;_-@_-"/>
    <numFmt numFmtId="176" formatCode="_ * #,##0_ ;_ * \-#,##0_ ;_ * &quot;-&quot;??_ ;_ @_ "/>
    <numFmt numFmtId="177" formatCode="_ * #,##0.0_ ;_ * \-#,##0.0_ ;_ * &quot;-&quot;??_ ;_ @_ "/>
    <numFmt numFmtId="178" formatCode="_(* #,##0.0_);_(* \(#,##0.0\);_(* &quot;-&quot;?_);_(@_)"/>
    <numFmt numFmtId="179" formatCode="_ * #,##0.0000_ ;_ * \-#,##0.0000_ ;_ * &quot;-&quot;??_ ;_ @_ "/>
    <numFmt numFmtId="180" formatCode="#,##0_ ;\-#,##0\ "/>
    <numFmt numFmtId="181" formatCode="_-[$$-409]* #,##0.0_ ;_-[$$-409]* \-#,##0.0\ ;_-[$$-409]* &quot;-&quot;??_ ;_-@_ "/>
    <numFmt numFmtId="182" formatCode="#,##0.000000000_);\(#,##0.000000000\)"/>
    <numFmt numFmtId="183" formatCode="_-* #,##0.00\ _€_-;\-* #,##0.00\ _€_-;_-* \-??\ _€_-;_-@_-"/>
    <numFmt numFmtId="184" formatCode="_-* #,##0.000000\ _€_-;\-* #,##0.000000\ _€_-;_-* &quot;-&quot;??\ _€_-;_-@_-"/>
    <numFmt numFmtId="185" formatCode="#,##0.00000\ _€;\-#,##0.00000\ _€"/>
    <numFmt numFmtId="186" formatCode="#,##0.0"/>
    <numFmt numFmtId="187" formatCode="#,##0.0000\ _€;\-#,##0.0000\ _€"/>
    <numFmt numFmtId="188" formatCode="0.000000"/>
  </numFmts>
  <fonts count="157">
    <font>
      <sz val="11"/>
      <color theme="1"/>
      <name val="Calibri"/>
      <family val="2"/>
      <scheme val="minor"/>
    </font>
    <font>
      <sz val="11"/>
      <color theme="1"/>
      <name val="Calibri"/>
      <family val="2"/>
      <scheme val="minor"/>
    </font>
    <font>
      <sz val="10"/>
      <name val="Calibri"/>
      <family val="2"/>
      <scheme val="minor"/>
    </font>
    <font>
      <b/>
      <sz val="14"/>
      <name val="Calibri"/>
      <family val="2"/>
      <scheme val="minor"/>
    </font>
    <font>
      <sz val="10"/>
      <name val="Arial"/>
      <family val="2"/>
    </font>
    <font>
      <b/>
      <sz val="10"/>
      <name val="Arial Narrow"/>
      <family val="2"/>
    </font>
    <font>
      <b/>
      <sz val="11"/>
      <name val="Calibri"/>
      <family val="2"/>
      <scheme val="minor"/>
    </font>
    <font>
      <b/>
      <sz val="10"/>
      <name val="Calibri"/>
      <family val="2"/>
      <scheme val="minor"/>
    </font>
    <font>
      <b/>
      <sz val="11"/>
      <name val="Arial Narrow"/>
      <family val="2"/>
    </font>
    <font>
      <b/>
      <sz val="10"/>
      <color rgb="FFFF0000"/>
      <name val="Calibri"/>
      <family val="2"/>
      <scheme val="minor"/>
    </font>
    <font>
      <b/>
      <sz val="12"/>
      <color rgb="FFFF0000"/>
      <name val="Calibri"/>
      <family val="2"/>
      <scheme val="minor"/>
    </font>
    <font>
      <b/>
      <sz val="10"/>
      <color theme="0"/>
      <name val="Arial"/>
      <family val="2"/>
    </font>
    <font>
      <b/>
      <sz val="10"/>
      <name val="Arial"/>
      <family val="2"/>
    </font>
    <font>
      <sz val="10"/>
      <color theme="1"/>
      <name val="Calibri"/>
      <family val="2"/>
      <scheme val="minor"/>
    </font>
    <font>
      <b/>
      <i/>
      <sz val="10"/>
      <color theme="1"/>
      <name val="Calibri"/>
      <family val="2"/>
      <scheme val="minor"/>
    </font>
    <font>
      <b/>
      <i/>
      <sz val="10"/>
      <name val="Calibri"/>
      <family val="2"/>
      <scheme val="minor"/>
    </font>
    <font>
      <sz val="10"/>
      <color rgb="FFFF0000"/>
      <name val="Calibri"/>
      <family val="2"/>
      <scheme val="minor"/>
    </font>
    <font>
      <b/>
      <sz val="10"/>
      <color rgb="FF0000FF"/>
      <name val="Calibri"/>
      <family val="2"/>
      <scheme val="minor"/>
    </font>
    <font>
      <b/>
      <sz val="10"/>
      <name val="Calibri"/>
      <family val="2"/>
    </font>
    <font>
      <b/>
      <sz val="10"/>
      <color theme="1"/>
      <name val="Calibri"/>
      <family val="2"/>
      <scheme val="minor"/>
    </font>
    <font>
      <b/>
      <sz val="10"/>
      <color rgb="FFFF6600"/>
      <name val="Calibri"/>
      <family val="2"/>
    </font>
    <font>
      <b/>
      <sz val="10"/>
      <color rgb="FF3366FF"/>
      <name val="Calibri"/>
      <family val="2"/>
    </font>
    <font>
      <sz val="10"/>
      <color indexed="206"/>
      <name val="Calibri"/>
      <family val="2"/>
    </font>
    <font>
      <b/>
      <i/>
      <sz val="10"/>
      <name val="Calibri"/>
      <family val="2"/>
    </font>
    <font>
      <b/>
      <i/>
      <sz val="10"/>
      <color theme="0"/>
      <name val="Calibri"/>
      <family val="2"/>
      <scheme val="minor"/>
    </font>
    <font>
      <sz val="10"/>
      <name val="Calibri"/>
      <family val="2"/>
    </font>
    <font>
      <b/>
      <i/>
      <sz val="10"/>
      <color rgb="FF0000FF"/>
      <name val="Calibri"/>
      <family val="2"/>
    </font>
    <font>
      <b/>
      <sz val="10"/>
      <color theme="1"/>
      <name val="Calibri"/>
      <family val="2"/>
    </font>
    <font>
      <b/>
      <sz val="10"/>
      <color theme="0"/>
      <name val="Calibri"/>
      <family val="2"/>
    </font>
    <font>
      <i/>
      <sz val="10"/>
      <name val="Calibri"/>
      <family val="2"/>
      <scheme val="minor"/>
    </font>
    <font>
      <b/>
      <sz val="10"/>
      <color rgb="FFFF0000"/>
      <name val="Calibri"/>
      <family val="2"/>
    </font>
    <font>
      <b/>
      <i/>
      <sz val="10"/>
      <color theme="1"/>
      <name val="Calibri"/>
      <family val="2"/>
    </font>
    <font>
      <sz val="10"/>
      <color rgb="FF000000"/>
      <name val="Calibri"/>
      <family val="2"/>
    </font>
    <font>
      <i/>
      <sz val="10"/>
      <name val="Calibri"/>
      <family val="2"/>
    </font>
    <font>
      <b/>
      <sz val="10"/>
      <color rgb="FF0000FF"/>
      <name val="Calibri"/>
      <family val="2"/>
    </font>
    <font>
      <i/>
      <sz val="10"/>
      <color rgb="FFFF0000"/>
      <name val="Calibri"/>
      <family val="2"/>
    </font>
    <font>
      <b/>
      <sz val="8"/>
      <color theme="0"/>
      <name val="Arial"/>
      <family val="2"/>
    </font>
    <font>
      <b/>
      <sz val="8"/>
      <name val="Arial"/>
      <family val="2"/>
    </font>
    <font>
      <i/>
      <sz val="8"/>
      <color theme="0" tint="-0.249977111117893"/>
      <name val="Arial"/>
      <family val="2"/>
    </font>
    <font>
      <sz val="8"/>
      <name val="Arial"/>
      <family val="2"/>
    </font>
    <font>
      <i/>
      <sz val="8"/>
      <name val="Arial"/>
      <family val="2"/>
    </font>
    <font>
      <i/>
      <sz val="8"/>
      <color theme="1"/>
      <name val="Arial"/>
      <family val="2"/>
    </font>
    <font>
      <sz val="8"/>
      <color theme="0" tint="-0.249977111117893"/>
      <name val="Arial"/>
      <family val="2"/>
    </font>
    <font>
      <b/>
      <i/>
      <sz val="8"/>
      <name val="Arial"/>
      <family val="2"/>
    </font>
    <font>
      <sz val="8"/>
      <color theme="1"/>
      <name val="Arial"/>
      <family val="2"/>
    </font>
    <font>
      <b/>
      <sz val="9"/>
      <color theme="0"/>
      <name val="Arial"/>
      <family val="2"/>
    </font>
    <font>
      <b/>
      <sz val="9"/>
      <name val="Arial"/>
      <family val="2"/>
    </font>
    <font>
      <sz val="8"/>
      <color theme="0" tint="-0.34998626667073579"/>
      <name val="Arial"/>
      <family val="2"/>
    </font>
    <font>
      <b/>
      <sz val="10"/>
      <color theme="0"/>
      <name val="Arial"/>
      <family val="2"/>
      <charset val="204"/>
    </font>
    <font>
      <b/>
      <sz val="10"/>
      <color theme="1"/>
      <name val="Arial"/>
      <family val="2"/>
      <charset val="204"/>
    </font>
    <font>
      <sz val="11"/>
      <color rgb="FFFF0000"/>
      <name val="Calibri"/>
      <family val="2"/>
    </font>
    <font>
      <sz val="10"/>
      <color rgb="FFFF0000"/>
      <name val="Calibri"/>
      <family val="2"/>
    </font>
    <font>
      <sz val="10"/>
      <color rgb="FFFF0000"/>
      <name val="Arial"/>
      <family val="2"/>
    </font>
    <font>
      <sz val="10"/>
      <color theme="0"/>
      <name val="Arial"/>
      <family val="2"/>
      <charset val="204"/>
    </font>
    <font>
      <i/>
      <sz val="10"/>
      <color theme="1"/>
      <name val="Calibri"/>
      <family val="2"/>
      <scheme val="minor"/>
    </font>
    <font>
      <sz val="10"/>
      <color rgb="FF000000"/>
      <name val="Calibri"/>
      <family val="2"/>
      <scheme val="minor"/>
    </font>
    <font>
      <b/>
      <sz val="10"/>
      <color rgb="FFFF0000"/>
      <name val="Arial Narrow"/>
      <family val="2"/>
    </font>
    <font>
      <sz val="10"/>
      <name val="Arial Narrow"/>
      <family val="2"/>
    </font>
    <font>
      <b/>
      <sz val="12"/>
      <color theme="0"/>
      <name val="Arial"/>
      <family val="2"/>
    </font>
    <font>
      <b/>
      <sz val="16"/>
      <name val="Calibri"/>
      <family val="2"/>
      <scheme val="minor"/>
    </font>
    <font>
      <b/>
      <sz val="16"/>
      <color rgb="FFFF0000"/>
      <name val="Calibri"/>
      <family val="2"/>
      <scheme val="minor"/>
    </font>
    <font>
      <b/>
      <sz val="12"/>
      <color rgb="FFFF0000"/>
      <name val="Arial"/>
      <family val="2"/>
    </font>
    <font>
      <sz val="12"/>
      <color rgb="FF000000"/>
      <name val="Cambria"/>
      <family val="1"/>
    </font>
    <font>
      <sz val="11"/>
      <color rgb="FF000000"/>
      <name val="Calibri"/>
      <family val="2"/>
    </font>
    <font>
      <sz val="12"/>
      <color rgb="FFFF0000"/>
      <name val="Cambria"/>
      <family val="1"/>
    </font>
    <font>
      <sz val="12"/>
      <color theme="4"/>
      <name val="Cambria"/>
      <family val="1"/>
    </font>
    <font>
      <sz val="11"/>
      <name val="Calibri"/>
      <family val="2"/>
    </font>
    <font>
      <b/>
      <sz val="12"/>
      <name val="Calibri"/>
      <family val="2"/>
      <scheme val="minor"/>
    </font>
    <font>
      <b/>
      <i/>
      <sz val="11"/>
      <color theme="0"/>
      <name val="Calibri"/>
      <family val="2"/>
      <scheme val="minor"/>
    </font>
    <font>
      <b/>
      <i/>
      <sz val="11"/>
      <name val="Calibri"/>
      <family val="2"/>
    </font>
    <font>
      <b/>
      <sz val="12"/>
      <color theme="1"/>
      <name val="Calibri"/>
      <family val="2"/>
    </font>
    <font>
      <b/>
      <sz val="14"/>
      <color theme="0"/>
      <name val="Calibri"/>
      <family val="2"/>
    </font>
    <font>
      <b/>
      <sz val="12"/>
      <color theme="0"/>
      <name val="Calibri"/>
      <family val="2"/>
    </font>
    <font>
      <sz val="10"/>
      <color theme="1"/>
      <name val="Calibri"/>
      <family val="2"/>
    </font>
    <font>
      <b/>
      <sz val="12"/>
      <color theme="0"/>
      <name val="Calibri"/>
      <family val="2"/>
      <scheme val="minor"/>
    </font>
    <font>
      <b/>
      <sz val="12"/>
      <color rgb="FFFF0000"/>
      <name val="Arial Narrow"/>
      <family val="2"/>
    </font>
    <font>
      <b/>
      <sz val="12"/>
      <name val="Arial"/>
      <family val="2"/>
    </font>
    <font>
      <sz val="12"/>
      <name val="Calibri"/>
      <family val="2"/>
    </font>
    <font>
      <sz val="12"/>
      <name val="Calibri"/>
      <family val="2"/>
      <scheme val="minor"/>
    </font>
    <font>
      <sz val="12"/>
      <color theme="1"/>
      <name val="Calibri"/>
      <family val="2"/>
      <scheme val="minor"/>
    </font>
    <font>
      <sz val="12"/>
      <color rgb="FFFF0000"/>
      <name val="Calibri"/>
      <family val="2"/>
      <scheme val="minor"/>
    </font>
    <font>
      <sz val="12"/>
      <name val="Times New Roman"/>
      <family val="1"/>
    </font>
    <font>
      <b/>
      <i/>
      <sz val="12"/>
      <color theme="1"/>
      <name val="Calibri"/>
      <family val="2"/>
      <scheme val="minor"/>
    </font>
    <font>
      <b/>
      <i/>
      <sz val="12"/>
      <name val="Calibri"/>
      <family val="2"/>
      <scheme val="minor"/>
    </font>
    <font>
      <b/>
      <i/>
      <sz val="12"/>
      <color rgb="FFFF0000"/>
      <name val="Calibri"/>
      <family val="2"/>
      <scheme val="minor"/>
    </font>
    <font>
      <b/>
      <sz val="12"/>
      <color rgb="FFFF0000"/>
      <name val="Calibri"/>
      <family val="2"/>
    </font>
    <font>
      <sz val="12"/>
      <color indexed="10"/>
      <name val="Calibri"/>
      <family val="2"/>
    </font>
    <font>
      <b/>
      <sz val="12"/>
      <name val="Calibri"/>
      <family val="2"/>
    </font>
    <font>
      <b/>
      <sz val="10"/>
      <name val="Cambria"/>
      <family val="1"/>
      <scheme val="major"/>
    </font>
    <font>
      <b/>
      <sz val="10"/>
      <color rgb="FFFF0000"/>
      <name val="Cambria"/>
      <family val="1"/>
      <scheme val="major"/>
    </font>
    <font>
      <b/>
      <sz val="10"/>
      <color indexed="10"/>
      <name val="Cambria"/>
      <family val="1"/>
    </font>
    <font>
      <sz val="10"/>
      <name val="Cambria"/>
      <family val="1"/>
      <scheme val="major"/>
    </font>
    <font>
      <sz val="10"/>
      <color rgb="FFFF0000"/>
      <name val="Cambria"/>
      <family val="1"/>
      <scheme val="major"/>
    </font>
    <font>
      <b/>
      <i/>
      <sz val="10"/>
      <name val="Cambria"/>
      <family val="1"/>
      <scheme val="major"/>
    </font>
    <font>
      <u/>
      <sz val="10"/>
      <name val="Cambria"/>
      <family val="1"/>
    </font>
    <font>
      <b/>
      <sz val="10"/>
      <name val="Cambria"/>
      <family val="1"/>
    </font>
    <font>
      <sz val="10"/>
      <name val="Cambria"/>
      <family val="1"/>
    </font>
    <font>
      <b/>
      <sz val="12"/>
      <name val="Cambria"/>
      <family val="1"/>
      <scheme val="major"/>
    </font>
    <font>
      <b/>
      <sz val="12"/>
      <color rgb="FFFF0000"/>
      <name val="Cambria"/>
      <family val="1"/>
      <scheme val="major"/>
    </font>
    <font>
      <b/>
      <sz val="14"/>
      <color rgb="FFFF0000"/>
      <name val="Calibri"/>
      <family val="2"/>
      <scheme val="minor"/>
    </font>
    <font>
      <b/>
      <i/>
      <sz val="14"/>
      <name val="Calibri"/>
      <family val="2"/>
      <scheme val="minor"/>
    </font>
    <font>
      <b/>
      <i/>
      <sz val="14"/>
      <color rgb="FFFF0000"/>
      <name val="Calibri"/>
      <family val="2"/>
      <scheme val="minor"/>
    </font>
    <font>
      <sz val="10"/>
      <color indexed="10"/>
      <name val="Cambria"/>
      <family val="1"/>
    </font>
    <font>
      <i/>
      <sz val="10"/>
      <color rgb="FFFF0000"/>
      <name val="Cambria"/>
      <family val="1"/>
      <scheme val="major"/>
    </font>
    <font>
      <b/>
      <i/>
      <sz val="10"/>
      <color rgb="FFFF0000"/>
      <name val="Cambria"/>
      <family val="1"/>
      <scheme val="major"/>
    </font>
    <font>
      <b/>
      <sz val="12"/>
      <color theme="1"/>
      <name val="Calibri"/>
      <family val="2"/>
      <scheme val="minor"/>
    </font>
    <font>
      <sz val="12"/>
      <name val="ＭＳ Ｐゴシック"/>
      <family val="3"/>
      <charset val="128"/>
    </font>
    <font>
      <sz val="11"/>
      <color rgb="FFFF0000"/>
      <name val="Calibri"/>
      <family val="2"/>
      <scheme val="minor"/>
    </font>
    <font>
      <b/>
      <sz val="10"/>
      <color theme="0"/>
      <name val="Calibri"/>
      <family val="2"/>
      <scheme val="minor"/>
    </font>
    <font>
      <b/>
      <sz val="11"/>
      <color theme="0"/>
      <name val="Arial"/>
      <family val="2"/>
    </font>
    <font>
      <sz val="10"/>
      <color theme="1"/>
      <name val="Cambria"/>
      <family val="1"/>
      <scheme val="major"/>
    </font>
    <font>
      <i/>
      <u/>
      <sz val="11"/>
      <color theme="1"/>
      <name val="Calibri"/>
      <family val="2"/>
      <scheme val="minor"/>
    </font>
    <font>
      <sz val="10"/>
      <color indexed="8"/>
      <name val="Calibri"/>
      <family val="2"/>
      <scheme val="minor"/>
    </font>
    <font>
      <sz val="10"/>
      <name val="Arial"/>
      <family val="2"/>
      <charset val="204"/>
    </font>
    <font>
      <sz val="10"/>
      <color theme="0"/>
      <name val="Calibri"/>
      <family val="2"/>
      <scheme val="minor"/>
    </font>
    <font>
      <sz val="10"/>
      <color theme="0"/>
      <name val="Cambria"/>
      <family val="1"/>
      <scheme val="major"/>
    </font>
    <font>
      <b/>
      <i/>
      <sz val="10"/>
      <color rgb="FFFF0000"/>
      <name val="Calibri"/>
      <family val="2"/>
      <scheme val="minor"/>
    </font>
    <font>
      <i/>
      <sz val="14"/>
      <name val="Calibri"/>
      <family val="2"/>
      <scheme val="minor"/>
    </font>
    <font>
      <sz val="11"/>
      <color indexed="8"/>
      <name val="Calibri"/>
      <family val="2"/>
    </font>
    <font>
      <sz val="8"/>
      <name val="Calibri"/>
      <family val="2"/>
      <scheme val="minor"/>
    </font>
    <font>
      <b/>
      <sz val="8"/>
      <name val="Calibri"/>
      <family val="2"/>
      <scheme val="minor"/>
    </font>
    <font>
      <sz val="8"/>
      <color rgb="FFFF0000"/>
      <name val="Calibri"/>
      <family val="2"/>
      <scheme val="minor"/>
    </font>
    <font>
      <sz val="8"/>
      <color rgb="FF7030A0"/>
      <name val="Calibri"/>
      <family val="2"/>
      <scheme val="minor"/>
    </font>
    <font>
      <b/>
      <sz val="8"/>
      <name val="Arial Narrow"/>
      <family val="2"/>
    </font>
    <font>
      <sz val="8"/>
      <name val="Arial Narrow"/>
      <family val="2"/>
    </font>
    <font>
      <b/>
      <sz val="8"/>
      <color rgb="FFFF0000"/>
      <name val="Arial Narrow"/>
      <family val="2"/>
    </font>
    <font>
      <b/>
      <sz val="8"/>
      <color rgb="FFFF0000"/>
      <name val="Calibri"/>
      <family val="2"/>
      <scheme val="minor"/>
    </font>
    <font>
      <b/>
      <sz val="8"/>
      <color rgb="FF7030A0"/>
      <name val="Calibri"/>
      <family val="2"/>
      <scheme val="minor"/>
    </font>
    <font>
      <b/>
      <sz val="8"/>
      <color indexed="10"/>
      <name val="Calibri"/>
      <family val="2"/>
    </font>
    <font>
      <b/>
      <sz val="8"/>
      <name val="Calibri"/>
      <family val="2"/>
    </font>
    <font>
      <b/>
      <sz val="8"/>
      <color rgb="FFFF0000"/>
      <name val="Arial"/>
      <family val="2"/>
    </font>
    <font>
      <b/>
      <sz val="8"/>
      <color rgb="FF7030A0"/>
      <name val="Arial"/>
      <family val="2"/>
    </font>
    <font>
      <b/>
      <sz val="10"/>
      <color rgb="FFFF0000"/>
      <name val="Arial"/>
      <family val="2"/>
    </font>
    <font>
      <b/>
      <sz val="8"/>
      <color rgb="FF00B050"/>
      <name val="Calibri"/>
      <family val="2"/>
      <scheme val="minor"/>
    </font>
    <font>
      <b/>
      <sz val="8"/>
      <color rgb="FF0070C0"/>
      <name val="Calibri"/>
      <family val="2"/>
      <scheme val="minor"/>
    </font>
    <font>
      <b/>
      <sz val="8"/>
      <color rgb="FFFFFF00"/>
      <name val="Arial"/>
      <family val="2"/>
    </font>
    <font>
      <sz val="8"/>
      <color theme="1"/>
      <name val="Calibri"/>
      <family val="2"/>
    </font>
    <font>
      <sz val="8"/>
      <color rgb="FFFF0000"/>
      <name val="Calibri"/>
      <family val="2"/>
    </font>
    <font>
      <sz val="8"/>
      <name val="Calibri"/>
      <family val="2"/>
    </font>
    <font>
      <sz val="9"/>
      <name val="Arial"/>
      <family val="2"/>
    </font>
    <font>
      <sz val="9"/>
      <color rgb="FFFF0000"/>
      <name val="Arial"/>
      <family val="2"/>
    </font>
    <font>
      <sz val="9"/>
      <color rgb="FFFF0000"/>
      <name val="Calibri"/>
      <family val="2"/>
    </font>
    <font>
      <b/>
      <i/>
      <sz val="8"/>
      <name val="Calibri"/>
      <family val="2"/>
      <scheme val="minor"/>
    </font>
    <font>
      <sz val="10"/>
      <color indexed="10"/>
      <name val="Calibri"/>
      <family val="2"/>
    </font>
    <font>
      <b/>
      <i/>
      <sz val="8"/>
      <color rgb="FFFF0000"/>
      <name val="Calibri"/>
      <family val="2"/>
      <scheme val="minor"/>
    </font>
    <font>
      <b/>
      <sz val="9"/>
      <color rgb="FFFF0000"/>
      <name val="Calibri"/>
      <family val="2"/>
    </font>
    <font>
      <b/>
      <i/>
      <sz val="8"/>
      <color theme="1"/>
      <name val="Calibri"/>
      <family val="2"/>
      <scheme val="minor"/>
    </font>
    <font>
      <b/>
      <sz val="8"/>
      <color theme="1"/>
      <name val="Arial"/>
      <family val="2"/>
    </font>
    <font>
      <i/>
      <sz val="8"/>
      <name val="Calibri"/>
      <family val="2"/>
      <scheme val="minor"/>
    </font>
    <font>
      <b/>
      <i/>
      <sz val="8"/>
      <color rgb="FF7030A0"/>
      <name val="Calibri"/>
      <family val="2"/>
      <scheme val="minor"/>
    </font>
    <font>
      <b/>
      <sz val="8"/>
      <color rgb="FF000000"/>
      <name val="Calibri"/>
      <family val="2"/>
      <scheme val="minor"/>
    </font>
    <font>
      <sz val="8"/>
      <color indexed="8"/>
      <name val="Calibri"/>
      <family val="2"/>
    </font>
    <font>
      <sz val="8"/>
      <color rgb="FF7030A0"/>
      <name val="Calibri"/>
      <family val="2"/>
    </font>
    <font>
      <sz val="8"/>
      <color rgb="FF000000"/>
      <name val="Calibri"/>
      <family val="2"/>
      <scheme val="minor"/>
    </font>
    <font>
      <sz val="8"/>
      <color indexed="10"/>
      <name val="Calibri"/>
      <family val="2"/>
    </font>
    <font>
      <b/>
      <sz val="9"/>
      <color indexed="81"/>
      <name val="Tahoma"/>
      <family val="2"/>
    </font>
    <font>
      <sz val="9"/>
      <color indexed="81"/>
      <name val="Tahoma"/>
      <family val="2"/>
    </font>
  </fonts>
  <fills count="53">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9"/>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6" tint="0.79998168889431442"/>
        <bgColor indexed="64"/>
      </patternFill>
    </fill>
    <fill>
      <patternFill patternType="solid">
        <fgColor rgb="FF9933FF"/>
        <bgColor indexed="64"/>
      </patternFill>
    </fill>
    <fill>
      <patternFill patternType="solid">
        <fgColor rgb="FF92D050"/>
        <bgColor indexed="64"/>
      </patternFill>
    </fill>
    <fill>
      <patternFill patternType="solid">
        <fgColor rgb="FFFFC000"/>
        <bgColor indexed="64"/>
      </patternFill>
    </fill>
    <fill>
      <patternFill patternType="solid">
        <fgColor indexed="9"/>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D0001D"/>
        <bgColor indexed="64"/>
      </patternFill>
    </fill>
    <fill>
      <patternFill patternType="solid">
        <fgColor theme="2" tint="-0.749992370372631"/>
        <bgColor indexed="64"/>
      </patternFill>
    </fill>
    <fill>
      <patternFill patternType="solid">
        <fgColor theme="0" tint="-4.9989318521683403E-2"/>
        <bgColor indexed="64"/>
      </patternFill>
    </fill>
    <fill>
      <patternFill patternType="lightUp">
        <fgColor theme="0" tint="-0.14996795556505021"/>
        <bgColor indexed="65"/>
      </patternFill>
    </fill>
    <fill>
      <patternFill patternType="solid">
        <fgColor rgb="FFFFC80A"/>
        <bgColor indexed="64"/>
      </patternFill>
    </fill>
    <fill>
      <patternFill patternType="solid">
        <fgColor rgb="FF00B050"/>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2" tint="-0.499984740745262"/>
        <bgColor indexed="64"/>
      </patternFill>
    </fill>
    <fill>
      <patternFill patternType="solid">
        <fgColor rgb="FFFF66CC"/>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002060"/>
        <bgColor indexed="64"/>
      </patternFill>
    </fill>
    <fill>
      <patternFill patternType="solid">
        <fgColor theme="9" tint="-0.249977111117893"/>
        <bgColor indexed="64"/>
      </patternFill>
    </fill>
    <fill>
      <patternFill patternType="solid">
        <fgColor rgb="FFFF66FF"/>
        <bgColor indexed="64"/>
      </patternFill>
    </fill>
    <fill>
      <patternFill patternType="solid">
        <fgColor rgb="FF7030A0"/>
        <bgColor indexed="64"/>
      </patternFill>
    </fill>
    <fill>
      <patternFill patternType="solid">
        <fgColor rgb="FFFFFFFF"/>
        <bgColor rgb="FF000000"/>
      </patternFill>
    </fill>
    <fill>
      <patternFill patternType="solid">
        <fgColor theme="5" tint="-0.249977111117893"/>
        <bgColor indexed="64"/>
      </patternFill>
    </fill>
    <fill>
      <patternFill patternType="solid">
        <fgColor rgb="FFB1A0C7"/>
        <bgColor rgb="FF000000"/>
      </patternFill>
    </fill>
    <fill>
      <patternFill patternType="solid">
        <fgColor rgb="FF002060"/>
        <bgColor rgb="FF000000"/>
      </patternFill>
    </fill>
    <fill>
      <patternFill patternType="solid">
        <fgColor rgb="FFFFC000"/>
        <bgColor rgb="FF000000"/>
      </patternFill>
    </fill>
    <fill>
      <patternFill patternType="solid">
        <fgColor rgb="FFFF99FF"/>
        <bgColor indexed="64"/>
      </patternFill>
    </fill>
    <fill>
      <patternFill patternType="solid">
        <fgColor theme="0"/>
        <bgColor rgb="FF000000"/>
      </patternFill>
    </fill>
    <fill>
      <patternFill patternType="solid">
        <fgColor rgb="FFFFFF00"/>
        <bgColor rgb="FF000000"/>
      </patternFill>
    </fill>
    <fill>
      <patternFill patternType="solid">
        <fgColor rgb="FF669900"/>
        <bgColor indexed="64"/>
      </patternFill>
    </fill>
    <fill>
      <patternFill patternType="solid">
        <fgColor theme="0" tint="-0.14999847407452621"/>
        <bgColor rgb="FF000000"/>
      </patternFill>
    </fill>
    <fill>
      <patternFill patternType="solid">
        <fgColor rgb="FF00FF00"/>
        <bgColor indexed="64"/>
      </patternFill>
    </fill>
    <fill>
      <patternFill patternType="solid">
        <fgColor rgb="FF00B0F0"/>
        <bgColor rgb="FF000000"/>
      </patternFill>
    </fill>
    <fill>
      <patternFill patternType="solid">
        <fgColor rgb="FFFF0000"/>
        <bgColor indexed="64"/>
      </patternFill>
    </fill>
    <fill>
      <patternFill patternType="solid">
        <fgColor rgb="FF75F9F9"/>
        <bgColor indexed="64"/>
      </patternFill>
    </fill>
    <fill>
      <patternFill patternType="solid">
        <fgColor rgb="FF99CCFF"/>
        <bgColor indexed="64"/>
      </patternFill>
    </fill>
    <fill>
      <patternFill patternType="solid">
        <fgColor theme="5" tint="0.39997558519241921"/>
        <bgColor indexed="64"/>
      </patternFill>
    </fill>
    <fill>
      <patternFill patternType="solid">
        <fgColor rgb="FFE7E6E6"/>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diagonal/>
    </border>
    <border>
      <left/>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dotted">
        <color indexed="64"/>
      </bottom>
      <diagonal/>
    </border>
    <border>
      <left/>
      <right style="medium">
        <color indexed="64"/>
      </right>
      <top/>
      <bottom style="dotted">
        <color indexed="64"/>
      </bottom>
      <diagonal/>
    </border>
    <border>
      <left/>
      <right/>
      <top/>
      <bottom style="dotted">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auto="1"/>
      </left>
      <right/>
      <top/>
      <bottom style="medium">
        <color auto="1"/>
      </bottom>
      <diagonal/>
    </border>
    <border>
      <left/>
      <right style="medium">
        <color indexed="64"/>
      </right>
      <top/>
      <bottom style="medium">
        <color indexed="64"/>
      </bottom>
      <diagonal/>
    </border>
    <border>
      <left/>
      <right/>
      <top/>
      <bottom style="medium">
        <color auto="1"/>
      </bottom>
      <diagonal/>
    </border>
  </borders>
  <cellStyleXfs count="23">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4" fillId="0" borderId="0"/>
    <xf numFmtId="43" fontId="4" fillId="0" borderId="0" applyFont="0" applyFill="0" applyBorder="0" applyAlignment="0" applyProtection="0"/>
    <xf numFmtId="0" fontId="4" fillId="0" borderId="41" applyNumberFormat="0" applyAlignment="0" applyProtection="0">
      <alignment horizontal="left" wrapText="1" indent="2"/>
    </xf>
    <xf numFmtId="40" fontId="106" fillId="0" borderId="0" applyFont="0" applyFill="0" applyBorder="0" applyAlignment="0" applyProtection="0"/>
    <xf numFmtId="166" fontId="4" fillId="0" borderId="0" applyFont="0" applyFill="0" applyBorder="0" applyAlignment="0" applyProtection="0"/>
    <xf numFmtId="9" fontId="4" fillId="0" borderId="0" applyFont="0" applyFill="0" applyBorder="0" applyAlignment="0" applyProtection="0"/>
    <xf numFmtId="44" fontId="4" fillId="0" borderId="0" applyFont="0" applyFill="0" applyBorder="0" applyAlignment="0" applyProtection="0"/>
    <xf numFmtId="0" fontId="4" fillId="0" borderId="0"/>
    <xf numFmtId="0" fontId="113" fillId="0" borderId="0"/>
    <xf numFmtId="0" fontId="4" fillId="0" borderId="0"/>
    <xf numFmtId="0" fontId="4" fillId="0" borderId="0"/>
    <xf numFmtId="166" fontId="4" fillId="0" borderId="0" applyFont="0" applyFill="0" applyBorder="0" applyAlignment="0" applyProtection="0"/>
    <xf numFmtId="183" fontId="118" fillId="0" borderId="0" applyFill="0" applyBorder="0" applyAlignment="0" applyProtection="0"/>
    <xf numFmtId="0" fontId="4" fillId="0" borderId="0"/>
    <xf numFmtId="9" fontId="118" fillId="0" borderId="0" applyFill="0" applyBorder="0" applyAlignment="0" applyProtection="0"/>
    <xf numFmtId="9" fontId="4" fillId="0" borderId="0" applyFont="0" applyFill="0" applyBorder="0" applyAlignment="0" applyProtection="0"/>
  </cellStyleXfs>
  <cellXfs count="2696">
    <xf numFmtId="0" fontId="0" fillId="0" borderId="0" xfId="0"/>
    <xf numFmtId="0" fontId="2" fillId="0" borderId="0" xfId="0" applyFont="1" applyBorder="1"/>
    <xf numFmtId="0" fontId="2" fillId="0" borderId="0" xfId="0" applyFont="1" applyFill="1" applyBorder="1"/>
    <xf numFmtId="0" fontId="3" fillId="0" borderId="0" xfId="0" applyFont="1" applyBorder="1"/>
    <xf numFmtId="165" fontId="3" fillId="0" borderId="0" xfId="1" applyFont="1" applyBorder="1"/>
    <xf numFmtId="165" fontId="2" fillId="0" borderId="0" xfId="1" applyFont="1" applyFill="1" applyBorder="1"/>
    <xf numFmtId="0" fontId="2" fillId="0" borderId="0" xfId="0" applyFont="1" applyFill="1" applyBorder="1" applyAlignment="1">
      <alignment vertical="center"/>
    </xf>
    <xf numFmtId="0" fontId="2" fillId="0" borderId="0" xfId="0" applyFont="1"/>
    <xf numFmtId="165" fontId="2" fillId="0" borderId="0" xfId="1" applyFont="1"/>
    <xf numFmtId="0" fontId="2" fillId="0" borderId="0" xfId="0" applyFont="1" applyAlignment="1">
      <alignment vertical="top" wrapText="1"/>
    </xf>
    <xf numFmtId="0" fontId="5" fillId="0" borderId="0" xfId="0" applyFont="1" applyBorder="1"/>
    <xf numFmtId="0" fontId="6" fillId="0" borderId="1" xfId="0" applyFont="1" applyFill="1" applyBorder="1" applyAlignment="1">
      <alignment horizontal="right"/>
    </xf>
    <xf numFmtId="0" fontId="7" fillId="0" borderId="0" xfId="0" applyFont="1" applyFill="1"/>
    <xf numFmtId="165" fontId="2" fillId="0" borderId="0" xfId="1" applyFont="1" applyBorder="1"/>
    <xf numFmtId="0" fontId="8" fillId="0" borderId="1" xfId="0" applyFont="1" applyFill="1" applyBorder="1" applyAlignment="1">
      <alignment horizontal="right"/>
    </xf>
    <xf numFmtId="0" fontId="5" fillId="0" borderId="0" xfId="0" applyFont="1" applyFill="1" applyBorder="1"/>
    <xf numFmtId="0" fontId="5" fillId="0" borderId="0" xfId="0" applyFont="1" applyFill="1" applyBorder="1" applyAlignment="1">
      <alignment horizontal="left"/>
    </xf>
    <xf numFmtId="0" fontId="9" fillId="0" borderId="0" xfId="0" applyFont="1" applyBorder="1" applyAlignment="1">
      <alignment horizontal="center"/>
    </xf>
    <xf numFmtId="165" fontId="9" fillId="0" borderId="0" xfId="1" applyFont="1" applyBorder="1" applyAlignment="1">
      <alignment horizontal="center"/>
    </xf>
    <xf numFmtId="0" fontId="9" fillId="0" borderId="0" xfId="0" applyFont="1" applyBorder="1" applyAlignment="1">
      <alignment horizontal="center" vertical="center"/>
    </xf>
    <xf numFmtId="167" fontId="10" fillId="2" borderId="1" xfId="1" applyNumberFormat="1" applyFont="1" applyFill="1" applyBorder="1" applyAlignment="1">
      <alignment horizontal="center" vertical="center"/>
    </xf>
    <xf numFmtId="0" fontId="7" fillId="0" borderId="0" xfId="0" applyFont="1" applyBorder="1"/>
    <xf numFmtId="0" fontId="5" fillId="0" borderId="0" xfId="0" applyFont="1" applyBorder="1" applyAlignment="1">
      <alignment horizontal="center"/>
    </xf>
    <xf numFmtId="0" fontId="11"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165" fontId="11" fillId="3" borderId="2" xfId="1" applyFont="1" applyFill="1" applyBorder="1" applyAlignment="1">
      <alignment horizontal="center" vertical="center" wrapText="1"/>
    </xf>
    <xf numFmtId="0" fontId="11" fillId="3" borderId="2" xfId="4" applyNumberFormat="1" applyFont="1" applyFill="1" applyBorder="1" applyAlignment="1">
      <alignment horizontal="center" vertical="center" wrapText="1"/>
    </xf>
    <xf numFmtId="168" fontId="11" fillId="3" borderId="3" xfId="2" applyNumberFormat="1" applyFont="1" applyFill="1" applyBorder="1" applyAlignment="1">
      <alignment horizontal="center" vertical="center" wrapText="1"/>
    </xf>
    <xf numFmtId="0" fontId="12" fillId="4" borderId="4" xfId="0" applyFont="1" applyFill="1" applyBorder="1" applyAlignment="1">
      <alignment horizontal="left" vertical="center" wrapText="1"/>
    </xf>
    <xf numFmtId="165" fontId="12" fillId="4" borderId="4" xfId="1" applyFont="1" applyFill="1" applyBorder="1" applyAlignment="1">
      <alignment horizontal="left" vertical="center" wrapText="1"/>
    </xf>
    <xf numFmtId="0" fontId="12" fillId="4" borderId="5" xfId="0" applyFont="1" applyFill="1" applyBorder="1" applyAlignment="1">
      <alignment horizontal="left" vertical="top" wrapText="1"/>
    </xf>
    <xf numFmtId="0" fontId="12" fillId="2" borderId="0" xfId="0" applyFont="1" applyFill="1" applyBorder="1" applyAlignment="1">
      <alignment vertical="center" wrapText="1"/>
    </xf>
    <xf numFmtId="0" fontId="12" fillId="2" borderId="6" xfId="0" applyFont="1" applyFill="1" applyBorder="1" applyAlignment="1">
      <alignment vertical="center" wrapText="1"/>
    </xf>
    <xf numFmtId="0" fontId="2" fillId="0" borderId="1" xfId="0" applyFont="1" applyFill="1" applyBorder="1" applyAlignment="1">
      <alignment vertical="top" wrapText="1"/>
    </xf>
    <xf numFmtId="0" fontId="13" fillId="0" borderId="1" xfId="0" applyFont="1" applyFill="1" applyBorder="1" applyAlignment="1">
      <alignment horizontal="left" vertical="top" wrapText="1"/>
    </xf>
    <xf numFmtId="0" fontId="13" fillId="0" borderId="1" xfId="0" applyFont="1" applyBorder="1" applyAlignment="1">
      <alignment horizontal="right" vertical="top" wrapText="1"/>
    </xf>
    <xf numFmtId="169" fontId="13" fillId="0" borderId="1" xfId="0" applyNumberFormat="1" applyFont="1" applyBorder="1" applyAlignment="1">
      <alignment horizontal="right" vertical="top" wrapText="1"/>
    </xf>
    <xf numFmtId="169" fontId="2" fillId="8" borderId="1" xfId="1" applyNumberFormat="1" applyFont="1" applyFill="1" applyBorder="1" applyAlignment="1">
      <alignment horizontal="right"/>
    </xf>
    <xf numFmtId="39" fontId="2" fillId="0" borderId="1" xfId="1" applyNumberFormat="1" applyFont="1" applyFill="1" applyBorder="1"/>
    <xf numFmtId="39" fontId="2" fillId="0" borderId="3" xfId="1" applyNumberFormat="1" applyFont="1" applyFill="1" applyBorder="1"/>
    <xf numFmtId="169" fontId="2" fillId="8" borderId="1" xfId="1" applyNumberFormat="1" applyFont="1" applyFill="1" applyBorder="1"/>
    <xf numFmtId="0" fontId="2" fillId="0" borderId="1" xfId="0" applyFont="1" applyBorder="1"/>
    <xf numFmtId="0" fontId="2" fillId="0" borderId="1" xfId="0" applyFont="1" applyBorder="1" applyAlignment="1">
      <alignment horizontal="right" wrapText="1"/>
    </xf>
    <xf numFmtId="169" fontId="2" fillId="0" borderId="1" xfId="0" applyNumberFormat="1" applyFont="1" applyBorder="1" applyAlignment="1">
      <alignment horizontal="right" wrapText="1"/>
    </xf>
    <xf numFmtId="169" fontId="2" fillId="0" borderId="1" xfId="0" applyNumberFormat="1" applyFont="1" applyBorder="1" applyAlignment="1">
      <alignment wrapText="1"/>
    </xf>
    <xf numFmtId="0" fontId="2" fillId="0" borderId="1" xfId="0" applyFont="1" applyBorder="1" applyAlignment="1">
      <alignment wrapText="1"/>
    </xf>
    <xf numFmtId="0" fontId="14" fillId="9" borderId="1" xfId="0" applyFont="1" applyFill="1" applyBorder="1" applyAlignment="1">
      <alignment vertical="top" wrapText="1"/>
    </xf>
    <xf numFmtId="169" fontId="15" fillId="9" borderId="1" xfId="1" applyNumberFormat="1" applyFont="1" applyFill="1" applyBorder="1"/>
    <xf numFmtId="39" fontId="15" fillId="9" borderId="1" xfId="1" applyNumberFormat="1" applyFont="1" applyFill="1" applyBorder="1"/>
    <xf numFmtId="39" fontId="15" fillId="9" borderId="3" xfId="1" applyNumberFormat="1" applyFont="1" applyFill="1" applyBorder="1"/>
    <xf numFmtId="169" fontId="15" fillId="9" borderId="5" xfId="1" applyNumberFormat="1" applyFont="1" applyFill="1" applyBorder="1"/>
    <xf numFmtId="9" fontId="15" fillId="9" borderId="1" xfId="3" applyFont="1" applyFill="1" applyBorder="1"/>
    <xf numFmtId="0" fontId="2" fillId="2" borderId="1" xfId="0" applyFont="1" applyFill="1" applyBorder="1" applyAlignment="1">
      <alignment vertical="top" wrapText="1"/>
    </xf>
    <xf numFmtId="169" fontId="2" fillId="2" borderId="1" xfId="0" applyNumberFormat="1" applyFont="1" applyFill="1" applyBorder="1" applyAlignment="1">
      <alignment vertical="top" wrapText="1"/>
    </xf>
    <xf numFmtId="39" fontId="15" fillId="2" borderId="1" xfId="1" applyNumberFormat="1" applyFont="1" applyFill="1" applyBorder="1"/>
    <xf numFmtId="0" fontId="13" fillId="2" borderId="1" xfId="0" applyFont="1" applyFill="1" applyBorder="1" applyAlignment="1">
      <alignment vertical="top" wrapText="1"/>
    </xf>
    <xf numFmtId="169" fontId="13" fillId="2" borderId="1" xfId="0" applyNumberFormat="1" applyFont="1" applyFill="1" applyBorder="1" applyAlignment="1">
      <alignment vertical="top" wrapText="1"/>
    </xf>
    <xf numFmtId="39" fontId="15" fillId="2" borderId="3" xfId="1" applyNumberFormat="1" applyFont="1" applyFill="1" applyBorder="1"/>
    <xf numFmtId="169" fontId="15" fillId="2" borderId="1" xfId="1" applyNumberFormat="1" applyFont="1" applyFill="1" applyBorder="1"/>
    <xf numFmtId="10" fontId="15" fillId="2" borderId="1" xfId="1" applyNumberFormat="1" applyFont="1" applyFill="1" applyBorder="1"/>
    <xf numFmtId="0" fontId="13" fillId="9" borderId="1" xfId="0" applyFont="1" applyFill="1" applyBorder="1" applyAlignment="1">
      <alignment vertical="top" wrapText="1"/>
    </xf>
    <xf numFmtId="169" fontId="13" fillId="9" borderId="1" xfId="0" applyNumberFormat="1" applyFont="1" applyFill="1" applyBorder="1" applyAlignment="1">
      <alignment vertical="top" wrapText="1"/>
    </xf>
    <xf numFmtId="169" fontId="7" fillId="9" borderId="1" xfId="1" applyNumberFormat="1" applyFont="1" applyFill="1" applyBorder="1"/>
    <xf numFmtId="39" fontId="2" fillId="9" borderId="1" xfId="1" applyNumberFormat="1" applyFont="1" applyFill="1" applyBorder="1"/>
    <xf numFmtId="39" fontId="2" fillId="9" borderId="3" xfId="1" applyNumberFormat="1" applyFont="1" applyFill="1" applyBorder="1"/>
    <xf numFmtId="169" fontId="2" fillId="9" borderId="1" xfId="1" applyNumberFormat="1" applyFont="1" applyFill="1" applyBorder="1"/>
    <xf numFmtId="9" fontId="2" fillId="9" borderId="1" xfId="3" applyFont="1" applyFill="1" applyBorder="1"/>
    <xf numFmtId="0" fontId="13" fillId="2" borderId="1" xfId="0" applyFont="1" applyFill="1" applyBorder="1" applyAlignment="1">
      <alignment vertical="center" wrapText="1"/>
    </xf>
    <xf numFmtId="169" fontId="2" fillId="8" borderId="1" xfId="1" applyNumberFormat="1" applyFont="1" applyFill="1" applyBorder="1" applyAlignment="1">
      <alignment vertical="center"/>
    </xf>
    <xf numFmtId="39" fontId="15" fillId="2" borderId="1" xfId="1" applyNumberFormat="1" applyFont="1" applyFill="1" applyBorder="1" applyAlignment="1">
      <alignment vertical="center"/>
    </xf>
    <xf numFmtId="169" fontId="13" fillId="2" borderId="1" xfId="0" applyNumberFormat="1" applyFont="1" applyFill="1" applyBorder="1" applyAlignment="1">
      <alignment vertical="center" wrapText="1"/>
    </xf>
    <xf numFmtId="39" fontId="15" fillId="2" borderId="3" xfId="1" applyNumberFormat="1" applyFont="1" applyFill="1" applyBorder="1" applyAlignment="1">
      <alignment vertical="center"/>
    </xf>
    <xf numFmtId="0" fontId="16" fillId="0" borderId="1" xfId="0" applyFont="1" applyFill="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right" vertical="top" wrapText="1"/>
    </xf>
    <xf numFmtId="169" fontId="2" fillId="0" borderId="1" xfId="0" applyNumberFormat="1" applyFont="1" applyFill="1" applyBorder="1" applyAlignment="1">
      <alignment horizontal="left" vertical="top" wrapText="1"/>
    </xf>
    <xf numFmtId="0" fontId="13" fillId="0" borderId="1" xfId="0" applyFont="1" applyFill="1" applyBorder="1" applyAlignment="1">
      <alignment horizontal="right" vertical="center" wrapText="1"/>
    </xf>
    <xf numFmtId="39" fontId="2" fillId="0" borderId="1" xfId="1" applyNumberFormat="1" applyFont="1" applyFill="1" applyBorder="1" applyAlignment="1">
      <alignment vertical="center"/>
    </xf>
    <xf numFmtId="169" fontId="13" fillId="0" borderId="1" xfId="0" applyNumberFormat="1" applyFont="1" applyFill="1" applyBorder="1" applyAlignment="1">
      <alignment horizontal="left" vertical="center" wrapText="1"/>
    </xf>
    <xf numFmtId="39" fontId="2" fillId="0" borderId="3" xfId="1" applyNumberFormat="1" applyFont="1" applyFill="1" applyBorder="1" applyAlignment="1">
      <alignment vertical="center"/>
    </xf>
    <xf numFmtId="169" fontId="2" fillId="0" borderId="1" xfId="0" applyNumberFormat="1" applyFont="1" applyBorder="1"/>
    <xf numFmtId="0" fontId="2" fillId="0" borderId="1" xfId="0" applyFont="1" applyBorder="1" applyAlignment="1">
      <alignment horizontal="right" vertical="top" wrapText="1"/>
    </xf>
    <xf numFmtId="169" fontId="2" fillId="0" borderId="1" xfId="0" applyNumberFormat="1" applyFont="1" applyBorder="1" applyAlignment="1">
      <alignment vertical="top" wrapText="1"/>
    </xf>
    <xf numFmtId="0" fontId="13" fillId="0" borderId="1" xfId="0" applyFont="1" applyBorder="1" applyAlignment="1">
      <alignment horizontal="right" vertical="center" wrapText="1"/>
    </xf>
    <xf numFmtId="169" fontId="13" fillId="0" borderId="1" xfId="0" applyNumberFormat="1" applyFont="1" applyBorder="1" applyAlignment="1">
      <alignment vertical="center" wrapText="1"/>
    </xf>
    <xf numFmtId="169" fontId="13" fillId="0" borderId="1" xfId="0" applyNumberFormat="1" applyFont="1" applyBorder="1" applyAlignment="1">
      <alignment vertical="top" wrapText="1"/>
    </xf>
    <xf numFmtId="169" fontId="2" fillId="0" borderId="0" xfId="0" applyNumberFormat="1" applyFont="1"/>
    <xf numFmtId="0" fontId="2" fillId="0" borderId="1" xfId="0" applyFont="1" applyBorder="1" applyAlignment="1">
      <alignment horizontal="right" vertical="center" wrapText="1"/>
    </xf>
    <xf numFmtId="169" fontId="2" fillId="0" borderId="1" xfId="0" applyNumberFormat="1" applyFont="1" applyBorder="1" applyAlignment="1">
      <alignment vertical="center" wrapText="1"/>
    </xf>
    <xf numFmtId="0" fontId="2" fillId="0" borderId="1" xfId="0" applyFont="1" applyBorder="1" applyAlignment="1">
      <alignment vertical="center" wrapText="1"/>
    </xf>
    <xf numFmtId="169" fontId="17" fillId="0" borderId="0" xfId="0" applyNumberFormat="1" applyFont="1"/>
    <xf numFmtId="169" fontId="16" fillId="0" borderId="0" xfId="0" applyNumberFormat="1" applyFont="1"/>
    <xf numFmtId="0" fontId="14" fillId="9" borderId="3" xfId="0" applyFont="1" applyFill="1" applyBorder="1" applyAlignment="1">
      <alignment vertical="top" wrapText="1"/>
    </xf>
    <xf numFmtId="9" fontId="15" fillId="9" borderId="5" xfId="3" applyFont="1" applyFill="1" applyBorder="1"/>
    <xf numFmtId="39" fontId="15" fillId="9" borderId="5" xfId="1" applyNumberFormat="1" applyFont="1" applyFill="1" applyBorder="1"/>
    <xf numFmtId="0" fontId="7" fillId="10" borderId="3" xfId="0" applyFont="1" applyFill="1" applyBorder="1" applyAlignment="1">
      <alignment horizontal="left" vertical="center" wrapText="1"/>
    </xf>
    <xf numFmtId="0" fontId="2" fillId="10" borderId="4" xfId="0" applyFont="1" applyFill="1" applyBorder="1" applyAlignment="1">
      <alignment vertical="top" wrapText="1"/>
    </xf>
    <xf numFmtId="0" fontId="14" fillId="10" borderId="4" xfId="0" applyFont="1" applyFill="1" applyBorder="1" applyAlignment="1">
      <alignment vertical="top" wrapText="1"/>
    </xf>
    <xf numFmtId="169" fontId="15" fillId="10" borderId="1" xfId="1" applyNumberFormat="1" applyFont="1" applyFill="1" applyBorder="1"/>
    <xf numFmtId="39" fontId="15" fillId="10" borderId="1" xfId="1" applyNumberFormat="1" applyFont="1" applyFill="1" applyBorder="1"/>
    <xf numFmtId="169" fontId="15" fillId="10" borderId="5" xfId="1" applyNumberFormat="1" applyFont="1" applyFill="1" applyBorder="1"/>
    <xf numFmtId="9" fontId="15" fillId="10" borderId="5" xfId="3" applyFont="1" applyFill="1" applyBorder="1"/>
    <xf numFmtId="39" fontId="15" fillId="10" borderId="5" xfId="1" applyNumberFormat="1" applyFont="1" applyFill="1" applyBorder="1"/>
    <xf numFmtId="0" fontId="7" fillId="7" borderId="3" xfId="0" applyFont="1" applyFill="1" applyBorder="1" applyAlignment="1">
      <alignment vertical="top"/>
    </xf>
    <xf numFmtId="0" fontId="7" fillId="7" borderId="4" xfId="0" applyFont="1" applyFill="1" applyBorder="1" applyAlignment="1">
      <alignment vertical="top" wrapText="1"/>
    </xf>
    <xf numFmtId="0" fontId="7" fillId="7" borderId="9" xfId="0" applyFont="1" applyFill="1" applyBorder="1" applyAlignment="1">
      <alignment vertical="top" wrapText="1"/>
    </xf>
    <xf numFmtId="0" fontId="7" fillId="7" borderId="5" xfId="0" applyFont="1" applyFill="1" applyBorder="1" applyAlignment="1">
      <alignment vertical="top" wrapText="1"/>
    </xf>
    <xf numFmtId="0" fontId="2" fillId="0" borderId="2" xfId="0" applyFont="1" applyFill="1" applyBorder="1" applyAlignment="1">
      <alignment vertical="top" wrapText="1"/>
    </xf>
    <xf numFmtId="0" fontId="13" fillId="0" borderId="2" xfId="0" applyFont="1" applyBorder="1" applyAlignment="1">
      <alignment vertical="top" wrapText="1"/>
    </xf>
    <xf numFmtId="169" fontId="13" fillId="0" borderId="2" xfId="0" applyNumberFormat="1" applyFont="1" applyBorder="1" applyAlignment="1">
      <alignment vertical="top" wrapText="1"/>
    </xf>
    <xf numFmtId="0" fontId="13" fillId="0" borderId="2" xfId="0" applyFont="1" applyBorder="1" applyAlignment="1">
      <alignment vertical="center" wrapText="1"/>
    </xf>
    <xf numFmtId="169" fontId="2" fillId="8" borderId="2" xfId="1" applyNumberFormat="1" applyFont="1" applyFill="1" applyBorder="1" applyAlignment="1">
      <alignment vertical="center"/>
    </xf>
    <xf numFmtId="39" fontId="2" fillId="0" borderId="2" xfId="1" applyNumberFormat="1" applyFont="1" applyFill="1" applyBorder="1" applyAlignment="1">
      <alignment vertical="center"/>
    </xf>
    <xf numFmtId="169" fontId="13" fillId="0" borderId="2" xfId="0" applyNumberFormat="1" applyFont="1" applyBorder="1" applyAlignment="1">
      <alignment vertical="center" wrapText="1"/>
    </xf>
    <xf numFmtId="39" fontId="2" fillId="0" borderId="6" xfId="1" applyNumberFormat="1" applyFont="1" applyFill="1" applyBorder="1" applyAlignment="1">
      <alignment vertical="center"/>
    </xf>
    <xf numFmtId="39" fontId="2" fillId="8" borderId="2" xfId="1" applyNumberFormat="1" applyFont="1" applyFill="1" applyBorder="1" applyAlignment="1">
      <alignment vertical="center"/>
    </xf>
    <xf numFmtId="39" fontId="2" fillId="0" borderId="2" xfId="1" applyNumberFormat="1" applyFont="1" applyFill="1" applyBorder="1"/>
    <xf numFmtId="169" fontId="2" fillId="0" borderId="2" xfId="0" applyNumberFormat="1" applyFont="1" applyBorder="1"/>
    <xf numFmtId="9" fontId="15" fillId="2" borderId="5" xfId="3" applyFont="1" applyFill="1" applyBorder="1"/>
    <xf numFmtId="0" fontId="13" fillId="0" borderId="1" xfId="0" applyFont="1" applyBorder="1" applyAlignment="1">
      <alignment vertical="top" wrapText="1"/>
    </xf>
    <xf numFmtId="0" fontId="13" fillId="0" borderId="1" xfId="0" applyFont="1" applyBorder="1" applyAlignment="1">
      <alignment vertical="center" wrapText="1"/>
    </xf>
    <xf numFmtId="10" fontId="15" fillId="9" borderId="1" xfId="1" applyNumberFormat="1" applyFont="1" applyFill="1" applyBorder="1"/>
    <xf numFmtId="39" fontId="15" fillId="0" borderId="3" xfId="1" applyNumberFormat="1" applyFont="1" applyFill="1" applyBorder="1"/>
    <xf numFmtId="39" fontId="2" fillId="8" borderId="1" xfId="1" applyNumberFormat="1" applyFont="1" applyFill="1" applyBorder="1"/>
    <xf numFmtId="39" fontId="15" fillId="0" borderId="1" xfId="1" applyNumberFormat="1" applyFont="1" applyFill="1" applyBorder="1"/>
    <xf numFmtId="169" fontId="15" fillId="0" borderId="1" xfId="1" applyNumberFormat="1" applyFont="1" applyFill="1" applyBorder="1"/>
    <xf numFmtId="169" fontId="2" fillId="8" borderId="1" xfId="1" applyNumberFormat="1" applyFont="1" applyFill="1" applyBorder="1" applyAlignment="1">
      <alignment vertical="top"/>
    </xf>
    <xf numFmtId="170" fontId="7" fillId="0" borderId="0" xfId="0" applyNumberFormat="1" applyFont="1"/>
    <xf numFmtId="169" fontId="15" fillId="9" borderId="8" xfId="1" applyNumberFormat="1" applyFont="1" applyFill="1" applyBorder="1"/>
    <xf numFmtId="9" fontId="15" fillId="9" borderId="1" xfId="3" applyNumberFormat="1" applyFont="1" applyFill="1" applyBorder="1"/>
    <xf numFmtId="0" fontId="13" fillId="0" borderId="1" xfId="0" applyFont="1" applyFill="1" applyBorder="1" applyAlignment="1">
      <alignment horizontal="right" vertical="top" wrapText="1"/>
    </xf>
    <xf numFmtId="169" fontId="13" fillId="0" borderId="1" xfId="0" applyNumberFormat="1" applyFont="1" applyFill="1" applyBorder="1" applyAlignment="1">
      <alignment horizontal="right" vertical="top" wrapText="1"/>
    </xf>
    <xf numFmtId="169" fontId="13" fillId="0" borderId="1" xfId="0" applyNumberFormat="1" applyFont="1" applyFill="1" applyBorder="1" applyAlignment="1">
      <alignment horizontal="right" vertical="center" wrapText="1"/>
    </xf>
    <xf numFmtId="9" fontId="15" fillId="2" borderId="1" xfId="3" applyFont="1" applyFill="1" applyBorder="1"/>
    <xf numFmtId="169" fontId="13" fillId="0" borderId="1" xfId="0" applyNumberFormat="1" applyFont="1" applyBorder="1" applyAlignment="1">
      <alignment horizontal="right" vertical="center" wrapText="1"/>
    </xf>
    <xf numFmtId="169" fontId="2" fillId="0" borderId="1" xfId="0" applyNumberFormat="1" applyFont="1" applyBorder="1" applyAlignment="1">
      <alignment horizontal="right" vertical="center" wrapText="1"/>
    </xf>
    <xf numFmtId="0" fontId="14" fillId="9" borderId="1" xfId="0" applyFont="1" applyFill="1" applyBorder="1" applyAlignment="1">
      <alignment horizontal="right" vertical="top" wrapText="1"/>
    </xf>
    <xf numFmtId="0" fontId="14" fillId="9" borderId="3" xfId="0" applyFont="1" applyFill="1" applyBorder="1" applyAlignment="1">
      <alignment horizontal="right" vertical="top" wrapText="1"/>
    </xf>
    <xf numFmtId="0" fontId="7" fillId="10" borderId="1" xfId="0" applyFont="1" applyFill="1" applyBorder="1" applyAlignment="1">
      <alignment horizontal="left" vertical="center" wrapText="1"/>
    </xf>
    <xf numFmtId="0" fontId="2" fillId="10" borderId="1" xfId="0" applyFont="1" applyFill="1" applyBorder="1" applyAlignment="1">
      <alignment vertical="top" wrapText="1"/>
    </xf>
    <xf numFmtId="0" fontId="14" fillId="10" borderId="1" xfId="0" applyFont="1" applyFill="1" applyBorder="1" applyAlignment="1">
      <alignment vertical="top" wrapText="1"/>
    </xf>
    <xf numFmtId="0" fontId="14" fillId="10" borderId="3" xfId="0" applyFont="1" applyFill="1" applyBorder="1" applyAlignment="1">
      <alignment vertical="top" wrapText="1"/>
    </xf>
    <xf numFmtId="9" fontId="15" fillId="10" borderId="1" xfId="3" applyFont="1" applyFill="1" applyBorder="1"/>
    <xf numFmtId="39" fontId="15" fillId="10" borderId="1" xfId="1" applyNumberFormat="1" applyFont="1" applyFill="1" applyBorder="1" applyAlignment="1">
      <alignment horizontal="left" vertical="top" wrapText="1"/>
    </xf>
    <xf numFmtId="0" fontId="15" fillId="11" borderId="1" xfId="0" applyFont="1" applyFill="1" applyBorder="1" applyAlignment="1">
      <alignment vertical="top" wrapText="1"/>
    </xf>
    <xf numFmtId="0" fontId="15" fillId="11" borderId="3" xfId="0" applyFont="1" applyFill="1" applyBorder="1" applyAlignment="1">
      <alignment vertical="top" wrapText="1"/>
    </xf>
    <xf numFmtId="169" fontId="15" fillId="11" borderId="1" xfId="1" applyNumberFormat="1" applyFont="1" applyFill="1" applyBorder="1" applyAlignment="1">
      <alignment vertical="center"/>
    </xf>
    <xf numFmtId="39" fontId="15" fillId="11" borderId="1" xfId="1" applyNumberFormat="1" applyFont="1" applyFill="1" applyBorder="1" applyAlignment="1">
      <alignment vertical="center"/>
    </xf>
    <xf numFmtId="39" fontId="15" fillId="11" borderId="5" xfId="1" applyNumberFormat="1" applyFont="1" applyFill="1" applyBorder="1" applyAlignment="1">
      <alignment vertical="center"/>
    </xf>
    <xf numFmtId="39" fontId="15" fillId="11" borderId="1" xfId="1" applyNumberFormat="1" applyFont="1" applyFill="1" applyBorder="1"/>
    <xf numFmtId="9" fontId="15" fillId="11" borderId="1" xfId="3" applyFont="1" applyFill="1" applyBorder="1" applyAlignment="1">
      <alignment vertical="center"/>
    </xf>
    <xf numFmtId="0" fontId="18" fillId="2" borderId="0" xfId="0" applyFont="1" applyFill="1"/>
    <xf numFmtId="0" fontId="18" fillId="2" borderId="0" xfId="0" applyFont="1" applyFill="1" applyBorder="1"/>
    <xf numFmtId="0" fontId="12" fillId="6" borderId="3" xfId="0" applyFont="1" applyFill="1" applyBorder="1" applyAlignment="1">
      <alignment horizontal="left" vertical="top"/>
    </xf>
    <xf numFmtId="0" fontId="12" fillId="6" borderId="4" xfId="0" applyFont="1" applyFill="1" applyBorder="1" applyAlignment="1">
      <alignment horizontal="left" vertical="top" wrapText="1"/>
    </xf>
    <xf numFmtId="0" fontId="12" fillId="6" borderId="5" xfId="0" applyFont="1" applyFill="1" applyBorder="1" applyAlignment="1">
      <alignment horizontal="left" vertical="top" wrapText="1"/>
    </xf>
    <xf numFmtId="39" fontId="2" fillId="0" borderId="1" xfId="1" applyNumberFormat="1" applyFont="1" applyFill="1" applyBorder="1" applyAlignment="1">
      <alignment vertical="top"/>
    </xf>
    <xf numFmtId="39" fontId="2" fillId="8" borderId="1" xfId="1" applyNumberFormat="1" applyFont="1" applyFill="1" applyBorder="1" applyAlignment="1">
      <alignment vertical="top"/>
    </xf>
    <xf numFmtId="39" fontId="15" fillId="9" borderId="1" xfId="1" applyNumberFormat="1" applyFont="1" applyFill="1" applyBorder="1" applyAlignment="1">
      <alignment wrapText="1"/>
    </xf>
    <xf numFmtId="0" fontId="13" fillId="0" borderId="1" xfId="0" applyFont="1" applyFill="1" applyBorder="1" applyAlignment="1">
      <alignment vertical="top" wrapText="1"/>
    </xf>
    <xf numFmtId="0" fontId="13" fillId="0" borderId="1" xfId="0" applyFont="1" applyFill="1" applyBorder="1" applyAlignment="1">
      <alignment vertical="center" wrapText="1"/>
    </xf>
    <xf numFmtId="169" fontId="13" fillId="0" borderId="1" xfId="0" applyNumberFormat="1" applyFont="1" applyFill="1" applyBorder="1" applyAlignment="1">
      <alignment vertical="center" wrapText="1"/>
    </xf>
    <xf numFmtId="39" fontId="15" fillId="0" borderId="1" xfId="1" applyNumberFormat="1" applyFont="1" applyFill="1" applyBorder="1" applyAlignment="1">
      <alignment vertical="center"/>
    </xf>
    <xf numFmtId="39" fontId="15" fillId="0" borderId="3" xfId="1" applyNumberFormat="1" applyFont="1" applyFill="1" applyBorder="1" applyAlignment="1">
      <alignment vertical="center"/>
    </xf>
    <xf numFmtId="169" fontId="15" fillId="9" borderId="1" xfId="1" applyNumberFormat="1" applyFont="1" applyFill="1" applyBorder="1" applyAlignment="1">
      <alignment vertical="center"/>
    </xf>
    <xf numFmtId="39" fontId="15" fillId="9" borderId="1" xfId="1" applyNumberFormat="1" applyFont="1" applyFill="1" applyBorder="1" applyAlignment="1">
      <alignment vertical="center"/>
    </xf>
    <xf numFmtId="39" fontId="15" fillId="9" borderId="3" xfId="1" applyNumberFormat="1" applyFont="1" applyFill="1" applyBorder="1" applyAlignment="1">
      <alignment vertical="center"/>
    </xf>
    <xf numFmtId="169" fontId="18" fillId="2" borderId="0" xfId="0" applyNumberFormat="1" applyFont="1" applyFill="1"/>
    <xf numFmtId="169" fontId="18" fillId="2" borderId="0" xfId="0" applyNumberFormat="1" applyFont="1" applyFill="1" applyBorder="1"/>
    <xf numFmtId="0" fontId="19" fillId="9" borderId="1" xfId="0" applyFont="1" applyFill="1" applyBorder="1" applyAlignment="1">
      <alignment vertical="top" wrapText="1"/>
    </xf>
    <xf numFmtId="0" fontId="2" fillId="0" borderId="5" xfId="0" applyFont="1" applyFill="1" applyBorder="1" applyAlignment="1">
      <alignment vertical="top" wrapText="1"/>
    </xf>
    <xf numFmtId="39" fontId="15" fillId="8" borderId="1" xfId="1" applyNumberFormat="1" applyFont="1" applyFill="1" applyBorder="1"/>
    <xf numFmtId="39" fontId="2" fillId="2" borderId="1" xfId="1" applyNumberFormat="1" applyFont="1" applyFill="1" applyBorder="1" applyAlignment="1">
      <alignment wrapText="1"/>
    </xf>
    <xf numFmtId="169" fontId="20" fillId="2" borderId="0" xfId="0" applyNumberFormat="1" applyFont="1" applyFill="1" applyBorder="1"/>
    <xf numFmtId="0" fontId="2" fillId="0" borderId="4" xfId="0" applyFont="1" applyFill="1" applyBorder="1" applyAlignment="1">
      <alignment vertical="top" wrapText="1"/>
    </xf>
    <xf numFmtId="0" fontId="14" fillId="9" borderId="4" xfId="0" applyFont="1" applyFill="1" applyBorder="1" applyAlignment="1">
      <alignment vertical="top" wrapText="1"/>
    </xf>
    <xf numFmtId="169" fontId="15" fillId="10" borderId="1" xfId="1" applyNumberFormat="1" applyFont="1" applyFill="1" applyBorder="1" applyAlignment="1">
      <alignment vertical="center"/>
    </xf>
    <xf numFmtId="39" fontId="15" fillId="10" borderId="1" xfId="1" applyNumberFormat="1" applyFont="1" applyFill="1" applyBorder="1" applyAlignment="1">
      <alignment vertical="center"/>
    </xf>
    <xf numFmtId="43" fontId="18" fillId="2" borderId="0" xfId="0" applyNumberFormat="1" applyFont="1" applyFill="1" applyBorder="1"/>
    <xf numFmtId="9" fontId="15" fillId="7" borderId="1" xfId="3" applyFont="1" applyFill="1" applyBorder="1"/>
    <xf numFmtId="0" fontId="2" fillId="2" borderId="2" xfId="0" applyFont="1" applyFill="1" applyBorder="1" applyAlignment="1">
      <alignment horizontal="left" vertical="center" wrapText="1"/>
    </xf>
    <xf numFmtId="0" fontId="2" fillId="2" borderId="2" xfId="0" applyFont="1" applyFill="1" applyBorder="1" applyAlignment="1">
      <alignment horizontal="right" vertical="center" wrapText="1"/>
    </xf>
    <xf numFmtId="169" fontId="2" fillId="2" borderId="2" xfId="0" applyNumberFormat="1" applyFont="1" applyFill="1" applyBorder="1" applyAlignment="1">
      <alignment horizontal="right" vertical="center" wrapText="1"/>
    </xf>
    <xf numFmtId="169" fontId="2" fillId="8" borderId="2" xfId="0" applyNumberFormat="1" applyFont="1" applyFill="1" applyBorder="1" applyAlignment="1">
      <alignment horizontal="right" vertical="center" wrapText="1"/>
    </xf>
    <xf numFmtId="0" fontId="2" fillId="2" borderId="6" xfId="0" applyFont="1" applyFill="1" applyBorder="1" applyAlignment="1">
      <alignment horizontal="left" vertical="center" wrapText="1"/>
    </xf>
    <xf numFmtId="171" fontId="2" fillId="8" borderId="2"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169" fontId="14" fillId="9" borderId="1" xfId="0" applyNumberFormat="1" applyFont="1" applyFill="1" applyBorder="1" applyAlignment="1">
      <alignment vertical="top" wrapText="1"/>
    </xf>
    <xf numFmtId="9" fontId="14" fillId="9" borderId="1" xfId="0" applyNumberFormat="1" applyFont="1" applyFill="1" applyBorder="1" applyAlignment="1">
      <alignment vertical="top" wrapText="1"/>
    </xf>
    <xf numFmtId="0" fontId="13" fillId="0" borderId="2" xfId="0" applyFont="1" applyFill="1" applyBorder="1" applyAlignment="1">
      <alignment vertical="top" wrapText="1"/>
    </xf>
    <xf numFmtId="169" fontId="13" fillId="0" borderId="2" xfId="0" applyNumberFormat="1" applyFont="1" applyFill="1" applyBorder="1" applyAlignment="1">
      <alignment vertical="top" wrapText="1"/>
    </xf>
    <xf numFmtId="169" fontId="13" fillId="8" borderId="2" xfId="0" applyNumberFormat="1" applyFont="1" applyFill="1" applyBorder="1" applyAlignment="1">
      <alignment vertical="top" wrapText="1"/>
    </xf>
    <xf numFmtId="0" fontId="14" fillId="0" borderId="2" xfId="0" applyFont="1" applyFill="1" applyBorder="1" applyAlignment="1">
      <alignment vertical="top" wrapText="1"/>
    </xf>
    <xf numFmtId="0" fontId="14" fillId="0" borderId="6" xfId="0" applyFont="1" applyFill="1" applyBorder="1" applyAlignment="1">
      <alignment vertical="top" wrapText="1"/>
    </xf>
    <xf numFmtId="171" fontId="2" fillId="8" borderId="2" xfId="0" applyNumberFormat="1" applyFont="1" applyFill="1" applyBorder="1" applyAlignment="1">
      <alignment vertical="top" wrapText="1"/>
    </xf>
    <xf numFmtId="0" fontId="2" fillId="0" borderId="1" xfId="0" applyFont="1" applyFill="1" applyBorder="1"/>
    <xf numFmtId="0" fontId="14" fillId="9" borderId="2" xfId="0" applyFont="1" applyFill="1" applyBorder="1" applyAlignment="1">
      <alignment vertical="top" wrapText="1"/>
    </xf>
    <xf numFmtId="169" fontId="14" fillId="9" borderId="2" xfId="0" applyNumberFormat="1" applyFont="1" applyFill="1" applyBorder="1" applyAlignment="1">
      <alignment vertical="top" wrapText="1"/>
    </xf>
    <xf numFmtId="9" fontId="14" fillId="9" borderId="2" xfId="0" applyNumberFormat="1" applyFont="1" applyFill="1" applyBorder="1" applyAlignment="1">
      <alignment vertical="top" wrapText="1"/>
    </xf>
    <xf numFmtId="9" fontId="14" fillId="9" borderId="6" xfId="0" applyNumberFormat="1" applyFont="1" applyFill="1" applyBorder="1" applyAlignment="1">
      <alignment vertical="top" wrapText="1"/>
    </xf>
    <xf numFmtId="0" fontId="2" fillId="2" borderId="2" xfId="0" applyFont="1" applyFill="1" applyBorder="1" applyAlignment="1">
      <alignment horizontal="right" vertical="top" wrapText="1"/>
    </xf>
    <xf numFmtId="169" fontId="2" fillId="2" borderId="2" xfId="0" applyNumberFormat="1" applyFont="1" applyFill="1" applyBorder="1" applyAlignment="1">
      <alignment horizontal="right" vertical="top" wrapText="1"/>
    </xf>
    <xf numFmtId="169" fontId="2" fillId="8" borderId="2" xfId="0" applyNumberFormat="1" applyFont="1" applyFill="1" applyBorder="1" applyAlignment="1">
      <alignment horizontal="right" vertical="top" wrapText="1"/>
    </xf>
    <xf numFmtId="0" fontId="21" fillId="2" borderId="0" xfId="0" applyFont="1" applyFill="1"/>
    <xf numFmtId="169" fontId="21" fillId="2" borderId="0" xfId="0" applyNumberFormat="1" applyFont="1" applyFill="1" applyBorder="1"/>
    <xf numFmtId="0" fontId="2" fillId="2" borderId="8" xfId="0" applyFont="1" applyFill="1" applyBorder="1" applyAlignment="1">
      <alignment horizontal="left" vertical="center" wrapText="1"/>
    </xf>
    <xf numFmtId="0" fontId="14" fillId="9" borderId="8" xfId="0" applyFont="1" applyFill="1" applyBorder="1" applyAlignment="1">
      <alignment vertical="top" wrapText="1"/>
    </xf>
    <xf numFmtId="169" fontId="14" fillId="9" borderId="8" xfId="0" applyNumberFormat="1" applyFont="1" applyFill="1" applyBorder="1" applyAlignment="1">
      <alignment vertical="top" wrapText="1"/>
    </xf>
    <xf numFmtId="9" fontId="14" fillId="9" borderId="8" xfId="0" applyNumberFormat="1" applyFont="1" applyFill="1" applyBorder="1" applyAlignment="1">
      <alignment vertical="top" wrapText="1"/>
    </xf>
    <xf numFmtId="0" fontId="7" fillId="2" borderId="8" xfId="0" applyFont="1" applyFill="1" applyBorder="1" applyAlignment="1">
      <alignment horizontal="left" vertical="center" wrapText="1"/>
    </xf>
    <xf numFmtId="0" fontId="13" fillId="0" borderId="8" xfId="0" applyFont="1" applyFill="1" applyBorder="1" applyAlignment="1">
      <alignment vertical="top" wrapText="1"/>
    </xf>
    <xf numFmtId="169" fontId="13" fillId="0" borderId="8" xfId="0" applyNumberFormat="1" applyFont="1" applyFill="1" applyBorder="1" applyAlignment="1">
      <alignment vertical="top" wrapText="1"/>
    </xf>
    <xf numFmtId="169" fontId="22" fillId="8" borderId="8" xfId="0" applyNumberFormat="1" applyFont="1" applyFill="1" applyBorder="1" applyAlignment="1">
      <alignment vertical="top" wrapText="1"/>
    </xf>
    <xf numFmtId="0" fontId="14" fillId="0" borderId="8" xfId="0" applyFont="1" applyFill="1" applyBorder="1" applyAlignment="1">
      <alignment vertical="top" wrapText="1"/>
    </xf>
    <xf numFmtId="171" fontId="14" fillId="9" borderId="8" xfId="0" applyNumberFormat="1" applyFont="1" applyFill="1" applyBorder="1" applyAlignment="1">
      <alignment vertical="top" wrapText="1"/>
    </xf>
    <xf numFmtId="0" fontId="7" fillId="7" borderId="1" xfId="0" applyFont="1" applyFill="1" applyBorder="1" applyAlignment="1">
      <alignment vertical="top"/>
    </xf>
    <xf numFmtId="0" fontId="7" fillId="7" borderId="1" xfId="0" applyFont="1" applyFill="1" applyBorder="1" applyAlignment="1">
      <alignment vertical="top" wrapText="1"/>
    </xf>
    <xf numFmtId="0" fontId="2" fillId="0" borderId="0" xfId="0" applyFont="1" applyAlignment="1">
      <alignment vertical="center"/>
    </xf>
    <xf numFmtId="169" fontId="2" fillId="0" borderId="1" xfId="0" applyNumberFormat="1" applyFont="1" applyBorder="1" applyAlignment="1">
      <alignment vertical="center"/>
    </xf>
    <xf numFmtId="169" fontId="2" fillId="8" borderId="1" xfId="0" applyNumberFormat="1" applyFont="1" applyFill="1" applyBorder="1" applyAlignment="1">
      <alignment vertical="center"/>
    </xf>
    <xf numFmtId="39" fontId="15" fillId="2" borderId="2" xfId="1" applyNumberFormat="1" applyFont="1" applyFill="1" applyBorder="1" applyAlignment="1">
      <alignment vertical="center"/>
    </xf>
    <xf numFmtId="39" fontId="15" fillId="2" borderId="0" xfId="1" applyNumberFormat="1" applyFont="1" applyFill="1" applyBorder="1" applyAlignment="1">
      <alignment vertical="center"/>
    </xf>
    <xf numFmtId="0" fontId="2" fillId="0" borderId="1" xfId="0" applyFont="1" applyBorder="1" applyAlignment="1">
      <alignment vertical="center"/>
    </xf>
    <xf numFmtId="169" fontId="2" fillId="8" borderId="0" xfId="0" applyNumberFormat="1" applyFont="1" applyFill="1" applyAlignment="1">
      <alignment vertical="center"/>
    </xf>
    <xf numFmtId="169" fontId="23" fillId="9" borderId="1" xfId="1" applyNumberFormat="1" applyFont="1" applyFill="1" applyBorder="1" applyAlignment="1">
      <alignment vertical="center"/>
    </xf>
    <xf numFmtId="0" fontId="2" fillId="2" borderId="1" xfId="0" applyFont="1" applyFill="1" applyBorder="1" applyAlignment="1">
      <alignment horizontal="right" vertical="center" wrapText="1"/>
    </xf>
    <xf numFmtId="169" fontId="2" fillId="2" borderId="1" xfId="0" applyNumberFormat="1" applyFont="1" applyFill="1" applyBorder="1" applyAlignment="1">
      <alignment horizontal="right" vertical="center" wrapText="1"/>
    </xf>
    <xf numFmtId="169" fontId="2" fillId="8" borderId="1" xfId="0" applyNumberFormat="1" applyFont="1" applyFill="1" applyBorder="1" applyAlignment="1">
      <alignment horizontal="right" vertical="center" wrapText="1"/>
    </xf>
    <xf numFmtId="169" fontId="2" fillId="8" borderId="1" xfId="0" applyNumberFormat="1" applyFont="1" applyFill="1" applyBorder="1" applyAlignment="1">
      <alignment horizontal="left" vertical="center" wrapText="1"/>
    </xf>
    <xf numFmtId="169" fontId="13" fillId="0" borderId="1" xfId="0" applyNumberFormat="1" applyFont="1" applyFill="1" applyBorder="1" applyAlignment="1">
      <alignment vertical="top" wrapText="1"/>
    </xf>
    <xf numFmtId="169" fontId="13" fillId="8" borderId="1" xfId="0" applyNumberFormat="1" applyFont="1" applyFill="1" applyBorder="1" applyAlignment="1">
      <alignment vertical="top" wrapText="1"/>
    </xf>
    <xf numFmtId="0" fontId="14" fillId="0" borderId="1" xfId="0" applyFont="1" applyFill="1" applyBorder="1" applyAlignment="1">
      <alignment vertical="top" wrapText="1"/>
    </xf>
    <xf numFmtId="169" fontId="2" fillId="8" borderId="1" xfId="0" applyNumberFormat="1" applyFont="1" applyFill="1" applyBorder="1" applyAlignment="1">
      <alignment vertical="top" wrapText="1"/>
    </xf>
    <xf numFmtId="0" fontId="15" fillId="0" borderId="1" xfId="0" applyFont="1" applyFill="1" applyBorder="1" applyAlignment="1">
      <alignment vertical="top" wrapText="1"/>
    </xf>
    <xf numFmtId="169" fontId="15" fillId="8" borderId="1" xfId="0" applyNumberFormat="1" applyFont="1" applyFill="1" applyBorder="1" applyAlignment="1">
      <alignment vertical="top" wrapText="1"/>
    </xf>
    <xf numFmtId="169" fontId="15" fillId="9" borderId="1" xfId="0" applyNumberFormat="1" applyFont="1" applyFill="1" applyBorder="1" applyAlignment="1">
      <alignment vertical="top" wrapText="1"/>
    </xf>
    <xf numFmtId="9" fontId="15" fillId="9" borderId="1" xfId="0" applyNumberFormat="1" applyFont="1" applyFill="1" applyBorder="1" applyAlignment="1">
      <alignment vertical="top" wrapText="1"/>
    </xf>
    <xf numFmtId="169" fontId="14" fillId="8" borderId="1" xfId="0" applyNumberFormat="1" applyFont="1" applyFill="1" applyBorder="1" applyAlignment="1">
      <alignment vertical="top" wrapText="1"/>
    </xf>
    <xf numFmtId="171" fontId="13" fillId="0" borderId="1" xfId="0" applyNumberFormat="1" applyFont="1" applyFill="1" applyBorder="1" applyAlignment="1">
      <alignment vertical="top" wrapText="1"/>
    </xf>
    <xf numFmtId="0" fontId="7" fillId="10" borderId="1" xfId="0" applyFont="1" applyFill="1" applyBorder="1" applyAlignment="1">
      <alignment horizontal="left"/>
    </xf>
    <xf numFmtId="0" fontId="2" fillId="10" borderId="1" xfId="0" applyFont="1" applyFill="1" applyBorder="1" applyAlignment="1">
      <alignment horizontal="center"/>
    </xf>
    <xf numFmtId="0" fontId="2" fillId="10" borderId="3" xfId="0" applyFont="1" applyFill="1" applyBorder="1" applyAlignment="1">
      <alignment horizontal="center"/>
    </xf>
    <xf numFmtId="169" fontId="7" fillId="10" borderId="1" xfId="0" applyNumberFormat="1" applyFont="1" applyFill="1" applyBorder="1" applyAlignment="1">
      <alignment horizontal="center"/>
    </xf>
    <xf numFmtId="2" fontId="7" fillId="10" borderId="1" xfId="0" applyNumberFormat="1" applyFont="1" applyFill="1" applyBorder="1" applyAlignment="1">
      <alignment horizontal="right"/>
    </xf>
    <xf numFmtId="171" fontId="2" fillId="10" borderId="1" xfId="0" applyNumberFormat="1" applyFont="1" applyFill="1" applyBorder="1" applyAlignment="1">
      <alignment horizontal="center"/>
    </xf>
    <xf numFmtId="2" fontId="2" fillId="10" borderId="1" xfId="0" applyNumberFormat="1" applyFont="1" applyFill="1" applyBorder="1" applyAlignment="1">
      <alignment horizontal="center"/>
    </xf>
    <xf numFmtId="169" fontId="7" fillId="10" borderId="5" xfId="0" applyNumberFormat="1" applyFont="1" applyFill="1" applyBorder="1" applyAlignment="1">
      <alignment horizontal="center"/>
    </xf>
    <xf numFmtId="0" fontId="2" fillId="10" borderId="5" xfId="0" applyFont="1" applyFill="1" applyBorder="1" applyAlignment="1">
      <alignment horizontal="center"/>
    </xf>
    <xf numFmtId="0" fontId="7" fillId="11" borderId="4" xfId="0" applyFont="1" applyFill="1" applyBorder="1" applyAlignment="1">
      <alignment vertical="top"/>
    </xf>
    <xf numFmtId="39" fontId="15" fillId="11" borderId="1" xfId="1" applyNumberFormat="1" applyFont="1" applyFill="1" applyBorder="1" applyAlignment="1">
      <alignment vertical="top"/>
    </xf>
    <xf numFmtId="37" fontId="24" fillId="11" borderId="1" xfId="1" applyNumberFormat="1" applyFont="1" applyFill="1" applyBorder="1" applyAlignment="1">
      <alignment vertical="top"/>
    </xf>
    <xf numFmtId="37" fontId="24" fillId="11" borderId="3" xfId="1" applyNumberFormat="1" applyFont="1" applyFill="1" applyBorder="1" applyAlignment="1">
      <alignment vertical="top"/>
    </xf>
    <xf numFmtId="39" fontId="15" fillId="11" borderId="3" xfId="1" applyNumberFormat="1" applyFont="1" applyFill="1" applyBorder="1" applyAlignment="1">
      <alignment vertical="top"/>
    </xf>
    <xf numFmtId="172" fontId="24" fillId="11" borderId="1" xfId="1" applyNumberFormat="1" applyFont="1" applyFill="1" applyBorder="1" applyAlignment="1">
      <alignment vertical="top"/>
    </xf>
    <xf numFmtId="9" fontId="15" fillId="11" borderId="1" xfId="3" applyFont="1" applyFill="1" applyBorder="1" applyAlignment="1">
      <alignment vertical="top"/>
    </xf>
    <xf numFmtId="0" fontId="7" fillId="13" borderId="4" xfId="0" applyFont="1" applyFill="1" applyBorder="1" applyAlignment="1">
      <alignment vertical="top"/>
    </xf>
    <xf numFmtId="0" fontId="15" fillId="13" borderId="4" xfId="0" applyFont="1" applyFill="1" applyBorder="1" applyAlignment="1">
      <alignment vertical="top" wrapText="1"/>
    </xf>
    <xf numFmtId="0" fontId="15" fillId="13" borderId="1" xfId="0" applyFont="1" applyFill="1" applyBorder="1" applyAlignment="1">
      <alignment vertical="top" wrapText="1"/>
    </xf>
    <xf numFmtId="39" fontId="15" fillId="13" borderId="1" xfId="1" applyNumberFormat="1" applyFont="1" applyFill="1" applyBorder="1" applyAlignment="1">
      <alignment vertical="top"/>
    </xf>
    <xf numFmtId="37" fontId="24" fillId="13" borderId="1" xfId="1" applyNumberFormat="1" applyFont="1" applyFill="1" applyBorder="1" applyAlignment="1">
      <alignment vertical="top"/>
    </xf>
    <xf numFmtId="9" fontId="15" fillId="13" borderId="1" xfId="3" applyFont="1" applyFill="1" applyBorder="1" applyAlignment="1">
      <alignment vertical="top"/>
    </xf>
    <xf numFmtId="0" fontId="12" fillId="5" borderId="3" xfId="0" applyFont="1" applyFill="1" applyBorder="1" applyAlignment="1">
      <alignment horizontal="left" vertical="center"/>
    </xf>
    <xf numFmtId="0" fontId="12" fillId="5" borderId="4"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7" fillId="6" borderId="3" xfId="0" applyFont="1" applyFill="1" applyBorder="1" applyAlignment="1">
      <alignment horizontal="left" vertical="center"/>
    </xf>
    <xf numFmtId="0" fontId="7" fillId="6" borderId="4"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7" borderId="3" xfId="0" applyFont="1" applyFill="1" applyBorder="1" applyAlignment="1">
      <alignment horizontal="left" vertical="top"/>
    </xf>
    <xf numFmtId="0" fontId="7" fillId="7" borderId="4" xfId="0" applyFont="1" applyFill="1" applyBorder="1" applyAlignment="1">
      <alignment horizontal="left" vertical="top" wrapText="1"/>
    </xf>
    <xf numFmtId="0" fontId="7" fillId="7" borderId="5" xfId="0" applyFont="1" applyFill="1" applyBorder="1" applyAlignment="1">
      <alignment horizontal="left" vertical="top" wrapText="1"/>
    </xf>
    <xf numFmtId="165" fontId="2" fillId="0" borderId="1" xfId="1" applyFont="1" applyFill="1" applyBorder="1" applyAlignment="1">
      <alignment horizontal="left" vertical="center" wrapText="1"/>
    </xf>
    <xf numFmtId="173" fontId="2" fillId="0" borderId="1" xfId="1" applyNumberFormat="1" applyFont="1" applyFill="1" applyBorder="1" applyAlignment="1">
      <alignment horizontal="right" vertical="center" wrapText="1"/>
    </xf>
    <xf numFmtId="165" fontId="2" fillId="0" borderId="1" xfId="1" applyFont="1" applyFill="1" applyBorder="1" applyAlignment="1">
      <alignment horizontal="right" vertical="center" wrapText="1"/>
    </xf>
    <xf numFmtId="169" fontId="2" fillId="8" borderId="1" xfId="1" applyNumberFormat="1" applyFont="1" applyFill="1" applyBorder="1" applyAlignment="1">
      <alignment horizontal="center" vertical="center" wrapText="1"/>
    </xf>
    <xf numFmtId="165" fontId="7" fillId="0" borderId="1" xfId="1" applyFont="1" applyFill="1" applyBorder="1" applyAlignment="1">
      <alignment horizontal="left" vertical="center" wrapText="1"/>
    </xf>
    <xf numFmtId="169" fontId="7" fillId="8" borderId="1" xfId="1" applyNumberFormat="1" applyFont="1" applyFill="1" applyBorder="1" applyAlignment="1">
      <alignment horizontal="left" vertical="center" wrapText="1"/>
    </xf>
    <xf numFmtId="165" fontId="7" fillId="9" borderId="1" xfId="1" applyFont="1" applyFill="1" applyBorder="1" applyAlignment="1">
      <alignment horizontal="left" vertical="center" wrapText="1"/>
    </xf>
    <xf numFmtId="173" fontId="7" fillId="9" borderId="1" xfId="1" applyNumberFormat="1" applyFont="1" applyFill="1" applyBorder="1" applyAlignment="1">
      <alignment horizontal="right" vertical="center" wrapText="1"/>
    </xf>
    <xf numFmtId="165" fontId="7" fillId="9" borderId="1" xfId="1" applyFont="1" applyFill="1" applyBorder="1" applyAlignment="1">
      <alignment horizontal="right" vertical="center" wrapText="1"/>
    </xf>
    <xf numFmtId="169" fontId="7" fillId="9" borderId="1" xfId="1" applyNumberFormat="1" applyFont="1" applyFill="1" applyBorder="1" applyAlignment="1">
      <alignment horizontal="center" vertical="center" wrapText="1"/>
    </xf>
    <xf numFmtId="165" fontId="7" fillId="9" borderId="1" xfId="1" applyFont="1" applyFill="1" applyBorder="1" applyAlignment="1">
      <alignment horizontal="center" vertical="center" wrapText="1"/>
    </xf>
    <xf numFmtId="9" fontId="7" fillId="9" borderId="1" xfId="3" applyFont="1" applyFill="1" applyBorder="1" applyAlignment="1">
      <alignment horizontal="left" vertical="center" wrapText="1"/>
    </xf>
    <xf numFmtId="9" fontId="7" fillId="9" borderId="1" xfId="3" applyFont="1" applyFill="1" applyBorder="1" applyAlignment="1">
      <alignment horizontal="right" vertical="center" wrapText="1"/>
    </xf>
    <xf numFmtId="165" fontId="2" fillId="0" borderId="1" xfId="1" applyFont="1" applyFill="1" applyBorder="1" applyAlignment="1">
      <alignment vertical="top" wrapText="1"/>
    </xf>
    <xf numFmtId="165" fontId="13" fillId="0" borderId="1" xfId="1" applyFont="1" applyBorder="1" applyAlignment="1">
      <alignment vertical="top" wrapText="1"/>
    </xf>
    <xf numFmtId="173" fontId="13" fillId="0" borderId="1" xfId="1" applyNumberFormat="1" applyFont="1" applyBorder="1" applyAlignment="1">
      <alignment horizontal="right" vertical="top" wrapText="1"/>
    </xf>
    <xf numFmtId="165" fontId="13" fillId="0" borderId="1" xfId="1" applyFont="1" applyBorder="1" applyAlignment="1">
      <alignment horizontal="right" vertical="top" wrapText="1"/>
    </xf>
    <xf numFmtId="165" fontId="2" fillId="0" borderId="1" xfId="1" applyFont="1" applyFill="1" applyBorder="1"/>
    <xf numFmtId="173" fontId="13" fillId="0" borderId="1" xfId="1" applyNumberFormat="1" applyFont="1" applyBorder="1" applyAlignment="1">
      <alignment horizontal="right" vertical="center" wrapText="1"/>
    </xf>
    <xf numFmtId="165" fontId="13" fillId="0" borderId="1" xfId="1" applyFont="1" applyBorder="1" applyAlignment="1">
      <alignment horizontal="right" vertical="center" wrapText="1"/>
    </xf>
    <xf numFmtId="165" fontId="7" fillId="0" borderId="1" xfId="1" applyFont="1" applyFill="1" applyBorder="1" applyAlignment="1">
      <alignment horizontal="right" vertical="center" wrapText="1"/>
    </xf>
    <xf numFmtId="9" fontId="7" fillId="2" borderId="1" xfId="3" applyFont="1" applyFill="1" applyBorder="1" applyAlignment="1">
      <alignment horizontal="right" vertical="center" wrapText="1"/>
    </xf>
    <xf numFmtId="173" fontId="13" fillId="2" borderId="1" xfId="1" applyNumberFormat="1" applyFont="1" applyFill="1" applyBorder="1" applyAlignment="1">
      <alignment horizontal="right" vertical="top" wrapText="1"/>
    </xf>
    <xf numFmtId="165" fontId="2" fillId="0" borderId="1" xfId="1" applyFont="1" applyBorder="1" applyAlignment="1">
      <alignment wrapText="1"/>
    </xf>
    <xf numFmtId="173" fontId="2" fillId="0" borderId="1" xfId="1" applyNumberFormat="1" applyFont="1" applyBorder="1" applyAlignment="1">
      <alignment horizontal="right" wrapText="1"/>
    </xf>
    <xf numFmtId="165" fontId="2" fillId="0" borderId="1" xfId="1" applyFont="1" applyBorder="1" applyAlignment="1">
      <alignment horizontal="right" wrapText="1"/>
    </xf>
    <xf numFmtId="173" fontId="2" fillId="0" borderId="1" xfId="1" applyNumberFormat="1" applyFont="1" applyBorder="1" applyAlignment="1">
      <alignment horizontal="right" vertical="center" wrapText="1"/>
    </xf>
    <xf numFmtId="165" fontId="2" fillId="0" borderId="1" xfId="1" applyFont="1" applyBorder="1" applyAlignment="1">
      <alignment horizontal="right" vertical="center" wrapText="1"/>
    </xf>
    <xf numFmtId="165" fontId="14" fillId="9" borderId="1" xfId="1" applyFont="1" applyFill="1" applyBorder="1" applyAlignment="1">
      <alignment vertical="top" wrapText="1"/>
    </xf>
    <xf numFmtId="173" fontId="14" fillId="9" borderId="1" xfId="1" applyNumberFormat="1" applyFont="1" applyFill="1" applyBorder="1" applyAlignment="1">
      <alignment horizontal="right" vertical="top" wrapText="1"/>
    </xf>
    <xf numFmtId="165" fontId="14" fillId="9" borderId="1" xfId="1" applyFont="1" applyFill="1" applyBorder="1" applyAlignment="1">
      <alignment horizontal="right" vertical="top" wrapText="1"/>
    </xf>
    <xf numFmtId="165" fontId="15" fillId="9" borderId="1" xfId="1" applyFont="1" applyFill="1" applyBorder="1"/>
    <xf numFmtId="173" fontId="7" fillId="9" borderId="1" xfId="1" applyNumberFormat="1" applyFont="1" applyFill="1" applyBorder="1" applyAlignment="1">
      <alignment horizontal="left" vertical="center" wrapText="1"/>
    </xf>
    <xf numFmtId="165" fontId="2" fillId="0" borderId="1" xfId="1" applyFont="1" applyFill="1" applyBorder="1" applyAlignment="1">
      <alignment horizontal="left" vertical="top" wrapText="1"/>
    </xf>
    <xf numFmtId="173" fontId="2" fillId="0" borderId="1" xfId="1" applyNumberFormat="1" applyFont="1" applyFill="1" applyBorder="1" applyAlignment="1">
      <alignment horizontal="right" vertical="top" wrapText="1"/>
    </xf>
    <xf numFmtId="165" fontId="2" fillId="0" borderId="1" xfId="1" applyFont="1" applyFill="1" applyBorder="1" applyAlignment="1">
      <alignment horizontal="right" vertical="top" wrapText="1"/>
    </xf>
    <xf numFmtId="173" fontId="13" fillId="0" borderId="1" xfId="1" applyNumberFormat="1" applyFont="1" applyFill="1" applyBorder="1" applyAlignment="1">
      <alignment horizontal="right" vertical="top" wrapText="1"/>
    </xf>
    <xf numFmtId="165" fontId="13" fillId="0" borderId="1" xfId="1" applyFont="1" applyFill="1" applyBorder="1" applyAlignment="1">
      <alignment horizontal="right" vertical="top" wrapText="1"/>
    </xf>
    <xf numFmtId="165" fontId="2" fillId="0" borderId="1" xfId="1" applyFont="1" applyBorder="1" applyAlignment="1">
      <alignment vertical="top" wrapText="1"/>
    </xf>
    <xf numFmtId="173" fontId="2" fillId="0" borderId="1" xfId="1" applyNumberFormat="1" applyFont="1" applyBorder="1" applyAlignment="1">
      <alignment horizontal="right" vertical="top" wrapText="1"/>
    </xf>
    <xf numFmtId="165" fontId="2" fillId="0" borderId="1" xfId="1" applyFont="1" applyBorder="1" applyAlignment="1">
      <alignment horizontal="right" vertical="top" wrapText="1"/>
    </xf>
    <xf numFmtId="165" fontId="2" fillId="0" borderId="1" xfId="1" applyFont="1" applyBorder="1" applyAlignment="1">
      <alignment horizontal="right"/>
    </xf>
    <xf numFmtId="165" fontId="13" fillId="0" borderId="1" xfId="1" applyFont="1" applyFill="1" applyBorder="1" applyAlignment="1">
      <alignment horizontal="left" vertical="top" wrapText="1"/>
    </xf>
    <xf numFmtId="165" fontId="13" fillId="9" borderId="1" xfId="1" applyFont="1" applyFill="1" applyBorder="1" applyAlignment="1">
      <alignment horizontal="left" vertical="top" wrapText="1"/>
    </xf>
    <xf numFmtId="165" fontId="13" fillId="9" borderId="3" xfId="1" applyFont="1" applyFill="1" applyBorder="1" applyAlignment="1">
      <alignment horizontal="left" vertical="top" wrapText="1"/>
    </xf>
    <xf numFmtId="165" fontId="2" fillId="9" borderId="1" xfId="1" applyFont="1" applyFill="1" applyBorder="1"/>
    <xf numFmtId="165" fontId="7" fillId="14" borderId="3" xfId="1" applyFont="1" applyFill="1" applyBorder="1" applyAlignment="1">
      <alignment horizontal="left" vertical="center" wrapText="1"/>
    </xf>
    <xf numFmtId="165" fontId="7" fillId="14" borderId="4" xfId="1" applyFont="1" applyFill="1" applyBorder="1" applyAlignment="1">
      <alignment horizontal="left" vertical="center" wrapText="1"/>
    </xf>
    <xf numFmtId="169" fontId="7" fillId="14" borderId="1" xfId="1" applyNumberFormat="1" applyFont="1" applyFill="1" applyBorder="1" applyAlignment="1">
      <alignment horizontal="center" vertical="center" wrapText="1"/>
    </xf>
    <xf numFmtId="165" fontId="7" fillId="14" borderId="1" xfId="1" applyFont="1" applyFill="1" applyBorder="1" applyAlignment="1">
      <alignment horizontal="left" vertical="center" wrapText="1"/>
    </xf>
    <xf numFmtId="165" fontId="7" fillId="14" borderId="1" xfId="1" applyFont="1" applyFill="1" applyBorder="1" applyAlignment="1">
      <alignment horizontal="right" vertical="center" wrapText="1"/>
    </xf>
    <xf numFmtId="9" fontId="7" fillId="14" borderId="1" xfId="3" applyFont="1" applyFill="1" applyBorder="1" applyAlignment="1">
      <alignment horizontal="right" vertical="center" wrapText="1"/>
    </xf>
    <xf numFmtId="165" fontId="7" fillId="7" borderId="3" xfId="1" applyFont="1" applyFill="1" applyBorder="1" applyAlignment="1">
      <alignment horizontal="left" vertical="center"/>
    </xf>
    <xf numFmtId="165" fontId="7" fillId="7" borderId="4" xfId="1" applyFont="1" applyFill="1" applyBorder="1" applyAlignment="1">
      <alignment horizontal="left" vertical="center" wrapText="1"/>
    </xf>
    <xf numFmtId="169" fontId="7" fillId="7" borderId="9" xfId="1" applyNumberFormat="1" applyFont="1" applyFill="1" applyBorder="1" applyAlignment="1">
      <alignment horizontal="left" vertical="center" wrapText="1"/>
    </xf>
    <xf numFmtId="165" fontId="7" fillId="7" borderId="9" xfId="1" applyFont="1" applyFill="1" applyBorder="1" applyAlignment="1">
      <alignment horizontal="left" vertical="center" wrapText="1"/>
    </xf>
    <xf numFmtId="165" fontId="7" fillId="7" borderId="10" xfId="1" applyFont="1" applyFill="1" applyBorder="1" applyAlignment="1">
      <alignment horizontal="left" vertical="center" wrapText="1"/>
    </xf>
    <xf numFmtId="169" fontId="2" fillId="8" borderId="1" xfId="1" applyNumberFormat="1" applyFont="1" applyFill="1" applyBorder="1" applyAlignment="1">
      <alignment horizontal="right" vertical="center" wrapText="1"/>
    </xf>
    <xf numFmtId="165" fontId="7" fillId="8" borderId="1" xfId="1" applyFont="1" applyFill="1" applyBorder="1" applyAlignment="1">
      <alignment horizontal="left" vertical="center" wrapText="1"/>
    </xf>
    <xf numFmtId="169" fontId="25" fillId="8" borderId="1" xfId="1" applyNumberFormat="1" applyFont="1" applyFill="1" applyBorder="1" applyAlignment="1">
      <alignment horizontal="center" vertical="center" wrapText="1"/>
    </xf>
    <xf numFmtId="174" fontId="18" fillId="2" borderId="0" xfId="0" applyNumberFormat="1" applyFont="1" applyFill="1" applyBorder="1"/>
    <xf numFmtId="165" fontId="2" fillId="9" borderId="1" xfId="1" applyFont="1" applyFill="1" applyBorder="1" applyAlignment="1">
      <alignment horizontal="left" vertical="center" wrapText="1"/>
    </xf>
    <xf numFmtId="165" fontId="2" fillId="9" borderId="1" xfId="1" applyFont="1" applyFill="1" applyBorder="1" applyAlignment="1">
      <alignment horizontal="right" vertical="center" wrapText="1"/>
    </xf>
    <xf numFmtId="169" fontId="7" fillId="9" borderId="1" xfId="1" applyNumberFormat="1" applyFont="1" applyFill="1" applyBorder="1" applyAlignment="1">
      <alignment horizontal="right" vertical="center" wrapText="1"/>
    </xf>
    <xf numFmtId="169" fontId="18" fillId="9" borderId="1" xfId="1" applyNumberFormat="1" applyFont="1" applyFill="1" applyBorder="1" applyAlignment="1">
      <alignment horizontal="center" vertical="center" wrapText="1"/>
    </xf>
    <xf numFmtId="169" fontId="2" fillId="8" borderId="1" xfId="1" applyNumberFormat="1" applyFont="1" applyFill="1" applyBorder="1" applyAlignment="1">
      <alignment horizontal="right" vertical="top"/>
    </xf>
    <xf numFmtId="169" fontId="15" fillId="9" borderId="1" xfId="1" applyNumberFormat="1" applyFont="1" applyFill="1" applyBorder="1" applyAlignment="1">
      <alignment horizontal="right"/>
    </xf>
    <xf numFmtId="173" fontId="14" fillId="9" borderId="1" xfId="0" applyNumberFormat="1" applyFont="1" applyFill="1" applyBorder="1" applyAlignment="1">
      <alignment horizontal="right" vertical="top" wrapText="1"/>
    </xf>
    <xf numFmtId="169" fontId="18" fillId="9" borderId="1" xfId="1" applyNumberFormat="1" applyFont="1" applyFill="1" applyBorder="1" applyAlignment="1">
      <alignment horizontal="right" vertical="center" wrapText="1"/>
    </xf>
    <xf numFmtId="0" fontId="14" fillId="2" borderId="1" xfId="0" applyFont="1" applyFill="1" applyBorder="1" applyAlignment="1">
      <alignment vertical="top" wrapText="1"/>
    </xf>
    <xf numFmtId="165" fontId="13" fillId="2" borderId="1" xfId="1" applyFont="1" applyFill="1" applyBorder="1" applyAlignment="1">
      <alignment horizontal="right" vertical="top" wrapText="1"/>
    </xf>
    <xf numFmtId="39" fontId="15" fillId="2" borderId="1" xfId="1" applyNumberFormat="1" applyFont="1" applyFill="1" applyBorder="1" applyAlignment="1">
      <alignment horizontal="right"/>
    </xf>
    <xf numFmtId="165" fontId="13" fillId="9" borderId="1" xfId="1" applyFont="1" applyFill="1" applyBorder="1" applyAlignment="1">
      <alignment horizontal="right" vertical="top" wrapText="1"/>
    </xf>
    <xf numFmtId="173" fontId="13" fillId="9" borderId="1" xfId="1" applyNumberFormat="1" applyFont="1" applyFill="1" applyBorder="1" applyAlignment="1">
      <alignment horizontal="right" vertical="top" wrapText="1"/>
    </xf>
    <xf numFmtId="165" fontId="13" fillId="2" borderId="1" xfId="1" applyFont="1" applyFill="1" applyBorder="1" applyAlignment="1">
      <alignment horizontal="right" vertical="center" wrapText="1"/>
    </xf>
    <xf numFmtId="173" fontId="13" fillId="2" borderId="1" xfId="1" applyNumberFormat="1" applyFont="1" applyFill="1" applyBorder="1" applyAlignment="1">
      <alignment horizontal="right" vertical="center" wrapText="1"/>
    </xf>
    <xf numFmtId="0" fontId="2" fillId="0" borderId="1" xfId="0" applyFont="1" applyBorder="1" applyAlignment="1">
      <alignment horizontal="right"/>
    </xf>
    <xf numFmtId="0" fontId="13" fillId="9" borderId="1" xfId="0" applyFont="1" applyFill="1" applyBorder="1" applyAlignment="1">
      <alignment horizontal="left" vertical="top" wrapText="1"/>
    </xf>
    <xf numFmtId="0" fontId="13" fillId="9" borderId="1" xfId="0" applyFont="1" applyFill="1" applyBorder="1" applyAlignment="1">
      <alignment horizontal="left" vertical="center" wrapText="1"/>
    </xf>
    <xf numFmtId="165" fontId="13" fillId="9" borderId="1" xfId="1" applyFont="1" applyFill="1" applyBorder="1" applyAlignment="1">
      <alignment horizontal="right" vertical="center" wrapText="1"/>
    </xf>
    <xf numFmtId="173" fontId="13" fillId="9" borderId="1" xfId="1" applyNumberFormat="1" applyFont="1" applyFill="1" applyBorder="1" applyAlignment="1">
      <alignment horizontal="right" vertical="center" wrapText="1"/>
    </xf>
    <xf numFmtId="0" fontId="2" fillId="9" borderId="1" xfId="0" applyFont="1" applyFill="1" applyBorder="1"/>
    <xf numFmtId="165" fontId="13" fillId="0" borderId="1" xfId="1" applyFont="1" applyFill="1" applyBorder="1" applyAlignment="1">
      <alignment horizontal="right" vertical="center" wrapText="1"/>
    </xf>
    <xf numFmtId="173" fontId="13" fillId="0" borderId="1" xfId="1" applyNumberFormat="1" applyFont="1" applyFill="1" applyBorder="1" applyAlignment="1">
      <alignment horizontal="right" vertical="center" wrapText="1"/>
    </xf>
    <xf numFmtId="0" fontId="7" fillId="14" borderId="6" xfId="0" applyFont="1" applyFill="1" applyBorder="1" applyAlignment="1">
      <alignment horizontal="left" vertical="center" wrapText="1"/>
    </xf>
    <xf numFmtId="0" fontId="2" fillId="14" borderId="4" xfId="0" applyFont="1" applyFill="1" applyBorder="1" applyAlignment="1">
      <alignment vertical="top" wrapText="1"/>
    </xf>
    <xf numFmtId="0" fontId="14" fillId="14" borderId="1" xfId="0" applyFont="1" applyFill="1" applyBorder="1" applyAlignment="1">
      <alignment vertical="top" wrapText="1"/>
    </xf>
    <xf numFmtId="0" fontId="14" fillId="14" borderId="4" xfId="0" applyFont="1" applyFill="1" applyBorder="1" applyAlignment="1">
      <alignment horizontal="right" vertical="top" wrapText="1"/>
    </xf>
    <xf numFmtId="0" fontId="14" fillId="14" borderId="1" xfId="0" applyFont="1" applyFill="1" applyBorder="1" applyAlignment="1">
      <alignment horizontal="right" vertical="top" wrapText="1"/>
    </xf>
    <xf numFmtId="169" fontId="7" fillId="14" borderId="1" xfId="1" applyNumberFormat="1" applyFont="1" applyFill="1" applyBorder="1" applyAlignment="1">
      <alignment horizontal="right" vertical="center" wrapText="1"/>
    </xf>
    <xf numFmtId="39" fontId="15" fillId="14" borderId="1" xfId="1" applyNumberFormat="1" applyFont="1" applyFill="1" applyBorder="1"/>
    <xf numFmtId="169" fontId="18" fillId="14" borderId="1" xfId="1" applyNumberFormat="1" applyFont="1" applyFill="1" applyBorder="1" applyAlignment="1">
      <alignment horizontal="right" vertical="center" wrapText="1"/>
    </xf>
    <xf numFmtId="0" fontId="7" fillId="13" borderId="4" xfId="0" applyFont="1" applyFill="1" applyBorder="1" applyAlignment="1">
      <alignment horizontal="right" vertical="center"/>
    </xf>
    <xf numFmtId="0" fontId="15" fillId="13" borderId="3" xfId="0" applyFont="1" applyFill="1" applyBorder="1" applyAlignment="1">
      <alignment vertical="top" wrapText="1"/>
    </xf>
    <xf numFmtId="169" fontId="15" fillId="13" borderId="1" xfId="1" applyNumberFormat="1" applyFont="1" applyFill="1" applyBorder="1" applyAlignment="1">
      <alignment horizontal="right"/>
    </xf>
    <xf numFmtId="39" fontId="15" fillId="13" borderId="1" xfId="1" applyNumberFormat="1" applyFont="1" applyFill="1" applyBorder="1"/>
    <xf numFmtId="169" fontId="23" fillId="13" borderId="1" xfId="1" applyNumberFormat="1" applyFont="1" applyFill="1" applyBorder="1" applyAlignment="1">
      <alignment horizontal="right"/>
    </xf>
    <xf numFmtId="9" fontId="15" fillId="13" borderId="1" xfId="3" applyFont="1" applyFill="1" applyBorder="1" applyAlignment="1">
      <alignment horizontal="left"/>
    </xf>
    <xf numFmtId="39" fontId="15" fillId="13" borderId="1" xfId="1" applyNumberFormat="1" applyFont="1" applyFill="1" applyBorder="1" applyAlignment="1">
      <alignment horizontal="right"/>
    </xf>
    <xf numFmtId="9" fontId="15" fillId="13" borderId="1" xfId="3" applyFont="1" applyFill="1" applyBorder="1" applyAlignment="1">
      <alignment horizontal="right"/>
    </xf>
    <xf numFmtId="0" fontId="18" fillId="11" borderId="3" xfId="0" applyFont="1" applyFill="1" applyBorder="1" applyAlignment="1">
      <alignment horizontal="left" vertical="center"/>
    </xf>
    <xf numFmtId="0" fontId="18" fillId="11" borderId="4" xfId="0" applyFont="1" applyFill="1" applyBorder="1" applyAlignment="1">
      <alignment horizontal="center" vertical="center"/>
    </xf>
    <xf numFmtId="0" fontId="18" fillId="11" borderId="5" xfId="0" applyFont="1" applyFill="1" applyBorder="1" applyAlignment="1">
      <alignment horizontal="center" vertical="center"/>
    </xf>
    <xf numFmtId="0" fontId="23" fillId="11" borderId="1" xfId="0" applyFont="1" applyFill="1" applyBorder="1" applyAlignment="1">
      <alignment vertical="top" wrapText="1"/>
    </xf>
    <xf numFmtId="165" fontId="23" fillId="11" borderId="1" xfId="1" applyFont="1" applyFill="1" applyBorder="1" applyAlignment="1">
      <alignment vertical="top" wrapText="1"/>
    </xf>
    <xf numFmtId="169" fontId="23" fillId="11" borderId="1" xfId="1" applyNumberFormat="1" applyFont="1" applyFill="1" applyBorder="1" applyAlignment="1">
      <alignment vertical="center"/>
    </xf>
    <xf numFmtId="9" fontId="23" fillId="11" borderId="1" xfId="3" applyFont="1" applyFill="1" applyBorder="1" applyAlignment="1">
      <alignment vertical="center"/>
    </xf>
    <xf numFmtId="39" fontId="23" fillId="11" borderId="1" xfId="1" applyNumberFormat="1" applyFont="1" applyFill="1" applyBorder="1" applyAlignment="1">
      <alignment vertical="center"/>
    </xf>
    <xf numFmtId="9" fontId="26" fillId="11" borderId="1" xfId="3" applyFont="1" applyFill="1" applyBorder="1" applyAlignment="1">
      <alignment horizontal="left"/>
    </xf>
    <xf numFmtId="165" fontId="23" fillId="11" borderId="1" xfId="1" applyFont="1" applyFill="1" applyBorder="1" applyAlignment="1"/>
    <xf numFmtId="9" fontId="23" fillId="11" borderId="1" xfId="3" applyFont="1" applyFill="1" applyBorder="1" applyAlignment="1"/>
    <xf numFmtId="165" fontId="23" fillId="11" borderId="1" xfId="1" applyFont="1" applyFill="1" applyBorder="1"/>
    <xf numFmtId="165" fontId="18" fillId="2" borderId="0" xfId="1" applyFont="1" applyFill="1" applyBorder="1"/>
    <xf numFmtId="0" fontId="28" fillId="4" borderId="0" xfId="0" applyFont="1" applyFill="1" applyBorder="1" applyAlignment="1">
      <alignment vertical="center" wrapText="1"/>
    </xf>
    <xf numFmtId="165" fontId="28" fillId="4" borderId="0" xfId="1" applyFont="1" applyFill="1" applyBorder="1" applyAlignment="1">
      <alignment vertical="center" wrapText="1"/>
    </xf>
    <xf numFmtId="169" fontId="28" fillId="4" borderId="0" xfId="1" applyNumberFormat="1" applyFont="1" applyFill="1" applyBorder="1" applyAlignment="1">
      <alignment vertical="center" wrapText="1"/>
    </xf>
    <xf numFmtId="169" fontId="28" fillId="4" borderId="0" xfId="0" applyNumberFormat="1" applyFont="1" applyFill="1" applyBorder="1" applyAlignment="1">
      <alignment vertical="center" wrapText="1"/>
    </xf>
    <xf numFmtId="169" fontId="18" fillId="4" borderId="0" xfId="0" applyNumberFormat="1" applyFont="1" applyFill="1" applyBorder="1" applyAlignment="1">
      <alignment vertical="center" wrapText="1"/>
    </xf>
    <xf numFmtId="43" fontId="28" fillId="4" borderId="0" xfId="0" applyNumberFormat="1" applyFont="1" applyFill="1" applyBorder="1" applyAlignment="1">
      <alignment vertical="center" wrapText="1"/>
    </xf>
    <xf numFmtId="170" fontId="28" fillId="4" borderId="13" xfId="0" applyNumberFormat="1" applyFont="1" applyFill="1" applyBorder="1" applyAlignment="1">
      <alignment vertical="top" wrapText="1"/>
    </xf>
    <xf numFmtId="166" fontId="28" fillId="2" borderId="0" xfId="0" applyNumberFormat="1" applyFont="1" applyFill="1" applyBorder="1" applyAlignment="1">
      <alignment vertical="center" wrapText="1"/>
    </xf>
    <xf numFmtId="0" fontId="28" fillId="2" borderId="0" xfId="0" applyFont="1" applyFill="1" applyBorder="1" applyAlignment="1">
      <alignment vertical="center" wrapText="1"/>
    </xf>
    <xf numFmtId="0" fontId="28" fillId="2" borderId="6" xfId="0" applyFont="1" applyFill="1" applyBorder="1" applyAlignment="1">
      <alignment vertical="center" wrapText="1"/>
    </xf>
    <xf numFmtId="0" fontId="18" fillId="15" borderId="3" xfId="0" applyFont="1" applyFill="1" applyBorder="1" applyAlignment="1">
      <alignment horizontal="left" vertical="center"/>
    </xf>
    <xf numFmtId="0" fontId="18" fillId="15" borderId="4" xfId="0" applyFont="1" applyFill="1" applyBorder="1" applyAlignment="1">
      <alignment horizontal="left" vertical="center" wrapText="1"/>
    </xf>
    <xf numFmtId="0" fontId="18" fillId="15" borderId="4" xfId="0" applyFont="1" applyFill="1" applyBorder="1" applyAlignment="1">
      <alignment vertical="center" wrapText="1"/>
    </xf>
    <xf numFmtId="165" fontId="18" fillId="15" borderId="4" xfId="1" applyFont="1" applyFill="1" applyBorder="1" applyAlignment="1">
      <alignment vertical="center" wrapText="1"/>
    </xf>
    <xf numFmtId="169" fontId="18" fillId="15" borderId="4" xfId="1" applyNumberFormat="1" applyFont="1" applyFill="1" applyBorder="1" applyAlignment="1">
      <alignment vertical="center" wrapText="1"/>
    </xf>
    <xf numFmtId="169" fontId="18" fillId="15" borderId="4" xfId="0" applyNumberFormat="1" applyFont="1" applyFill="1" applyBorder="1" applyAlignment="1">
      <alignment vertical="center" wrapText="1"/>
    </xf>
    <xf numFmtId="0" fontId="18" fillId="15" borderId="5" xfId="0" applyFont="1" applyFill="1" applyBorder="1" applyAlignment="1">
      <alignment vertical="top" wrapText="1"/>
    </xf>
    <xf numFmtId="0" fontId="18" fillId="0" borderId="0" xfId="0" applyFont="1" applyFill="1" applyBorder="1" applyAlignment="1">
      <alignment vertical="center" wrapText="1"/>
    </xf>
    <xf numFmtId="0" fontId="18" fillId="0" borderId="11" xfId="0" applyFont="1" applyFill="1" applyBorder="1" applyAlignment="1">
      <alignment vertical="center" wrapText="1"/>
    </xf>
    <xf numFmtId="0" fontId="2" fillId="0" borderId="14" xfId="0" applyFont="1" applyFill="1" applyBorder="1" applyAlignment="1">
      <alignment vertical="top"/>
    </xf>
    <xf numFmtId="0" fontId="2" fillId="0" borderId="8" xfId="0" applyFont="1" applyFill="1" applyBorder="1" applyAlignment="1">
      <alignment vertical="top"/>
    </xf>
    <xf numFmtId="0" fontId="25" fillId="2" borderId="8" xfId="0" applyFont="1" applyFill="1" applyBorder="1" applyAlignment="1">
      <alignment horizontal="left" vertical="center"/>
    </xf>
    <xf numFmtId="0" fontId="25" fillId="0" borderId="1" xfId="0" applyFont="1" applyFill="1" applyBorder="1" applyAlignment="1">
      <alignment vertical="center" wrapText="1"/>
    </xf>
    <xf numFmtId="0" fontId="29" fillId="0" borderId="1" xfId="0" applyFont="1" applyFill="1" applyBorder="1" applyAlignment="1">
      <alignment vertical="top" wrapText="1"/>
    </xf>
    <xf numFmtId="2" fontId="13" fillId="0" borderId="1" xfId="0" applyNumberFormat="1" applyFont="1" applyFill="1" applyBorder="1" applyAlignment="1">
      <alignment horizontal="center" vertical="top" wrapText="1"/>
    </xf>
    <xf numFmtId="169" fontId="29" fillId="8" borderId="1" xfId="1" applyNumberFormat="1" applyFont="1" applyFill="1" applyBorder="1" applyAlignment="1">
      <alignment vertical="top"/>
    </xf>
    <xf numFmtId="39" fontId="29" fillId="0" borderId="1" xfId="1" applyNumberFormat="1" applyFont="1" applyFill="1" applyBorder="1" applyAlignment="1">
      <alignment vertical="top"/>
    </xf>
    <xf numFmtId="165" fontId="29" fillId="0" borderId="1" xfId="1" applyFont="1" applyFill="1" applyBorder="1" applyAlignment="1">
      <alignment vertical="top" wrapText="1"/>
    </xf>
    <xf numFmtId="39" fontId="29" fillId="0" borderId="3" xfId="1" applyNumberFormat="1" applyFont="1" applyFill="1" applyBorder="1" applyAlignment="1">
      <alignment vertical="top"/>
    </xf>
    <xf numFmtId="169" fontId="29" fillId="0" borderId="1" xfId="1" applyNumberFormat="1" applyFont="1" applyFill="1" applyBorder="1" applyAlignment="1">
      <alignment vertical="top"/>
    </xf>
    <xf numFmtId="170" fontId="30" fillId="0" borderId="0" xfId="0" applyNumberFormat="1" applyFont="1" applyFill="1" applyBorder="1" applyAlignment="1">
      <alignment vertical="center" wrapText="1"/>
    </xf>
    <xf numFmtId="0" fontId="13" fillId="0" borderId="1" xfId="0" applyNumberFormat="1" applyFont="1" applyFill="1" applyBorder="1" applyAlignment="1">
      <alignment horizontal="right" vertical="top" wrapText="1"/>
    </xf>
    <xf numFmtId="0" fontId="2" fillId="2" borderId="1" xfId="1" applyNumberFormat="1" applyFont="1" applyFill="1" applyBorder="1" applyAlignment="1">
      <alignment horizontal="right"/>
    </xf>
    <xf numFmtId="1" fontId="13" fillId="0" borderId="1" xfId="0" applyNumberFormat="1" applyFont="1" applyFill="1" applyBorder="1" applyAlignment="1">
      <alignment horizontal="right" vertical="top" wrapText="1"/>
    </xf>
    <xf numFmtId="1" fontId="2" fillId="2" borderId="1" xfId="1" applyNumberFormat="1" applyFont="1" applyFill="1" applyBorder="1" applyAlignment="1">
      <alignment horizontal="right"/>
    </xf>
    <xf numFmtId="169" fontId="2" fillId="8" borderId="3" xfId="1" applyNumberFormat="1" applyFont="1" applyFill="1" applyBorder="1"/>
    <xf numFmtId="169" fontId="2" fillId="0" borderId="1" xfId="1" applyNumberFormat="1" applyFont="1" applyFill="1" applyBorder="1"/>
    <xf numFmtId="0" fontId="18" fillId="9" borderId="1" xfId="0" applyFont="1" applyFill="1" applyBorder="1" applyAlignment="1">
      <alignment horizontal="right" vertical="center"/>
    </xf>
    <xf numFmtId="0" fontId="18" fillId="9" borderId="14" xfId="0" applyFont="1" applyFill="1" applyBorder="1" applyAlignment="1">
      <alignment horizontal="right" vertical="center"/>
    </xf>
    <xf numFmtId="0" fontId="18" fillId="9" borderId="8" xfId="0" applyFont="1" applyFill="1" applyBorder="1" applyAlignment="1">
      <alignment horizontal="right" vertical="center"/>
    </xf>
    <xf numFmtId="0" fontId="31" fillId="9" borderId="1" xfId="0" applyFont="1" applyFill="1" applyBorder="1" applyAlignment="1">
      <alignment vertical="top" wrapText="1"/>
    </xf>
    <xf numFmtId="165" fontId="31" fillId="9" borderId="1" xfId="1" applyFont="1" applyFill="1" applyBorder="1" applyAlignment="1">
      <alignment vertical="top" wrapText="1"/>
    </xf>
    <xf numFmtId="169" fontId="23" fillId="9" borderId="1" xfId="1" applyNumberFormat="1" applyFont="1" applyFill="1" applyBorder="1"/>
    <xf numFmtId="39" fontId="23" fillId="9" borderId="1" xfId="1" applyNumberFormat="1" applyFont="1" applyFill="1" applyBorder="1"/>
    <xf numFmtId="39" fontId="23" fillId="9" borderId="1" xfId="1" applyNumberFormat="1" applyFont="1" applyFill="1" applyBorder="1" applyAlignment="1">
      <alignment vertical="center"/>
    </xf>
    <xf numFmtId="39" fontId="23" fillId="9" borderId="3" xfId="1" applyNumberFormat="1" applyFont="1" applyFill="1" applyBorder="1" applyAlignment="1">
      <alignment vertical="center"/>
    </xf>
    <xf numFmtId="10" fontId="23" fillId="9" borderId="3" xfId="3" applyNumberFormat="1" applyFont="1" applyFill="1" applyBorder="1" applyAlignment="1">
      <alignment horizontal="left" vertical="center"/>
    </xf>
    <xf numFmtId="9" fontId="23" fillId="9" borderId="3" xfId="3" applyFont="1" applyFill="1" applyBorder="1" applyAlignment="1">
      <alignment vertical="center"/>
    </xf>
    <xf numFmtId="39" fontId="23" fillId="9" borderId="1" xfId="1" quotePrefix="1" applyNumberFormat="1" applyFont="1" applyFill="1" applyBorder="1" applyAlignment="1">
      <alignment vertical="top" wrapText="1"/>
    </xf>
    <xf numFmtId="0" fontId="18" fillId="0" borderId="0" xfId="0" applyFont="1" applyFill="1"/>
    <xf numFmtId="0" fontId="18" fillId="15" borderId="4" xfId="0" applyFont="1" applyFill="1" applyBorder="1" applyAlignment="1">
      <alignment horizontal="left" vertical="center"/>
    </xf>
    <xf numFmtId="169" fontId="18" fillId="15" borderId="4" xfId="1" applyNumberFormat="1" applyFont="1" applyFill="1" applyBorder="1" applyAlignment="1">
      <alignment horizontal="left" vertical="center"/>
    </xf>
    <xf numFmtId="169" fontId="18" fillId="15" borderId="4" xfId="0" applyNumberFormat="1" applyFont="1" applyFill="1" applyBorder="1" applyAlignment="1">
      <alignment horizontal="left" vertical="center"/>
    </xf>
    <xf numFmtId="0" fontId="18" fillId="15" borderId="5" xfId="0" applyFont="1" applyFill="1" applyBorder="1" applyAlignment="1">
      <alignment horizontal="left" vertical="top" wrapText="1"/>
    </xf>
    <xf numFmtId="0" fontId="2" fillId="0" borderId="14" xfId="0" applyFont="1" applyFill="1" applyBorder="1" applyAlignment="1">
      <alignment horizontal="left" vertical="center"/>
    </xf>
    <xf numFmtId="0" fontId="32" fillId="0" borderId="14" xfId="5" applyFont="1" applyBorder="1" applyAlignment="1">
      <alignment horizontal="left"/>
    </xf>
    <xf numFmtId="0" fontId="25" fillId="2" borderId="1" xfId="0" applyFont="1" applyFill="1" applyBorder="1" applyAlignment="1">
      <alignment vertical="center" wrapText="1"/>
    </xf>
    <xf numFmtId="0" fontId="29" fillId="0" borderId="1" xfId="0" applyFont="1" applyFill="1" applyBorder="1" applyAlignment="1">
      <alignment horizontal="right" vertical="top" wrapText="1"/>
    </xf>
    <xf numFmtId="165" fontId="29" fillId="0" borderId="1" xfId="1" applyFont="1" applyFill="1" applyBorder="1" applyAlignment="1">
      <alignment horizontal="right" vertical="center" wrapText="1"/>
    </xf>
    <xf numFmtId="169" fontId="29" fillId="8" borderId="1" xfId="1" applyNumberFormat="1" applyFont="1" applyFill="1" applyBorder="1" applyAlignment="1">
      <alignment horizontal="right" vertical="center"/>
    </xf>
    <xf numFmtId="165" fontId="29" fillId="0" borderId="1" xfId="1" applyFont="1" applyFill="1" applyBorder="1" applyAlignment="1">
      <alignment horizontal="right" vertical="center"/>
    </xf>
    <xf numFmtId="173" fontId="29" fillId="0" borderId="1" xfId="1" applyNumberFormat="1" applyFont="1" applyFill="1" applyBorder="1" applyAlignment="1">
      <alignment horizontal="right" vertical="center" wrapText="1"/>
    </xf>
    <xf numFmtId="39" fontId="23" fillId="0" borderId="3" xfId="1" applyNumberFormat="1" applyFont="1" applyFill="1" applyBorder="1" applyAlignment="1">
      <alignment vertical="center"/>
    </xf>
    <xf numFmtId="169" fontId="25" fillId="8" borderId="1" xfId="1" applyNumberFormat="1" applyFont="1" applyFill="1" applyBorder="1" applyAlignment="1">
      <alignment vertical="center"/>
    </xf>
    <xf numFmtId="39" fontId="23" fillId="0" borderId="1" xfId="1" applyNumberFormat="1" applyFont="1" applyFill="1" applyBorder="1"/>
    <xf numFmtId="165" fontId="23" fillId="0" borderId="1" xfId="1" applyFont="1" applyFill="1" applyBorder="1"/>
    <xf numFmtId="0" fontId="2" fillId="0" borderId="14" xfId="0" applyFont="1" applyFill="1" applyBorder="1" applyAlignment="1">
      <alignment horizontal="left" vertical="center" wrapText="1"/>
    </xf>
    <xf numFmtId="0" fontId="32" fillId="0" borderId="1" xfId="5" applyFont="1" applyBorder="1" applyAlignment="1">
      <alignment horizontal="left"/>
    </xf>
    <xf numFmtId="174" fontId="18" fillId="0" borderId="0" xfId="0" applyNumberFormat="1" applyFont="1" applyFill="1" applyBorder="1" applyAlignment="1">
      <alignment vertical="center" wrapText="1"/>
    </xf>
    <xf numFmtId="173" fontId="23" fillId="9" borderId="1" xfId="1" applyNumberFormat="1" applyFont="1" applyFill="1" applyBorder="1" applyAlignment="1">
      <alignment horizontal="right"/>
    </xf>
    <xf numFmtId="165" fontId="23" fillId="9" borderId="1" xfId="1" applyFont="1" applyFill="1" applyBorder="1"/>
    <xf numFmtId="9" fontId="23" fillId="9" borderId="1" xfId="3" applyFont="1" applyFill="1" applyBorder="1"/>
    <xf numFmtId="39" fontId="23" fillId="9" borderId="1" xfId="1" applyNumberFormat="1" applyFont="1" applyFill="1" applyBorder="1" applyAlignment="1">
      <alignment vertical="top" wrapText="1"/>
    </xf>
    <xf numFmtId="173" fontId="18" fillId="15" borderId="4" xfId="0" applyNumberFormat="1" applyFont="1" applyFill="1" applyBorder="1" applyAlignment="1">
      <alignment horizontal="right" vertical="center"/>
    </xf>
    <xf numFmtId="0" fontId="25" fillId="16" borderId="5" xfId="5" applyFont="1" applyFill="1" applyBorder="1" applyAlignment="1" applyProtection="1">
      <alignment horizontal="left" vertical="center" wrapText="1"/>
    </xf>
    <xf numFmtId="0" fontId="25" fillId="0" borderId="8" xfId="0" applyFont="1" applyFill="1" applyBorder="1" applyAlignment="1">
      <alignment horizontal="left" vertical="center" wrapText="1"/>
    </xf>
    <xf numFmtId="165" fontId="25" fillId="2" borderId="1" xfId="1" applyFont="1" applyFill="1" applyBorder="1" applyAlignment="1">
      <alignment horizontal="right" vertical="center" wrapText="1"/>
    </xf>
    <xf numFmtId="169" fontId="25" fillId="8" borderId="4" xfId="1" applyNumberFormat="1" applyFont="1" applyFill="1" applyBorder="1" applyAlignment="1">
      <alignment vertical="center" wrapText="1"/>
    </xf>
    <xf numFmtId="0" fontId="25" fillId="0" borderId="1" xfId="5" applyFont="1" applyBorder="1" applyAlignment="1">
      <alignment horizontal="center" vertical="center"/>
    </xf>
    <xf numFmtId="175" fontId="25" fillId="0" borderId="1" xfId="6" applyNumberFormat="1" applyFont="1" applyBorder="1" applyAlignment="1">
      <alignment horizontal="center" vertical="center"/>
    </xf>
    <xf numFmtId="173" fontId="25" fillId="0" borderId="1" xfId="5" applyNumberFormat="1" applyFont="1" applyBorder="1" applyAlignment="1">
      <alignment horizontal="right" vertical="center"/>
    </xf>
    <xf numFmtId="169" fontId="25" fillId="8" borderId="4" xfId="0" applyNumberFormat="1" applyFont="1" applyFill="1" applyBorder="1" applyAlignment="1">
      <alignment vertical="center" wrapText="1"/>
    </xf>
    <xf numFmtId="0" fontId="18" fillId="9" borderId="5" xfId="0" applyFont="1" applyFill="1" applyBorder="1" applyAlignment="1">
      <alignment horizontal="right" vertical="center"/>
    </xf>
    <xf numFmtId="0" fontId="25" fillId="9" borderId="1" xfId="0" applyFont="1" applyFill="1" applyBorder="1" applyAlignment="1">
      <alignment horizontal="right" vertical="center" wrapText="1"/>
    </xf>
    <xf numFmtId="173" fontId="23" fillId="9" borderId="1" xfId="1" applyNumberFormat="1" applyFont="1" applyFill="1" applyBorder="1" applyAlignment="1">
      <alignment horizontal="right" vertical="center"/>
    </xf>
    <xf numFmtId="0" fontId="2" fillId="0" borderId="14" xfId="0" applyFont="1" applyFill="1" applyBorder="1" applyAlignment="1">
      <alignment horizontal="left" vertical="top"/>
    </xf>
    <xf numFmtId="0" fontId="18" fillId="0" borderId="14" xfId="0" applyFont="1" applyFill="1" applyBorder="1" applyAlignment="1">
      <alignment horizontal="right" vertical="center"/>
    </xf>
    <xf numFmtId="0" fontId="25" fillId="0" borderId="8" xfId="0" applyFont="1" applyFill="1" applyBorder="1" applyAlignment="1">
      <alignment horizontal="left" vertical="center"/>
    </xf>
    <xf numFmtId="165" fontId="29" fillId="0" borderId="1" xfId="1" applyFont="1" applyFill="1" applyBorder="1" applyAlignment="1">
      <alignment horizontal="right" vertical="top" wrapText="1"/>
    </xf>
    <xf numFmtId="169" fontId="29" fillId="8" borderId="1" xfId="1" applyNumberFormat="1" applyFont="1" applyFill="1" applyBorder="1" applyAlignment="1">
      <alignment horizontal="right" vertical="top"/>
    </xf>
    <xf numFmtId="165" fontId="29" fillId="0" borderId="1" xfId="1" applyFont="1" applyFill="1" applyBorder="1" applyAlignment="1">
      <alignment horizontal="left" vertical="top"/>
    </xf>
    <xf numFmtId="176" fontId="29" fillId="0" borderId="1" xfId="1" applyNumberFormat="1" applyFont="1" applyFill="1" applyBorder="1" applyAlignment="1">
      <alignment horizontal="right" vertical="top" wrapText="1"/>
    </xf>
    <xf numFmtId="173" fontId="29" fillId="0" borderId="1" xfId="1" applyNumberFormat="1" applyFont="1" applyFill="1" applyBorder="1" applyAlignment="1">
      <alignment horizontal="right" vertical="top" wrapText="1"/>
    </xf>
    <xf numFmtId="173" fontId="29" fillId="0" borderId="1" xfId="0" applyNumberFormat="1" applyFont="1" applyFill="1" applyBorder="1" applyAlignment="1">
      <alignment vertical="top" wrapText="1"/>
    </xf>
    <xf numFmtId="169" fontId="33" fillId="8" borderId="1" xfId="1" applyNumberFormat="1" applyFont="1" applyFill="1" applyBorder="1" applyAlignment="1">
      <alignment vertical="top"/>
    </xf>
    <xf numFmtId="174" fontId="34" fillId="0" borderId="0" xfId="0" applyNumberFormat="1" applyFont="1" applyFill="1"/>
    <xf numFmtId="169" fontId="23" fillId="9" borderId="1" xfId="1" applyNumberFormat="1" applyFont="1" applyFill="1" applyBorder="1" applyAlignment="1">
      <alignment horizontal="right" vertical="center"/>
    </xf>
    <xf numFmtId="0" fontId="25" fillId="2" borderId="14" xfId="0" applyFont="1" applyFill="1" applyBorder="1" applyAlignment="1">
      <alignment horizontal="left" vertical="center"/>
    </xf>
    <xf numFmtId="176" fontId="29" fillId="2" borderId="1" xfId="1" applyNumberFormat="1" applyFont="1" applyFill="1" applyBorder="1" applyAlignment="1">
      <alignment vertical="center" wrapText="1"/>
    </xf>
    <xf numFmtId="165" fontId="29" fillId="0" borderId="1" xfId="1" applyFont="1" applyFill="1" applyBorder="1" applyAlignment="1">
      <alignment vertical="center" wrapText="1"/>
    </xf>
    <xf numFmtId="169" fontId="29" fillId="8" borderId="1" xfId="1" applyNumberFormat="1" applyFont="1" applyFill="1" applyBorder="1" applyAlignment="1">
      <alignment vertical="center"/>
    </xf>
    <xf numFmtId="165" fontId="29" fillId="0" borderId="1" xfId="1" applyFont="1" applyFill="1" applyBorder="1"/>
    <xf numFmtId="165" fontId="29" fillId="2" borderId="1" xfId="1" applyFont="1" applyFill="1" applyBorder="1" applyAlignment="1">
      <alignment vertical="center" wrapText="1"/>
    </xf>
    <xf numFmtId="39" fontId="25" fillId="0" borderId="3" xfId="1" applyNumberFormat="1" applyFont="1" applyFill="1" applyBorder="1" applyAlignment="1">
      <alignment vertical="center"/>
    </xf>
    <xf numFmtId="39" fontId="25" fillId="0" borderId="1" xfId="1" applyNumberFormat="1" applyFont="1" applyFill="1" applyBorder="1"/>
    <xf numFmtId="165" fontId="25" fillId="0" borderId="1" xfId="1" applyFont="1" applyFill="1" applyBorder="1"/>
    <xf numFmtId="176" fontId="29" fillId="0" borderId="1" xfId="1" applyNumberFormat="1" applyFont="1" applyFill="1" applyBorder="1" applyAlignment="1">
      <alignment vertical="center" wrapText="1"/>
    </xf>
    <xf numFmtId="174" fontId="18" fillId="0" borderId="0" xfId="0" applyNumberFormat="1" applyFont="1" applyFill="1"/>
    <xf numFmtId="0" fontId="25" fillId="0" borderId="1" xfId="0" applyFont="1" applyFill="1" applyBorder="1" applyAlignment="1">
      <alignment horizontal="left" vertical="center"/>
    </xf>
    <xf numFmtId="0" fontId="23" fillId="0" borderId="1" xfId="0" applyFont="1" applyFill="1" applyBorder="1" applyAlignment="1">
      <alignment vertical="top" wrapText="1"/>
    </xf>
    <xf numFmtId="165" fontId="23" fillId="0" borderId="1" xfId="1" applyFont="1" applyFill="1" applyBorder="1" applyAlignment="1">
      <alignment vertical="top" wrapText="1"/>
    </xf>
    <xf numFmtId="169" fontId="35" fillId="8" borderId="1" xfId="1" applyNumberFormat="1" applyFont="1" applyFill="1" applyBorder="1"/>
    <xf numFmtId="39" fontId="23" fillId="0" borderId="1" xfId="1" applyNumberFormat="1" applyFont="1" applyFill="1" applyBorder="1" applyAlignment="1">
      <alignment vertical="center"/>
    </xf>
    <xf numFmtId="169" fontId="35" fillId="8" borderId="1" xfId="1" applyNumberFormat="1" applyFont="1" applyFill="1" applyBorder="1" applyAlignment="1">
      <alignment vertical="center"/>
    </xf>
    <xf numFmtId="169" fontId="33" fillId="8" borderId="1" xfId="1" applyNumberFormat="1" applyFont="1" applyFill="1" applyBorder="1" applyAlignment="1">
      <alignment vertical="center"/>
    </xf>
    <xf numFmtId="39" fontId="23" fillId="0" borderId="1" xfId="1" applyNumberFormat="1" applyFont="1" applyFill="1" applyBorder="1" applyAlignment="1">
      <alignment vertical="top" wrapText="1"/>
    </xf>
    <xf numFmtId="0" fontId="25" fillId="0" borderId="1" xfId="7" applyFont="1" applyFill="1" applyBorder="1" applyAlignment="1">
      <alignment horizontal="left" vertical="top" wrapText="1" shrinkToFit="1"/>
    </xf>
    <xf numFmtId="0" fontId="25" fillId="0" borderId="8" xfId="0" applyFont="1" applyFill="1" applyBorder="1" applyAlignment="1">
      <alignment vertical="center" wrapText="1"/>
    </xf>
    <xf numFmtId="173" fontId="25" fillId="2" borderId="0" xfId="1" applyNumberFormat="1" applyFont="1" applyFill="1" applyAlignment="1">
      <alignment vertical="center"/>
    </xf>
    <xf numFmtId="0" fontId="25" fillId="0" borderId="1" xfId="0" applyFont="1" applyFill="1" applyBorder="1" applyAlignment="1">
      <alignment horizontal="center" vertical="center" wrapText="1"/>
    </xf>
    <xf numFmtId="176" fontId="25" fillId="0" borderId="1" xfId="1" applyNumberFormat="1" applyFont="1" applyBorder="1" applyAlignment="1">
      <alignment horizontal="center" vertical="center"/>
    </xf>
    <xf numFmtId="1" fontId="25" fillId="2" borderId="0" xfId="0" applyNumberFormat="1" applyFont="1" applyFill="1" applyAlignment="1">
      <alignment vertical="center"/>
    </xf>
    <xf numFmtId="39" fontId="25" fillId="0" borderId="1" xfId="1" applyNumberFormat="1" applyFont="1" applyFill="1" applyBorder="1" applyAlignment="1">
      <alignment vertical="top" wrapText="1"/>
    </xf>
    <xf numFmtId="0" fontId="18" fillId="9" borderId="8" xfId="0" applyFont="1" applyFill="1" applyBorder="1" applyAlignment="1">
      <alignment vertical="center"/>
    </xf>
    <xf numFmtId="10" fontId="23" fillId="9" borderId="1" xfId="1" applyNumberFormat="1" applyFont="1" applyFill="1" applyBorder="1" applyAlignment="1">
      <alignment horizontal="center" vertical="top" wrapText="1"/>
    </xf>
    <xf numFmtId="0" fontId="18" fillId="11" borderId="4" xfId="0" applyFont="1" applyFill="1" applyBorder="1" applyAlignment="1">
      <alignment horizontal="left" vertical="center"/>
    </xf>
    <xf numFmtId="0" fontId="18" fillId="11" borderId="5" xfId="0" applyFont="1" applyFill="1" applyBorder="1" applyAlignment="1">
      <alignment horizontal="left" vertical="center"/>
    </xf>
    <xf numFmtId="0" fontId="23" fillId="11" borderId="1" xfId="0" applyFont="1" applyFill="1" applyBorder="1" applyAlignment="1">
      <alignment horizontal="left" vertical="top" wrapText="1"/>
    </xf>
    <xf numFmtId="165" fontId="23" fillId="11" borderId="1" xfId="1" applyFont="1" applyFill="1" applyBorder="1" applyAlignment="1">
      <alignment horizontal="left" vertical="top" wrapText="1"/>
    </xf>
    <xf numFmtId="43" fontId="23" fillId="11" borderId="1" xfId="0" applyNumberFormat="1" applyFont="1" applyFill="1" applyBorder="1" applyAlignment="1">
      <alignment horizontal="left" vertical="top" wrapText="1"/>
    </xf>
    <xf numFmtId="169" fontId="23" fillId="11" borderId="1" xfId="1" applyNumberFormat="1" applyFont="1" applyFill="1" applyBorder="1" applyAlignment="1">
      <alignment horizontal="right" vertical="center"/>
    </xf>
    <xf numFmtId="39" fontId="23" fillId="11" borderId="1" xfId="1" applyNumberFormat="1" applyFont="1" applyFill="1" applyBorder="1" applyAlignment="1">
      <alignment horizontal="left"/>
    </xf>
    <xf numFmtId="39" fontId="23" fillId="11" borderId="1" xfId="1" applyNumberFormat="1" applyFont="1" applyFill="1" applyBorder="1" applyAlignment="1">
      <alignment horizontal="left" vertical="center"/>
    </xf>
    <xf numFmtId="9" fontId="23" fillId="11" borderId="1" xfId="3" applyFont="1" applyFill="1" applyBorder="1" applyAlignment="1">
      <alignment horizontal="left"/>
    </xf>
    <xf numFmtId="165" fontId="23" fillId="11" borderId="1" xfId="1" applyFont="1" applyFill="1" applyBorder="1" applyAlignment="1">
      <alignment horizontal="left"/>
    </xf>
    <xf numFmtId="9" fontId="23" fillId="11" borderId="1" xfId="3" applyFont="1" applyFill="1" applyBorder="1" applyAlignment="1">
      <alignment horizontal="right"/>
    </xf>
    <xf numFmtId="10" fontId="23" fillId="11" borderId="1" xfId="1" applyNumberFormat="1" applyFont="1" applyFill="1" applyBorder="1" applyAlignment="1">
      <alignment horizontal="center" vertical="top" wrapText="1"/>
    </xf>
    <xf numFmtId="0" fontId="18" fillId="2" borderId="0" xfId="0" applyFont="1" applyFill="1" applyAlignment="1">
      <alignment horizontal="left"/>
    </xf>
    <xf numFmtId="0" fontId="18" fillId="4" borderId="11" xfId="0" applyFont="1" applyFill="1" applyBorder="1" applyAlignment="1">
      <alignment horizontal="left" vertical="center"/>
    </xf>
    <xf numFmtId="0" fontId="18" fillId="4" borderId="15" xfId="0" applyFont="1" applyFill="1" applyBorder="1" applyAlignment="1">
      <alignment horizontal="left" vertical="center"/>
    </xf>
    <xf numFmtId="0" fontId="18" fillId="4" borderId="14" xfId="0" applyFont="1" applyFill="1" applyBorder="1" applyAlignment="1">
      <alignment horizontal="left" vertical="center"/>
    </xf>
    <xf numFmtId="0" fontId="18" fillId="4" borderId="1" xfId="0" applyFont="1" applyFill="1" applyBorder="1" applyAlignment="1">
      <alignment horizontal="left" vertical="center"/>
    </xf>
    <xf numFmtId="165" fontId="18" fillId="4" borderId="1" xfId="1" applyFont="1" applyFill="1" applyBorder="1" applyAlignment="1">
      <alignment horizontal="left" vertical="center"/>
    </xf>
    <xf numFmtId="169" fontId="18" fillId="4" borderId="1" xfId="1" applyNumberFormat="1" applyFont="1" applyFill="1" applyBorder="1" applyAlignment="1">
      <alignment vertical="center" wrapText="1"/>
    </xf>
    <xf numFmtId="0" fontId="18" fillId="4" borderId="1" xfId="0" applyFont="1" applyFill="1" applyBorder="1" applyAlignment="1">
      <alignment vertical="center" wrapText="1"/>
    </xf>
    <xf numFmtId="169" fontId="18" fillId="4" borderId="1" xfId="0" applyNumberFormat="1"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1" xfId="0" applyFont="1" applyFill="1" applyBorder="1" applyAlignment="1">
      <alignment horizontal="center" vertical="center" wrapText="1"/>
    </xf>
    <xf numFmtId="165" fontId="18" fillId="4" borderId="1" xfId="1" applyFont="1" applyFill="1" applyBorder="1" applyAlignment="1">
      <alignment horizontal="center" vertical="center" wrapText="1"/>
    </xf>
    <xf numFmtId="0" fontId="18" fillId="4" borderId="1" xfId="0" applyFont="1" applyFill="1" applyBorder="1" applyAlignment="1">
      <alignment horizontal="center" vertical="top" wrapText="1"/>
    </xf>
    <xf numFmtId="0" fontId="25" fillId="2" borderId="0" xfId="0" applyFont="1" applyFill="1"/>
    <xf numFmtId="0" fontId="18" fillId="4" borderId="6" xfId="0" applyFont="1" applyFill="1" applyBorder="1" applyAlignment="1">
      <alignment horizontal="left" vertical="center"/>
    </xf>
    <xf numFmtId="0" fontId="18" fillId="4" borderId="9" xfId="0" applyFont="1" applyFill="1" applyBorder="1" applyAlignment="1">
      <alignment horizontal="left" vertical="center"/>
    </xf>
    <xf numFmtId="0" fontId="18" fillId="4" borderId="10" xfId="0" applyFont="1" applyFill="1" applyBorder="1" applyAlignment="1">
      <alignment horizontal="left" vertical="center"/>
    </xf>
    <xf numFmtId="43" fontId="18" fillId="4" borderId="1" xfId="0" applyNumberFormat="1" applyFont="1" applyFill="1" applyBorder="1" applyAlignment="1">
      <alignment horizontal="left" vertical="center"/>
    </xf>
    <xf numFmtId="169" fontId="18" fillId="4" borderId="1" xfId="1" applyNumberFormat="1" applyFont="1" applyFill="1" applyBorder="1" applyAlignment="1">
      <alignment horizontal="right" vertical="center" wrapText="1"/>
    </xf>
    <xf numFmtId="39" fontId="18" fillId="4" borderId="1" xfId="0" applyNumberFormat="1" applyFont="1" applyFill="1" applyBorder="1" applyAlignment="1">
      <alignment vertical="center" wrapText="1"/>
    </xf>
    <xf numFmtId="43" fontId="18" fillId="4" borderId="3" xfId="0" applyNumberFormat="1" applyFont="1" applyFill="1" applyBorder="1" applyAlignment="1">
      <alignment horizontal="center" vertical="center" wrapText="1"/>
    </xf>
    <xf numFmtId="39" fontId="18" fillId="4" borderId="1" xfId="0" applyNumberFormat="1" applyFont="1" applyFill="1" applyBorder="1" applyAlignment="1">
      <alignment horizontal="center" vertical="center" wrapText="1"/>
    </xf>
    <xf numFmtId="9" fontId="18" fillId="4" borderId="1" xfId="3" applyFont="1" applyFill="1" applyBorder="1" applyAlignment="1">
      <alignment horizontal="right" vertical="center" wrapText="1"/>
    </xf>
    <xf numFmtId="0" fontId="18" fillId="17" borderId="6" xfId="0" applyFont="1" applyFill="1" applyBorder="1" applyAlignment="1">
      <alignment horizontal="left" vertical="center"/>
    </xf>
    <xf numFmtId="0" fontId="18" fillId="17" borderId="9" xfId="0" applyFont="1" applyFill="1" applyBorder="1" applyAlignment="1">
      <alignment horizontal="left" vertical="center"/>
    </xf>
    <xf numFmtId="0" fontId="25" fillId="17" borderId="9" xfId="0" applyFont="1" applyFill="1" applyBorder="1" applyAlignment="1">
      <alignment horizontal="left" vertical="center"/>
    </xf>
    <xf numFmtId="0" fontId="25" fillId="17" borderId="10" xfId="0" applyFont="1" applyFill="1" applyBorder="1" applyAlignment="1">
      <alignment horizontal="right" vertical="center"/>
    </xf>
    <xf numFmtId="0" fontId="18" fillId="17" borderId="1" xfId="0" applyFont="1" applyFill="1" applyBorder="1" applyAlignment="1">
      <alignment horizontal="left" vertical="center"/>
    </xf>
    <xf numFmtId="165" fontId="18" fillId="17" borderId="1" xfId="1" applyFont="1" applyFill="1" applyBorder="1" applyAlignment="1">
      <alignment horizontal="left" vertical="center"/>
    </xf>
    <xf numFmtId="169" fontId="18" fillId="17" borderId="1" xfId="1" applyNumberFormat="1" applyFont="1" applyFill="1" applyBorder="1" applyAlignment="1">
      <alignment horizontal="right" vertical="center" wrapText="1"/>
    </xf>
    <xf numFmtId="0" fontId="18" fillId="17" borderId="1" xfId="0" applyFont="1" applyFill="1" applyBorder="1" applyAlignment="1">
      <alignment vertical="center" wrapText="1"/>
    </xf>
    <xf numFmtId="170" fontId="18" fillId="17" borderId="1" xfId="0" applyNumberFormat="1" applyFont="1" applyFill="1" applyBorder="1" applyAlignment="1">
      <alignment vertical="center" wrapText="1"/>
    </xf>
    <xf numFmtId="169" fontId="18" fillId="17" borderId="1" xfId="0" applyNumberFormat="1" applyFont="1" applyFill="1" applyBorder="1" applyAlignment="1">
      <alignment horizontal="center" vertical="center" wrapText="1"/>
    </xf>
    <xf numFmtId="0" fontId="18" fillId="17" borderId="3" xfId="0" applyFont="1" applyFill="1" applyBorder="1" applyAlignment="1">
      <alignment horizontal="center" vertical="center" wrapText="1"/>
    </xf>
    <xf numFmtId="39" fontId="18" fillId="17" borderId="1" xfId="0" applyNumberFormat="1" applyFont="1" applyFill="1" applyBorder="1" applyAlignment="1">
      <alignment horizontal="center" vertical="center" wrapText="1"/>
    </xf>
    <xf numFmtId="170" fontId="18" fillId="17" borderId="1" xfId="0" applyNumberFormat="1" applyFont="1" applyFill="1" applyBorder="1" applyAlignment="1">
      <alignment horizontal="center" vertical="center" wrapText="1"/>
    </xf>
    <xf numFmtId="10" fontId="25" fillId="17" borderId="1" xfId="0" applyNumberFormat="1" applyFont="1" applyFill="1" applyBorder="1" applyAlignment="1">
      <alignment horizontal="center"/>
    </xf>
    <xf numFmtId="0" fontId="25" fillId="17" borderId="0" xfId="0" applyFont="1" applyFill="1"/>
    <xf numFmtId="0" fontId="25" fillId="14" borderId="3" xfId="0" applyFont="1" applyFill="1" applyBorder="1" applyAlignment="1">
      <alignment horizontal="right" vertical="top" wrapText="1"/>
    </xf>
    <xf numFmtId="0" fontId="25" fillId="14" borderId="4" xfId="0" applyFont="1" applyFill="1" applyBorder="1" applyAlignment="1">
      <alignment horizontal="right" vertical="top" wrapText="1"/>
    </xf>
    <xf numFmtId="0" fontId="25" fillId="14" borderId="5" xfId="0" applyFont="1" applyFill="1" applyBorder="1" applyAlignment="1">
      <alignment horizontal="right" vertical="top" wrapText="1"/>
    </xf>
    <xf numFmtId="0" fontId="25" fillId="14" borderId="1" xfId="0" applyFont="1" applyFill="1" applyBorder="1" applyAlignment="1">
      <alignment vertical="top" wrapText="1"/>
    </xf>
    <xf numFmtId="165" fontId="25" fillId="14" borderId="1" xfId="1" applyFont="1" applyFill="1" applyBorder="1" applyAlignment="1">
      <alignment vertical="top" wrapText="1"/>
    </xf>
    <xf numFmtId="43" fontId="25" fillId="14" borderId="1" xfId="0" applyNumberFormat="1" applyFont="1" applyFill="1" applyBorder="1" applyAlignment="1">
      <alignment vertical="top" wrapText="1"/>
    </xf>
    <xf numFmtId="39" fontId="18" fillId="14" borderId="1" xfId="0" applyNumberFormat="1" applyFont="1" applyFill="1" applyBorder="1" applyAlignment="1">
      <alignment vertical="center"/>
    </xf>
    <xf numFmtId="165" fontId="18" fillId="14" borderId="1" xfId="1" applyFont="1" applyFill="1" applyBorder="1" applyAlignment="1">
      <alignment vertical="center"/>
    </xf>
    <xf numFmtId="39" fontId="18" fillId="14" borderId="3" xfId="0" applyNumberFormat="1" applyFont="1" applyFill="1" applyBorder="1" applyAlignment="1">
      <alignment vertical="center"/>
    </xf>
    <xf numFmtId="37" fontId="18" fillId="14" borderId="1" xfId="0" applyNumberFormat="1" applyFont="1" applyFill="1" applyBorder="1" applyAlignment="1">
      <alignment horizontal="center" vertical="center"/>
    </xf>
    <xf numFmtId="165" fontId="18" fillId="14" borderId="1" xfId="1" applyFont="1" applyFill="1" applyBorder="1" applyAlignment="1">
      <alignment horizontal="center"/>
    </xf>
    <xf numFmtId="10" fontId="18" fillId="14" borderId="1" xfId="0" applyNumberFormat="1" applyFont="1" applyFill="1" applyBorder="1" applyAlignment="1">
      <alignment horizontal="center" vertical="top" wrapText="1"/>
    </xf>
    <xf numFmtId="0" fontId="25" fillId="0" borderId="0" xfId="0" applyFont="1"/>
    <xf numFmtId="0" fontId="18" fillId="4" borderId="3" xfId="0" applyFont="1" applyFill="1" applyBorder="1" applyAlignment="1">
      <alignment horizontal="left"/>
    </xf>
    <xf numFmtId="0" fontId="18" fillId="4" borderId="4" xfId="0" applyFont="1" applyFill="1" applyBorder="1" applyAlignment="1">
      <alignment horizontal="left"/>
    </xf>
    <xf numFmtId="0" fontId="18" fillId="4" borderId="5" xfId="0" applyFont="1" applyFill="1" applyBorder="1" applyAlignment="1">
      <alignment horizontal="left"/>
    </xf>
    <xf numFmtId="0" fontId="25" fillId="4" borderId="1" xfId="0" applyFont="1" applyFill="1" applyBorder="1" applyAlignment="1">
      <alignment vertical="top" wrapText="1"/>
    </xf>
    <xf numFmtId="165" fontId="25" fillId="4" borderId="1" xfId="1" applyFont="1" applyFill="1" applyBorder="1" applyAlignment="1">
      <alignment vertical="top" wrapText="1"/>
    </xf>
    <xf numFmtId="43" fontId="25" fillId="4" borderId="1" xfId="0" applyNumberFormat="1" applyFont="1" applyFill="1" applyBorder="1" applyAlignment="1">
      <alignment vertical="top" wrapText="1"/>
    </xf>
    <xf numFmtId="39" fontId="18" fillId="4" borderId="1" xfId="0" applyNumberFormat="1" applyFont="1" applyFill="1" applyBorder="1" applyAlignment="1">
      <alignment vertical="center"/>
    </xf>
    <xf numFmtId="39" fontId="18" fillId="4" borderId="3" xfId="0" applyNumberFormat="1" applyFont="1" applyFill="1" applyBorder="1" applyAlignment="1">
      <alignment vertical="center"/>
    </xf>
    <xf numFmtId="37" fontId="18" fillId="4" borderId="1" xfId="0" applyNumberFormat="1" applyFont="1" applyFill="1" applyBorder="1" applyAlignment="1">
      <alignment horizontal="center"/>
    </xf>
    <xf numFmtId="165" fontId="18" fillId="4" borderId="1" xfId="1" applyFont="1" applyFill="1" applyBorder="1" applyAlignment="1">
      <alignment horizontal="right"/>
    </xf>
    <xf numFmtId="9" fontId="18" fillId="4" borderId="1" xfId="3" applyFont="1" applyFill="1" applyBorder="1" applyAlignment="1">
      <alignment horizontal="right"/>
    </xf>
    <xf numFmtId="39" fontId="18" fillId="4" borderId="1" xfId="0" applyNumberFormat="1" applyFont="1" applyFill="1" applyBorder="1" applyAlignment="1">
      <alignment vertical="top" wrapText="1"/>
    </xf>
    <xf numFmtId="0" fontId="25" fillId="18" borderId="3" xfId="0" applyFont="1" applyFill="1" applyBorder="1" applyAlignment="1">
      <alignment horizontal="right" vertical="top" wrapText="1"/>
    </xf>
    <xf numFmtId="0" fontId="25" fillId="18" borderId="4" xfId="0" applyFont="1" applyFill="1" applyBorder="1" applyAlignment="1">
      <alignment horizontal="right" vertical="top" wrapText="1"/>
    </xf>
    <xf numFmtId="0" fontId="25" fillId="18" borderId="5" xfId="0" applyFont="1" applyFill="1" applyBorder="1" applyAlignment="1">
      <alignment horizontal="right" vertical="top" wrapText="1"/>
    </xf>
    <xf numFmtId="0" fontId="25" fillId="18" borderId="1" xfId="0" applyFont="1" applyFill="1" applyBorder="1" applyAlignment="1">
      <alignment vertical="top" wrapText="1"/>
    </xf>
    <xf numFmtId="165" fontId="25" fillId="18" borderId="1" xfId="1" applyFont="1" applyFill="1" applyBorder="1" applyAlignment="1">
      <alignment vertical="top" wrapText="1"/>
    </xf>
    <xf numFmtId="169" fontId="18" fillId="18" borderId="1" xfId="1" applyNumberFormat="1" applyFont="1" applyFill="1" applyBorder="1"/>
    <xf numFmtId="39" fontId="18" fillId="18" borderId="1" xfId="0" applyNumberFormat="1" applyFont="1" applyFill="1" applyBorder="1"/>
    <xf numFmtId="39" fontId="18" fillId="18" borderId="1" xfId="0" applyNumberFormat="1" applyFont="1" applyFill="1" applyBorder="1" applyAlignment="1">
      <alignment vertical="center"/>
    </xf>
    <xf numFmtId="169" fontId="18" fillId="18" borderId="1" xfId="0" applyNumberFormat="1" applyFont="1" applyFill="1" applyBorder="1" applyAlignment="1">
      <alignment vertical="center"/>
    </xf>
    <xf numFmtId="39" fontId="18" fillId="18" borderId="3" xfId="0" applyNumberFormat="1" applyFont="1" applyFill="1" applyBorder="1" applyAlignment="1">
      <alignment vertical="center"/>
    </xf>
    <xf numFmtId="37" fontId="18" fillId="18" borderId="1" xfId="0" applyNumberFormat="1" applyFont="1" applyFill="1" applyBorder="1"/>
    <xf numFmtId="165" fontId="18" fillId="18" borderId="1" xfId="1" applyFont="1" applyFill="1" applyBorder="1" applyAlignment="1">
      <alignment horizontal="right"/>
    </xf>
    <xf numFmtId="39" fontId="18" fillId="18" borderId="1" xfId="0" applyNumberFormat="1" applyFont="1" applyFill="1" applyBorder="1" applyAlignment="1">
      <alignment vertical="top" wrapText="1"/>
    </xf>
    <xf numFmtId="0" fontId="18" fillId="14" borderId="3" xfId="0" applyFont="1" applyFill="1" applyBorder="1" applyAlignment="1">
      <alignment horizontal="right" vertical="center"/>
    </xf>
    <xf numFmtId="0" fontId="18" fillId="14" borderId="4" xfId="0" applyFont="1" applyFill="1" applyBorder="1" applyAlignment="1">
      <alignment horizontal="right" vertical="center"/>
    </xf>
    <xf numFmtId="0" fontId="18" fillId="14" borderId="5" xfId="0" applyFont="1" applyFill="1" applyBorder="1" applyAlignment="1">
      <alignment horizontal="right" vertical="center"/>
    </xf>
    <xf numFmtId="0" fontId="18" fillId="14" borderId="1" xfId="0" applyFont="1" applyFill="1" applyBorder="1" applyAlignment="1">
      <alignment horizontal="left" vertical="center"/>
    </xf>
    <xf numFmtId="165" fontId="18" fillId="14" borderId="1" xfId="1" applyFont="1" applyFill="1" applyBorder="1" applyAlignment="1">
      <alignment horizontal="left" vertical="center"/>
    </xf>
    <xf numFmtId="173" fontId="18" fillId="14" borderId="1" xfId="1" applyNumberFormat="1" applyFont="1" applyFill="1" applyBorder="1" applyAlignment="1">
      <alignment vertical="center"/>
    </xf>
    <xf numFmtId="165" fontId="30" fillId="14" borderId="1" xfId="1" applyFont="1" applyFill="1" applyBorder="1" applyAlignment="1">
      <alignment vertical="center"/>
    </xf>
    <xf numFmtId="165" fontId="30" fillId="14" borderId="3" xfId="1" applyFont="1" applyFill="1" applyBorder="1" applyAlignment="1">
      <alignment vertical="center"/>
    </xf>
    <xf numFmtId="165" fontId="18" fillId="14" borderId="3" xfId="1" applyFont="1" applyFill="1" applyBorder="1" applyAlignment="1">
      <alignment vertical="center"/>
    </xf>
    <xf numFmtId="37" fontId="30" fillId="14" borderId="1" xfId="0" applyNumberFormat="1" applyFont="1" applyFill="1" applyBorder="1" applyAlignment="1">
      <alignment horizontal="left" vertical="center"/>
    </xf>
    <xf numFmtId="165" fontId="18" fillId="14" borderId="1" xfId="1" applyFont="1" applyFill="1" applyBorder="1" applyAlignment="1">
      <alignment horizontal="right" vertical="center"/>
    </xf>
    <xf numFmtId="9" fontId="18" fillId="14" borderId="1" xfId="3" applyFont="1" applyFill="1" applyBorder="1" applyAlignment="1">
      <alignment horizontal="right" vertical="center"/>
    </xf>
    <xf numFmtId="9" fontId="18" fillId="14" borderId="1" xfId="3" applyFont="1" applyFill="1" applyBorder="1" applyAlignment="1">
      <alignment horizontal="left" vertical="center" wrapText="1"/>
    </xf>
    <xf numFmtId="0" fontId="7" fillId="0" borderId="0" xfId="0" applyFont="1"/>
    <xf numFmtId="0" fontId="2" fillId="0" borderId="0" xfId="0" applyFont="1" applyFill="1"/>
    <xf numFmtId="165" fontId="2" fillId="0" borderId="0" xfId="1" applyFont="1" applyFill="1"/>
    <xf numFmtId="0" fontId="2" fillId="0" borderId="0" xfId="0" applyFont="1" applyFill="1" applyAlignment="1">
      <alignment vertical="center"/>
    </xf>
    <xf numFmtId="176" fontId="2" fillId="0" borderId="0" xfId="0" applyNumberFormat="1" applyFont="1" applyFill="1" applyAlignment="1">
      <alignment vertical="center"/>
    </xf>
    <xf numFmtId="165" fontId="2" fillId="0" borderId="0" xfId="1" applyFont="1" applyAlignment="1">
      <alignment vertical="center"/>
    </xf>
    <xf numFmtId="9" fontId="2" fillId="0" borderId="0" xfId="3" applyNumberFormat="1" applyFont="1" applyAlignment="1">
      <alignment vertical="top" wrapText="1"/>
    </xf>
    <xf numFmtId="169" fontId="34" fillId="0" borderId="0" xfId="0" applyNumberFormat="1" applyFont="1" applyFill="1"/>
    <xf numFmtId="0" fontId="17" fillId="0" borderId="0" xfId="0" applyFont="1"/>
    <xf numFmtId="0" fontId="36" fillId="19" borderId="16" xfId="0" applyFont="1" applyFill="1" applyBorder="1" applyAlignment="1">
      <alignment horizontal="left" vertical="center" wrapText="1"/>
    </xf>
    <xf numFmtId="0" fontId="36" fillId="19" borderId="17" xfId="0" applyFont="1" applyFill="1" applyBorder="1" applyAlignment="1">
      <alignment horizontal="left" vertical="center" wrapText="1"/>
    </xf>
    <xf numFmtId="168" fontId="11" fillId="3" borderId="18" xfId="2" applyNumberFormat="1" applyFont="1" applyFill="1" applyBorder="1" applyAlignment="1">
      <alignment horizontal="center" vertical="center" wrapText="1"/>
    </xf>
    <xf numFmtId="176" fontId="36" fillId="19" borderId="19" xfId="1" applyNumberFormat="1" applyFont="1" applyFill="1" applyBorder="1" applyAlignment="1">
      <alignment horizontal="center" vertical="center" wrapText="1"/>
    </xf>
    <xf numFmtId="176" fontId="36" fillId="19" borderId="20" xfId="8" applyNumberFormat="1" applyFont="1" applyFill="1" applyBorder="1" applyAlignment="1" applyProtection="1">
      <alignment horizontal="center" vertical="center" wrapText="1"/>
    </xf>
    <xf numFmtId="0" fontId="37" fillId="0" borderId="1" xfId="0" applyFont="1" applyBorder="1" applyAlignment="1">
      <alignment horizontal="center" vertical="center" wrapText="1"/>
    </xf>
    <xf numFmtId="0" fontId="37" fillId="0" borderId="0" xfId="0" applyFont="1" applyAlignment="1">
      <alignment vertical="center"/>
    </xf>
    <xf numFmtId="0" fontId="36" fillId="20" borderId="19" xfId="0" applyFont="1" applyFill="1" applyBorder="1" applyAlignment="1">
      <alignment horizontal="left" vertical="center"/>
    </xf>
    <xf numFmtId="0" fontId="36" fillId="20" borderId="21" xfId="0" applyFont="1" applyFill="1" applyBorder="1" applyAlignment="1">
      <alignment horizontal="left" vertical="center"/>
    </xf>
    <xf numFmtId="0" fontId="36" fillId="20" borderId="22" xfId="0" applyFont="1" applyFill="1" applyBorder="1" applyAlignment="1">
      <alignment horizontal="left" vertical="center"/>
    </xf>
    <xf numFmtId="176" fontId="36" fillId="20" borderId="19" xfId="1" applyNumberFormat="1" applyFont="1" applyFill="1" applyBorder="1" applyAlignment="1">
      <alignment horizontal="center" vertical="center"/>
    </xf>
    <xf numFmtId="0" fontId="37" fillId="20" borderId="19" xfId="0" applyFont="1" applyFill="1" applyBorder="1" applyAlignment="1" applyProtection="1">
      <alignment vertical="center"/>
    </xf>
    <xf numFmtId="0" fontId="37" fillId="0" borderId="1" xfId="0" applyFont="1" applyBorder="1" applyAlignment="1">
      <alignment horizontal="center" vertical="center"/>
    </xf>
    <xf numFmtId="0" fontId="38" fillId="0" borderId="23" xfId="0" applyFont="1" applyBorder="1" applyAlignment="1">
      <alignment horizontal="left" vertical="center"/>
    </xf>
    <xf numFmtId="0" fontId="38" fillId="0" borderId="24" xfId="0" applyFont="1" applyFill="1" applyBorder="1" applyAlignment="1">
      <alignment horizontal="left" vertical="center"/>
    </xf>
    <xf numFmtId="0" fontId="38" fillId="0" borderId="0" xfId="0" applyFont="1" applyFill="1" applyBorder="1" applyAlignment="1">
      <alignment horizontal="left" vertical="center"/>
    </xf>
    <xf numFmtId="176" fontId="38" fillId="21" borderId="23" xfId="1" applyNumberFormat="1" applyFont="1" applyFill="1" applyBorder="1" applyAlignment="1">
      <alignment horizontal="center" vertical="center"/>
    </xf>
    <xf numFmtId="43" fontId="38" fillId="22" borderId="23" xfId="1" applyNumberFormat="1" applyFont="1" applyFill="1" applyBorder="1" applyAlignment="1" applyProtection="1">
      <alignment vertical="center"/>
    </xf>
    <xf numFmtId="0" fontId="38" fillId="0" borderId="1" xfId="0" applyFont="1" applyFill="1" applyBorder="1" applyAlignment="1">
      <alignment horizontal="center" vertical="center"/>
    </xf>
    <xf numFmtId="0" fontId="38" fillId="0" borderId="0" xfId="0" applyFont="1" applyFill="1" applyAlignment="1">
      <alignment vertical="center"/>
    </xf>
    <xf numFmtId="176" fontId="38" fillId="22" borderId="23" xfId="1" applyNumberFormat="1" applyFont="1" applyFill="1" applyBorder="1" applyAlignment="1" applyProtection="1">
      <alignment vertical="center"/>
    </xf>
    <xf numFmtId="0" fontId="38" fillId="0" borderId="23" xfId="0" applyFont="1" applyFill="1" applyBorder="1" applyAlignment="1">
      <alignment horizontal="left" vertical="center"/>
    </xf>
    <xf numFmtId="0" fontId="39" fillId="0" borderId="23" xfId="0" applyFont="1" applyFill="1" applyBorder="1" applyAlignment="1">
      <alignment horizontal="left" vertical="center"/>
    </xf>
    <xf numFmtId="0" fontId="39" fillId="0" borderId="24" xfId="0" quotePrefix="1" applyFont="1" applyFill="1" applyBorder="1" applyAlignment="1">
      <alignment horizontal="left" vertical="center"/>
    </xf>
    <xf numFmtId="177" fontId="39" fillId="0" borderId="0" xfId="1" quotePrefix="1" applyNumberFormat="1" applyFont="1" applyFill="1" applyBorder="1" applyAlignment="1">
      <alignment horizontal="left" vertical="center"/>
    </xf>
    <xf numFmtId="176" fontId="40" fillId="21" borderId="23" xfId="1" applyNumberFormat="1" applyFont="1" applyFill="1" applyBorder="1" applyAlignment="1">
      <alignment horizontal="center" vertical="center"/>
    </xf>
    <xf numFmtId="176" fontId="39" fillId="0" borderId="23" xfId="1" applyNumberFormat="1" applyFont="1" applyBorder="1" applyAlignment="1" applyProtection="1">
      <alignment vertical="center"/>
    </xf>
    <xf numFmtId="9" fontId="41" fillId="0" borderId="1" xfId="3" applyFont="1" applyFill="1" applyBorder="1" applyAlignment="1">
      <alignment horizontal="center" vertical="center"/>
    </xf>
    <xf numFmtId="0" fontId="39" fillId="0" borderId="0" xfId="0" applyFont="1" applyAlignment="1">
      <alignment vertical="center"/>
    </xf>
    <xf numFmtId="0" fontId="42" fillId="0" borderId="24" xfId="0" applyFont="1" applyFill="1" applyBorder="1" applyAlignment="1">
      <alignment horizontal="left" vertical="center"/>
    </xf>
    <xf numFmtId="177" fontId="42" fillId="0" borderId="0" xfId="1" applyNumberFormat="1" applyFont="1" applyFill="1" applyBorder="1" applyAlignment="1">
      <alignment horizontal="left" vertical="center"/>
    </xf>
    <xf numFmtId="0" fontId="39" fillId="0" borderId="24" xfId="0" applyFont="1" applyFill="1" applyBorder="1" applyAlignment="1">
      <alignment horizontal="left" vertical="center"/>
    </xf>
    <xf numFmtId="177" fontId="39" fillId="0" borderId="0" xfId="1" applyNumberFormat="1" applyFont="1" applyFill="1" applyBorder="1" applyAlignment="1">
      <alignment horizontal="left" vertical="center"/>
    </xf>
    <xf numFmtId="0" fontId="39" fillId="0" borderId="25" xfId="0" applyFont="1" applyFill="1" applyBorder="1" applyAlignment="1">
      <alignment horizontal="left" vertical="center"/>
    </xf>
    <xf numFmtId="0" fontId="39" fillId="0" borderId="26" xfId="0" applyFont="1" applyFill="1" applyBorder="1" applyAlignment="1">
      <alignment horizontal="left" vertical="center"/>
    </xf>
    <xf numFmtId="177" fontId="39" fillId="0" borderId="27" xfId="1" applyNumberFormat="1" applyFont="1" applyFill="1" applyBorder="1" applyAlignment="1">
      <alignment horizontal="left" vertical="center"/>
    </xf>
    <xf numFmtId="176" fontId="40" fillId="21" borderId="25" xfId="1" applyNumberFormat="1" applyFont="1" applyFill="1" applyBorder="1" applyAlignment="1">
      <alignment horizontal="center" vertical="center"/>
    </xf>
    <xf numFmtId="176" fontId="39" fillId="0" borderId="25" xfId="1" applyNumberFormat="1" applyFont="1" applyBorder="1" applyAlignment="1" applyProtection="1">
      <alignment vertical="center"/>
    </xf>
    <xf numFmtId="0" fontId="39" fillId="0" borderId="23" xfId="0" applyFont="1" applyFill="1" applyBorder="1" applyAlignment="1">
      <alignment horizontal="left" vertical="center" wrapText="1"/>
    </xf>
    <xf numFmtId="0" fontId="39" fillId="0" borderId="24" xfId="0" applyFont="1" applyFill="1" applyBorder="1" applyAlignment="1">
      <alignment horizontal="left" vertical="center" wrapText="1"/>
    </xf>
    <xf numFmtId="177" fontId="39" fillId="0" borderId="0" xfId="1" applyNumberFormat="1" applyFont="1" applyFill="1" applyBorder="1" applyAlignment="1">
      <alignment horizontal="left" vertical="center" wrapText="1"/>
    </xf>
    <xf numFmtId="0" fontId="37" fillId="23" borderId="28" xfId="0" applyFont="1" applyFill="1" applyBorder="1" applyAlignment="1">
      <alignment horizontal="left" vertical="center"/>
    </xf>
    <xf numFmtId="0" fontId="37" fillId="23" borderId="29" xfId="0" applyFont="1" applyFill="1" applyBorder="1" applyAlignment="1">
      <alignment horizontal="left" vertical="center" wrapText="1"/>
    </xf>
    <xf numFmtId="177" fontId="37" fillId="23" borderId="30" xfId="1" applyNumberFormat="1" applyFont="1" applyFill="1" applyBorder="1" applyAlignment="1">
      <alignment horizontal="left" vertical="center" wrapText="1"/>
    </xf>
    <xf numFmtId="176" fontId="37" fillId="23" borderId="28" xfId="1" applyNumberFormat="1" applyFont="1" applyFill="1" applyBorder="1" applyAlignment="1">
      <alignment horizontal="center" vertical="center" wrapText="1"/>
    </xf>
    <xf numFmtId="176" fontId="37" fillId="23" borderId="28" xfId="1" applyNumberFormat="1" applyFont="1" applyFill="1" applyBorder="1" applyAlignment="1" applyProtection="1">
      <alignment vertical="center"/>
    </xf>
    <xf numFmtId="0" fontId="37" fillId="2" borderId="0" xfId="0" applyFont="1" applyFill="1" applyBorder="1" applyAlignment="1">
      <alignment vertical="center" wrapText="1"/>
    </xf>
    <xf numFmtId="0" fontId="36" fillId="20" borderId="31" xfId="0" applyFont="1" applyFill="1" applyBorder="1" applyAlignment="1">
      <alignment horizontal="left" vertical="center"/>
    </xf>
    <xf numFmtId="0" fontId="36" fillId="20" borderId="32" xfId="0" applyFont="1" applyFill="1" applyBorder="1" applyAlignment="1">
      <alignment horizontal="left" vertical="center"/>
    </xf>
    <xf numFmtId="177" fontId="36" fillId="20" borderId="9" xfId="1" applyNumberFormat="1" applyFont="1" applyFill="1" applyBorder="1" applyAlignment="1">
      <alignment horizontal="left" vertical="center"/>
    </xf>
    <xf numFmtId="176" fontId="36" fillId="20" borderId="31" xfId="1" applyNumberFormat="1" applyFont="1" applyFill="1" applyBorder="1" applyAlignment="1">
      <alignment horizontal="center" vertical="center"/>
    </xf>
    <xf numFmtId="176" fontId="37" fillId="20" borderId="31" xfId="1" applyNumberFormat="1" applyFont="1" applyFill="1" applyBorder="1" applyAlignment="1" applyProtection="1">
      <alignment vertical="center"/>
    </xf>
    <xf numFmtId="0" fontId="37" fillId="8" borderId="33" xfId="0" applyFont="1" applyFill="1" applyBorder="1" applyAlignment="1">
      <alignment vertical="center" wrapText="1"/>
    </xf>
    <xf numFmtId="0" fontId="37" fillId="8" borderId="15" xfId="0" applyFont="1" applyFill="1" applyBorder="1" applyAlignment="1">
      <alignment vertical="center" wrapText="1"/>
    </xf>
    <xf numFmtId="177" fontId="37" fillId="8" borderId="15" xfId="1" applyNumberFormat="1" applyFont="1" applyFill="1" applyBorder="1" applyAlignment="1">
      <alignment vertical="center" wrapText="1"/>
    </xf>
    <xf numFmtId="0" fontId="37" fillId="21" borderId="23" xfId="0" applyFont="1" applyFill="1" applyBorder="1" applyAlignment="1">
      <alignment horizontal="left" vertical="center" wrapText="1"/>
    </xf>
    <xf numFmtId="0" fontId="37" fillId="21" borderId="24" xfId="0" applyFont="1" applyFill="1" applyBorder="1" applyAlignment="1">
      <alignment horizontal="left" vertical="center" wrapText="1"/>
    </xf>
    <xf numFmtId="177" fontId="37" fillId="21" borderId="0" xfId="1" applyNumberFormat="1" applyFont="1" applyFill="1" applyBorder="1" applyAlignment="1">
      <alignment horizontal="left" vertical="center" wrapText="1"/>
    </xf>
    <xf numFmtId="176" fontId="43" fillId="21" borderId="23" xfId="1" applyNumberFormat="1" applyFont="1" applyFill="1" applyBorder="1" applyAlignment="1">
      <alignment horizontal="center" vertical="center"/>
    </xf>
    <xf numFmtId="176" fontId="39" fillId="21" borderId="23" xfId="1" applyNumberFormat="1" applyFont="1" applyFill="1" applyBorder="1" applyAlignment="1" applyProtection="1">
      <alignment vertical="center"/>
    </xf>
    <xf numFmtId="0" fontId="37" fillId="23" borderId="34" xfId="0" applyFont="1" applyFill="1" applyBorder="1" applyAlignment="1">
      <alignment horizontal="left" vertical="center"/>
    </xf>
    <xf numFmtId="0" fontId="37" fillId="23" borderId="35" xfId="0" applyFont="1" applyFill="1" applyBorder="1" applyAlignment="1">
      <alignment horizontal="left" vertical="center" wrapText="1"/>
    </xf>
    <xf numFmtId="177" fontId="37" fillId="23" borderId="4" xfId="1" applyNumberFormat="1" applyFont="1" applyFill="1" applyBorder="1" applyAlignment="1">
      <alignment horizontal="left" vertical="center" wrapText="1"/>
    </xf>
    <xf numFmtId="176" fontId="37" fillId="23" borderId="34" xfId="1" applyNumberFormat="1" applyFont="1" applyFill="1" applyBorder="1" applyAlignment="1">
      <alignment horizontal="center" vertical="center" wrapText="1"/>
    </xf>
    <xf numFmtId="176" fontId="37" fillId="23" borderId="34" xfId="1" applyNumberFormat="1" applyFont="1" applyFill="1" applyBorder="1" applyAlignment="1" applyProtection="1">
      <alignment vertical="center"/>
    </xf>
    <xf numFmtId="0" fontId="37" fillId="2" borderId="0" xfId="0" applyFont="1" applyFill="1" applyAlignment="1">
      <alignment vertical="center"/>
    </xf>
    <xf numFmtId="176" fontId="36" fillId="20" borderId="31" xfId="1" applyNumberFormat="1" applyFont="1" applyFill="1" applyBorder="1" applyAlignment="1">
      <alignment horizontal="center" vertical="center" wrapText="1"/>
    </xf>
    <xf numFmtId="176" fontId="36" fillId="20" borderId="31" xfId="1" applyNumberFormat="1" applyFont="1" applyFill="1" applyBorder="1" applyAlignment="1" applyProtection="1">
      <alignment vertical="center" wrapText="1"/>
    </xf>
    <xf numFmtId="0" fontId="36" fillId="2" borderId="0" xfId="0" applyFont="1" applyFill="1" applyBorder="1" applyAlignment="1">
      <alignment vertical="center" wrapText="1"/>
    </xf>
    <xf numFmtId="0" fontId="37" fillId="8" borderId="23" xfId="0" applyFont="1" applyFill="1" applyBorder="1" applyAlignment="1">
      <alignment horizontal="left" vertical="center"/>
    </xf>
    <xf numFmtId="0" fontId="37" fillId="8" borderId="24" xfId="0" applyFont="1" applyFill="1" applyBorder="1" applyAlignment="1">
      <alignment horizontal="left" vertical="center"/>
    </xf>
    <xf numFmtId="177" fontId="37" fillId="8" borderId="0" xfId="1" applyNumberFormat="1" applyFont="1" applyFill="1" applyBorder="1" applyAlignment="1">
      <alignment horizontal="left" vertical="center"/>
    </xf>
    <xf numFmtId="176" fontId="37" fillId="8" borderId="23" xfId="1" applyNumberFormat="1" applyFont="1" applyFill="1" applyBorder="1" applyAlignment="1">
      <alignment horizontal="center" vertical="center" wrapText="1"/>
    </xf>
    <xf numFmtId="176" fontId="37" fillId="8" borderId="23" xfId="1" applyNumberFormat="1" applyFont="1" applyFill="1" applyBorder="1" applyAlignment="1" applyProtection="1">
      <alignment vertical="center"/>
    </xf>
    <xf numFmtId="0" fontId="37" fillId="0" borderId="0" xfId="0" applyFont="1" applyFill="1" applyBorder="1" applyAlignment="1">
      <alignment vertical="center" wrapText="1"/>
    </xf>
    <xf numFmtId="0" fontId="37" fillId="21" borderId="23" xfId="0" applyFont="1" applyFill="1" applyBorder="1" applyAlignment="1">
      <alignment horizontal="left" vertical="center"/>
    </xf>
    <xf numFmtId="0" fontId="37" fillId="21" borderId="24" xfId="0" applyFont="1" applyFill="1" applyBorder="1" applyAlignment="1">
      <alignment horizontal="left" vertical="center"/>
    </xf>
    <xf numFmtId="177" fontId="37" fillId="21" borderId="0" xfId="1" applyNumberFormat="1" applyFont="1" applyFill="1" applyBorder="1" applyAlignment="1">
      <alignment horizontal="left" vertical="center"/>
    </xf>
    <xf numFmtId="176" fontId="37" fillId="21" borderId="23" xfId="1" applyNumberFormat="1" applyFont="1" applyFill="1" applyBorder="1" applyAlignment="1" applyProtection="1">
      <alignment vertical="center"/>
    </xf>
    <xf numFmtId="0" fontId="37" fillId="0" borderId="0" xfId="0" applyFont="1" applyFill="1" applyAlignment="1">
      <alignment vertical="center"/>
    </xf>
    <xf numFmtId="176" fontId="39" fillId="0" borderId="23" xfId="1" applyNumberFormat="1" applyFont="1" applyFill="1" applyBorder="1" applyAlignment="1" applyProtection="1">
      <alignment vertical="center"/>
    </xf>
    <xf numFmtId="0" fontId="37" fillId="0" borderId="23" xfId="0" applyFont="1" applyFill="1" applyBorder="1" applyAlignment="1">
      <alignment horizontal="left" vertical="center"/>
    </xf>
    <xf numFmtId="0" fontId="44" fillId="0" borderId="24" xfId="0" applyFont="1" applyFill="1" applyBorder="1" applyAlignment="1">
      <alignment horizontal="left" vertical="center"/>
    </xf>
    <xf numFmtId="177" fontId="44" fillId="0" borderId="0" xfId="1" applyNumberFormat="1" applyFont="1" applyFill="1" applyBorder="1" applyAlignment="1">
      <alignment horizontal="left" vertical="center"/>
    </xf>
    <xf numFmtId="0" fontId="37" fillId="0" borderId="36" xfId="0" applyFont="1" applyFill="1" applyBorder="1" applyAlignment="1">
      <alignment horizontal="left" vertical="center"/>
    </xf>
    <xf numFmtId="0" fontId="39" fillId="0" borderId="37" xfId="0" applyFont="1" applyFill="1" applyBorder="1" applyAlignment="1">
      <alignment horizontal="left" vertical="center"/>
    </xf>
    <xf numFmtId="177" fontId="39" fillId="0" borderId="38" xfId="1" applyNumberFormat="1" applyFont="1" applyFill="1" applyBorder="1" applyAlignment="1">
      <alignment horizontal="left" vertical="center"/>
    </xf>
    <xf numFmtId="176" fontId="40" fillId="21" borderId="36" xfId="1" applyNumberFormat="1" applyFont="1" applyFill="1" applyBorder="1" applyAlignment="1">
      <alignment horizontal="center" vertical="center"/>
    </xf>
    <xf numFmtId="176" fontId="39" fillId="0" borderId="36" xfId="1" applyNumberFormat="1" applyFont="1" applyFill="1" applyBorder="1" applyAlignment="1" applyProtection="1">
      <alignment vertical="center"/>
    </xf>
    <xf numFmtId="0" fontId="37" fillId="0" borderId="39" xfId="0" applyFont="1" applyFill="1" applyBorder="1" applyAlignment="1">
      <alignment horizontal="left" vertical="center"/>
    </xf>
    <xf numFmtId="0" fontId="39" fillId="0" borderId="40" xfId="0" applyFont="1" applyFill="1" applyBorder="1" applyAlignment="1">
      <alignment horizontal="left" vertical="center"/>
    </xf>
    <xf numFmtId="177" fontId="39" fillId="0" borderId="41" xfId="1" applyNumberFormat="1" applyFont="1" applyFill="1" applyBorder="1" applyAlignment="1">
      <alignment horizontal="left" vertical="center"/>
    </xf>
    <xf numFmtId="176" fontId="40" fillId="21" borderId="39" xfId="1" applyNumberFormat="1" applyFont="1" applyFill="1" applyBorder="1" applyAlignment="1">
      <alignment horizontal="center" vertical="center"/>
    </xf>
    <xf numFmtId="176" fontId="39" fillId="0" borderId="39" xfId="1" applyNumberFormat="1" applyFont="1" applyFill="1" applyBorder="1" applyAlignment="1" applyProtection="1">
      <alignment vertical="center"/>
    </xf>
    <xf numFmtId="176" fontId="37" fillId="8" borderId="23" xfId="1" applyNumberFormat="1" applyFont="1" applyFill="1" applyBorder="1" applyAlignment="1">
      <alignment horizontal="center" vertical="center"/>
    </xf>
    <xf numFmtId="176" fontId="39" fillId="8" borderId="23" xfId="1" applyNumberFormat="1" applyFont="1" applyFill="1" applyBorder="1" applyAlignment="1" applyProtection="1">
      <alignment vertical="center"/>
    </xf>
    <xf numFmtId="0" fontId="37" fillId="0" borderId="24" xfId="0" applyFont="1" applyFill="1" applyBorder="1" applyAlignment="1">
      <alignment horizontal="left" vertical="center"/>
    </xf>
    <xf numFmtId="177" fontId="37" fillId="0" borderId="0" xfId="1" applyNumberFormat="1" applyFont="1" applyFill="1" applyBorder="1" applyAlignment="1">
      <alignment horizontal="left" vertical="center"/>
    </xf>
    <xf numFmtId="176" fontId="40" fillId="0" borderId="23" xfId="1" applyNumberFormat="1" applyFont="1" applyFill="1" applyBorder="1" applyAlignment="1">
      <alignment horizontal="center" vertical="center"/>
    </xf>
    <xf numFmtId="0" fontId="37" fillId="2" borderId="0" xfId="0" applyFont="1" applyFill="1" applyAlignment="1">
      <alignment horizontal="left" vertical="center"/>
    </xf>
    <xf numFmtId="0" fontId="36" fillId="19" borderId="28" xfId="0" applyFont="1" applyFill="1" applyBorder="1" applyAlignment="1">
      <alignment horizontal="left" vertical="center"/>
    </xf>
    <xf numFmtId="0" fontId="36" fillId="19" borderId="29" xfId="0" applyFont="1" applyFill="1" applyBorder="1" applyAlignment="1">
      <alignment horizontal="left" vertical="center"/>
    </xf>
    <xf numFmtId="177" fontId="36" fillId="19" borderId="30" xfId="1" applyNumberFormat="1" applyFont="1" applyFill="1" applyBorder="1" applyAlignment="1">
      <alignment horizontal="left" vertical="center"/>
    </xf>
    <xf numFmtId="176" fontId="36" fillId="19" borderId="28" xfId="1" applyNumberFormat="1" applyFont="1" applyFill="1" applyBorder="1" applyAlignment="1">
      <alignment horizontal="center" vertical="center" wrapText="1"/>
    </xf>
    <xf numFmtId="176" fontId="36" fillId="19" borderId="28" xfId="1" applyNumberFormat="1" applyFont="1" applyFill="1" applyBorder="1" applyAlignment="1" applyProtection="1">
      <alignment vertical="center"/>
    </xf>
    <xf numFmtId="0" fontId="37" fillId="2" borderId="42" xfId="0" applyFont="1" applyFill="1" applyBorder="1" applyAlignment="1">
      <alignment horizontal="left" vertical="center"/>
    </xf>
    <xf numFmtId="0" fontId="37" fillId="2" borderId="43" xfId="0" applyFont="1" applyFill="1" applyBorder="1" applyAlignment="1">
      <alignment horizontal="left" vertical="center"/>
    </xf>
    <xf numFmtId="177" fontId="37" fillId="2" borderId="44" xfId="1" applyNumberFormat="1" applyFont="1" applyFill="1" applyBorder="1" applyAlignment="1">
      <alignment horizontal="left" vertical="center"/>
    </xf>
    <xf numFmtId="176" fontId="37" fillId="2" borderId="42" xfId="1" applyNumberFormat="1" applyFont="1" applyFill="1" applyBorder="1" applyAlignment="1">
      <alignment horizontal="center" vertical="center"/>
    </xf>
    <xf numFmtId="176" fontId="37" fillId="2" borderId="42" xfId="1" applyNumberFormat="1" applyFont="1" applyFill="1" applyBorder="1" applyAlignment="1" applyProtection="1">
      <alignment vertical="center"/>
    </xf>
    <xf numFmtId="0" fontId="45" fillId="19" borderId="45" xfId="0" applyFont="1" applyFill="1" applyBorder="1" applyAlignment="1">
      <alignment horizontal="left" vertical="center"/>
    </xf>
    <xf numFmtId="0" fontId="45" fillId="19" borderId="46" xfId="0" applyFont="1" applyFill="1" applyBorder="1" applyAlignment="1">
      <alignment horizontal="left" vertical="center"/>
    </xf>
    <xf numFmtId="178" fontId="45" fillId="19" borderId="47" xfId="0" applyNumberFormat="1" applyFont="1" applyFill="1" applyBorder="1" applyAlignment="1">
      <alignment horizontal="left" vertical="center"/>
    </xf>
    <xf numFmtId="176" fontId="45" fillId="19" borderId="45" xfId="1" applyNumberFormat="1" applyFont="1" applyFill="1" applyBorder="1" applyAlignment="1">
      <alignment horizontal="center" vertical="center"/>
    </xf>
    <xf numFmtId="176" fontId="45" fillId="19" borderId="45" xfId="1" applyNumberFormat="1" applyFont="1" applyFill="1" applyBorder="1" applyAlignment="1" applyProtection="1">
      <alignment vertical="center"/>
    </xf>
    <xf numFmtId="0" fontId="46" fillId="0" borderId="0" xfId="0" applyFont="1" applyAlignment="1">
      <alignment vertical="center"/>
    </xf>
    <xf numFmtId="0" fontId="47" fillId="2" borderId="0" xfId="0" applyFont="1" applyFill="1" applyAlignment="1">
      <alignment horizontal="left" vertical="center"/>
    </xf>
    <xf numFmtId="176" fontId="47" fillId="2" borderId="0" xfId="1" applyNumberFormat="1" applyFont="1" applyFill="1" applyAlignment="1" applyProtection="1">
      <alignment horizontal="center" vertical="center"/>
    </xf>
    <xf numFmtId="0" fontId="47" fillId="2" borderId="0" xfId="0" applyFont="1" applyFill="1" applyAlignment="1">
      <alignment horizontal="center" vertical="center"/>
    </xf>
    <xf numFmtId="0" fontId="47" fillId="2" borderId="0" xfId="0" applyFont="1" applyFill="1" applyAlignment="1">
      <alignment vertical="center"/>
    </xf>
    <xf numFmtId="0" fontId="39" fillId="2" borderId="0" xfId="0" applyFont="1" applyFill="1" applyAlignment="1">
      <alignment horizontal="left" vertical="center"/>
    </xf>
    <xf numFmtId="176" fontId="39" fillId="2" borderId="0" xfId="1" applyNumberFormat="1" applyFont="1" applyFill="1" applyAlignment="1">
      <alignment horizontal="center" vertical="center"/>
    </xf>
    <xf numFmtId="0" fontId="39" fillId="2" borderId="0" xfId="0" applyFont="1" applyFill="1" applyAlignment="1" applyProtection="1">
      <alignment vertical="center"/>
    </xf>
    <xf numFmtId="0" fontId="39" fillId="2" borderId="0" xfId="0" applyFont="1" applyFill="1" applyAlignment="1">
      <alignment horizontal="center" vertical="center"/>
    </xf>
    <xf numFmtId="0" fontId="39" fillId="2" borderId="0" xfId="0" applyFont="1" applyFill="1" applyAlignment="1">
      <alignment vertical="center"/>
    </xf>
    <xf numFmtId="179" fontId="39" fillId="2" borderId="0" xfId="1" applyNumberFormat="1" applyFont="1" applyFill="1" applyAlignment="1">
      <alignment horizontal="center" vertical="center"/>
    </xf>
    <xf numFmtId="0" fontId="39" fillId="0" borderId="0" xfId="0" applyFont="1" applyAlignment="1">
      <alignment horizontal="left" vertical="center"/>
    </xf>
    <xf numFmtId="0" fontId="39" fillId="0" borderId="0" xfId="0" applyFont="1" applyFill="1" applyAlignment="1">
      <alignment horizontal="left" vertical="center"/>
    </xf>
    <xf numFmtId="176" fontId="39" fillId="0" borderId="0" xfId="1" applyNumberFormat="1" applyFont="1" applyFill="1" applyAlignment="1">
      <alignment horizontal="center" vertical="center"/>
    </xf>
    <xf numFmtId="0" fontId="39" fillId="0" borderId="0" xfId="0" applyFont="1" applyAlignment="1" applyProtection="1">
      <alignment vertical="center"/>
    </xf>
    <xf numFmtId="0" fontId="39" fillId="0" borderId="0" xfId="0" applyFont="1" applyAlignment="1">
      <alignment horizontal="center" vertical="center"/>
    </xf>
    <xf numFmtId="0" fontId="48" fillId="3" borderId="1" xfId="0" applyFont="1" applyFill="1" applyBorder="1" applyAlignment="1">
      <alignment horizontal="center" vertical="center" wrapText="1"/>
    </xf>
    <xf numFmtId="165" fontId="48" fillId="3" borderId="1" xfId="1" applyFont="1" applyFill="1" applyBorder="1" applyAlignment="1">
      <alignment horizontal="center" vertical="center" wrapText="1"/>
    </xf>
    <xf numFmtId="165" fontId="48" fillId="3" borderId="3" xfId="1" applyFont="1" applyFill="1" applyBorder="1" applyAlignment="1">
      <alignment horizontal="center" vertical="center" wrapText="1"/>
    </xf>
    <xf numFmtId="0" fontId="2" fillId="0" borderId="1" xfId="0" applyFont="1" applyBorder="1" applyAlignment="1">
      <alignment horizontal="center"/>
    </xf>
    <xf numFmtId="165" fontId="13" fillId="8" borderId="1" xfId="1" applyFont="1" applyFill="1" applyBorder="1"/>
    <xf numFmtId="165" fontId="13" fillId="8" borderId="3" xfId="1" applyFont="1" applyFill="1" applyBorder="1" applyAlignment="1">
      <alignment wrapText="1"/>
    </xf>
    <xf numFmtId="165" fontId="16" fillId="8" borderId="3" xfId="1" applyFont="1" applyFill="1" applyBorder="1" applyAlignment="1">
      <alignment wrapText="1"/>
    </xf>
    <xf numFmtId="165" fontId="14" fillId="9" borderId="1" xfId="1" applyFont="1" applyFill="1" applyBorder="1" applyAlignment="1">
      <alignment vertical="center"/>
    </xf>
    <xf numFmtId="165" fontId="14" fillId="9" borderId="3" xfId="1" applyFont="1" applyFill="1" applyBorder="1" applyAlignment="1">
      <alignment vertical="center"/>
    </xf>
    <xf numFmtId="165" fontId="16" fillId="8" borderId="3" xfId="1" applyFont="1" applyFill="1" applyBorder="1" applyAlignment="1">
      <alignment horizontal="left" wrapText="1"/>
    </xf>
    <xf numFmtId="165" fontId="14" fillId="9" borderId="1" xfId="1" applyFont="1" applyFill="1" applyBorder="1"/>
    <xf numFmtId="0" fontId="13" fillId="0" borderId="7" xfId="0" applyFont="1" applyFill="1" applyBorder="1" applyAlignment="1">
      <alignment vertical="top" wrapText="1"/>
    </xf>
    <xf numFmtId="0" fontId="2" fillId="0" borderId="1" xfId="0" applyFont="1" applyFill="1" applyBorder="1" applyAlignment="1">
      <alignment horizontal="center"/>
    </xf>
    <xf numFmtId="0" fontId="32" fillId="0" borderId="1" xfId="0" applyFont="1" applyBorder="1" applyAlignment="1">
      <alignment wrapText="1"/>
    </xf>
    <xf numFmtId="165" fontId="14" fillId="11" borderId="1" xfId="1" applyFont="1" applyFill="1" applyBorder="1"/>
    <xf numFmtId="165" fontId="14" fillId="11" borderId="3" xfId="1" applyFont="1" applyFill="1" applyBorder="1"/>
    <xf numFmtId="0" fontId="2" fillId="2" borderId="1" xfId="0" applyFont="1" applyFill="1" applyBorder="1" applyAlignment="1">
      <alignment horizontal="center"/>
    </xf>
    <xf numFmtId="0" fontId="7" fillId="2" borderId="0" xfId="0" applyFont="1" applyFill="1" applyBorder="1"/>
    <xf numFmtId="0" fontId="4" fillId="0" borderId="1" xfId="0" applyFont="1" applyFill="1" applyBorder="1" applyAlignment="1">
      <alignment horizontal="center" vertical="top" wrapText="1"/>
    </xf>
    <xf numFmtId="165" fontId="13" fillId="8" borderId="1" xfId="1" applyFont="1" applyFill="1" applyBorder="1" applyAlignment="1">
      <alignment vertical="top"/>
    </xf>
    <xf numFmtId="165" fontId="16" fillId="8" borderId="3" xfId="1" applyFont="1" applyFill="1" applyBorder="1" applyAlignment="1">
      <alignment vertical="top" wrapText="1"/>
    </xf>
    <xf numFmtId="165" fontId="13" fillId="11" borderId="1" xfId="1" applyFont="1" applyFill="1" applyBorder="1"/>
    <xf numFmtId="0" fontId="4" fillId="2" borderId="1" xfId="0" applyFont="1" applyFill="1" applyBorder="1" applyAlignment="1">
      <alignment horizontal="center" vertical="top" wrapText="1"/>
    </xf>
    <xf numFmtId="0" fontId="50" fillId="8" borderId="0" xfId="0" applyFont="1" applyFill="1" applyAlignment="1">
      <alignment vertical="center" wrapText="1"/>
    </xf>
    <xf numFmtId="0" fontId="51" fillId="8" borderId="1" xfId="0" applyFont="1" applyFill="1" applyBorder="1" applyAlignment="1">
      <alignment vertical="center" wrapText="1"/>
    </xf>
    <xf numFmtId="0" fontId="51" fillId="8" borderId="0" xfId="0" applyFont="1" applyFill="1" applyAlignment="1">
      <alignment vertical="center" wrapText="1"/>
    </xf>
    <xf numFmtId="0" fontId="2" fillId="2" borderId="0" xfId="0" applyFont="1" applyFill="1" applyBorder="1"/>
    <xf numFmtId="0" fontId="13" fillId="0" borderId="1" xfId="0" applyFont="1" applyFill="1" applyBorder="1"/>
    <xf numFmtId="0" fontId="13" fillId="0" borderId="1" xfId="9" applyNumberFormat="1" applyFont="1" applyFill="1" applyBorder="1" applyAlignment="1">
      <alignment horizontal="left" vertical="center" wrapText="1"/>
    </xf>
    <xf numFmtId="0" fontId="52" fillId="8" borderId="0" xfId="0" applyFont="1" applyFill="1" applyAlignment="1">
      <alignment wrapText="1"/>
    </xf>
    <xf numFmtId="0" fontId="19" fillId="11" borderId="1" xfId="0" applyFont="1" applyFill="1" applyBorder="1" applyAlignment="1">
      <alignment horizontal="left" vertical="center"/>
    </xf>
    <xf numFmtId="0" fontId="19" fillId="11" borderId="1" xfId="0" applyFont="1" applyFill="1" applyBorder="1" applyAlignment="1">
      <alignment vertical="center"/>
    </xf>
    <xf numFmtId="165" fontId="49" fillId="4" borderId="1" xfId="1" applyFont="1" applyFill="1" applyBorder="1" applyAlignment="1">
      <alignment vertical="center" wrapText="1"/>
    </xf>
    <xf numFmtId="165" fontId="49" fillId="4" borderId="3" xfId="1" applyFont="1" applyFill="1" applyBorder="1" applyAlignment="1">
      <alignment vertical="center" wrapText="1"/>
    </xf>
    <xf numFmtId="0" fontId="53" fillId="2" borderId="1" xfId="0" applyFont="1" applyFill="1" applyBorder="1" applyAlignment="1">
      <alignment horizontal="center" vertical="center" wrapText="1"/>
    </xf>
    <xf numFmtId="0" fontId="48" fillId="2" borderId="0" xfId="0" applyFont="1" applyFill="1" applyBorder="1" applyAlignment="1">
      <alignment vertical="center" wrapText="1"/>
    </xf>
    <xf numFmtId="165" fontId="19" fillId="15" borderId="1" xfId="1" applyFont="1" applyFill="1" applyBorder="1" applyAlignment="1">
      <alignment vertical="center" wrapText="1"/>
    </xf>
    <xf numFmtId="165" fontId="19" fillId="15" borderId="3" xfId="1" applyFont="1" applyFill="1" applyBorder="1" applyAlignment="1">
      <alignment vertical="center" wrapText="1"/>
    </xf>
    <xf numFmtId="0" fontId="2" fillId="0" borderId="1" xfId="0" applyFont="1" applyFill="1" applyBorder="1" applyAlignment="1">
      <alignment horizontal="center" vertical="center" wrapText="1"/>
    </xf>
    <xf numFmtId="0" fontId="7" fillId="0" borderId="0" xfId="0" applyFont="1" applyFill="1" applyBorder="1" applyAlignment="1">
      <alignment vertical="center" wrapText="1"/>
    </xf>
    <xf numFmtId="0" fontId="13" fillId="0" borderId="1" xfId="0" applyFont="1" applyFill="1" applyBorder="1" applyAlignment="1">
      <alignment horizontal="left"/>
    </xf>
    <xf numFmtId="0" fontId="13" fillId="0" borderId="1" xfId="0" applyFont="1" applyFill="1" applyBorder="1" applyAlignment="1">
      <alignment horizontal="left" vertical="center"/>
    </xf>
    <xf numFmtId="165" fontId="13" fillId="8" borderId="1" xfId="1" applyFont="1" applyFill="1" applyBorder="1" applyAlignment="1">
      <alignment vertical="center"/>
    </xf>
    <xf numFmtId="0" fontId="7" fillId="0" borderId="0" xfId="0" applyFont="1" applyFill="1" applyBorder="1"/>
    <xf numFmtId="165" fontId="16" fillId="8" borderId="3" xfId="1" applyFont="1" applyFill="1" applyBorder="1"/>
    <xf numFmtId="0" fontId="7" fillId="10" borderId="1" xfId="0" applyFont="1" applyFill="1" applyBorder="1" applyAlignment="1">
      <alignment horizontal="left" vertical="center"/>
    </xf>
    <xf numFmtId="165" fontId="15" fillId="10" borderId="1" xfId="1" applyFont="1" applyFill="1" applyBorder="1"/>
    <xf numFmtId="165" fontId="15" fillId="10" borderId="3" xfId="1" applyFont="1" applyFill="1" applyBorder="1"/>
    <xf numFmtId="0" fontId="19" fillId="15" borderId="1" xfId="0" applyFont="1" applyFill="1" applyBorder="1" applyAlignment="1">
      <alignment horizontal="left" vertical="center"/>
    </xf>
    <xf numFmtId="165" fontId="19" fillId="15" borderId="1" xfId="1" applyFont="1" applyFill="1" applyBorder="1" applyAlignment="1">
      <alignment vertical="center"/>
    </xf>
    <xf numFmtId="165" fontId="19" fillId="15" borderId="3" xfId="1" applyFont="1" applyFill="1" applyBorder="1" applyAlignment="1">
      <alignment vertical="center"/>
    </xf>
    <xf numFmtId="165" fontId="16" fillId="8" borderId="3" xfId="1" applyFont="1" applyFill="1" applyBorder="1" applyAlignment="1">
      <alignment horizontal="left" vertical="top" wrapText="1"/>
    </xf>
    <xf numFmtId="0" fontId="19" fillId="0" borderId="1" xfId="0" applyFont="1" applyFill="1" applyBorder="1" applyAlignment="1">
      <alignment horizontal="left" vertical="center"/>
    </xf>
    <xf numFmtId="0" fontId="2" fillId="10" borderId="1" xfId="0" applyFont="1" applyFill="1" applyBorder="1" applyAlignment="1">
      <alignment horizontal="left" vertical="center"/>
    </xf>
    <xf numFmtId="165" fontId="7" fillId="10" borderId="1" xfId="1" applyFont="1" applyFill="1" applyBorder="1"/>
    <xf numFmtId="165" fontId="13" fillId="8" borderId="3" xfId="1" applyFont="1" applyFill="1" applyBorder="1"/>
    <xf numFmtId="0" fontId="13" fillId="0" borderId="1" xfId="0" applyFont="1" applyFill="1" applyBorder="1" applyAlignment="1" applyProtection="1">
      <alignment horizontal="left" vertical="center" wrapText="1"/>
      <protection locked="0"/>
    </xf>
    <xf numFmtId="165" fontId="54" fillId="8" borderId="1" xfId="1" applyFont="1" applyFill="1" applyBorder="1" applyAlignment="1">
      <alignment horizontal="right"/>
    </xf>
    <xf numFmtId="0" fontId="16" fillId="8" borderId="3" xfId="0" applyFont="1" applyFill="1" applyBorder="1" applyAlignment="1">
      <alignment wrapText="1"/>
    </xf>
    <xf numFmtId="0" fontId="55" fillId="8" borderId="3" xfId="0" applyFont="1" applyFill="1" applyBorder="1" applyAlignment="1">
      <alignment wrapText="1"/>
    </xf>
    <xf numFmtId="165" fontId="14" fillId="8" borderId="1" xfId="1" applyFont="1" applyFill="1" applyBorder="1"/>
    <xf numFmtId="165" fontId="14" fillId="8" borderId="3" xfId="1" applyFont="1" applyFill="1" applyBorder="1"/>
    <xf numFmtId="165" fontId="14" fillId="9" borderId="3" xfId="1" applyFont="1" applyFill="1" applyBorder="1"/>
    <xf numFmtId="165" fontId="14" fillId="11" borderId="1" xfId="1" applyFont="1" applyFill="1" applyBorder="1" applyAlignment="1">
      <alignment horizontal="right"/>
    </xf>
    <xf numFmtId="165" fontId="14" fillId="11" borderId="3" xfId="1" applyFont="1" applyFill="1" applyBorder="1" applyAlignment="1">
      <alignment horizontal="right"/>
    </xf>
    <xf numFmtId="0" fontId="7" fillId="2" borderId="0" xfId="0" applyFont="1" applyFill="1" applyBorder="1" applyAlignment="1">
      <alignment horizontal="left"/>
    </xf>
    <xf numFmtId="0" fontId="19" fillId="4" borderId="1" xfId="0" applyFont="1" applyFill="1" applyBorder="1" applyAlignment="1">
      <alignment horizontal="left" vertical="center"/>
    </xf>
    <xf numFmtId="0" fontId="19" fillId="4" borderId="1" xfId="0" applyFont="1" applyFill="1" applyBorder="1" applyAlignment="1">
      <alignment vertical="center"/>
    </xf>
    <xf numFmtId="165" fontId="19" fillId="4" borderId="1" xfId="1" applyFont="1" applyFill="1" applyBorder="1" applyAlignment="1">
      <alignment vertical="center" wrapText="1"/>
    </xf>
    <xf numFmtId="165" fontId="19" fillId="4" borderId="3" xfId="1" applyFont="1" applyFill="1" applyBorder="1" applyAlignment="1">
      <alignment vertical="center" wrapText="1"/>
    </xf>
    <xf numFmtId="0" fontId="19" fillId="17" borderId="1" xfId="0" applyFont="1" applyFill="1" applyBorder="1" applyAlignment="1">
      <alignment horizontal="left" vertical="center"/>
    </xf>
    <xf numFmtId="165" fontId="19" fillId="17" borderId="1" xfId="1" applyFont="1" applyFill="1" applyBorder="1" applyAlignment="1">
      <alignment vertical="center" wrapText="1"/>
    </xf>
    <xf numFmtId="0" fontId="2" fillId="17" borderId="0" xfId="0" applyFont="1" applyFill="1" applyBorder="1"/>
    <xf numFmtId="165" fontId="2" fillId="17" borderId="0" xfId="0" applyNumberFormat="1" applyFont="1" applyFill="1" applyBorder="1"/>
    <xf numFmtId="0" fontId="2" fillId="17" borderId="1" xfId="0" applyFont="1" applyFill="1" applyBorder="1" applyAlignment="1">
      <alignment horizontal="center"/>
    </xf>
    <xf numFmtId="0" fontId="13" fillId="14" borderId="1" xfId="0" applyFont="1" applyFill="1" applyBorder="1" applyAlignment="1">
      <alignment horizontal="left" vertical="top" wrapText="1"/>
    </xf>
    <xf numFmtId="0" fontId="13" fillId="14" borderId="1" xfId="0" applyFont="1" applyFill="1" applyBorder="1" applyAlignment="1">
      <alignment vertical="top" wrapText="1"/>
    </xf>
    <xf numFmtId="165" fontId="19" fillId="14" borderId="1" xfId="1" applyFont="1" applyFill="1" applyBorder="1" applyAlignment="1">
      <alignment vertical="center"/>
    </xf>
    <xf numFmtId="165" fontId="19" fillId="14" borderId="3" xfId="1" applyFont="1" applyFill="1" applyBorder="1" applyAlignment="1">
      <alignment vertical="center"/>
    </xf>
    <xf numFmtId="0" fontId="2" fillId="0" borderId="1" xfId="0" quotePrefix="1" applyFont="1" applyBorder="1" applyAlignment="1">
      <alignment horizontal="center"/>
    </xf>
    <xf numFmtId="0" fontId="19" fillId="4" borderId="1" xfId="0" applyFont="1" applyFill="1" applyBorder="1" applyAlignment="1">
      <alignment horizontal="left"/>
    </xf>
    <xf numFmtId="0" fontId="19" fillId="4" borderId="1" xfId="0" applyFont="1" applyFill="1" applyBorder="1" applyAlignment="1"/>
    <xf numFmtId="165" fontId="19" fillId="4" borderId="1" xfId="1" applyFont="1" applyFill="1" applyBorder="1"/>
    <xf numFmtId="165" fontId="19" fillId="4" borderId="3" xfId="1" applyFont="1" applyFill="1" applyBorder="1"/>
    <xf numFmtId="0" fontId="2" fillId="0" borderId="0" xfId="0" applyFont="1" applyBorder="1" applyAlignment="1">
      <alignment horizontal="left"/>
    </xf>
    <xf numFmtId="0" fontId="56" fillId="0" borderId="1" xfId="0" applyFont="1" applyFill="1" applyBorder="1" applyAlignment="1">
      <alignment horizontal="right"/>
    </xf>
    <xf numFmtId="0" fontId="56" fillId="0" borderId="0" xfId="0" applyFont="1" applyFill="1" applyBorder="1" applyAlignment="1">
      <alignment horizontal="right"/>
    </xf>
    <xf numFmtId="0" fontId="57" fillId="0" borderId="0" xfId="0" applyFont="1" applyFill="1" applyBorder="1"/>
    <xf numFmtId="0" fontId="56" fillId="0" borderId="1" xfId="0" applyFont="1" applyFill="1" applyBorder="1" applyAlignment="1">
      <alignment horizontal="right" vertical="top"/>
    </xf>
    <xf numFmtId="0" fontId="56" fillId="0" borderId="0" xfId="0" applyFont="1" applyFill="1" applyBorder="1" applyAlignment="1">
      <alignment horizontal="right" vertical="top"/>
    </xf>
    <xf numFmtId="0" fontId="56" fillId="0" borderId="1" xfId="0" applyFont="1" applyBorder="1" applyAlignment="1">
      <alignment horizontal="right" vertical="top"/>
    </xf>
    <xf numFmtId="0" fontId="56" fillId="0" borderId="0" xfId="0" applyFont="1" applyBorder="1" applyAlignment="1">
      <alignment horizontal="right" vertical="top"/>
    </xf>
    <xf numFmtId="0" fontId="5" fillId="0" borderId="0" xfId="0" applyFont="1" applyBorder="1" applyAlignment="1">
      <alignment wrapText="1"/>
    </xf>
    <xf numFmtId="176" fontId="56" fillId="0" borderId="1" xfId="1" applyNumberFormat="1" applyFont="1" applyBorder="1" applyAlignment="1">
      <alignment horizontal="left" vertical="center"/>
    </xf>
    <xf numFmtId="176" fontId="56" fillId="0" borderId="0" xfId="1" applyNumberFormat="1" applyFont="1" applyBorder="1" applyAlignment="1">
      <alignment horizontal="left" vertical="center"/>
    </xf>
    <xf numFmtId="0" fontId="56" fillId="0" borderId="0" xfId="0" applyFont="1" applyBorder="1" applyAlignment="1"/>
    <xf numFmtId="0" fontId="7" fillId="0" borderId="0" xfId="0" applyFont="1" applyBorder="1" applyAlignment="1">
      <alignment wrapText="1"/>
    </xf>
    <xf numFmtId="165" fontId="56" fillId="0" borderId="1" xfId="1" applyFont="1" applyBorder="1" applyAlignment="1">
      <alignment horizontal="left" vertical="center"/>
    </xf>
    <xf numFmtId="165" fontId="56" fillId="0" borderId="0" xfId="1" applyFont="1" applyBorder="1" applyAlignment="1">
      <alignment horizontal="left" vertical="center"/>
    </xf>
    <xf numFmtId="0" fontId="56" fillId="0" borderId="0" xfId="0" applyFont="1" applyBorder="1" applyAlignment="1">
      <alignment horizontal="center"/>
    </xf>
    <xf numFmtId="176" fontId="56" fillId="0" borderId="1" xfId="0" applyNumberFormat="1" applyFont="1" applyBorder="1" applyAlignment="1">
      <alignment horizontal="left" vertical="center"/>
    </xf>
    <xf numFmtId="176" fontId="56" fillId="0" borderId="0" xfId="0" applyNumberFormat="1" applyFont="1" applyBorder="1" applyAlignment="1">
      <alignment horizontal="left" vertical="center"/>
    </xf>
    <xf numFmtId="0" fontId="58" fillId="24" borderId="2" xfId="0" applyFont="1" applyFill="1" applyBorder="1" applyAlignment="1">
      <alignment horizontal="center" vertical="center" wrapText="1"/>
    </xf>
    <xf numFmtId="0" fontId="58" fillId="24" borderId="1" xfId="7" applyFont="1" applyFill="1" applyBorder="1" applyAlignment="1">
      <alignment horizontal="center" vertical="center" wrapText="1"/>
    </xf>
    <xf numFmtId="0" fontId="12" fillId="12" borderId="4" xfId="0" applyFont="1" applyFill="1" applyBorder="1" applyAlignment="1">
      <alignment vertical="center" wrapText="1"/>
    </xf>
    <xf numFmtId="0" fontId="12" fillId="12" borderId="5" xfId="0" applyFont="1" applyFill="1" applyBorder="1" applyAlignment="1">
      <alignment vertical="center" wrapText="1"/>
    </xf>
    <xf numFmtId="0" fontId="2" fillId="25" borderId="1" xfId="0" applyFont="1" applyFill="1" applyBorder="1" applyAlignment="1">
      <alignment vertical="top" wrapText="1"/>
    </xf>
    <xf numFmtId="0" fontId="2" fillId="0" borderId="1" xfId="0" applyFont="1" applyFill="1" applyBorder="1" applyAlignment="1">
      <alignment vertical="center" wrapText="1"/>
    </xf>
    <xf numFmtId="165" fontId="2" fillId="0" borderId="1" xfId="1" applyFont="1" applyFill="1" applyBorder="1" applyAlignment="1">
      <alignment vertical="center" wrapText="1"/>
    </xf>
    <xf numFmtId="9" fontId="2" fillId="0" borderId="2" xfId="3" applyFont="1" applyFill="1" applyBorder="1" applyAlignment="1">
      <alignment vertical="center"/>
    </xf>
    <xf numFmtId="9" fontId="2" fillId="0" borderId="1" xfId="3" applyFont="1" applyFill="1" applyBorder="1" applyAlignment="1">
      <alignment vertical="center"/>
    </xf>
    <xf numFmtId="165" fontId="13" fillId="0" borderId="1" xfId="1" applyFont="1" applyBorder="1" applyAlignment="1">
      <alignment vertical="center" wrapText="1"/>
    </xf>
    <xf numFmtId="165" fontId="2" fillId="2" borderId="1" xfId="1" applyFont="1" applyFill="1" applyBorder="1" applyAlignment="1">
      <alignment vertical="center" wrapText="1"/>
    </xf>
    <xf numFmtId="0" fontId="2" fillId="2" borderId="1" xfId="0" applyFont="1" applyFill="1" applyBorder="1" applyAlignment="1">
      <alignment vertical="center" wrapText="1"/>
    </xf>
    <xf numFmtId="9" fontId="2" fillId="2" borderId="1" xfId="3" applyFont="1" applyFill="1" applyBorder="1" applyAlignment="1">
      <alignment vertical="center"/>
    </xf>
    <xf numFmtId="39" fontId="2" fillId="2" borderId="1" xfId="1" applyNumberFormat="1" applyFont="1" applyFill="1" applyBorder="1" applyAlignment="1">
      <alignment vertical="center"/>
    </xf>
    <xf numFmtId="0" fontId="16" fillId="2" borderId="1" xfId="0" applyFont="1" applyFill="1" applyBorder="1" applyAlignment="1">
      <alignment vertical="top" wrapText="1"/>
    </xf>
    <xf numFmtId="0" fontId="2" fillId="2" borderId="1" xfId="0" applyNumberFormat="1" applyFont="1" applyFill="1" applyBorder="1" applyAlignment="1">
      <alignment horizontal="left" vertical="top" wrapText="1"/>
    </xf>
    <xf numFmtId="0" fontId="2" fillId="0" borderId="1" xfId="0" applyFont="1" applyBorder="1" applyAlignment="1">
      <alignment vertical="top" wrapText="1"/>
    </xf>
    <xf numFmtId="165" fontId="2" fillId="0" borderId="1" xfId="1" applyFont="1" applyBorder="1" applyAlignment="1">
      <alignment vertical="center" wrapText="1"/>
    </xf>
    <xf numFmtId="39" fontId="2" fillId="9" borderId="1" xfId="1" applyNumberFormat="1" applyFont="1" applyFill="1" applyBorder="1" applyAlignment="1">
      <alignment vertical="center"/>
    </xf>
    <xf numFmtId="165" fontId="2" fillId="2" borderId="1" xfId="1" applyFont="1" applyFill="1" applyBorder="1" applyAlignment="1">
      <alignment vertical="center"/>
    </xf>
    <xf numFmtId="0" fontId="7" fillId="26" borderId="4" xfId="0" applyFont="1" applyFill="1" applyBorder="1" applyAlignment="1">
      <alignment vertical="top" wrapText="1"/>
    </xf>
    <xf numFmtId="0" fontId="7" fillId="26" borderId="5" xfId="0" applyFont="1" applyFill="1" applyBorder="1" applyAlignment="1">
      <alignment vertical="top" wrapText="1"/>
    </xf>
    <xf numFmtId="0" fontId="7" fillId="0" borderId="8" xfId="0" applyFont="1" applyBorder="1" applyAlignment="1">
      <alignment vertical="top" wrapText="1"/>
    </xf>
    <xf numFmtId="165" fontId="13" fillId="0" borderId="1" xfId="1" applyFont="1" applyFill="1" applyBorder="1" applyAlignment="1">
      <alignment vertical="center" wrapText="1"/>
    </xf>
    <xf numFmtId="39" fontId="2" fillId="8" borderId="1" xfId="1" applyNumberFormat="1" applyFont="1" applyFill="1" applyBorder="1" applyAlignment="1">
      <alignment vertical="center"/>
    </xf>
    <xf numFmtId="0" fontId="7" fillId="0" borderId="2" xfId="0" applyFont="1" applyBorder="1" applyAlignment="1">
      <alignment vertical="top" wrapText="1"/>
    </xf>
    <xf numFmtId="39" fontId="15" fillId="9" borderId="1" xfId="1" applyNumberFormat="1" applyFont="1" applyFill="1" applyBorder="1" applyAlignment="1">
      <alignment vertical="top"/>
    </xf>
    <xf numFmtId="9" fontId="15" fillId="9" borderId="1" xfId="3" applyFont="1" applyFill="1" applyBorder="1" applyAlignment="1">
      <alignment vertical="top"/>
    </xf>
    <xf numFmtId="0" fontId="15" fillId="11" borderId="4" xfId="0" applyFont="1" applyFill="1" applyBorder="1" applyAlignment="1">
      <alignment vertical="top" wrapText="1"/>
    </xf>
    <xf numFmtId="0" fontId="12" fillId="26" borderId="4" xfId="0" applyFont="1" applyFill="1" applyBorder="1" applyAlignment="1">
      <alignment vertical="top" wrapText="1"/>
    </xf>
    <xf numFmtId="0" fontId="12" fillId="26" borderId="1" xfId="0" applyFont="1" applyFill="1" applyBorder="1" applyAlignment="1">
      <alignment vertical="top" wrapText="1"/>
    </xf>
    <xf numFmtId="43" fontId="2" fillId="0" borderId="0" xfId="0" applyNumberFormat="1" applyFont="1"/>
    <xf numFmtId="165" fontId="13" fillId="2" borderId="1" xfId="1" applyFont="1" applyFill="1" applyBorder="1" applyAlignment="1">
      <alignment vertical="center" wrapText="1"/>
    </xf>
    <xf numFmtId="0" fontId="14" fillId="26" borderId="1" xfId="0" applyFont="1" applyFill="1" applyBorder="1" applyAlignment="1">
      <alignment vertical="top" wrapText="1"/>
    </xf>
    <xf numFmtId="39" fontId="15" fillId="26" borderId="1" xfId="1" applyNumberFormat="1" applyFont="1" applyFill="1" applyBorder="1" applyAlignment="1">
      <alignment vertical="center"/>
    </xf>
    <xf numFmtId="39" fontId="15" fillId="26" borderId="1" xfId="1" applyNumberFormat="1" applyFont="1" applyFill="1" applyBorder="1" applyAlignment="1">
      <alignment vertical="top"/>
    </xf>
    <xf numFmtId="4" fontId="2" fillId="0" borderId="0" xfId="0" applyNumberFormat="1" applyFont="1"/>
    <xf numFmtId="0" fontId="14" fillId="9" borderId="1" xfId="0" applyFont="1" applyFill="1" applyBorder="1" applyAlignment="1">
      <alignment vertical="center" wrapText="1"/>
    </xf>
    <xf numFmtId="9" fontId="15" fillId="9" borderId="1" xfId="3" applyFont="1" applyFill="1" applyBorder="1" applyAlignment="1">
      <alignment vertical="center"/>
    </xf>
    <xf numFmtId="0" fontId="2" fillId="26" borderId="1" xfId="0" applyFont="1" applyFill="1" applyBorder="1" applyAlignment="1">
      <alignment vertical="top" wrapText="1"/>
    </xf>
    <xf numFmtId="166" fontId="2" fillId="0" borderId="0" xfId="0" applyNumberFormat="1" applyFont="1"/>
    <xf numFmtId="165" fontId="2" fillId="8" borderId="1" xfId="1" applyFont="1" applyFill="1" applyBorder="1" applyAlignment="1">
      <alignment vertical="center"/>
    </xf>
    <xf numFmtId="165" fontId="2" fillId="0" borderId="1" xfId="1" applyFont="1" applyFill="1" applyBorder="1" applyAlignment="1">
      <alignment vertical="center"/>
    </xf>
    <xf numFmtId="0" fontId="58" fillId="24" borderId="4" xfId="7" applyFont="1" applyFill="1" applyBorder="1" applyAlignment="1">
      <alignment horizontal="center" vertical="center" wrapText="1"/>
    </xf>
    <xf numFmtId="0" fontId="12" fillId="5" borderId="4" xfId="0" applyFont="1" applyFill="1" applyBorder="1" applyAlignment="1">
      <alignment vertical="center" wrapText="1"/>
    </xf>
    <xf numFmtId="0" fontId="12" fillId="5" borderId="5" xfId="0" applyFont="1" applyFill="1" applyBorder="1" applyAlignment="1">
      <alignment vertical="center" wrapText="1"/>
    </xf>
    <xf numFmtId="0" fontId="62" fillId="2" borderId="1" xfId="0" applyFont="1" applyFill="1" applyBorder="1" applyAlignment="1">
      <alignment horizontal="left" vertical="center" wrapText="1"/>
    </xf>
    <xf numFmtId="0" fontId="62" fillId="27" borderId="1" xfId="0" applyFont="1" applyFill="1" applyBorder="1" applyAlignment="1">
      <alignment horizontal="left" vertical="center" wrapText="1"/>
    </xf>
    <xf numFmtId="0" fontId="62" fillId="25" borderId="1" xfId="0" applyFont="1" applyFill="1" applyBorder="1" applyAlignment="1">
      <alignment horizontal="left" vertical="center" wrapText="1"/>
    </xf>
    <xf numFmtId="0" fontId="2" fillId="2" borderId="1" xfId="0" applyFont="1" applyFill="1" applyBorder="1" applyAlignment="1">
      <alignment vertical="top"/>
    </xf>
    <xf numFmtId="165" fontId="63" fillId="8" borderId="1" xfId="1" applyFont="1" applyFill="1" applyBorder="1" applyAlignment="1">
      <alignment horizontal="center" vertical="center"/>
    </xf>
    <xf numFmtId="4" fontId="2" fillId="0" borderId="0" xfId="0" applyNumberFormat="1" applyFont="1" applyAlignment="1">
      <alignment vertical="center"/>
    </xf>
    <xf numFmtId="39" fontId="29" fillId="2" borderId="1" xfId="1" applyNumberFormat="1" applyFont="1" applyFill="1" applyBorder="1" applyAlignment="1">
      <alignment vertical="top" wrapText="1"/>
    </xf>
    <xf numFmtId="0" fontId="64" fillId="2" borderId="1" xfId="0" applyFont="1" applyFill="1" applyBorder="1" applyAlignment="1">
      <alignment horizontal="left" vertical="center" wrapText="1"/>
    </xf>
    <xf numFmtId="0" fontId="64" fillId="25" borderId="1" xfId="0" applyFont="1" applyFill="1" applyBorder="1" applyAlignment="1">
      <alignment horizontal="left" vertical="center" wrapText="1"/>
    </xf>
    <xf numFmtId="0" fontId="16" fillId="2" borderId="1" xfId="0" applyFont="1" applyFill="1" applyBorder="1" applyAlignment="1">
      <alignment vertical="top"/>
    </xf>
    <xf numFmtId="165" fontId="66" fillId="8" borderId="1" xfId="1" applyFont="1" applyFill="1" applyBorder="1" applyAlignment="1">
      <alignment horizontal="center" vertical="center"/>
    </xf>
    <xf numFmtId="0" fontId="67" fillId="11" borderId="3" xfId="0" applyFont="1" applyFill="1" applyBorder="1" applyAlignment="1">
      <alignment vertical="top"/>
    </xf>
    <xf numFmtId="39" fontId="68" fillId="11" borderId="1" xfId="1" applyNumberFormat="1" applyFont="1" applyFill="1" applyBorder="1" applyAlignment="1">
      <alignment vertical="center"/>
    </xf>
    <xf numFmtId="9" fontId="68" fillId="11" borderId="1" xfId="3" applyFont="1" applyFill="1" applyBorder="1" applyAlignment="1">
      <alignment vertical="center"/>
    </xf>
    <xf numFmtId="165" fontId="69" fillId="11" borderId="1" xfId="1" applyFont="1" applyFill="1" applyBorder="1" applyAlignment="1">
      <alignment vertical="center"/>
    </xf>
    <xf numFmtId="9" fontId="69" fillId="11" borderId="1" xfId="3" applyFont="1" applyFill="1" applyBorder="1" applyAlignment="1">
      <alignment vertical="center"/>
    </xf>
    <xf numFmtId="39" fontId="69" fillId="11" borderId="1" xfId="1" applyNumberFormat="1" applyFont="1" applyFill="1" applyBorder="1" applyAlignment="1">
      <alignment vertical="center"/>
    </xf>
    <xf numFmtId="0" fontId="27" fillId="4" borderId="3" xfId="0" applyFont="1" applyFill="1" applyBorder="1" applyAlignment="1">
      <alignment vertical="center" wrapText="1"/>
    </xf>
    <xf numFmtId="0" fontId="27" fillId="4" borderId="4" xfId="0" applyFont="1" applyFill="1" applyBorder="1" applyAlignment="1">
      <alignment vertical="center" wrapText="1"/>
    </xf>
    <xf numFmtId="0" fontId="70" fillId="24" borderId="4" xfId="7" applyFont="1" applyFill="1" applyBorder="1" applyAlignment="1">
      <alignment horizontal="center" vertical="center" wrapText="1"/>
    </xf>
    <xf numFmtId="39" fontId="28" fillId="4" borderId="0" xfId="0" applyNumberFormat="1" applyFont="1" applyFill="1" applyBorder="1" applyAlignment="1">
      <alignment vertical="center" wrapText="1"/>
    </xf>
    <xf numFmtId="0" fontId="28" fillId="4" borderId="13" xfId="0" applyFont="1" applyFill="1" applyBorder="1" applyAlignment="1">
      <alignment vertical="top" wrapText="1"/>
    </xf>
    <xf numFmtId="0" fontId="71" fillId="24" borderId="4" xfId="7" applyFont="1" applyFill="1" applyBorder="1" applyAlignment="1">
      <alignment horizontal="center" vertical="center" wrapText="1"/>
    </xf>
    <xf numFmtId="0" fontId="13" fillId="0" borderId="3" xfId="0" applyFont="1" applyBorder="1" applyAlignment="1">
      <alignment horizontal="left" vertical="center"/>
    </xf>
    <xf numFmtId="0" fontId="13" fillId="0" borderId="1" xfId="0" applyFont="1" applyBorder="1" applyAlignment="1">
      <alignment horizontal="left" vertical="center"/>
    </xf>
    <xf numFmtId="0" fontId="13" fillId="25" borderId="8" xfId="0" applyFont="1" applyFill="1" applyBorder="1" applyAlignment="1">
      <alignment horizontal="left" vertical="center"/>
    </xf>
    <xf numFmtId="165" fontId="25" fillId="2" borderId="1" xfId="1" applyFont="1" applyFill="1" applyBorder="1" applyAlignment="1">
      <alignment vertical="center" wrapText="1"/>
    </xf>
    <xf numFmtId="165" fontId="25" fillId="8" borderId="1" xfId="1" applyFont="1" applyFill="1" applyBorder="1" applyAlignment="1">
      <alignment vertical="center" wrapText="1"/>
    </xf>
    <xf numFmtId="0" fontId="18" fillId="2" borderId="1" xfId="0" applyFont="1" applyFill="1" applyBorder="1" applyAlignment="1">
      <alignment vertical="center" wrapText="1"/>
    </xf>
    <xf numFmtId="165" fontId="18" fillId="2" borderId="5" xfId="1" applyFont="1" applyFill="1" applyBorder="1" applyAlignment="1">
      <alignment vertical="center" wrapText="1"/>
    </xf>
    <xf numFmtId="165" fontId="25" fillId="2" borderId="5" xfId="1" applyFont="1" applyFill="1" applyBorder="1" applyAlignment="1">
      <alignment vertical="center" wrapText="1"/>
    </xf>
    <xf numFmtId="9" fontId="18" fillId="2" borderId="5" xfId="3" applyFont="1" applyFill="1" applyBorder="1" applyAlignment="1">
      <alignment vertical="center" wrapText="1"/>
    </xf>
    <xf numFmtId="0" fontId="13" fillId="2" borderId="3" xfId="0" applyFont="1" applyFill="1" applyBorder="1" applyAlignment="1">
      <alignment horizontal="left" vertical="center"/>
    </xf>
    <xf numFmtId="0" fontId="13" fillId="2" borderId="1" xfId="0" applyFont="1" applyFill="1" applyBorder="1" applyAlignment="1">
      <alignment horizontal="left" vertical="center"/>
    </xf>
    <xf numFmtId="9" fontId="25" fillId="2" borderId="1" xfId="3" applyFont="1" applyFill="1" applyBorder="1" applyAlignment="1">
      <alignment vertical="center" wrapText="1"/>
    </xf>
    <xf numFmtId="43" fontId="18" fillId="2" borderId="1" xfId="0" applyNumberFormat="1" applyFont="1" applyFill="1" applyBorder="1" applyAlignment="1">
      <alignment vertical="center" wrapText="1"/>
    </xf>
    <xf numFmtId="170" fontId="23" fillId="9" borderId="1" xfId="1" applyNumberFormat="1" applyFont="1" applyFill="1" applyBorder="1"/>
    <xf numFmtId="0" fontId="72" fillId="24" borderId="4" xfId="7" applyFont="1" applyFill="1" applyBorder="1" applyAlignment="1">
      <alignment horizontal="center" vertical="center"/>
    </xf>
    <xf numFmtId="165" fontId="18" fillId="15" borderId="4" xfId="1" applyFont="1" applyFill="1" applyBorder="1" applyAlignment="1">
      <alignment horizontal="left" vertical="center"/>
    </xf>
    <xf numFmtId="0" fontId="25" fillId="0" borderId="1" xfId="0" applyFont="1" applyFill="1" applyBorder="1" applyAlignment="1">
      <alignment horizontal="left" vertical="center" wrapText="1"/>
    </xf>
    <xf numFmtId="0" fontId="32" fillId="25" borderId="8" xfId="5" applyFont="1" applyFill="1" applyBorder="1" applyAlignment="1">
      <alignment horizontal="left"/>
    </xf>
    <xf numFmtId="165" fontId="25" fillId="0" borderId="1" xfId="1" applyFont="1" applyBorder="1" applyAlignment="1">
      <alignment horizontal="center" vertical="center"/>
    </xf>
    <xf numFmtId="0" fontId="25" fillId="0" borderId="1" xfId="5" applyFont="1" applyBorder="1" applyAlignment="1">
      <alignment horizontal="right" vertical="center"/>
    </xf>
    <xf numFmtId="165" fontId="25" fillId="8" borderId="4" xfId="1" applyFont="1" applyFill="1" applyBorder="1" applyAlignment="1">
      <alignment vertical="center" wrapText="1"/>
    </xf>
    <xf numFmtId="9" fontId="23" fillId="0" borderId="1" xfId="3" applyFont="1" applyFill="1" applyBorder="1" applyAlignment="1">
      <alignment vertical="center"/>
    </xf>
    <xf numFmtId="0" fontId="25" fillId="2" borderId="3" xfId="0" applyFont="1" applyFill="1" applyBorder="1" applyAlignment="1">
      <alignment horizontal="left" vertical="center"/>
    </xf>
    <xf numFmtId="0" fontId="18" fillId="2" borderId="1" xfId="0" applyFont="1" applyFill="1" applyBorder="1" applyAlignment="1">
      <alignment horizontal="left" vertical="center"/>
    </xf>
    <xf numFmtId="0" fontId="18" fillId="25" borderId="1" xfId="0" applyFont="1" applyFill="1" applyBorder="1" applyAlignment="1">
      <alignment horizontal="left" vertical="center"/>
    </xf>
    <xf numFmtId="0" fontId="25" fillId="2" borderId="1" xfId="0" applyFont="1" applyFill="1" applyBorder="1" applyAlignment="1">
      <alignment horizontal="left" vertical="center"/>
    </xf>
    <xf numFmtId="165" fontId="18" fillId="8" borderId="1" xfId="1" applyFont="1" applyFill="1" applyBorder="1" applyAlignment="1">
      <alignment horizontal="left" vertical="center"/>
    </xf>
    <xf numFmtId="0" fontId="18" fillId="2" borderId="1" xfId="0" applyNumberFormat="1" applyFont="1" applyFill="1" applyBorder="1" applyAlignment="1">
      <alignment horizontal="left" vertical="center"/>
    </xf>
    <xf numFmtId="0" fontId="18" fillId="2" borderId="3" xfId="0" applyFont="1" applyFill="1" applyBorder="1" applyAlignment="1">
      <alignment horizontal="left" vertical="center"/>
    </xf>
    <xf numFmtId="0" fontId="18" fillId="2" borderId="4" xfId="0" applyFont="1" applyFill="1" applyBorder="1" applyAlignment="1">
      <alignment horizontal="left" vertical="center"/>
    </xf>
    <xf numFmtId="0" fontId="18" fillId="2" borderId="1" xfId="0" applyFont="1" applyFill="1" applyBorder="1" applyAlignment="1">
      <alignment horizontal="left" vertical="top" wrapText="1"/>
    </xf>
    <xf numFmtId="170" fontId="23" fillId="9" borderId="1" xfId="1" applyNumberFormat="1" applyFont="1" applyFill="1" applyBorder="1" applyAlignment="1">
      <alignment vertical="center"/>
    </xf>
    <xf numFmtId="0" fontId="25" fillId="25" borderId="14" xfId="0" applyFont="1" applyFill="1" applyBorder="1" applyAlignment="1">
      <alignment horizontal="left" vertical="center"/>
    </xf>
    <xf numFmtId="0" fontId="25" fillId="0" borderId="1" xfId="0" applyFont="1" applyFill="1" applyBorder="1" applyAlignment="1">
      <alignment vertical="top" wrapText="1"/>
    </xf>
    <xf numFmtId="165" fontId="25" fillId="0" borderId="1" xfId="1" applyFont="1" applyFill="1" applyBorder="1" applyAlignment="1">
      <alignment vertical="center" wrapText="1"/>
    </xf>
    <xf numFmtId="39" fontId="25" fillId="0" borderId="1" xfId="1" applyNumberFormat="1" applyFont="1" applyFill="1" applyBorder="1" applyAlignment="1">
      <alignment vertical="center"/>
    </xf>
    <xf numFmtId="9" fontId="25" fillId="0" borderId="1" xfId="3" applyFont="1" applyFill="1" applyBorder="1" applyAlignment="1">
      <alignment vertical="center"/>
    </xf>
    <xf numFmtId="9" fontId="23" fillId="9" borderId="1" xfId="3" applyFont="1" applyFill="1" applyBorder="1" applyAlignment="1">
      <alignment vertical="center"/>
    </xf>
    <xf numFmtId="0" fontId="18" fillId="25" borderId="14" xfId="0" applyFont="1" applyFill="1" applyBorder="1" applyAlignment="1">
      <alignment horizontal="right" vertical="center"/>
    </xf>
    <xf numFmtId="165" fontId="35" fillId="8" borderId="1" xfId="1" applyFont="1" applyFill="1" applyBorder="1"/>
    <xf numFmtId="0" fontId="73" fillId="0" borderId="1" xfId="5" applyFont="1" applyBorder="1" applyAlignment="1">
      <alignment horizontal="left" vertical="center" wrapText="1"/>
    </xf>
    <xf numFmtId="0" fontId="73" fillId="25" borderId="8" xfId="5" applyFont="1" applyFill="1" applyBorder="1" applyAlignment="1">
      <alignment horizontal="left" vertical="center" wrapText="1"/>
    </xf>
    <xf numFmtId="0" fontId="18" fillId="0" borderId="1" xfId="0" applyFont="1" applyFill="1" applyBorder="1"/>
    <xf numFmtId="9" fontId="33" fillId="0" borderId="1" xfId="3" applyFont="1" applyFill="1" applyBorder="1" applyAlignment="1">
      <alignment vertical="center"/>
    </xf>
    <xf numFmtId="0" fontId="18" fillId="25" borderId="1" xfId="0" applyFont="1" applyFill="1" applyBorder="1"/>
    <xf numFmtId="165" fontId="25" fillId="2" borderId="1" xfId="1" applyFont="1" applyFill="1" applyBorder="1" applyAlignment="1">
      <alignment horizontal="center" vertical="center"/>
    </xf>
    <xf numFmtId="39" fontId="33" fillId="0" borderId="1" xfId="1" applyNumberFormat="1" applyFont="1" applyFill="1" applyBorder="1" applyAlignment="1">
      <alignment vertical="center"/>
    </xf>
    <xf numFmtId="165" fontId="23" fillId="9" borderId="1" xfId="1" applyFont="1" applyFill="1" applyBorder="1" applyAlignment="1">
      <alignment vertical="center"/>
    </xf>
    <xf numFmtId="39" fontId="23" fillId="11" borderId="1" xfId="1" applyNumberFormat="1" applyFont="1" applyFill="1" applyBorder="1" applyAlignment="1">
      <alignment horizontal="right" vertical="center"/>
    </xf>
    <xf numFmtId="9" fontId="23" fillId="11" borderId="1" xfId="3" applyFont="1" applyFill="1" applyBorder="1" applyAlignment="1">
      <alignment horizontal="right" vertical="center"/>
    </xf>
    <xf numFmtId="165" fontId="18" fillId="4" borderId="1" xfId="1" applyFont="1" applyFill="1" applyBorder="1" applyAlignment="1">
      <alignment vertical="center" wrapText="1"/>
    </xf>
    <xf numFmtId="165" fontId="18" fillId="17" borderId="1" xfId="1" applyFont="1" applyFill="1" applyBorder="1" applyAlignment="1">
      <alignment vertical="center" wrapText="1"/>
    </xf>
    <xf numFmtId="165" fontId="18" fillId="4" borderId="1" xfId="1" applyFont="1" applyFill="1" applyBorder="1" applyAlignment="1">
      <alignment vertical="center"/>
    </xf>
    <xf numFmtId="165" fontId="18" fillId="18" borderId="1" xfId="1" applyFont="1" applyFill="1" applyBorder="1"/>
    <xf numFmtId="176" fontId="18" fillId="14" borderId="1" xfId="1" applyNumberFormat="1" applyFont="1" applyFill="1" applyBorder="1"/>
    <xf numFmtId="39" fontId="18" fillId="14" borderId="1" xfId="0" applyNumberFormat="1" applyFont="1" applyFill="1" applyBorder="1"/>
    <xf numFmtId="9" fontId="28" fillId="14" borderId="1" xfId="3" applyFont="1" applyFill="1" applyBorder="1" applyAlignment="1">
      <alignment horizontal="left" vertical="top" wrapText="1"/>
    </xf>
    <xf numFmtId="165" fontId="74" fillId="28" borderId="1" xfId="1" applyFont="1" applyFill="1" applyBorder="1" applyAlignment="1">
      <alignment vertical="center"/>
    </xf>
    <xf numFmtId="0" fontId="74" fillId="28" borderId="1" xfId="0" applyFont="1" applyFill="1" applyBorder="1" applyAlignment="1">
      <alignment vertical="center"/>
    </xf>
    <xf numFmtId="166" fontId="74" fillId="28" borderId="1" xfId="0" applyNumberFormat="1" applyFont="1" applyFill="1" applyBorder="1" applyAlignment="1">
      <alignment vertical="center"/>
    </xf>
    <xf numFmtId="9" fontId="74" fillId="28" borderId="1" xfId="3" applyFont="1" applyFill="1" applyBorder="1" applyAlignment="1">
      <alignment vertical="center"/>
    </xf>
    <xf numFmtId="43" fontId="2" fillId="0" borderId="0" xfId="0" applyNumberFormat="1" applyFont="1" applyFill="1"/>
    <xf numFmtId="0" fontId="2" fillId="0" borderId="0" xfId="0" applyFont="1" applyBorder="1" applyAlignment="1">
      <alignment vertical="top"/>
    </xf>
    <xf numFmtId="0" fontId="2" fillId="0" borderId="0" xfId="0" applyFont="1" applyFill="1" applyBorder="1" applyAlignment="1">
      <alignment vertical="top"/>
    </xf>
    <xf numFmtId="0" fontId="3" fillId="0" borderId="0" xfId="0" applyFont="1" applyBorder="1" applyAlignment="1">
      <alignment vertical="top"/>
    </xf>
    <xf numFmtId="0" fontId="16" fillId="0" borderId="0" xfId="0" applyFont="1" applyFill="1" applyBorder="1" applyAlignment="1">
      <alignment horizontal="center" vertical="top"/>
    </xf>
    <xf numFmtId="0" fontId="16" fillId="0" borderId="0" xfId="0" applyFont="1" applyAlignment="1">
      <alignment horizontal="center" vertical="top"/>
    </xf>
    <xf numFmtId="0" fontId="2" fillId="0" borderId="0" xfId="0" applyFont="1" applyAlignment="1">
      <alignment vertical="top"/>
    </xf>
    <xf numFmtId="0" fontId="5" fillId="0" borderId="0" xfId="0" applyFont="1" applyBorder="1" applyAlignment="1">
      <alignment vertical="top"/>
    </xf>
    <xf numFmtId="0" fontId="75" fillId="0" borderId="0" xfId="0" applyFont="1" applyFill="1" applyBorder="1" applyAlignment="1">
      <alignment horizontal="right" vertical="center"/>
    </xf>
    <xf numFmtId="0" fontId="57" fillId="0" borderId="0" xfId="0" applyFont="1" applyFill="1" applyBorder="1" applyAlignment="1">
      <alignment vertical="top"/>
    </xf>
    <xf numFmtId="0" fontId="2" fillId="0" borderId="0" xfId="0" applyFont="1" applyFill="1" applyAlignment="1">
      <alignment vertical="top"/>
    </xf>
    <xf numFmtId="0" fontId="9" fillId="0" borderId="0" xfId="0" applyFont="1" applyBorder="1" applyAlignment="1">
      <alignment horizontal="center" vertical="top"/>
    </xf>
    <xf numFmtId="165" fontId="56" fillId="0" borderId="0" xfId="1" applyFont="1" applyBorder="1" applyAlignment="1">
      <alignment horizontal="right" vertical="top"/>
    </xf>
    <xf numFmtId="0" fontId="7" fillId="0" borderId="0" xfId="0" applyFont="1" applyBorder="1" applyAlignment="1">
      <alignment vertical="top"/>
    </xf>
    <xf numFmtId="0" fontId="56" fillId="0" borderId="0" xfId="0" applyFont="1" applyBorder="1" applyAlignment="1">
      <alignment horizontal="center" vertical="top"/>
    </xf>
    <xf numFmtId="166" fontId="56" fillId="0" borderId="0" xfId="0" applyNumberFormat="1" applyFont="1" applyBorder="1" applyAlignment="1">
      <alignment horizontal="center" vertical="top"/>
    </xf>
    <xf numFmtId="0" fontId="58" fillId="3" borderId="2" xfId="0" applyFont="1" applyFill="1" applyBorder="1" applyAlignment="1">
      <alignment horizontal="center" vertical="top" wrapText="1"/>
    </xf>
    <xf numFmtId="0" fontId="58" fillId="3" borderId="2" xfId="4" applyNumberFormat="1" applyFont="1" applyFill="1" applyBorder="1" applyAlignment="1">
      <alignment horizontal="center" vertical="top" wrapText="1"/>
    </xf>
    <xf numFmtId="0" fontId="61" fillId="3" borderId="2" xfId="4" applyNumberFormat="1" applyFont="1" applyFill="1" applyBorder="1" applyAlignment="1">
      <alignment horizontal="center" vertical="top" wrapText="1"/>
    </xf>
    <xf numFmtId="0" fontId="12" fillId="2" borderId="0" xfId="0" applyFont="1" applyFill="1" applyBorder="1" applyAlignment="1">
      <alignment vertical="top" wrapText="1"/>
    </xf>
    <xf numFmtId="0" fontId="12" fillId="2" borderId="9" xfId="0" applyFont="1" applyFill="1" applyBorder="1" applyAlignment="1">
      <alignment vertical="top" wrapText="1"/>
    </xf>
    <xf numFmtId="0" fontId="12" fillId="2" borderId="6" xfId="0" applyFont="1" applyFill="1" applyBorder="1" applyAlignment="1">
      <alignment vertical="top" wrapText="1"/>
    </xf>
    <xf numFmtId="0" fontId="77" fillId="0" borderId="1" xfId="0" applyFont="1" applyBorder="1" applyAlignment="1">
      <alignment vertical="top" wrapText="1"/>
    </xf>
    <xf numFmtId="0" fontId="78" fillId="0" borderId="1" xfId="0" applyFont="1" applyFill="1" applyBorder="1" applyAlignment="1">
      <alignment vertical="top" wrapText="1"/>
    </xf>
    <xf numFmtId="0" fontId="79" fillId="0" borderId="1" xfId="0" applyFont="1" applyFill="1" applyBorder="1" applyAlignment="1">
      <alignment horizontal="left" vertical="top" wrapText="1"/>
    </xf>
    <xf numFmtId="0" fontId="79" fillId="0" borderId="1" xfId="0" applyFont="1" applyFill="1" applyBorder="1" applyAlignment="1">
      <alignment vertical="top" wrapText="1"/>
    </xf>
    <xf numFmtId="39" fontId="78" fillId="8" borderId="1" xfId="1" applyNumberFormat="1" applyFont="1" applyFill="1" applyBorder="1" applyAlignment="1">
      <alignment vertical="top"/>
    </xf>
    <xf numFmtId="9" fontId="80" fillId="0" borderId="1" xfId="3" applyNumberFormat="1" applyFont="1" applyFill="1" applyBorder="1" applyAlignment="1">
      <alignment horizontal="center" vertical="top"/>
    </xf>
    <xf numFmtId="2" fontId="78" fillId="0" borderId="1" xfId="3" applyNumberFormat="1" applyFont="1" applyFill="1" applyBorder="1" applyAlignment="1">
      <alignment vertical="top"/>
    </xf>
    <xf numFmtId="9" fontId="78" fillId="0" borderId="1" xfId="3" applyFont="1" applyFill="1" applyBorder="1" applyAlignment="1">
      <alignment vertical="top"/>
    </xf>
    <xf numFmtId="39" fontId="78" fillId="0" borderId="1" xfId="1" applyNumberFormat="1" applyFont="1" applyFill="1" applyBorder="1" applyAlignment="1">
      <alignment vertical="top"/>
    </xf>
    <xf numFmtId="165" fontId="78" fillId="8" borderId="1" xfId="1" applyFont="1" applyFill="1" applyBorder="1" applyAlignment="1">
      <alignment vertical="top"/>
    </xf>
    <xf numFmtId="39" fontId="80" fillId="0" borderId="3" xfId="1" applyNumberFormat="1" applyFont="1" applyFill="1" applyBorder="1" applyAlignment="1">
      <alignment horizontal="center" vertical="top"/>
    </xf>
    <xf numFmtId="39" fontId="78" fillId="0" borderId="3" xfId="1" applyNumberFormat="1" applyFont="1" applyFill="1" applyBorder="1" applyAlignment="1">
      <alignment vertical="top"/>
    </xf>
    <xf numFmtId="9" fontId="80" fillId="0" borderId="1" xfId="0" applyNumberFormat="1" applyFont="1" applyBorder="1" applyAlignment="1">
      <alignment horizontal="center" vertical="top"/>
    </xf>
    <xf numFmtId="0" fontId="78" fillId="0" borderId="1" xfId="0" applyFont="1" applyBorder="1" applyAlignment="1">
      <alignment vertical="top"/>
    </xf>
    <xf numFmtId="39" fontId="81" fillId="29" borderId="1" xfId="0" applyNumberFormat="1" applyFont="1" applyFill="1" applyBorder="1" applyAlignment="1">
      <alignment horizontal="right" vertical="top"/>
    </xf>
    <xf numFmtId="9" fontId="78" fillId="0" borderId="1" xfId="3" applyFont="1" applyBorder="1" applyAlignment="1">
      <alignment vertical="top"/>
    </xf>
    <xf numFmtId="0" fontId="78" fillId="0" borderId="1" xfId="0" applyFont="1" applyBorder="1" applyAlignment="1">
      <alignment vertical="center" wrapText="1"/>
    </xf>
    <xf numFmtId="0" fontId="79" fillId="0" borderId="1" xfId="0" applyFont="1" applyBorder="1" applyAlignment="1">
      <alignment vertical="top" wrapText="1"/>
    </xf>
    <xf numFmtId="9" fontId="80" fillId="0" borderId="1" xfId="3" applyFont="1" applyFill="1" applyBorder="1" applyAlignment="1">
      <alignment horizontal="center" vertical="top"/>
    </xf>
    <xf numFmtId="37" fontId="80" fillId="0" borderId="1" xfId="1" applyNumberFormat="1" applyFont="1" applyFill="1" applyBorder="1" applyAlignment="1">
      <alignment horizontal="center" vertical="top"/>
    </xf>
    <xf numFmtId="0" fontId="80" fillId="0" borderId="1" xfId="0" applyFont="1" applyBorder="1" applyAlignment="1">
      <alignment horizontal="center" vertical="top"/>
    </xf>
    <xf numFmtId="0" fontId="67" fillId="0" borderId="1" xfId="0" applyFont="1" applyBorder="1" applyAlignment="1">
      <alignment horizontal="left" vertical="top" wrapText="1"/>
    </xf>
    <xf numFmtId="0" fontId="77" fillId="9" borderId="1" xfId="0" applyFont="1" applyFill="1" applyBorder="1" applyAlignment="1">
      <alignment vertical="top" wrapText="1"/>
    </xf>
    <xf numFmtId="0" fontId="78" fillId="9" borderId="1" xfId="0" applyFont="1" applyFill="1" applyBorder="1" applyAlignment="1">
      <alignment vertical="top" wrapText="1"/>
    </xf>
    <xf numFmtId="0" fontId="82" fillId="9" borderId="1" xfId="0" applyFont="1" applyFill="1" applyBorder="1" applyAlignment="1">
      <alignment vertical="top" wrapText="1"/>
    </xf>
    <xf numFmtId="0" fontId="79" fillId="9" borderId="1" xfId="0" applyFont="1" applyFill="1" applyBorder="1" applyAlignment="1">
      <alignment vertical="top" wrapText="1"/>
    </xf>
    <xf numFmtId="39" fontId="78" fillId="9" borderId="1" xfId="1" applyNumberFormat="1" applyFont="1" applyFill="1" applyBorder="1" applyAlignment="1">
      <alignment vertical="top"/>
    </xf>
    <xf numFmtId="39" fontId="78" fillId="9" borderId="1" xfId="1" applyNumberFormat="1" applyFont="1" applyFill="1" applyBorder="1" applyAlignment="1">
      <alignment horizontal="center" vertical="top"/>
    </xf>
    <xf numFmtId="165" fontId="78" fillId="9" borderId="1" xfId="1" applyFont="1" applyFill="1" applyBorder="1" applyAlignment="1">
      <alignment vertical="top"/>
    </xf>
    <xf numFmtId="39" fontId="80" fillId="9" borderId="3" xfId="1" applyNumberFormat="1" applyFont="1" applyFill="1" applyBorder="1" applyAlignment="1">
      <alignment horizontal="center" vertical="top"/>
    </xf>
    <xf numFmtId="39" fontId="78" fillId="9" borderId="3" xfId="1" applyNumberFormat="1" applyFont="1" applyFill="1" applyBorder="1" applyAlignment="1">
      <alignment vertical="top"/>
    </xf>
    <xf numFmtId="39" fontId="67" fillId="9" borderId="1" xfId="1" applyNumberFormat="1" applyFont="1" applyFill="1" applyBorder="1" applyAlignment="1">
      <alignment vertical="top"/>
    </xf>
    <xf numFmtId="39" fontId="10" fillId="9" borderId="1" xfId="1" applyNumberFormat="1" applyFont="1" applyFill="1" applyBorder="1" applyAlignment="1">
      <alignment horizontal="center" vertical="top"/>
    </xf>
    <xf numFmtId="9" fontId="67" fillId="9" borderId="1" xfId="3" applyFont="1" applyFill="1" applyBorder="1" applyAlignment="1">
      <alignment vertical="top"/>
    </xf>
    <xf numFmtId="9" fontId="80" fillId="0" borderId="1" xfId="1" applyNumberFormat="1" applyFont="1" applyFill="1" applyBorder="1" applyAlignment="1">
      <alignment horizontal="center" vertical="top"/>
    </xf>
    <xf numFmtId="37" fontId="80" fillId="0" borderId="3" xfId="1" applyNumberFormat="1" applyFont="1" applyFill="1" applyBorder="1" applyAlignment="1">
      <alignment horizontal="center" vertical="top"/>
    </xf>
    <xf numFmtId="0" fontId="78" fillId="0" borderId="1" xfId="0" applyFont="1" applyBorder="1" applyAlignment="1">
      <alignment vertical="top" wrapText="1"/>
    </xf>
    <xf numFmtId="0" fontId="77" fillId="0" borderId="1" xfId="0" applyFont="1" applyBorder="1" applyAlignment="1">
      <alignment vertical="top"/>
    </xf>
    <xf numFmtId="9" fontId="80" fillId="0" borderId="3" xfId="1" applyNumberFormat="1" applyFont="1" applyFill="1" applyBorder="1" applyAlignment="1">
      <alignment horizontal="center" vertical="top"/>
    </xf>
    <xf numFmtId="39" fontId="83" fillId="9" borderId="1" xfId="1" applyNumberFormat="1" applyFont="1" applyFill="1" applyBorder="1" applyAlignment="1">
      <alignment vertical="top"/>
    </xf>
    <xf numFmtId="39" fontId="83" fillId="9" borderId="1" xfId="1" applyNumberFormat="1" applyFont="1" applyFill="1" applyBorder="1" applyAlignment="1">
      <alignment horizontal="center" vertical="top"/>
    </xf>
    <xf numFmtId="39" fontId="84" fillId="9" borderId="1" xfId="1" applyNumberFormat="1" applyFont="1" applyFill="1" applyBorder="1" applyAlignment="1">
      <alignment horizontal="center" vertical="top"/>
    </xf>
    <xf numFmtId="9" fontId="78" fillId="9" borderId="1" xfId="3" applyFont="1" applyFill="1" applyBorder="1" applyAlignment="1">
      <alignment vertical="top"/>
    </xf>
    <xf numFmtId="165" fontId="83" fillId="9" borderId="1" xfId="1" applyFont="1" applyFill="1" applyBorder="1" applyAlignment="1">
      <alignment vertical="top"/>
    </xf>
    <xf numFmtId="39" fontId="84" fillId="9" borderId="3" xfId="1" applyNumberFormat="1" applyFont="1" applyFill="1" applyBorder="1" applyAlignment="1">
      <alignment horizontal="center" vertical="top"/>
    </xf>
    <xf numFmtId="39" fontId="83" fillId="9" borderId="3" xfId="1" applyNumberFormat="1" applyFont="1" applyFill="1" applyBorder="1" applyAlignment="1">
      <alignment vertical="top"/>
    </xf>
    <xf numFmtId="9" fontId="80" fillId="0" borderId="3" xfId="3" applyFont="1" applyFill="1" applyBorder="1" applyAlignment="1">
      <alignment horizontal="center" vertical="top"/>
    </xf>
    <xf numFmtId="0" fontId="67" fillId="9" borderId="1" xfId="0" applyFont="1" applyFill="1" applyBorder="1" applyAlignment="1">
      <alignment vertical="top"/>
    </xf>
    <xf numFmtId="0" fontId="7" fillId="0" borderId="0" xfId="0" applyFont="1" applyAlignment="1">
      <alignment vertical="top"/>
    </xf>
    <xf numFmtId="0" fontId="85" fillId="0" borderId="1" xfId="0" applyFont="1" applyBorder="1" applyAlignment="1">
      <alignment vertical="center"/>
    </xf>
    <xf numFmtId="0" fontId="80" fillId="0" borderId="1" xfId="0" applyFont="1" applyFill="1" applyBorder="1" applyAlignment="1">
      <alignment vertical="top" wrapText="1"/>
    </xf>
    <xf numFmtId="0" fontId="80" fillId="0" borderId="1" xfId="0" applyFont="1" applyFill="1" applyBorder="1" applyAlignment="1">
      <alignment horizontal="left" vertical="top" wrapText="1"/>
    </xf>
    <xf numFmtId="39" fontId="80" fillId="8" borderId="1" xfId="1" applyNumberFormat="1" applyFont="1" applyFill="1" applyBorder="1" applyAlignment="1">
      <alignment vertical="top"/>
    </xf>
    <xf numFmtId="37" fontId="80" fillId="0" borderId="1" xfId="1" applyNumberFormat="1" applyFont="1" applyFill="1" applyBorder="1" applyAlignment="1">
      <alignment vertical="top"/>
    </xf>
    <xf numFmtId="39" fontId="80" fillId="0" borderId="1" xfId="1" applyNumberFormat="1" applyFont="1" applyFill="1" applyBorder="1" applyAlignment="1">
      <alignment vertical="top"/>
    </xf>
    <xf numFmtId="39" fontId="80" fillId="0" borderId="3" xfId="1" applyNumberFormat="1" applyFont="1" applyFill="1" applyBorder="1" applyAlignment="1">
      <alignment vertical="top"/>
    </xf>
    <xf numFmtId="0" fontId="80" fillId="0" borderId="1" xfId="0" applyFont="1" applyBorder="1" applyAlignment="1">
      <alignment vertical="top"/>
    </xf>
    <xf numFmtId="0" fontId="78" fillId="29" borderId="1" xfId="0" applyFont="1" applyFill="1" applyBorder="1" applyAlignment="1">
      <alignment vertical="top"/>
    </xf>
    <xf numFmtId="0" fontId="80" fillId="0" borderId="1" xfId="0" applyFont="1" applyBorder="1" applyAlignment="1">
      <alignment vertical="top" wrapText="1"/>
    </xf>
    <xf numFmtId="0" fontId="16" fillId="0" borderId="0" xfId="0" applyFont="1" applyAlignment="1">
      <alignment vertical="top"/>
    </xf>
    <xf numFmtId="0" fontId="87" fillId="0" borderId="1" xfId="0" applyFont="1" applyBorder="1" applyAlignment="1">
      <alignment vertical="center"/>
    </xf>
    <xf numFmtId="37" fontId="83" fillId="9" borderId="1" xfId="1" applyNumberFormat="1" applyFont="1" applyFill="1" applyBorder="1" applyAlignment="1">
      <alignment horizontal="center" vertical="top"/>
    </xf>
    <xf numFmtId="37" fontId="83" fillId="9" borderId="1" xfId="1" applyNumberFormat="1" applyFont="1" applyFill="1" applyBorder="1" applyAlignment="1">
      <alignment vertical="top"/>
    </xf>
    <xf numFmtId="0" fontId="83" fillId="14" borderId="1" xfId="0" applyFont="1" applyFill="1" applyBorder="1" applyAlignment="1">
      <alignment vertical="top" wrapText="1"/>
    </xf>
    <xf numFmtId="39" fontId="83" fillId="14" borderId="1" xfId="1" applyNumberFormat="1" applyFont="1" applyFill="1" applyBorder="1" applyAlignment="1">
      <alignment vertical="top"/>
    </xf>
    <xf numFmtId="39" fontId="83" fillId="14" borderId="1" xfId="1" applyNumberFormat="1" applyFont="1" applyFill="1" applyBorder="1" applyAlignment="1">
      <alignment horizontal="center" vertical="top"/>
    </xf>
    <xf numFmtId="9" fontId="78" fillId="14" borderId="1" xfId="3" applyFont="1" applyFill="1" applyBorder="1" applyAlignment="1">
      <alignment vertical="top"/>
    </xf>
    <xf numFmtId="0" fontId="7" fillId="2" borderId="0" xfId="0" applyFont="1" applyFill="1" applyBorder="1" applyAlignment="1">
      <alignment vertical="top"/>
    </xf>
    <xf numFmtId="0" fontId="7" fillId="2" borderId="0" xfId="0" applyFont="1" applyFill="1" applyAlignment="1">
      <alignment vertical="top"/>
    </xf>
    <xf numFmtId="0" fontId="88" fillId="5" borderId="3" xfId="0" applyFont="1" applyFill="1" applyBorder="1" applyAlignment="1">
      <alignment horizontal="left" vertical="center" wrapText="1"/>
    </xf>
    <xf numFmtId="0" fontId="89" fillId="5" borderId="4" xfId="0" applyFont="1" applyFill="1" applyBorder="1" applyAlignment="1">
      <alignment horizontal="center" vertical="center" wrapText="1"/>
    </xf>
    <xf numFmtId="0" fontId="89" fillId="5" borderId="4" xfId="0" applyFont="1" applyFill="1" applyBorder="1" applyAlignment="1">
      <alignment horizontal="left" vertical="center" wrapText="1"/>
    </xf>
    <xf numFmtId="0" fontId="88" fillId="5" borderId="4" xfId="0" applyFont="1" applyFill="1" applyBorder="1" applyAlignment="1">
      <alignment horizontal="left" vertical="center" wrapText="1"/>
    </xf>
    <xf numFmtId="0" fontId="88" fillId="5" borderId="5" xfId="0" applyFont="1" applyFill="1" applyBorder="1" applyAlignment="1">
      <alignment horizontal="left" vertical="center" wrapText="1"/>
    </xf>
    <xf numFmtId="0" fontId="91" fillId="0" borderId="1" xfId="0" applyFont="1" applyBorder="1" applyAlignment="1">
      <alignment horizontal="justify"/>
    </xf>
    <xf numFmtId="0" fontId="91" fillId="0" borderId="1" xfId="0" applyFont="1" applyFill="1" applyBorder="1" applyAlignment="1">
      <alignment vertical="top" wrapText="1"/>
    </xf>
    <xf numFmtId="0" fontId="91" fillId="0" borderId="1" xfId="0" applyFont="1" applyFill="1" applyBorder="1" applyAlignment="1">
      <alignment horizontal="left" vertical="top" wrapText="1"/>
    </xf>
    <xf numFmtId="0" fontId="91" fillId="0" borderId="1" xfId="0" applyFont="1" applyFill="1" applyBorder="1" applyAlignment="1">
      <alignment horizontal="center" vertical="center" wrapText="1"/>
    </xf>
    <xf numFmtId="39" fontId="91" fillId="8" borderId="1" xfId="1" applyNumberFormat="1" applyFont="1" applyFill="1" applyBorder="1" applyAlignment="1">
      <alignment vertical="center"/>
    </xf>
    <xf numFmtId="9" fontId="92" fillId="0" borderId="1" xfId="3" applyFont="1" applyFill="1" applyBorder="1" applyAlignment="1">
      <alignment horizontal="center" vertical="center"/>
    </xf>
    <xf numFmtId="2" fontId="92" fillId="0" borderId="1" xfId="3" applyNumberFormat="1" applyFont="1" applyFill="1" applyBorder="1" applyAlignment="1">
      <alignment vertical="center"/>
    </xf>
    <xf numFmtId="165" fontId="91" fillId="0" borderId="1" xfId="1" applyFont="1" applyFill="1" applyBorder="1" applyAlignment="1">
      <alignment vertical="center"/>
    </xf>
    <xf numFmtId="165" fontId="91" fillId="8" borderId="1" xfId="1" applyFont="1" applyFill="1" applyBorder="1" applyAlignment="1">
      <alignment vertical="center"/>
    </xf>
    <xf numFmtId="165" fontId="92" fillId="0" borderId="3" xfId="1" applyFont="1" applyFill="1" applyBorder="1" applyAlignment="1">
      <alignment horizontal="center" vertical="center"/>
    </xf>
    <xf numFmtId="165" fontId="92" fillId="0" borderId="3" xfId="1" applyFont="1" applyFill="1" applyBorder="1" applyAlignment="1">
      <alignment vertical="center"/>
    </xf>
    <xf numFmtId="0" fontId="91" fillId="0" borderId="1" xfId="0" applyFont="1" applyBorder="1" applyAlignment="1">
      <alignment vertical="center"/>
    </xf>
    <xf numFmtId="0" fontId="91" fillId="0" borderId="1" xfId="0" applyFont="1" applyBorder="1" applyAlignment="1">
      <alignment wrapText="1"/>
    </xf>
    <xf numFmtId="0" fontId="7" fillId="2" borderId="0" xfId="0" applyFont="1" applyFill="1" applyBorder="1" applyAlignment="1">
      <alignment vertical="top" wrapText="1"/>
    </xf>
    <xf numFmtId="0" fontId="91" fillId="0" borderId="1" xfId="0" applyFont="1" applyBorder="1" applyAlignment="1">
      <alignment horizontal="center" vertical="center" wrapText="1"/>
    </xf>
    <xf numFmtId="0" fontId="91" fillId="0" borderId="0" xfId="0" applyFont="1" applyAlignment="1">
      <alignment horizontal="justify"/>
    </xf>
    <xf numFmtId="0" fontId="91" fillId="0" borderId="0" xfId="0" applyFont="1" applyAlignment="1">
      <alignment vertical="top" wrapText="1"/>
    </xf>
    <xf numFmtId="0" fontId="91" fillId="0" borderId="1" xfId="0" applyFont="1" applyBorder="1" applyAlignment="1">
      <alignment horizontal="center" vertical="top" wrapText="1"/>
    </xf>
    <xf numFmtId="39" fontId="91" fillId="8" borderId="1" xfId="1" applyNumberFormat="1" applyFont="1" applyFill="1" applyBorder="1" applyAlignment="1">
      <alignment vertical="top"/>
    </xf>
    <xf numFmtId="9" fontId="92" fillId="0" borderId="1" xfId="3" applyFont="1" applyFill="1" applyBorder="1" applyAlignment="1">
      <alignment horizontal="center" vertical="top"/>
    </xf>
    <xf numFmtId="165" fontId="91" fillId="0" borderId="1" xfId="1" applyFont="1" applyFill="1" applyBorder="1" applyAlignment="1">
      <alignment vertical="top"/>
    </xf>
    <xf numFmtId="165" fontId="91" fillId="8" borderId="1" xfId="1" applyFont="1" applyFill="1" applyBorder="1" applyAlignment="1">
      <alignment vertical="top"/>
    </xf>
    <xf numFmtId="165" fontId="92" fillId="0" borderId="3" xfId="1" applyFont="1" applyFill="1" applyBorder="1" applyAlignment="1">
      <alignment horizontal="center" vertical="top"/>
    </xf>
    <xf numFmtId="165" fontId="92" fillId="0" borderId="3" xfId="1" applyFont="1" applyFill="1" applyBorder="1" applyAlignment="1">
      <alignment vertical="top"/>
    </xf>
    <xf numFmtId="0" fontId="92" fillId="14" borderId="1" xfId="0" applyFont="1" applyFill="1" applyBorder="1" applyAlignment="1">
      <alignment vertical="top" wrapText="1"/>
    </xf>
    <xf numFmtId="0" fontId="92" fillId="14" borderId="1" xfId="0" applyFont="1" applyFill="1" applyBorder="1" applyAlignment="1">
      <alignment wrapText="1"/>
    </xf>
    <xf numFmtId="0" fontId="91" fillId="0" borderId="1" xfId="0" applyFont="1" applyBorder="1"/>
    <xf numFmtId="0" fontId="91" fillId="0" borderId="1" xfId="0" applyFont="1" applyBorder="1" applyAlignment="1">
      <alignment vertical="center" wrapText="1"/>
    </xf>
    <xf numFmtId="0" fontId="91" fillId="9" borderId="1" xfId="0" applyFont="1" applyFill="1" applyBorder="1" applyAlignment="1">
      <alignment vertical="top" wrapText="1"/>
    </xf>
    <xf numFmtId="0" fontId="88" fillId="9" borderId="1" xfId="0" applyFont="1" applyFill="1" applyBorder="1" applyAlignment="1">
      <alignment vertical="center" wrapText="1"/>
    </xf>
    <xf numFmtId="0" fontId="88" fillId="9" borderId="1" xfId="0" applyFont="1" applyFill="1" applyBorder="1" applyAlignment="1">
      <alignment horizontal="center" vertical="center" wrapText="1"/>
    </xf>
    <xf numFmtId="39" fontId="88" fillId="9" borderId="1" xfId="1" applyNumberFormat="1" applyFont="1" applyFill="1" applyBorder="1" applyAlignment="1">
      <alignment vertical="center"/>
    </xf>
    <xf numFmtId="39" fontId="88" fillId="9" borderId="1" xfId="1" applyNumberFormat="1" applyFont="1" applyFill="1" applyBorder="1" applyAlignment="1">
      <alignment horizontal="center" vertical="center"/>
    </xf>
    <xf numFmtId="165" fontId="88" fillId="9" borderId="1" xfId="1" applyFont="1" applyFill="1" applyBorder="1" applyAlignment="1">
      <alignment vertical="center"/>
    </xf>
    <xf numFmtId="165" fontId="89" fillId="9" borderId="1" xfId="1" applyFont="1" applyFill="1" applyBorder="1" applyAlignment="1">
      <alignment horizontal="center" vertical="center"/>
    </xf>
    <xf numFmtId="165" fontId="89" fillId="9" borderId="1" xfId="1" applyFont="1" applyFill="1" applyBorder="1" applyAlignment="1">
      <alignment vertical="center"/>
    </xf>
    <xf numFmtId="39" fontId="89" fillId="9" borderId="1" xfId="1" applyNumberFormat="1" applyFont="1" applyFill="1" applyBorder="1" applyAlignment="1">
      <alignment horizontal="center" vertical="center"/>
    </xf>
    <xf numFmtId="0" fontId="88" fillId="9" borderId="1" xfId="0" applyFont="1" applyFill="1" applyBorder="1" applyAlignment="1">
      <alignment vertical="center"/>
    </xf>
    <xf numFmtId="165" fontId="92" fillId="0" borderId="1" xfId="1" applyFont="1" applyFill="1" applyBorder="1" applyAlignment="1">
      <alignment horizontal="center" vertical="center"/>
    </xf>
    <xf numFmtId="165" fontId="92" fillId="0" borderId="1" xfId="1" applyFont="1" applyFill="1" applyBorder="1" applyAlignment="1">
      <alignment vertical="center"/>
    </xf>
    <xf numFmtId="39" fontId="92" fillId="0" borderId="3" xfId="1" applyNumberFormat="1" applyFont="1" applyFill="1" applyBorder="1" applyAlignment="1">
      <alignment horizontal="center" vertical="center"/>
    </xf>
    <xf numFmtId="39" fontId="92" fillId="0" borderId="3" xfId="1" applyNumberFormat="1" applyFont="1" applyFill="1" applyBorder="1" applyAlignment="1">
      <alignment vertical="center"/>
    </xf>
    <xf numFmtId="39" fontId="92" fillId="0" borderId="1" xfId="1" applyNumberFormat="1" applyFont="1" applyFill="1" applyBorder="1" applyAlignment="1">
      <alignment horizontal="center" vertical="center"/>
    </xf>
    <xf numFmtId="0" fontId="91" fillId="0" borderId="1" xfId="0" applyFont="1" applyBorder="1" applyAlignment="1">
      <alignment horizontal="left" vertical="center" wrapText="1"/>
    </xf>
    <xf numFmtId="9" fontId="92" fillId="0" borderId="3" xfId="3" applyFont="1" applyFill="1" applyBorder="1" applyAlignment="1">
      <alignment horizontal="center" vertical="center"/>
    </xf>
    <xf numFmtId="2" fontId="92" fillId="0" borderId="3" xfId="3" applyNumberFormat="1" applyFont="1" applyFill="1" applyBorder="1" applyAlignment="1">
      <alignment vertical="center"/>
    </xf>
    <xf numFmtId="9" fontId="92" fillId="0" borderId="1" xfId="1" applyNumberFormat="1" applyFont="1" applyFill="1" applyBorder="1" applyAlignment="1">
      <alignment horizontal="center" vertical="center"/>
    </xf>
    <xf numFmtId="39" fontId="91" fillId="0" borderId="1" xfId="1" applyNumberFormat="1" applyFont="1" applyFill="1" applyBorder="1" applyAlignment="1">
      <alignment vertical="center"/>
    </xf>
    <xf numFmtId="1" fontId="92" fillId="0" borderId="3" xfId="3" applyNumberFormat="1" applyFont="1" applyFill="1" applyBorder="1" applyAlignment="1">
      <alignment vertical="center"/>
    </xf>
    <xf numFmtId="1" fontId="92" fillId="0" borderId="1" xfId="3" applyNumberFormat="1" applyFont="1" applyFill="1" applyBorder="1" applyAlignment="1">
      <alignment horizontal="center" vertical="center"/>
    </xf>
    <xf numFmtId="9" fontId="92" fillId="0" borderId="3" xfId="1" applyNumberFormat="1" applyFont="1" applyFill="1" applyBorder="1" applyAlignment="1">
      <alignment horizontal="center" vertical="center"/>
    </xf>
    <xf numFmtId="39" fontId="92" fillId="0" borderId="1" xfId="1" applyNumberFormat="1" applyFont="1" applyFill="1" applyBorder="1" applyAlignment="1">
      <alignment vertical="center"/>
    </xf>
    <xf numFmtId="9" fontId="92" fillId="0" borderId="1" xfId="1" applyNumberFormat="1" applyFont="1" applyFill="1" applyBorder="1" applyAlignment="1">
      <alignment horizontal="center"/>
    </xf>
    <xf numFmtId="0" fontId="93" fillId="0" borderId="1" xfId="0" applyFont="1" applyFill="1" applyBorder="1" applyAlignment="1">
      <alignment vertical="top" wrapText="1"/>
    </xf>
    <xf numFmtId="0" fontId="88" fillId="9" borderId="1" xfId="0" applyFont="1" applyFill="1" applyBorder="1" applyAlignment="1">
      <alignment horizontal="left" vertical="center" wrapText="1"/>
    </xf>
    <xf numFmtId="39" fontId="89" fillId="9" borderId="1" xfId="1" applyNumberFormat="1" applyFont="1" applyFill="1" applyBorder="1" applyAlignment="1">
      <alignment vertical="center"/>
    </xf>
    <xf numFmtId="0" fontId="91" fillId="0" borderId="1" xfId="0" applyFont="1" applyFill="1" applyBorder="1" applyAlignment="1">
      <alignment vertical="center" wrapText="1"/>
    </xf>
    <xf numFmtId="0" fontId="91" fillId="0" borderId="1" xfId="0" applyFont="1" applyFill="1" applyBorder="1" applyAlignment="1">
      <alignment horizontal="left" vertical="center" wrapText="1"/>
    </xf>
    <xf numFmtId="4" fontId="91" fillId="0" borderId="1" xfId="0" applyNumberFormat="1" applyFont="1" applyBorder="1" applyAlignment="1">
      <alignment horizontal="center" vertical="center" wrapText="1"/>
    </xf>
    <xf numFmtId="9" fontId="92" fillId="0" borderId="1" xfId="3" applyFont="1" applyFill="1" applyBorder="1" applyAlignment="1">
      <alignment vertical="center"/>
    </xf>
    <xf numFmtId="4" fontId="91" fillId="0" borderId="1" xfId="0" applyNumberFormat="1" applyFont="1" applyBorder="1" applyAlignment="1">
      <alignment horizontal="right" vertical="center" wrapText="1"/>
    </xf>
    <xf numFmtId="9" fontId="92" fillId="0" borderId="3" xfId="3" applyFont="1" applyFill="1" applyBorder="1" applyAlignment="1">
      <alignment vertical="center"/>
    </xf>
    <xf numFmtId="39" fontId="81" fillId="30" borderId="1" xfId="0" applyNumberFormat="1" applyFont="1" applyFill="1" applyBorder="1" applyAlignment="1">
      <alignment horizontal="right" vertical="top"/>
    </xf>
    <xf numFmtId="0" fontId="92" fillId="2" borderId="1" xfId="0" applyFont="1" applyFill="1" applyBorder="1" applyAlignment="1">
      <alignment vertical="center" wrapText="1"/>
    </xf>
    <xf numFmtId="0" fontId="92" fillId="2" borderId="1" xfId="0" applyFont="1" applyFill="1" applyBorder="1" applyAlignment="1">
      <alignment horizontal="left" vertical="center" wrapText="1"/>
    </xf>
    <xf numFmtId="0" fontId="89" fillId="2" borderId="1" xfId="0" applyFont="1" applyFill="1" applyBorder="1" applyAlignment="1">
      <alignment vertical="center" wrapText="1"/>
    </xf>
    <xf numFmtId="0" fontId="92" fillId="2" borderId="1" xfId="0" applyFont="1" applyFill="1" applyBorder="1" applyAlignment="1">
      <alignment horizontal="center" vertical="center" wrapText="1"/>
    </xf>
    <xf numFmtId="4" fontId="92" fillId="2" borderId="1" xfId="0" applyNumberFormat="1" applyFont="1" applyFill="1" applyBorder="1" applyAlignment="1">
      <alignment horizontal="center" vertical="center" wrapText="1"/>
    </xf>
    <xf numFmtId="37" fontId="92" fillId="2" borderId="1" xfId="1" applyNumberFormat="1" applyFont="1" applyFill="1" applyBorder="1" applyAlignment="1">
      <alignment horizontal="center" vertical="center"/>
    </xf>
    <xf numFmtId="39" fontId="92" fillId="2" borderId="1" xfId="1" applyNumberFormat="1" applyFont="1" applyFill="1" applyBorder="1" applyAlignment="1">
      <alignment vertical="center"/>
    </xf>
    <xf numFmtId="39" fontId="92" fillId="2" borderId="3" xfId="1" applyNumberFormat="1" applyFont="1" applyFill="1" applyBorder="1" applyAlignment="1">
      <alignment horizontal="center" vertical="center"/>
    </xf>
    <xf numFmtId="39" fontId="92" fillId="2" borderId="3" xfId="1" applyNumberFormat="1" applyFont="1" applyFill="1" applyBorder="1" applyAlignment="1">
      <alignment vertical="center"/>
    </xf>
    <xf numFmtId="39" fontId="92" fillId="2" borderId="1" xfId="1" applyNumberFormat="1" applyFont="1" applyFill="1" applyBorder="1" applyAlignment="1">
      <alignment horizontal="center" vertical="center"/>
    </xf>
    <xf numFmtId="0" fontId="92" fillId="2" borderId="1" xfId="0" applyFont="1" applyFill="1" applyBorder="1"/>
    <xf numFmtId="0" fontId="92" fillId="2" borderId="1" xfId="0" applyFont="1" applyFill="1" applyBorder="1" applyAlignment="1">
      <alignment wrapText="1"/>
    </xf>
    <xf numFmtId="0" fontId="91" fillId="0" borderId="1" xfId="0" applyFont="1" applyFill="1" applyBorder="1" applyAlignment="1">
      <alignment horizontal="center" vertical="top" wrapText="1"/>
    </xf>
    <xf numFmtId="0" fontId="91" fillId="0" borderId="1" xfId="0" applyFont="1" applyFill="1" applyBorder="1" applyAlignment="1">
      <alignment horizontal="left" wrapText="1"/>
    </xf>
    <xf numFmtId="0" fontId="91" fillId="2" borderId="1" xfId="0" applyFont="1" applyFill="1" applyBorder="1" applyAlignment="1">
      <alignment vertical="center" wrapText="1"/>
    </xf>
    <xf numFmtId="0" fontId="91" fillId="2" borderId="1" xfId="0" applyFont="1" applyFill="1" applyBorder="1" applyAlignment="1">
      <alignment horizontal="left" vertical="center" wrapText="1"/>
    </xf>
    <xf numFmtId="0" fontId="91" fillId="2" borderId="1" xfId="0" applyFont="1" applyFill="1" applyBorder="1" applyAlignment="1">
      <alignment horizontal="center" vertical="center" wrapText="1"/>
    </xf>
    <xf numFmtId="4" fontId="91" fillId="2" borderId="1" xfId="0" applyNumberFormat="1" applyFont="1" applyFill="1" applyBorder="1" applyAlignment="1">
      <alignment horizontal="center" vertical="center" wrapText="1"/>
    </xf>
    <xf numFmtId="4" fontId="91" fillId="2" borderId="1" xfId="0" applyNumberFormat="1" applyFont="1" applyFill="1" applyBorder="1" applyAlignment="1">
      <alignment horizontal="right" vertical="center" wrapText="1"/>
    </xf>
    <xf numFmtId="0" fontId="91" fillId="0" borderId="0" xfId="0" applyFont="1" applyAlignment="1">
      <alignment wrapText="1"/>
    </xf>
    <xf numFmtId="0" fontId="91" fillId="2" borderId="1" xfId="0" applyFont="1" applyFill="1" applyBorder="1" applyAlignment="1">
      <alignment wrapText="1"/>
    </xf>
    <xf numFmtId="39" fontId="93" fillId="9" borderId="1" xfId="1" applyNumberFormat="1" applyFont="1" applyFill="1" applyBorder="1"/>
    <xf numFmtId="0" fontId="88" fillId="14" borderId="4" xfId="0" applyFont="1" applyFill="1" applyBorder="1" applyAlignment="1">
      <alignment horizontal="left" vertical="center"/>
    </xf>
    <xf numFmtId="0" fontId="93" fillId="14" borderId="1" xfId="0" applyFont="1" applyFill="1" applyBorder="1" applyAlignment="1">
      <alignment horizontal="left" vertical="top" wrapText="1"/>
    </xf>
    <xf numFmtId="0" fontId="93" fillId="14" borderId="1" xfId="0" applyFont="1" applyFill="1" applyBorder="1" applyAlignment="1">
      <alignment horizontal="center" vertical="top" wrapText="1"/>
    </xf>
    <xf numFmtId="39" fontId="97" fillId="14" borderId="1" xfId="1" applyNumberFormat="1" applyFont="1" applyFill="1" applyBorder="1" applyAlignment="1">
      <alignment horizontal="right" vertical="center"/>
    </xf>
    <xf numFmtId="39" fontId="98" fillId="14" borderId="1" xfId="1" applyNumberFormat="1" applyFont="1" applyFill="1" applyBorder="1" applyAlignment="1">
      <alignment horizontal="center" vertical="center"/>
    </xf>
    <xf numFmtId="39" fontId="98" fillId="14" borderId="1" xfId="1" applyNumberFormat="1" applyFont="1" applyFill="1" applyBorder="1" applyAlignment="1">
      <alignment vertical="center"/>
    </xf>
    <xf numFmtId="2" fontId="98" fillId="14" borderId="1" xfId="3" applyNumberFormat="1" applyFont="1" applyFill="1" applyBorder="1" applyAlignment="1">
      <alignment horizontal="center" vertical="center"/>
    </xf>
    <xf numFmtId="0" fontId="97" fillId="14" borderId="1" xfId="0" applyFont="1" applyFill="1" applyBorder="1" applyAlignment="1">
      <alignment horizontal="right" vertical="center"/>
    </xf>
    <xf numFmtId="170" fontId="97" fillId="14" borderId="1" xfId="0" applyNumberFormat="1" applyFont="1" applyFill="1" applyBorder="1" applyAlignment="1">
      <alignment horizontal="right" vertical="center"/>
    </xf>
    <xf numFmtId="39" fontId="93" fillId="14" borderId="1" xfId="1" applyNumberFormat="1" applyFont="1" applyFill="1" applyBorder="1" applyAlignment="1">
      <alignment horizontal="left"/>
    </xf>
    <xf numFmtId="0" fontId="83" fillId="11" borderId="1" xfId="0" applyFont="1" applyFill="1" applyBorder="1" applyAlignment="1">
      <alignment vertical="top" wrapText="1"/>
    </xf>
    <xf numFmtId="39" fontId="3" fillId="11" borderId="1" xfId="1" applyNumberFormat="1" applyFont="1" applyFill="1" applyBorder="1" applyAlignment="1">
      <alignment vertical="top"/>
    </xf>
    <xf numFmtId="39" fontId="99" fillId="11" borderId="1" xfId="1" applyNumberFormat="1" applyFont="1" applyFill="1" applyBorder="1" applyAlignment="1">
      <alignment horizontal="center" vertical="top"/>
    </xf>
    <xf numFmtId="39" fontId="83" fillId="11" borderId="1" xfId="1" applyNumberFormat="1" applyFont="1" applyFill="1" applyBorder="1" applyAlignment="1">
      <alignment vertical="top"/>
    </xf>
    <xf numFmtId="39" fontId="100" fillId="11" borderId="1" xfId="1" applyNumberFormat="1" applyFont="1" applyFill="1" applyBorder="1" applyAlignment="1">
      <alignment vertical="top"/>
    </xf>
    <xf numFmtId="39" fontId="101" fillId="11" borderId="1" xfId="1" applyNumberFormat="1" applyFont="1" applyFill="1" applyBorder="1" applyAlignment="1">
      <alignment vertical="top"/>
    </xf>
    <xf numFmtId="39" fontId="101" fillId="11" borderId="1" xfId="1" applyNumberFormat="1" applyFont="1" applyFill="1" applyBorder="1" applyAlignment="1">
      <alignment horizontal="center" vertical="top"/>
    </xf>
    <xf numFmtId="9" fontId="78" fillId="11" borderId="1" xfId="3" applyFont="1" applyFill="1" applyBorder="1" applyAlignment="1">
      <alignment vertical="top"/>
    </xf>
    <xf numFmtId="0" fontId="58" fillId="4" borderId="0" xfId="0" applyFont="1" applyFill="1" applyBorder="1" applyAlignment="1">
      <alignment vertical="top" wrapText="1"/>
    </xf>
    <xf numFmtId="0" fontId="61" fillId="4" borderId="0" xfId="0" applyFont="1" applyFill="1" applyBorder="1" applyAlignment="1">
      <alignment horizontal="center" vertical="top" wrapText="1"/>
    </xf>
    <xf numFmtId="0" fontId="76" fillId="4" borderId="0" xfId="0" applyFont="1" applyFill="1" applyBorder="1" applyAlignment="1">
      <alignment vertical="top" wrapText="1"/>
    </xf>
    <xf numFmtId="0" fontId="58" fillId="4" borderId="13" xfId="0" applyFont="1" applyFill="1" applyBorder="1" applyAlignment="1">
      <alignment vertical="top" wrapText="1"/>
    </xf>
    <xf numFmtId="0" fontId="11" fillId="2" borderId="0" xfId="0" applyFont="1" applyFill="1" applyBorder="1" applyAlignment="1">
      <alignment vertical="top" wrapText="1"/>
    </xf>
    <xf numFmtId="0" fontId="11" fillId="4" borderId="9" xfId="0" applyFont="1" applyFill="1" applyBorder="1" applyAlignment="1">
      <alignment vertical="top" wrapText="1"/>
    </xf>
    <xf numFmtId="0" fontId="11" fillId="4" borderId="6" xfId="0" applyFont="1" applyFill="1" applyBorder="1" applyAlignment="1">
      <alignment vertical="top" wrapText="1"/>
    </xf>
    <xf numFmtId="0" fontId="67" fillId="15" borderId="4" xfId="0" applyFont="1" applyFill="1" applyBorder="1" applyAlignment="1">
      <alignment vertical="top" wrapText="1"/>
    </xf>
    <xf numFmtId="0" fontId="10" fillId="15" borderId="4" xfId="0" applyFont="1" applyFill="1" applyBorder="1" applyAlignment="1">
      <alignment horizontal="center" vertical="top" wrapText="1"/>
    </xf>
    <xf numFmtId="39" fontId="67" fillId="15" borderId="4" xfId="0" applyNumberFormat="1" applyFont="1" applyFill="1" applyBorder="1" applyAlignment="1">
      <alignment vertical="top" wrapText="1"/>
    </xf>
    <xf numFmtId="0" fontId="67" fillId="15" borderId="5" xfId="0" applyFont="1" applyFill="1" applyBorder="1" applyAlignment="1">
      <alignment vertical="top" wrapText="1"/>
    </xf>
    <xf numFmtId="0" fontId="7" fillId="0" borderId="0" xfId="0" applyFont="1" applyFill="1" applyBorder="1" applyAlignment="1">
      <alignment vertical="top" wrapText="1"/>
    </xf>
    <xf numFmtId="0" fontId="7" fillId="0" borderId="15" xfId="0" applyFont="1" applyFill="1" applyBorder="1" applyAlignment="1">
      <alignment vertical="top" wrapText="1"/>
    </xf>
    <xf numFmtId="0" fontId="7" fillId="0" borderId="11" xfId="0" applyFont="1" applyFill="1" applyBorder="1" applyAlignment="1">
      <alignment vertical="top" wrapText="1"/>
    </xf>
    <xf numFmtId="0" fontId="67" fillId="0" borderId="1" xfId="0" applyFont="1" applyFill="1" applyBorder="1" applyAlignment="1">
      <alignment vertical="top"/>
    </xf>
    <xf numFmtId="0" fontId="78" fillId="0" borderId="14" xfId="0" applyFont="1" applyFill="1" applyBorder="1" applyAlignment="1">
      <alignment horizontal="left" vertical="center"/>
    </xf>
    <xf numFmtId="0" fontId="78" fillId="0" borderId="8" xfId="0" applyFont="1" applyFill="1" applyBorder="1" applyAlignment="1">
      <alignment horizontal="left" vertical="center"/>
    </xf>
    <xf numFmtId="0" fontId="91" fillId="0" borderId="1" xfId="0" applyFont="1" applyFill="1" applyBorder="1" applyAlignment="1">
      <alignment vertical="center"/>
    </xf>
    <xf numFmtId="39" fontId="78" fillId="8" borderId="1" xfId="1" applyNumberFormat="1" applyFont="1" applyFill="1" applyBorder="1" applyAlignment="1">
      <alignment vertical="center"/>
    </xf>
    <xf numFmtId="0" fontId="92" fillId="0" borderId="1" xfId="0" applyFont="1" applyFill="1" applyBorder="1" applyAlignment="1">
      <alignment horizontal="center" vertical="center" wrapText="1"/>
    </xf>
    <xf numFmtId="0" fontId="92" fillId="0" borderId="1" xfId="0" applyFont="1" applyFill="1" applyBorder="1" applyAlignment="1">
      <alignment vertical="center" wrapText="1"/>
    </xf>
    <xf numFmtId="0" fontId="91" fillId="29" borderId="1" xfId="0" applyFont="1" applyFill="1" applyBorder="1" applyAlignment="1">
      <alignment vertical="center" wrapText="1"/>
    </xf>
    <xf numFmtId="39" fontId="13" fillId="0" borderId="1" xfId="1" applyNumberFormat="1" applyFont="1" applyFill="1" applyBorder="1" applyAlignment="1">
      <alignment wrapText="1"/>
    </xf>
    <xf numFmtId="0" fontId="7" fillId="0" borderId="0" xfId="0" applyFont="1" applyFill="1" applyAlignment="1">
      <alignment vertical="top"/>
    </xf>
    <xf numFmtId="0" fontId="10" fillId="0" borderId="1" xfId="0" applyFont="1" applyFill="1" applyBorder="1" applyAlignment="1">
      <alignment vertical="top"/>
    </xf>
    <xf numFmtId="0" fontId="78" fillId="0" borderId="14" xfId="0" applyFont="1" applyFill="1" applyBorder="1" applyAlignment="1">
      <alignment horizontal="left" vertical="top"/>
    </xf>
    <xf numFmtId="0" fontId="80" fillId="0" borderId="8" xfId="0" applyFont="1" applyFill="1" applyBorder="1" applyAlignment="1">
      <alignment horizontal="left" vertical="center"/>
    </xf>
    <xf numFmtId="0" fontId="80" fillId="0" borderId="14" xfId="0" applyFont="1" applyFill="1" applyBorder="1" applyAlignment="1">
      <alignment vertical="center" wrapText="1"/>
    </xf>
    <xf numFmtId="0" fontId="80" fillId="0" borderId="1" xfId="0" applyFont="1" applyFill="1" applyBorder="1" applyAlignment="1">
      <alignment vertical="center" wrapText="1"/>
    </xf>
    <xf numFmtId="0" fontId="78" fillId="0" borderId="1" xfId="0" applyFont="1" applyFill="1" applyBorder="1" applyAlignment="1">
      <alignment vertical="center" wrapText="1"/>
    </xf>
    <xf numFmtId="39" fontId="80" fillId="8" borderId="1" xfId="1" applyNumberFormat="1" applyFont="1" applyFill="1" applyBorder="1" applyAlignment="1">
      <alignment vertical="center"/>
    </xf>
    <xf numFmtId="37" fontId="80" fillId="0" borderId="1" xfId="1" applyNumberFormat="1" applyFont="1" applyFill="1" applyBorder="1" applyAlignment="1">
      <alignment horizontal="center" vertical="center"/>
    </xf>
    <xf numFmtId="39" fontId="80" fillId="0" borderId="1" xfId="1" applyNumberFormat="1" applyFont="1" applyFill="1" applyBorder="1" applyAlignment="1">
      <alignment vertical="center"/>
    </xf>
    <xf numFmtId="39" fontId="78" fillId="0" borderId="1" xfId="1" applyNumberFormat="1" applyFont="1" applyFill="1" applyBorder="1" applyAlignment="1">
      <alignment vertical="center"/>
    </xf>
    <xf numFmtId="37" fontId="80" fillId="0" borderId="1" xfId="1" applyNumberFormat="1" applyFont="1" applyFill="1" applyBorder="1" applyAlignment="1">
      <alignment vertical="center"/>
    </xf>
    <xf numFmtId="37" fontId="84" fillId="0" borderId="1" xfId="1" applyNumberFormat="1" applyFont="1" applyFill="1" applyBorder="1" applyAlignment="1">
      <alignment horizontal="center" vertical="center"/>
    </xf>
    <xf numFmtId="0" fontId="9" fillId="0" borderId="0" xfId="0" applyFont="1" applyFill="1" applyAlignment="1">
      <alignment vertical="top"/>
    </xf>
    <xf numFmtId="9" fontId="92" fillId="0" borderId="1" xfId="3" applyFont="1" applyFill="1" applyBorder="1" applyAlignment="1">
      <alignment horizontal="center" vertical="center" wrapText="1"/>
    </xf>
    <xf numFmtId="0" fontId="80" fillId="0" borderId="14" xfId="0" applyFont="1" applyFill="1" applyBorder="1" applyAlignment="1">
      <alignment horizontal="left" vertical="top"/>
    </xf>
    <xf numFmtId="9" fontId="80" fillId="0" borderId="1" xfId="1" applyNumberFormat="1" applyFont="1" applyFill="1" applyBorder="1" applyAlignment="1">
      <alignment horizontal="center" vertical="center"/>
    </xf>
    <xf numFmtId="9" fontId="84" fillId="0" borderId="1" xfId="3" applyNumberFormat="1" applyFont="1" applyFill="1" applyBorder="1" applyAlignment="1">
      <alignment horizontal="center" vertical="top"/>
    </xf>
    <xf numFmtId="39" fontId="80" fillId="0" borderId="1" xfId="1" applyNumberFormat="1" applyFont="1" applyFill="1" applyBorder="1" applyAlignment="1">
      <alignment vertical="top" wrapText="1"/>
    </xf>
    <xf numFmtId="0" fontId="92" fillId="0" borderId="1" xfId="0" applyFont="1" applyFill="1" applyBorder="1" applyAlignment="1">
      <alignment vertical="center"/>
    </xf>
    <xf numFmtId="37" fontId="84" fillId="0" borderId="1" xfId="1" applyNumberFormat="1" applyFont="1" applyFill="1" applyBorder="1" applyAlignment="1">
      <alignment horizontal="center" vertical="top"/>
    </xf>
    <xf numFmtId="2" fontId="91" fillId="0" borderId="1" xfId="0" applyNumberFormat="1" applyFont="1" applyBorder="1" applyAlignment="1">
      <alignment horizontal="right" vertical="center"/>
    </xf>
    <xf numFmtId="39" fontId="2" fillId="0" borderId="1" xfId="1" applyNumberFormat="1" applyFont="1" applyFill="1" applyBorder="1" applyAlignment="1">
      <alignment wrapText="1"/>
    </xf>
    <xf numFmtId="37" fontId="103" fillId="0" borderId="1" xfId="1" applyNumberFormat="1" applyFont="1" applyFill="1" applyBorder="1" applyAlignment="1">
      <alignment horizontal="center" vertical="center"/>
    </xf>
    <xf numFmtId="0" fontId="7" fillId="0" borderId="1" xfId="0" applyFont="1" applyFill="1" applyBorder="1" applyAlignment="1">
      <alignment horizontal="right" vertical="top"/>
    </xf>
    <xf numFmtId="0" fontId="7" fillId="9" borderId="14" xfId="0" applyFont="1" applyFill="1" applyBorder="1" applyAlignment="1">
      <alignment horizontal="right" vertical="top"/>
    </xf>
    <xf numFmtId="0" fontId="7" fillId="9" borderId="8" xfId="0" applyFont="1" applyFill="1" applyBorder="1" applyAlignment="1">
      <alignment horizontal="right" vertical="top"/>
    </xf>
    <xf numFmtId="39" fontId="67" fillId="9" borderId="1" xfId="1" applyNumberFormat="1" applyFont="1" applyFill="1" applyBorder="1" applyAlignment="1">
      <alignment vertical="center"/>
    </xf>
    <xf numFmtId="39" fontId="10" fillId="9" borderId="1" xfId="1" applyNumberFormat="1" applyFont="1" applyFill="1" applyBorder="1" applyAlignment="1">
      <alignment horizontal="center" vertical="center"/>
    </xf>
    <xf numFmtId="39" fontId="7" fillId="9" borderId="1" xfId="1" applyNumberFormat="1" applyFont="1" applyFill="1" applyBorder="1" applyAlignment="1">
      <alignment vertical="center"/>
    </xf>
    <xf numFmtId="39" fontId="9" fillId="9" borderId="1" xfId="1" applyNumberFormat="1" applyFont="1" applyFill="1" applyBorder="1" applyAlignment="1">
      <alignment horizontal="center" vertical="center"/>
    </xf>
    <xf numFmtId="39" fontId="7" fillId="9" borderId="1" xfId="1" applyNumberFormat="1" applyFont="1" applyFill="1" applyBorder="1" applyAlignment="1">
      <alignment vertical="top"/>
    </xf>
    <xf numFmtId="0" fontId="67" fillId="0" borderId="1" xfId="0" applyFont="1" applyFill="1" applyBorder="1" applyAlignment="1">
      <alignment horizontal="right" vertical="top"/>
    </xf>
    <xf numFmtId="0" fontId="78" fillId="0" borderId="14" xfId="0" applyFont="1" applyFill="1" applyBorder="1" applyAlignment="1">
      <alignment vertical="top" wrapText="1"/>
    </xf>
    <xf numFmtId="39" fontId="80" fillId="0" borderId="1" xfId="1" applyNumberFormat="1" applyFont="1" applyFill="1" applyBorder="1" applyAlignment="1">
      <alignment horizontal="center" vertical="top"/>
    </xf>
    <xf numFmtId="39" fontId="10" fillId="0" borderId="3" xfId="1" applyNumberFormat="1" applyFont="1" applyFill="1" applyBorder="1" applyAlignment="1">
      <alignment horizontal="center" vertical="center"/>
    </xf>
    <xf numFmtId="39" fontId="67" fillId="0" borderId="3" xfId="1" applyNumberFormat="1" applyFont="1" applyFill="1" applyBorder="1" applyAlignment="1">
      <alignment vertical="center"/>
    </xf>
    <xf numFmtId="39" fontId="10" fillId="0" borderId="1" xfId="1" applyNumberFormat="1" applyFont="1" applyFill="1" applyBorder="1" applyAlignment="1">
      <alignment horizontal="center" vertical="top"/>
    </xf>
    <xf numFmtId="39" fontId="67" fillId="0" borderId="1" xfId="1" applyNumberFormat="1" applyFont="1" applyFill="1" applyBorder="1" applyAlignment="1">
      <alignment vertical="top"/>
    </xf>
    <xf numFmtId="39" fontId="78" fillId="29" borderId="1" xfId="1" applyNumberFormat="1" applyFont="1" applyFill="1" applyBorder="1" applyAlignment="1">
      <alignment vertical="top"/>
    </xf>
    <xf numFmtId="39" fontId="78" fillId="0" borderId="1" xfId="1" applyNumberFormat="1" applyFont="1" applyFill="1" applyBorder="1" applyAlignment="1">
      <alignment vertical="top" wrapText="1"/>
    </xf>
    <xf numFmtId="0" fontId="67" fillId="0" borderId="0" xfId="0" applyFont="1" applyFill="1" applyAlignment="1">
      <alignment vertical="top"/>
    </xf>
    <xf numFmtId="9" fontId="103" fillId="0" borderId="1" xfId="3" applyFont="1" applyFill="1" applyBorder="1" applyAlignment="1">
      <alignment vertical="center"/>
    </xf>
    <xf numFmtId="39" fontId="104" fillId="0" borderId="3" xfId="1" applyNumberFormat="1" applyFont="1" applyFill="1" applyBorder="1" applyAlignment="1">
      <alignment vertical="center"/>
    </xf>
    <xf numFmtId="39" fontId="91" fillId="29" borderId="1" xfId="1" applyNumberFormat="1" applyFont="1" applyFill="1" applyBorder="1" applyAlignment="1">
      <alignment vertical="center"/>
    </xf>
    <xf numFmtId="39" fontId="91" fillId="0" borderId="1" xfId="1" applyNumberFormat="1" applyFont="1" applyFill="1" applyBorder="1" applyAlignment="1">
      <alignment wrapText="1"/>
    </xf>
    <xf numFmtId="0" fontId="67" fillId="0" borderId="14" xfId="0" applyFont="1" applyFill="1" applyBorder="1" applyAlignment="1">
      <alignment horizontal="right" vertical="top"/>
    </xf>
    <xf numFmtId="0" fontId="67" fillId="0" borderId="8" xfId="0" applyFont="1" applyFill="1" applyBorder="1" applyAlignment="1">
      <alignment horizontal="right" vertical="top"/>
    </xf>
    <xf numFmtId="0" fontId="105" fillId="9" borderId="1" xfId="0" applyFont="1" applyFill="1" applyBorder="1" applyAlignment="1">
      <alignment vertical="top" wrapText="1"/>
    </xf>
    <xf numFmtId="39" fontId="10" fillId="9" borderId="3" xfId="1" applyNumberFormat="1" applyFont="1" applyFill="1" applyBorder="1" applyAlignment="1">
      <alignment horizontal="center" vertical="top"/>
    </xf>
    <xf numFmtId="39" fontId="67" fillId="9" borderId="3" xfId="1" applyNumberFormat="1" applyFont="1" applyFill="1" applyBorder="1" applyAlignment="1">
      <alignment vertical="top"/>
    </xf>
    <xf numFmtId="165" fontId="67" fillId="8" borderId="1" xfId="1" applyFont="1" applyFill="1" applyBorder="1" applyAlignment="1">
      <alignment vertical="top"/>
    </xf>
    <xf numFmtId="39" fontId="10" fillId="0" borderId="3" xfId="1" applyNumberFormat="1" applyFont="1" applyFill="1" applyBorder="1" applyAlignment="1">
      <alignment horizontal="center" vertical="top"/>
    </xf>
    <xf numFmtId="39" fontId="67" fillId="0" borderId="3" xfId="1" applyNumberFormat="1" applyFont="1" applyFill="1" applyBorder="1" applyAlignment="1">
      <alignment vertical="top"/>
    </xf>
    <xf numFmtId="0" fontId="91" fillId="0" borderId="14" xfId="0" applyFont="1" applyFill="1" applyBorder="1" applyAlignment="1">
      <alignment horizontal="left" vertical="center" wrapText="1"/>
    </xf>
    <xf numFmtId="39" fontId="91" fillId="0" borderId="1" xfId="1" applyNumberFormat="1" applyFont="1" applyFill="1" applyBorder="1"/>
    <xf numFmtId="165" fontId="93" fillId="8" borderId="1" xfId="1" applyFont="1" applyFill="1" applyBorder="1"/>
    <xf numFmtId="39" fontId="104" fillId="0" borderId="3" xfId="1" applyNumberFormat="1" applyFont="1" applyFill="1" applyBorder="1"/>
    <xf numFmtId="9" fontId="91" fillId="0" borderId="1" xfId="3" applyFont="1" applyBorder="1" applyAlignment="1">
      <alignment horizontal="left" vertical="center" wrapText="1"/>
    </xf>
    <xf numFmtId="0" fontId="91" fillId="0" borderId="14" xfId="0" applyFont="1" applyFill="1" applyBorder="1" applyAlignment="1">
      <alignment horizontal="left" vertical="center"/>
    </xf>
    <xf numFmtId="0" fontId="67" fillId="9" borderId="5" xfId="0" applyFont="1" applyFill="1" applyBorder="1" applyAlignment="1">
      <alignment horizontal="right" vertical="top"/>
    </xf>
    <xf numFmtId="0" fontId="67" fillId="9" borderId="1" xfId="0" applyFont="1" applyFill="1" applyBorder="1" applyAlignment="1">
      <alignment horizontal="right" vertical="top"/>
    </xf>
    <xf numFmtId="165" fontId="67" fillId="9" borderId="1" xfId="1" applyFont="1" applyFill="1" applyBorder="1" applyAlignment="1">
      <alignment vertical="top"/>
    </xf>
    <xf numFmtId="0" fontId="78" fillId="0" borderId="14" xfId="0" applyFont="1" applyFill="1" applyBorder="1" applyAlignment="1">
      <alignment vertical="center" wrapText="1"/>
    </xf>
    <xf numFmtId="39" fontId="10" fillId="0" borderId="1" xfId="1" applyNumberFormat="1" applyFont="1" applyFill="1" applyBorder="1" applyAlignment="1">
      <alignment horizontal="center" vertical="center"/>
    </xf>
    <xf numFmtId="39" fontId="67" fillId="0" borderId="1" xfId="1" applyNumberFormat="1" applyFont="1" applyFill="1" applyBorder="1" applyAlignment="1">
      <alignment vertical="center"/>
    </xf>
    <xf numFmtId="165" fontId="67" fillId="8" borderId="1" xfId="1" applyFont="1" applyFill="1" applyBorder="1" applyAlignment="1">
      <alignment vertical="center"/>
    </xf>
    <xf numFmtId="0" fontId="67" fillId="0" borderId="5" xfId="0" applyFont="1" applyFill="1" applyBorder="1" applyAlignment="1">
      <alignment horizontal="right" vertical="top"/>
    </xf>
    <xf numFmtId="0" fontId="78" fillId="0" borderId="14" xfId="0" applyFont="1" applyFill="1" applyBorder="1" applyAlignment="1">
      <alignment horizontal="left" vertical="top" wrapText="1"/>
    </xf>
    <xf numFmtId="176" fontId="78" fillId="0" borderId="1" xfId="1" applyNumberFormat="1" applyFont="1" applyFill="1" applyBorder="1" applyAlignment="1">
      <alignment vertical="center"/>
    </xf>
    <xf numFmtId="0" fontId="67" fillId="0" borderId="14" xfId="0" applyFont="1" applyFill="1" applyBorder="1" applyAlignment="1">
      <alignment vertical="top" wrapText="1"/>
    </xf>
    <xf numFmtId="0" fontId="67" fillId="0" borderId="1" xfId="0" applyFont="1" applyFill="1" applyBorder="1" applyAlignment="1">
      <alignment vertical="top" wrapText="1"/>
    </xf>
    <xf numFmtId="39" fontId="67" fillId="29" borderId="1" xfId="1" applyNumberFormat="1" applyFont="1" applyFill="1" applyBorder="1" applyAlignment="1">
      <alignment vertical="top"/>
    </xf>
    <xf numFmtId="0" fontId="78" fillId="0" borderId="8" xfId="0" applyFont="1" applyFill="1" applyBorder="1" applyAlignment="1">
      <alignment horizontal="left" vertical="top"/>
    </xf>
    <xf numFmtId="0" fontId="78" fillId="0" borderId="8" xfId="0" applyFont="1" applyFill="1" applyBorder="1" applyAlignment="1">
      <alignment horizontal="left" vertical="top" wrapText="1"/>
    </xf>
    <xf numFmtId="0" fontId="91" fillId="2" borderId="1" xfId="9" applyNumberFormat="1" applyFont="1" applyFill="1" applyBorder="1" applyAlignment="1">
      <alignment horizontal="left" vertical="center" wrapText="1"/>
    </xf>
    <xf numFmtId="165" fontId="7" fillId="9" borderId="1" xfId="1" applyFont="1" applyFill="1" applyBorder="1" applyAlignment="1">
      <alignment vertical="center"/>
    </xf>
    <xf numFmtId="39" fontId="9" fillId="9" borderId="3" xfId="1" applyNumberFormat="1" applyFont="1" applyFill="1" applyBorder="1" applyAlignment="1">
      <alignment horizontal="center" vertical="center"/>
    </xf>
    <xf numFmtId="39" fontId="7" fillId="9" borderId="3" xfId="1" applyNumberFormat="1" applyFont="1" applyFill="1" applyBorder="1" applyAlignment="1">
      <alignment vertical="center"/>
    </xf>
    <xf numFmtId="9" fontId="9" fillId="9" borderId="1" xfId="3" applyFont="1" applyFill="1" applyBorder="1" applyAlignment="1">
      <alignment horizontal="center" vertical="top"/>
    </xf>
    <xf numFmtId="9" fontId="7" fillId="9" borderId="1" xfId="3" applyFont="1" applyFill="1" applyBorder="1" applyAlignment="1">
      <alignment horizontal="left" vertical="top"/>
    </xf>
    <xf numFmtId="0" fontId="7" fillId="11" borderId="1" xfId="0" applyFont="1" applyFill="1" applyBorder="1" applyAlignment="1">
      <alignment horizontal="left" vertical="top" wrapText="1"/>
    </xf>
    <xf numFmtId="39" fontId="7" fillId="11" borderId="1" xfId="1" applyNumberFormat="1" applyFont="1" applyFill="1" applyBorder="1" applyAlignment="1">
      <alignment horizontal="right" vertical="center"/>
    </xf>
    <xf numFmtId="39" fontId="7" fillId="11" borderId="1" xfId="1" applyNumberFormat="1" applyFont="1" applyFill="1" applyBorder="1" applyAlignment="1">
      <alignment horizontal="left" vertical="center"/>
    </xf>
    <xf numFmtId="39" fontId="7" fillId="11" borderId="1" xfId="1" applyNumberFormat="1" applyFont="1" applyFill="1" applyBorder="1" applyAlignment="1">
      <alignment horizontal="left" vertical="top"/>
    </xf>
    <xf numFmtId="0" fontId="7" fillId="2" borderId="0" xfId="0" applyFont="1" applyFill="1" applyBorder="1" applyAlignment="1">
      <alignment horizontal="left" vertical="top"/>
    </xf>
    <xf numFmtId="0" fontId="7" fillId="2" borderId="0" xfId="0" applyFont="1" applyFill="1" applyAlignment="1">
      <alignment horizontal="left" vertical="top"/>
    </xf>
    <xf numFmtId="0" fontId="7" fillId="31" borderId="1" xfId="0" applyFont="1" applyFill="1" applyBorder="1" applyAlignment="1">
      <alignment horizontal="left" vertical="top"/>
    </xf>
    <xf numFmtId="0" fontId="7" fillId="31" borderId="1" xfId="0" applyFont="1" applyFill="1" applyBorder="1" applyAlignment="1">
      <alignment vertical="top" wrapText="1"/>
    </xf>
    <xf numFmtId="0" fontId="9" fillId="31" borderId="1" xfId="0" applyFont="1" applyFill="1" applyBorder="1" applyAlignment="1">
      <alignment horizontal="center" vertical="top" wrapText="1"/>
    </xf>
    <xf numFmtId="0" fontId="7" fillId="31" borderId="1" xfId="0" applyFont="1" applyFill="1" applyBorder="1" applyAlignment="1">
      <alignment horizontal="center" vertical="top" wrapText="1"/>
    </xf>
    <xf numFmtId="0" fontId="9" fillId="31" borderId="3" xfId="0" applyFont="1" applyFill="1" applyBorder="1" applyAlignment="1">
      <alignment horizontal="center" vertical="top" wrapText="1"/>
    </xf>
    <xf numFmtId="0" fontId="7" fillId="31" borderId="3" xfId="0" applyFont="1" applyFill="1" applyBorder="1" applyAlignment="1">
      <alignment horizontal="center" vertical="top" wrapText="1"/>
    </xf>
    <xf numFmtId="180" fontId="67" fillId="31" borderId="1" xfId="0" applyNumberFormat="1" applyFont="1" applyFill="1" applyBorder="1" applyAlignment="1">
      <alignment vertical="top" wrapText="1"/>
    </xf>
    <xf numFmtId="0" fontId="67" fillId="31" borderId="1" xfId="0" applyFont="1" applyFill="1" applyBorder="1" applyAlignment="1">
      <alignment vertical="top" wrapText="1"/>
    </xf>
    <xf numFmtId="180" fontId="67" fillId="31" borderId="1" xfId="0" applyNumberFormat="1" applyFont="1" applyFill="1" applyBorder="1" applyAlignment="1">
      <alignment horizontal="right" vertical="top" wrapText="1"/>
    </xf>
    <xf numFmtId="176" fontId="67" fillId="31" borderId="1" xfId="1" applyNumberFormat="1" applyFont="1" applyFill="1" applyBorder="1" applyAlignment="1">
      <alignment horizontal="center" vertical="top" wrapText="1"/>
    </xf>
    <xf numFmtId="9" fontId="78" fillId="31" borderId="1" xfId="3" applyFont="1" applyFill="1" applyBorder="1" applyAlignment="1">
      <alignment vertical="top"/>
    </xf>
    <xf numFmtId="0" fontId="67" fillId="31" borderId="1" xfId="0" applyFont="1" applyFill="1" applyBorder="1" applyAlignment="1">
      <alignment horizontal="center" vertical="top" wrapText="1"/>
    </xf>
    <xf numFmtId="0" fontId="2" fillId="14" borderId="1" xfId="0" applyFont="1" applyFill="1" applyBorder="1" applyAlignment="1">
      <alignment vertical="top" wrapText="1"/>
    </xf>
    <xf numFmtId="180" fontId="67" fillId="14" borderId="1" xfId="0" applyNumberFormat="1" applyFont="1" applyFill="1" applyBorder="1" applyAlignment="1">
      <alignment vertical="top"/>
    </xf>
    <xf numFmtId="39" fontId="10" fillId="14" borderId="1" xfId="0" applyNumberFormat="1" applyFont="1" applyFill="1" applyBorder="1" applyAlignment="1">
      <alignment horizontal="center" vertical="top"/>
    </xf>
    <xf numFmtId="39" fontId="67" fillId="14" borderId="1" xfId="0" applyNumberFormat="1" applyFont="1" applyFill="1" applyBorder="1" applyAlignment="1">
      <alignment vertical="top"/>
    </xf>
    <xf numFmtId="180" fontId="67" fillId="14" borderId="1" xfId="0" applyNumberFormat="1" applyFont="1" applyFill="1" applyBorder="1" applyAlignment="1">
      <alignment horizontal="right" vertical="top"/>
    </xf>
    <xf numFmtId="39" fontId="10" fillId="14" borderId="3" xfId="0" applyNumberFormat="1" applyFont="1" applyFill="1" applyBorder="1" applyAlignment="1">
      <alignment horizontal="center" vertical="top"/>
    </xf>
    <xf numFmtId="39" fontId="67" fillId="14" borderId="3" xfId="0" applyNumberFormat="1" applyFont="1" applyFill="1" applyBorder="1" applyAlignment="1">
      <alignment vertical="top"/>
    </xf>
    <xf numFmtId="176" fontId="67" fillId="14" borderId="1" xfId="1" applyNumberFormat="1" applyFont="1" applyFill="1" applyBorder="1" applyAlignment="1">
      <alignment vertical="top"/>
    </xf>
    <xf numFmtId="0" fontId="7" fillId="14" borderId="5" xfId="0" applyFont="1" applyFill="1" applyBorder="1" applyAlignment="1">
      <alignment horizontal="right" vertical="top"/>
    </xf>
    <xf numFmtId="0" fontId="7" fillId="14" borderId="1" xfId="0" applyFont="1" applyFill="1" applyBorder="1" applyAlignment="1">
      <alignment horizontal="left" vertical="top"/>
    </xf>
    <xf numFmtId="166" fontId="67" fillId="29" borderId="1" xfId="1" applyNumberFormat="1" applyFont="1" applyFill="1" applyBorder="1" applyAlignment="1">
      <alignment vertical="top"/>
    </xf>
    <xf numFmtId="39" fontId="67" fillId="14" borderId="1" xfId="0" applyNumberFormat="1" applyFont="1" applyFill="1" applyBorder="1" applyAlignment="1">
      <alignment vertical="top" wrapText="1"/>
    </xf>
    <xf numFmtId="165" fontId="2" fillId="0" borderId="0" xfId="0" applyNumberFormat="1" applyFont="1" applyAlignment="1">
      <alignment vertical="top"/>
    </xf>
    <xf numFmtId="0" fontId="16" fillId="0" borderId="0" xfId="0" applyFont="1" applyFill="1" applyAlignment="1">
      <alignment horizontal="center" vertical="top"/>
    </xf>
    <xf numFmtId="9" fontId="2" fillId="0" borderId="0" xfId="3" applyNumberFormat="1" applyFont="1" applyAlignment="1">
      <alignment vertical="top"/>
    </xf>
    <xf numFmtId="0" fontId="7" fillId="0" borderId="11" xfId="0" applyFont="1" applyBorder="1" applyAlignment="1">
      <alignment vertical="top"/>
    </xf>
    <xf numFmtId="0" fontId="7" fillId="0" borderId="15" xfId="0" applyFont="1" applyBorder="1" applyAlignment="1">
      <alignment vertical="top"/>
    </xf>
    <xf numFmtId="0" fontId="7" fillId="0" borderId="14" xfId="0" applyFont="1" applyBorder="1" applyAlignment="1">
      <alignment vertical="top"/>
    </xf>
    <xf numFmtId="180" fontId="7" fillId="0" borderId="0" xfId="0" applyNumberFormat="1" applyFont="1" applyAlignment="1">
      <alignment vertical="top"/>
    </xf>
    <xf numFmtId="0" fontId="9" fillId="0" borderId="0" xfId="0" applyFont="1" applyAlignment="1">
      <alignment horizontal="center" vertical="top"/>
    </xf>
    <xf numFmtId="165" fontId="7" fillId="0" borderId="0" xfId="1" applyFont="1" applyAlignment="1">
      <alignment vertical="top"/>
    </xf>
    <xf numFmtId="166" fontId="67" fillId="0" borderId="0" xfId="1" applyNumberFormat="1" applyFont="1" applyFill="1" applyBorder="1" applyAlignment="1">
      <alignment vertical="top"/>
    </xf>
    <xf numFmtId="0" fontId="2" fillId="0" borderId="12" xfId="0" applyFont="1" applyBorder="1" applyAlignment="1">
      <alignment vertical="top"/>
    </xf>
    <xf numFmtId="0" fontId="2" fillId="0" borderId="13" xfId="0" applyFont="1" applyBorder="1" applyAlignment="1">
      <alignment vertical="top"/>
    </xf>
    <xf numFmtId="165" fontId="5" fillId="0" borderId="16" xfId="10" applyNumberFormat="1" applyFont="1" applyFill="1" applyBorder="1" applyAlignment="1">
      <alignment horizontal="right" vertical="center"/>
    </xf>
    <xf numFmtId="39" fontId="16" fillId="0" borderId="0" xfId="0" applyNumberFormat="1" applyFont="1" applyAlignment="1">
      <alignment horizontal="center" vertical="top"/>
    </xf>
    <xf numFmtId="180" fontId="2" fillId="0" borderId="0" xfId="0" applyNumberFormat="1" applyFont="1" applyAlignment="1">
      <alignment vertical="top"/>
    </xf>
    <xf numFmtId="39" fontId="2" fillId="0" borderId="0" xfId="0" applyNumberFormat="1" applyFont="1" applyAlignment="1">
      <alignment vertical="top"/>
    </xf>
    <xf numFmtId="165" fontId="2" fillId="0" borderId="0" xfId="0" applyNumberFormat="1" applyFont="1" applyBorder="1" applyAlignment="1">
      <alignment vertical="top"/>
    </xf>
    <xf numFmtId="0" fontId="16" fillId="0" borderId="0" xfId="0" applyFont="1" applyBorder="1" applyAlignment="1">
      <alignment horizontal="center" vertical="top"/>
    </xf>
    <xf numFmtId="39" fontId="16" fillId="0" borderId="0" xfId="0" applyNumberFormat="1" applyFont="1" applyBorder="1" applyAlignment="1">
      <alignment vertical="top"/>
    </xf>
    <xf numFmtId="165" fontId="2" fillId="0" borderId="0" xfId="0" applyNumberFormat="1" applyFont="1" applyFill="1" applyBorder="1" applyAlignment="1">
      <alignment vertical="top"/>
    </xf>
    <xf numFmtId="9" fontId="2" fillId="0" borderId="0" xfId="3" applyFont="1" applyBorder="1" applyAlignment="1">
      <alignment vertical="top"/>
    </xf>
    <xf numFmtId="165" fontId="2" fillId="0" borderId="0" xfId="0" applyNumberFormat="1" applyFont="1" applyFill="1" applyAlignment="1">
      <alignment vertical="top"/>
    </xf>
    <xf numFmtId="165" fontId="16" fillId="0" borderId="0" xfId="0" applyNumberFormat="1" applyFont="1" applyAlignment="1">
      <alignment horizontal="center" vertical="top"/>
    </xf>
    <xf numFmtId="165" fontId="2" fillId="0" borderId="0" xfId="1" applyFont="1" applyFill="1" applyAlignment="1">
      <alignment vertical="top"/>
    </xf>
    <xf numFmtId="39" fontId="2" fillId="0" borderId="0" xfId="0" applyNumberFormat="1" applyFont="1" applyFill="1" applyAlignment="1">
      <alignment vertical="top"/>
    </xf>
    <xf numFmtId="43" fontId="2" fillId="0" borderId="0" xfId="0" applyNumberFormat="1" applyFont="1" applyFill="1" applyAlignment="1">
      <alignment vertical="top"/>
    </xf>
    <xf numFmtId="43" fontId="16" fillId="0" borderId="0" xfId="0" applyNumberFormat="1" applyFont="1" applyAlignment="1">
      <alignment horizontal="center" vertical="top"/>
    </xf>
    <xf numFmtId="0" fontId="2" fillId="0" borderId="15" xfId="0" applyFont="1" applyFill="1" applyBorder="1" applyAlignment="1">
      <alignment vertical="top"/>
    </xf>
    <xf numFmtId="0" fontId="2" fillId="0" borderId="15" xfId="0" applyFont="1" applyBorder="1" applyAlignment="1">
      <alignment vertical="top"/>
    </xf>
    <xf numFmtId="0" fontId="2" fillId="0" borderId="14" xfId="0" applyFont="1" applyBorder="1" applyAlignment="1">
      <alignment vertical="top"/>
    </xf>
    <xf numFmtId="0" fontId="2" fillId="0" borderId="9" xfId="0" applyFont="1" applyBorder="1" applyAlignment="1">
      <alignment vertical="top"/>
    </xf>
    <xf numFmtId="0" fontId="2" fillId="0" borderId="9" xfId="0" applyFont="1" applyFill="1" applyBorder="1" applyAlignment="1">
      <alignment vertical="top"/>
    </xf>
    <xf numFmtId="0" fontId="2" fillId="0" borderId="10" xfId="0" applyFont="1" applyBorder="1" applyAlignment="1">
      <alignment vertical="top"/>
    </xf>
    <xf numFmtId="176" fontId="56" fillId="0" borderId="1" xfId="11" applyNumberFormat="1" applyFont="1" applyBorder="1" applyAlignment="1">
      <alignment horizontal="left" vertical="center"/>
    </xf>
    <xf numFmtId="166" fontId="56" fillId="0" borderId="1" xfId="11" applyFont="1" applyBorder="1" applyAlignment="1">
      <alignment horizontal="left" vertical="center"/>
    </xf>
    <xf numFmtId="0" fontId="108" fillId="3" borderId="2" xfId="0" applyFont="1" applyFill="1" applyBorder="1" applyAlignment="1">
      <alignment horizontal="center" vertical="center" wrapText="1"/>
    </xf>
    <xf numFmtId="0" fontId="108" fillId="3" borderId="2" xfId="7" applyNumberFormat="1" applyFont="1" applyFill="1" applyBorder="1" applyAlignment="1">
      <alignment horizontal="center" vertical="center" wrapText="1"/>
    </xf>
    <xf numFmtId="0" fontId="108" fillId="32" borderId="2" xfId="7" applyNumberFormat="1" applyFont="1" applyFill="1" applyBorder="1" applyAlignment="1">
      <alignment horizontal="center" vertical="center" wrapText="1"/>
    </xf>
    <xf numFmtId="2" fontId="108" fillId="3" borderId="6" xfId="0" applyNumberFormat="1" applyFont="1" applyFill="1" applyBorder="1" applyAlignment="1">
      <alignment horizontal="center" vertical="center" wrapText="1"/>
    </xf>
    <xf numFmtId="0" fontId="108" fillId="3" borderId="1" xfId="0" applyFont="1" applyFill="1" applyBorder="1" applyAlignment="1">
      <alignment horizontal="righ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32" borderId="4"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08" fillId="33" borderId="3" xfId="0" applyFont="1" applyFill="1" applyBorder="1" applyAlignment="1">
      <alignment horizontal="left" vertical="center"/>
    </xf>
    <xf numFmtId="0" fontId="108" fillId="33" borderId="4" xfId="0" applyFont="1" applyFill="1" applyBorder="1" applyAlignment="1">
      <alignment horizontal="left" vertical="center" wrapText="1"/>
    </xf>
    <xf numFmtId="0" fontId="108" fillId="32" borderId="4" xfId="0" applyFont="1" applyFill="1" applyBorder="1" applyAlignment="1">
      <alignment horizontal="left" vertical="center" wrapText="1"/>
    </xf>
    <xf numFmtId="0" fontId="109" fillId="33" borderId="4" xfId="0" applyFont="1" applyFill="1" applyBorder="1" applyAlignment="1">
      <alignment horizontal="left" vertical="center" wrapText="1"/>
    </xf>
    <xf numFmtId="0" fontId="109" fillId="33" borderId="1" xfId="0" applyFont="1" applyFill="1" applyBorder="1" applyAlignment="1">
      <alignment horizontal="left" vertical="center" wrapText="1"/>
    </xf>
    <xf numFmtId="0" fontId="19" fillId="15" borderId="3" xfId="0" applyFont="1" applyFill="1" applyBorder="1" applyAlignment="1">
      <alignment horizontal="left" vertical="center"/>
    </xf>
    <xf numFmtId="0" fontId="19" fillId="15" borderId="4" xfId="0" applyFont="1" applyFill="1" applyBorder="1" applyAlignment="1">
      <alignment horizontal="center" vertical="center" wrapText="1"/>
    </xf>
    <xf numFmtId="0" fontId="19" fillId="15" borderId="4" xfId="0" applyFont="1" applyFill="1" applyBorder="1" applyAlignment="1">
      <alignment vertical="center" wrapText="1"/>
    </xf>
    <xf numFmtId="0" fontId="108" fillId="15" borderId="4" xfId="0" applyFont="1" applyFill="1" applyBorder="1" applyAlignment="1">
      <alignment horizontal="left" vertical="center" wrapText="1"/>
    </xf>
    <xf numFmtId="0" fontId="109" fillId="15" borderId="4" xfId="0" applyFont="1" applyFill="1" applyBorder="1" applyAlignment="1">
      <alignment horizontal="left" vertical="center" wrapText="1"/>
    </xf>
    <xf numFmtId="0" fontId="109" fillId="15" borderId="1" xfId="0" applyFont="1" applyFill="1" applyBorder="1" applyAlignment="1">
      <alignment horizontal="left" vertical="center" wrapText="1"/>
    </xf>
    <xf numFmtId="0" fontId="19" fillId="0" borderId="3" xfId="0" applyFont="1" applyBorder="1" applyAlignment="1">
      <alignment vertical="center"/>
    </xf>
    <xf numFmtId="0" fontId="19" fillId="0" borderId="4" xfId="0" applyFont="1" applyBorder="1" applyAlignment="1">
      <alignment vertical="center"/>
    </xf>
    <xf numFmtId="0" fontId="19" fillId="8" borderId="1" xfId="0" applyFont="1" applyFill="1" applyBorder="1" applyAlignment="1">
      <alignment vertical="center"/>
    </xf>
    <xf numFmtId="0" fontId="19" fillId="32" borderId="4" xfId="0" applyFont="1" applyFill="1" applyBorder="1" applyAlignment="1">
      <alignment vertical="center"/>
    </xf>
    <xf numFmtId="0" fontId="70" fillId="0" borderId="4" xfId="0" applyFont="1" applyBorder="1" applyAlignment="1">
      <alignment vertical="center"/>
    </xf>
    <xf numFmtId="0" fontId="70" fillId="0" borderId="1" xfId="0" applyFont="1" applyBorder="1" applyAlignment="1">
      <alignment vertical="center"/>
    </xf>
    <xf numFmtId="0" fontId="13" fillId="0" borderId="1" xfId="0" applyFont="1" applyBorder="1" applyAlignment="1">
      <alignment horizontal="justify" vertical="center" wrapText="1"/>
    </xf>
    <xf numFmtId="0" fontId="13" fillId="11" borderId="1" xfId="0" applyFont="1" applyFill="1" applyBorder="1" applyAlignment="1">
      <alignment vertical="center" wrapText="1"/>
    </xf>
    <xf numFmtId="169" fontId="13" fillId="8" borderId="1" xfId="0" applyNumberFormat="1" applyFont="1" applyFill="1" applyBorder="1" applyAlignment="1">
      <alignment vertical="center" wrapText="1"/>
    </xf>
    <xf numFmtId="9" fontId="13" fillId="0" borderId="1" xfId="12" applyFont="1" applyFill="1" applyBorder="1" applyAlignment="1">
      <alignment vertical="center"/>
    </xf>
    <xf numFmtId="0" fontId="13" fillId="34" borderId="1" xfId="0" applyFont="1" applyFill="1" applyBorder="1" applyAlignment="1">
      <alignment vertical="center"/>
    </xf>
    <xf numFmtId="169" fontId="13" fillId="8" borderId="1" xfId="13" applyNumberFormat="1" applyFont="1" applyFill="1" applyBorder="1" applyAlignment="1">
      <alignment horizontal="right" vertical="center" wrapText="1"/>
    </xf>
    <xf numFmtId="39" fontId="13" fillId="34" borderId="1" xfId="11" applyNumberFormat="1" applyFont="1" applyFill="1" applyBorder="1" applyAlignment="1">
      <alignment vertical="center"/>
    </xf>
    <xf numFmtId="39" fontId="13" fillId="8" borderId="1" xfId="11" applyNumberFormat="1" applyFont="1" applyFill="1" applyBorder="1" applyAlignment="1">
      <alignment vertical="center"/>
    </xf>
    <xf numFmtId="39" fontId="13" fillId="32" borderId="1" xfId="11" applyNumberFormat="1" applyFont="1" applyFill="1" applyBorder="1" applyAlignment="1">
      <alignment vertical="center"/>
    </xf>
    <xf numFmtId="0" fontId="110" fillId="0" borderId="3" xfId="0" applyFont="1" applyBorder="1"/>
    <xf numFmtId="9" fontId="110" fillId="0" borderId="1" xfId="3" applyFont="1" applyBorder="1"/>
    <xf numFmtId="0" fontId="14" fillId="14" borderId="1" xfId="0" applyFont="1" applyFill="1" applyBorder="1" applyAlignment="1">
      <alignment horizontal="justify" vertical="center" wrapText="1"/>
    </xf>
    <xf numFmtId="0" fontId="13" fillId="14" borderId="1" xfId="0" applyFont="1" applyFill="1" applyBorder="1" applyAlignment="1">
      <alignment vertical="center" wrapText="1"/>
    </xf>
    <xf numFmtId="0" fontId="13" fillId="14" borderId="1" xfId="0" applyFont="1" applyFill="1" applyBorder="1" applyAlignment="1">
      <alignment horizontal="center" vertical="center" wrapText="1"/>
    </xf>
    <xf numFmtId="0" fontId="13" fillId="14" borderId="1" xfId="0" applyFont="1" applyFill="1" applyBorder="1" applyAlignment="1">
      <alignment horizontal="right" vertical="top" wrapText="1"/>
    </xf>
    <xf numFmtId="169" fontId="13" fillId="14" borderId="1" xfId="0" applyNumberFormat="1" applyFont="1" applyFill="1" applyBorder="1" applyAlignment="1">
      <alignment horizontal="right" vertical="top" wrapText="1"/>
    </xf>
    <xf numFmtId="169" fontId="19" fillId="14" borderId="1" xfId="11" applyNumberFormat="1" applyFont="1" applyFill="1" applyBorder="1"/>
    <xf numFmtId="39" fontId="13" fillId="14" borderId="1" xfId="11" applyNumberFormat="1" applyFont="1" applyFill="1" applyBorder="1" applyAlignment="1">
      <alignment vertical="center"/>
    </xf>
    <xf numFmtId="39" fontId="19" fillId="14" borderId="1" xfId="11" applyNumberFormat="1" applyFont="1" applyFill="1" applyBorder="1" applyAlignment="1">
      <alignment vertical="center"/>
    </xf>
    <xf numFmtId="39" fontId="13" fillId="14" borderId="1" xfId="11" applyNumberFormat="1" applyFont="1" applyFill="1" applyBorder="1"/>
    <xf numFmtId="39" fontId="19" fillId="14" borderId="1" xfId="11" applyNumberFormat="1" applyFont="1" applyFill="1" applyBorder="1"/>
    <xf numFmtId="39" fontId="13" fillId="14" borderId="3" xfId="11" applyNumberFormat="1" applyFont="1" applyFill="1" applyBorder="1"/>
    <xf numFmtId="39" fontId="19" fillId="14" borderId="3" xfId="11" applyNumberFormat="1" applyFont="1" applyFill="1" applyBorder="1"/>
    <xf numFmtId="39" fontId="19" fillId="32" borderId="1" xfId="11" applyNumberFormat="1" applyFont="1" applyFill="1" applyBorder="1"/>
    <xf numFmtId="9" fontId="110" fillId="14" borderId="1" xfId="3" applyFont="1" applyFill="1" applyBorder="1"/>
    <xf numFmtId="0" fontId="19" fillId="0" borderId="3" xfId="0" applyFont="1" applyBorder="1" applyAlignment="1">
      <alignment vertical="center" wrapText="1"/>
    </xf>
    <xf numFmtId="9" fontId="70" fillId="0" borderId="1" xfId="3" applyFont="1" applyBorder="1" applyAlignment="1">
      <alignment vertical="center"/>
    </xf>
    <xf numFmtId="169" fontId="13" fillId="8" borderId="1" xfId="11" applyNumberFormat="1" applyFont="1" applyFill="1" applyBorder="1" applyAlignment="1">
      <alignment vertical="center"/>
    </xf>
    <xf numFmtId="39" fontId="13" fillId="0" borderId="1" xfId="11" applyNumberFormat="1" applyFont="1" applyFill="1" applyBorder="1" applyAlignment="1">
      <alignment vertical="center"/>
    </xf>
    <xf numFmtId="39" fontId="13" fillId="0" borderId="3" xfId="11" applyNumberFormat="1" applyFont="1" applyFill="1" applyBorder="1" applyAlignment="1">
      <alignment vertical="center"/>
    </xf>
    <xf numFmtId="169" fontId="13" fillId="34" borderId="1" xfId="12" applyNumberFormat="1" applyFont="1" applyFill="1" applyBorder="1" applyAlignment="1">
      <alignment vertical="center"/>
    </xf>
    <xf numFmtId="166" fontId="13" fillId="34" borderId="1" xfId="11" applyFont="1" applyFill="1" applyBorder="1" applyAlignment="1">
      <alignment vertical="center"/>
    </xf>
    <xf numFmtId="0" fontId="17" fillId="0" borderId="0" xfId="0" applyFont="1" applyFill="1"/>
    <xf numFmtId="0" fontId="13" fillId="11" borderId="1" xfId="0" applyFont="1" applyFill="1" applyBorder="1" applyAlignment="1">
      <alignment vertical="top" wrapText="1"/>
    </xf>
    <xf numFmtId="169" fontId="13" fillId="8" borderId="1" xfId="11" applyNumberFormat="1" applyFont="1" applyFill="1" applyBorder="1"/>
    <xf numFmtId="166" fontId="13" fillId="0" borderId="1" xfId="11" applyFont="1" applyFill="1" applyBorder="1" applyAlignment="1">
      <alignment vertical="center"/>
    </xf>
    <xf numFmtId="39" fontId="13" fillId="0" borderId="1" xfId="11" applyNumberFormat="1" applyFont="1" applyFill="1" applyBorder="1"/>
    <xf numFmtId="39" fontId="13" fillId="8" borderId="1" xfId="11" applyNumberFormat="1" applyFont="1" applyFill="1" applyBorder="1"/>
    <xf numFmtId="39" fontId="13" fillId="0" borderId="3" xfId="11" applyNumberFormat="1" applyFont="1" applyFill="1" applyBorder="1"/>
    <xf numFmtId="39" fontId="13" fillId="32" borderId="1" xfId="11" applyNumberFormat="1" applyFont="1" applyFill="1" applyBorder="1"/>
    <xf numFmtId="0" fontId="13" fillId="0" borderId="1" xfId="0" applyFont="1" applyBorder="1" applyAlignment="1">
      <alignment horizontal="justify" vertical="center"/>
    </xf>
    <xf numFmtId="0" fontId="13" fillId="11" borderId="4" xfId="0" applyFont="1" applyFill="1" applyBorder="1" applyAlignment="1">
      <alignment horizontal="left" vertical="top" wrapText="1"/>
    </xf>
    <xf numFmtId="0" fontId="13" fillId="0" borderId="4" xfId="0" applyFont="1" applyFill="1" applyBorder="1" applyAlignment="1">
      <alignment horizontal="right" vertical="top" wrapText="1"/>
    </xf>
    <xf numFmtId="169" fontId="13" fillId="8" borderId="1" xfId="0" applyNumberFormat="1" applyFont="1" applyFill="1" applyBorder="1" applyAlignment="1">
      <alignment horizontal="right" vertical="center" wrapText="1"/>
    </xf>
    <xf numFmtId="0" fontId="13" fillId="0" borderId="4" xfId="0" applyFont="1" applyFill="1" applyBorder="1" applyAlignment="1">
      <alignment horizontal="right" vertical="center" wrapText="1"/>
    </xf>
    <xf numFmtId="169" fontId="13" fillId="8" borderId="1" xfId="0" applyNumberFormat="1" applyFont="1" applyFill="1" applyBorder="1" applyAlignment="1">
      <alignment horizontal="right" vertical="top" wrapText="1"/>
    </xf>
    <xf numFmtId="0" fontId="19" fillId="0" borderId="1" xfId="0" applyFont="1" applyBorder="1" applyAlignment="1">
      <alignment vertical="center"/>
    </xf>
    <xf numFmtId="0" fontId="19" fillId="32" borderId="1" xfId="0" applyFont="1" applyFill="1" applyBorder="1" applyAlignment="1">
      <alignment vertical="center"/>
    </xf>
    <xf numFmtId="0" fontId="70" fillId="0" borderId="3" xfId="0" applyFont="1" applyBorder="1" applyAlignment="1">
      <alignment vertical="center"/>
    </xf>
    <xf numFmtId="0" fontId="13" fillId="0" borderId="1" xfId="0" applyFont="1" applyBorder="1" applyAlignment="1">
      <alignment wrapText="1"/>
    </xf>
    <xf numFmtId="0" fontId="13" fillId="35" borderId="1" xfId="0" applyFont="1" applyFill="1" applyBorder="1" applyAlignment="1">
      <alignment vertical="top" wrapText="1"/>
    </xf>
    <xf numFmtId="0" fontId="19" fillId="36" borderId="2" xfId="5" applyFont="1" applyFill="1" applyBorder="1" applyAlignment="1">
      <alignment horizontal="left" vertical="center"/>
    </xf>
    <xf numFmtId="169" fontId="13" fillId="8" borderId="3" xfId="11" applyNumberFormat="1" applyFont="1" applyFill="1" applyBorder="1" applyAlignment="1">
      <alignment horizontal="right" vertical="center"/>
    </xf>
    <xf numFmtId="39" fontId="13" fillId="0" borderId="1" xfId="11" applyNumberFormat="1" applyFont="1" applyFill="1" applyBorder="1" applyAlignment="1">
      <alignment horizontal="right" vertical="center"/>
    </xf>
    <xf numFmtId="0" fontId="13" fillId="0" borderId="4" xfId="0" applyFont="1" applyBorder="1" applyAlignment="1">
      <alignment horizontal="right" vertical="center" wrapText="1"/>
    </xf>
    <xf numFmtId="169" fontId="13" fillId="2" borderId="1" xfId="11" applyNumberFormat="1" applyFont="1" applyFill="1" applyBorder="1"/>
    <xf numFmtId="39" fontId="13" fillId="0" borderId="1" xfId="11" applyNumberFormat="1" applyFont="1" applyFill="1" applyBorder="1" applyAlignment="1">
      <alignment horizontal="right"/>
    </xf>
    <xf numFmtId="0" fontId="13" fillId="0" borderId="1" xfId="0" applyFont="1" applyBorder="1"/>
    <xf numFmtId="0" fontId="19" fillId="36" borderId="2" xfId="5" applyFont="1" applyFill="1" applyBorder="1" applyAlignment="1">
      <alignment horizontal="right" vertical="center"/>
    </xf>
    <xf numFmtId="0" fontId="13" fillId="2" borderId="1" xfId="0" applyFont="1" applyFill="1" applyBorder="1" applyAlignment="1">
      <alignment horizontal="right" vertical="top" wrapText="1"/>
    </xf>
    <xf numFmtId="0" fontId="13" fillId="0" borderId="1" xfId="0" applyFont="1" applyBorder="1" applyAlignment="1">
      <alignment horizontal="right" wrapText="1"/>
    </xf>
    <xf numFmtId="169" fontId="13" fillId="0" borderId="1" xfId="0" applyNumberFormat="1" applyFont="1" applyBorder="1" applyAlignment="1">
      <alignment horizontal="right" wrapText="1"/>
    </xf>
    <xf numFmtId="0" fontId="13" fillId="0" borderId="4" xfId="0" applyFont="1" applyBorder="1" applyAlignment="1">
      <alignment horizontal="right" wrapText="1"/>
    </xf>
    <xf numFmtId="0" fontId="13" fillId="0" borderId="5" xfId="0" applyFont="1" applyBorder="1" applyAlignment="1">
      <alignment horizontal="right" wrapText="1"/>
    </xf>
    <xf numFmtId="0" fontId="16" fillId="0" borderId="1" xfId="0" applyFont="1" applyBorder="1" applyAlignment="1">
      <alignment horizontal="left" vertical="center" wrapText="1"/>
    </xf>
    <xf numFmtId="0" fontId="15" fillId="14" borderId="1" xfId="0" applyFont="1" applyFill="1" applyBorder="1" applyAlignment="1">
      <alignment horizontal="justify" vertical="center" wrapText="1"/>
    </xf>
    <xf numFmtId="0" fontId="2" fillId="14" borderId="1" xfId="0" applyFont="1" applyFill="1" applyBorder="1" applyAlignment="1">
      <alignment vertical="center" wrapText="1"/>
    </xf>
    <xf numFmtId="0" fontId="2" fillId="14" borderId="1" xfId="0" applyFont="1" applyFill="1" applyBorder="1" applyAlignment="1">
      <alignment horizontal="center" vertical="center" wrapText="1"/>
    </xf>
    <xf numFmtId="0" fontId="2" fillId="14" borderId="1" xfId="0" applyFont="1" applyFill="1" applyBorder="1" applyAlignment="1">
      <alignment horizontal="right" vertical="top" wrapText="1"/>
    </xf>
    <xf numFmtId="169" fontId="2" fillId="14" borderId="1" xfId="0" applyNumberFormat="1" applyFont="1" applyFill="1" applyBorder="1" applyAlignment="1">
      <alignment horizontal="right" vertical="top" wrapText="1"/>
    </xf>
    <xf numFmtId="39" fontId="7" fillId="14" borderId="1" xfId="11" applyNumberFormat="1" applyFont="1" applyFill="1" applyBorder="1"/>
    <xf numFmtId="39" fontId="2" fillId="14" borderId="1" xfId="11" applyNumberFormat="1" applyFont="1" applyFill="1" applyBorder="1" applyAlignment="1">
      <alignment vertical="center"/>
    </xf>
    <xf numFmtId="39" fontId="2" fillId="14" borderId="1" xfId="11" applyNumberFormat="1" applyFont="1" applyFill="1" applyBorder="1"/>
    <xf numFmtId="39" fontId="2" fillId="14" borderId="3" xfId="11" applyNumberFormat="1" applyFont="1" applyFill="1" applyBorder="1"/>
    <xf numFmtId="39" fontId="7" fillId="32" borderId="1" xfId="11" applyNumberFormat="1" applyFont="1" applyFill="1" applyBorder="1"/>
    <xf numFmtId="0" fontId="19" fillId="8" borderId="4" xfId="0" applyFont="1" applyFill="1" applyBorder="1" applyAlignment="1">
      <alignment vertical="center"/>
    </xf>
    <xf numFmtId="169" fontId="13" fillId="32" borderId="1" xfId="11" applyNumberFormat="1" applyFont="1" applyFill="1" applyBorder="1"/>
    <xf numFmtId="169" fontId="7" fillId="14" borderId="1" xfId="11" applyNumberFormat="1" applyFont="1" applyFill="1" applyBorder="1"/>
    <xf numFmtId="39" fontId="7" fillId="14" borderId="3" xfId="11" applyNumberFormat="1" applyFont="1" applyFill="1" applyBorder="1"/>
    <xf numFmtId="0" fontId="7" fillId="11" borderId="2" xfId="0" applyFont="1" applyFill="1" applyBorder="1" applyAlignment="1">
      <alignment vertical="center" wrapText="1"/>
    </xf>
    <xf numFmtId="0" fontId="108" fillId="11" borderId="4" xfId="0" applyFont="1" applyFill="1" applyBorder="1" applyAlignment="1">
      <alignment horizontal="left" vertical="center" wrapText="1"/>
    </xf>
    <xf numFmtId="169" fontId="108" fillId="11" borderId="1" xfId="0" applyNumberFormat="1" applyFont="1" applyFill="1" applyBorder="1" applyAlignment="1">
      <alignment horizontal="left" vertical="center" wrapText="1"/>
    </xf>
    <xf numFmtId="0" fontId="108" fillId="11" borderId="1" xfId="0" applyFont="1" applyFill="1" applyBorder="1" applyAlignment="1">
      <alignment vertical="center" wrapText="1"/>
    </xf>
    <xf numFmtId="39" fontId="108" fillId="11" borderId="1" xfId="0" applyNumberFormat="1" applyFont="1" applyFill="1" applyBorder="1" applyAlignment="1">
      <alignment vertical="center" wrapText="1"/>
    </xf>
    <xf numFmtId="169" fontId="108" fillId="11" borderId="4" xfId="0" applyNumberFormat="1" applyFont="1" applyFill="1" applyBorder="1" applyAlignment="1">
      <alignment horizontal="left" vertical="center" wrapText="1"/>
    </xf>
    <xf numFmtId="169" fontId="108" fillId="32" borderId="4" xfId="0" applyNumberFormat="1" applyFont="1" applyFill="1" applyBorder="1" applyAlignment="1">
      <alignment horizontal="left" vertical="center" wrapText="1"/>
    </xf>
    <xf numFmtId="9" fontId="109" fillId="11" borderId="1" xfId="3" applyFont="1" applyFill="1" applyBorder="1" applyAlignment="1">
      <alignment horizontal="right" vertical="center" wrapText="1"/>
    </xf>
    <xf numFmtId="0" fontId="19" fillId="15" borderId="4" xfId="0" applyFont="1" applyFill="1" applyBorder="1" applyAlignment="1">
      <alignment horizontal="left" vertical="center" wrapText="1"/>
    </xf>
    <xf numFmtId="0" fontId="108" fillId="15" borderId="3" xfId="0" applyFont="1" applyFill="1" applyBorder="1" applyAlignment="1">
      <alignment horizontal="left" vertical="center" wrapText="1"/>
    </xf>
    <xf numFmtId="9" fontId="109" fillId="15" borderId="1" xfId="3" applyFont="1" applyFill="1" applyBorder="1" applyAlignment="1">
      <alignment horizontal="left" vertical="center" wrapText="1"/>
    </xf>
    <xf numFmtId="0" fontId="13" fillId="0" borderId="4" xfId="0" applyFont="1" applyBorder="1" applyAlignment="1">
      <alignment vertical="center"/>
    </xf>
    <xf numFmtId="0" fontId="13" fillId="8" borderId="1" xfId="0" applyFont="1" applyFill="1" applyBorder="1" applyAlignment="1">
      <alignment vertical="center"/>
    </xf>
    <xf numFmtId="0" fontId="13" fillId="32" borderId="5" xfId="0" applyFont="1" applyFill="1" applyBorder="1" applyAlignment="1">
      <alignment vertical="center"/>
    </xf>
    <xf numFmtId="169" fontId="13" fillId="8" borderId="1" xfId="0" applyNumberFormat="1" applyFont="1" applyFill="1" applyBorder="1"/>
    <xf numFmtId="169" fontId="13" fillId="32" borderId="1" xfId="0" applyNumberFormat="1" applyFont="1" applyFill="1" applyBorder="1"/>
    <xf numFmtId="169" fontId="19" fillId="14" borderId="1" xfId="0" applyNumberFormat="1" applyFont="1" applyFill="1" applyBorder="1"/>
    <xf numFmtId="169" fontId="19" fillId="32" borderId="1" xfId="0" applyNumberFormat="1" applyFont="1" applyFill="1" applyBorder="1"/>
    <xf numFmtId="169" fontId="19" fillId="14" borderId="3" xfId="0" applyNumberFormat="1" applyFont="1" applyFill="1" applyBorder="1"/>
    <xf numFmtId="0" fontId="13" fillId="8" borderId="5" xfId="0" applyFont="1" applyFill="1" applyBorder="1" applyAlignment="1">
      <alignment vertical="center"/>
    </xf>
    <xf numFmtId="0" fontId="13" fillId="8" borderId="1" xfId="0" applyFont="1" applyFill="1" applyBorder="1"/>
    <xf numFmtId="0" fontId="13" fillId="32" borderId="1" xfId="0" applyFont="1" applyFill="1" applyBorder="1"/>
    <xf numFmtId="169" fontId="13" fillId="8" borderId="1" xfId="0" applyNumberFormat="1" applyFont="1" applyFill="1" applyBorder="1" applyAlignment="1">
      <alignment horizontal="right" wrapText="1"/>
    </xf>
    <xf numFmtId="169" fontId="13" fillId="0" borderId="1" xfId="11" applyNumberFormat="1" applyFont="1" applyFill="1" applyBorder="1"/>
    <xf numFmtId="39" fontId="13" fillId="14" borderId="1" xfId="11" applyNumberFormat="1" applyFont="1" applyFill="1" applyBorder="1" applyAlignment="1">
      <alignment horizontal="right"/>
    </xf>
    <xf numFmtId="39" fontId="19" fillId="14" borderId="1" xfId="11" applyNumberFormat="1" applyFont="1" applyFill="1" applyBorder="1" applyAlignment="1">
      <alignment horizontal="right"/>
    </xf>
    <xf numFmtId="39" fontId="13" fillId="8" borderId="1" xfId="11" applyNumberFormat="1" applyFont="1" applyFill="1" applyBorder="1" applyAlignment="1">
      <alignment horizontal="right"/>
    </xf>
    <xf numFmtId="169" fontId="13" fillId="8" borderId="1" xfId="11" applyNumberFormat="1" applyFont="1" applyFill="1" applyBorder="1" applyAlignment="1">
      <alignment horizontal="right"/>
    </xf>
    <xf numFmtId="0" fontId="13" fillId="8" borderId="4" xfId="0" applyFont="1" applyFill="1" applyBorder="1" applyAlignment="1">
      <alignment vertical="center"/>
    </xf>
    <xf numFmtId="0" fontId="79" fillId="0" borderId="4" xfId="0" applyFont="1" applyBorder="1" applyAlignment="1">
      <alignment vertical="center"/>
    </xf>
    <xf numFmtId="9" fontId="79" fillId="0" borderId="1" xfId="3" applyFont="1" applyBorder="1" applyAlignment="1">
      <alignment vertical="center"/>
    </xf>
    <xf numFmtId="0" fontId="13" fillId="11" borderId="1" xfId="0" applyFont="1" applyFill="1" applyBorder="1" applyAlignment="1">
      <alignment horizontal="left" vertical="center" wrapText="1"/>
    </xf>
    <xf numFmtId="0" fontId="13" fillId="2" borderId="1" xfId="0" applyFont="1" applyFill="1" applyBorder="1" applyAlignment="1">
      <alignment horizontal="right" vertical="center" wrapText="1"/>
    </xf>
    <xf numFmtId="0" fontId="13" fillId="0" borderId="1" xfId="11" applyNumberFormat="1" applyFont="1" applyFill="1" applyBorder="1" applyAlignment="1">
      <alignment vertical="center"/>
    </xf>
    <xf numFmtId="169" fontId="13" fillId="0" borderId="1" xfId="13" applyNumberFormat="1" applyFont="1" applyFill="1" applyBorder="1" applyAlignment="1">
      <alignment vertical="center"/>
    </xf>
    <xf numFmtId="2" fontId="13" fillId="0" borderId="1" xfId="11" applyNumberFormat="1" applyFont="1" applyFill="1" applyBorder="1" applyAlignment="1">
      <alignment vertical="center"/>
    </xf>
    <xf numFmtId="169" fontId="13" fillId="0" borderId="1" xfId="11" applyNumberFormat="1" applyFont="1" applyFill="1" applyBorder="1" applyAlignment="1">
      <alignment vertical="center"/>
    </xf>
    <xf numFmtId="169" fontId="13" fillId="8" borderId="1" xfId="0" applyNumberFormat="1" applyFont="1" applyFill="1" applyBorder="1" applyAlignment="1">
      <alignment vertical="center"/>
    </xf>
    <xf numFmtId="169" fontId="13" fillId="32" borderId="1" xfId="0" applyNumberFormat="1" applyFont="1" applyFill="1" applyBorder="1" applyAlignment="1">
      <alignment vertical="center"/>
    </xf>
    <xf numFmtId="169" fontId="2" fillId="14" borderId="1" xfId="11" applyNumberFormat="1" applyFont="1" applyFill="1" applyBorder="1"/>
    <xf numFmtId="169" fontId="15" fillId="14" borderId="1" xfId="0" applyNumberFormat="1" applyFont="1" applyFill="1" applyBorder="1" applyAlignment="1">
      <alignment horizontal="justify" vertical="center" wrapText="1"/>
    </xf>
    <xf numFmtId="169" fontId="15" fillId="32" borderId="1" xfId="0" applyNumberFormat="1" applyFont="1" applyFill="1" applyBorder="1" applyAlignment="1">
      <alignment horizontal="justify" vertical="center" wrapText="1"/>
    </xf>
    <xf numFmtId="169" fontId="15" fillId="14" borderId="3" xfId="0" applyNumberFormat="1" applyFont="1" applyFill="1" applyBorder="1" applyAlignment="1">
      <alignment horizontal="justify" vertical="center" wrapText="1"/>
    </xf>
    <xf numFmtId="39" fontId="13" fillId="8" borderId="3" xfId="11" applyNumberFormat="1" applyFont="1" applyFill="1" applyBorder="1"/>
    <xf numFmtId="0" fontId="13" fillId="11" borderId="4" xfId="0" applyFont="1" applyFill="1" applyBorder="1" applyAlignment="1">
      <alignment horizontal="left" vertical="center" wrapText="1"/>
    </xf>
    <xf numFmtId="169" fontId="13" fillId="0" borderId="1" xfId="13" applyNumberFormat="1" applyFont="1" applyFill="1" applyBorder="1" applyAlignment="1">
      <alignment horizontal="right" vertical="center"/>
    </xf>
    <xf numFmtId="169" fontId="13" fillId="8" borderId="1" xfId="13" applyNumberFormat="1" applyFont="1" applyFill="1" applyBorder="1" applyAlignment="1">
      <alignment horizontal="right" vertical="center"/>
    </xf>
    <xf numFmtId="169" fontId="7" fillId="14" borderId="1" xfId="11" applyNumberFormat="1" applyFont="1" applyFill="1" applyBorder="1" applyAlignment="1">
      <alignment vertical="center"/>
    </xf>
    <xf numFmtId="39" fontId="16" fillId="14" borderId="1" xfId="11" applyNumberFormat="1" applyFont="1" applyFill="1" applyBorder="1"/>
    <xf numFmtId="169" fontId="19" fillId="14" borderId="1" xfId="0" applyNumberFormat="1" applyFont="1" applyFill="1" applyBorder="1" applyAlignment="1">
      <alignment vertical="center"/>
    </xf>
    <xf numFmtId="169" fontId="19" fillId="32" borderId="1" xfId="0" applyNumberFormat="1" applyFont="1" applyFill="1" applyBorder="1" applyAlignment="1">
      <alignment vertical="center"/>
    </xf>
    <xf numFmtId="169" fontId="19" fillId="14" borderId="3" xfId="0" applyNumberFormat="1" applyFont="1" applyFill="1" applyBorder="1" applyAlignment="1">
      <alignment vertical="center"/>
    </xf>
    <xf numFmtId="39" fontId="16" fillId="0" borderId="1" xfId="11" applyNumberFormat="1" applyFont="1" applyFill="1" applyBorder="1"/>
    <xf numFmtId="39" fontId="16" fillId="8" borderId="3" xfId="11" applyNumberFormat="1" applyFont="1" applyFill="1" applyBorder="1"/>
    <xf numFmtId="0" fontId="92" fillId="0" borderId="3" xfId="0" applyFont="1" applyBorder="1"/>
    <xf numFmtId="9" fontId="92" fillId="0" borderId="1" xfId="3" applyFont="1" applyBorder="1"/>
    <xf numFmtId="0" fontId="13" fillId="35" borderId="4" xfId="0" applyFont="1" applyFill="1" applyBorder="1" applyAlignment="1">
      <alignment horizontal="left" vertical="center" wrapText="1"/>
    </xf>
    <xf numFmtId="0" fontId="13" fillId="2" borderId="1" xfId="0" applyFont="1" applyFill="1" applyBorder="1" applyAlignment="1">
      <alignment horizontal="left" vertical="top" wrapText="1"/>
    </xf>
    <xf numFmtId="169" fontId="13" fillId="0" borderId="1" xfId="13" applyNumberFormat="1" applyFont="1" applyFill="1" applyBorder="1" applyAlignment="1">
      <alignment horizontal="right"/>
    </xf>
    <xf numFmtId="169" fontId="13" fillId="8" borderId="1" xfId="13" applyNumberFormat="1" applyFont="1" applyFill="1" applyBorder="1" applyAlignment="1">
      <alignment horizontal="right"/>
    </xf>
    <xf numFmtId="0" fontId="2" fillId="0" borderId="4" xfId="0" applyFont="1" applyBorder="1" applyAlignment="1">
      <alignment horizontal="right" vertical="center" wrapText="1"/>
    </xf>
    <xf numFmtId="169" fontId="2" fillId="0" borderId="1" xfId="13" applyNumberFormat="1" applyFont="1" applyFill="1" applyBorder="1" applyAlignment="1">
      <alignment horizontal="right"/>
    </xf>
    <xf numFmtId="169" fontId="2" fillId="8" borderId="1" xfId="13" applyNumberFormat="1" applyFont="1" applyFill="1" applyBorder="1" applyAlignment="1">
      <alignment horizontal="right"/>
    </xf>
    <xf numFmtId="0" fontId="13" fillId="0" borderId="1" xfId="0" applyFont="1" applyBorder="1" applyAlignment="1">
      <alignment horizontal="left" vertical="center" wrapText="1"/>
    </xf>
    <xf numFmtId="0" fontId="19" fillId="0" borderId="4" xfId="0" applyFont="1" applyBorder="1" applyAlignment="1">
      <alignment horizontal="left" vertical="center" wrapText="1"/>
    </xf>
    <xf numFmtId="0" fontId="13" fillId="8" borderId="1" xfId="0" applyFont="1" applyFill="1" applyBorder="1" applyAlignment="1">
      <alignment horizontal="left" vertical="center" wrapText="1"/>
    </xf>
    <xf numFmtId="0" fontId="2" fillId="8" borderId="1" xfId="0" applyFont="1" applyFill="1" applyBorder="1" applyAlignment="1">
      <alignment horizontal="right" vertical="center" wrapText="1"/>
    </xf>
    <xf numFmtId="0" fontId="7" fillId="14" borderId="1" xfId="0" applyFont="1" applyFill="1" applyBorder="1" applyAlignment="1">
      <alignment horizontal="right" vertical="center" wrapText="1"/>
    </xf>
    <xf numFmtId="0" fontId="108" fillId="14" borderId="1" xfId="0" applyFont="1" applyFill="1" applyBorder="1" applyAlignment="1">
      <alignment horizontal="left" vertical="center" wrapText="1"/>
    </xf>
    <xf numFmtId="169" fontId="13" fillId="14" borderId="1" xfId="0" applyNumberFormat="1" applyFont="1" applyFill="1" applyBorder="1" applyAlignment="1">
      <alignment vertical="center"/>
    </xf>
    <xf numFmtId="169" fontId="13" fillId="14" borderId="3" xfId="0" applyNumberFormat="1" applyFont="1" applyFill="1" applyBorder="1" applyAlignment="1">
      <alignment vertical="center"/>
    </xf>
    <xf numFmtId="0" fontId="108" fillId="2" borderId="1" xfId="0" applyFont="1" applyFill="1" applyBorder="1" applyAlignment="1">
      <alignment horizontal="left" vertical="center" wrapText="1"/>
    </xf>
    <xf numFmtId="0" fontId="108" fillId="8" borderId="1" xfId="0" applyFont="1" applyFill="1" applyBorder="1" applyAlignment="1">
      <alignment horizontal="left" vertical="center" wrapText="1"/>
    </xf>
    <xf numFmtId="0" fontId="19" fillId="8" borderId="1" xfId="0" applyFont="1" applyFill="1" applyBorder="1" applyAlignment="1">
      <alignment horizontal="left" vertical="center" wrapText="1"/>
    </xf>
    <xf numFmtId="0" fontId="19" fillId="32" borderId="1" xfId="0" applyFont="1" applyFill="1" applyBorder="1" applyAlignment="1">
      <alignment horizontal="left" vertical="center" wrapText="1"/>
    </xf>
    <xf numFmtId="0" fontId="109" fillId="2" borderId="3" xfId="0" applyFont="1" applyFill="1" applyBorder="1" applyAlignment="1">
      <alignment horizontal="left" vertical="center" wrapText="1"/>
    </xf>
    <xf numFmtId="9" fontId="109" fillId="2" borderId="1" xfId="3" applyFont="1" applyFill="1" applyBorder="1" applyAlignment="1">
      <alignment horizontal="left" vertical="center" wrapText="1"/>
    </xf>
    <xf numFmtId="0" fontId="13" fillId="13" borderId="1" xfId="0" applyFont="1" applyFill="1" applyBorder="1" applyAlignment="1">
      <alignment horizontal="left" vertical="center" wrapText="1"/>
    </xf>
    <xf numFmtId="169" fontId="2" fillId="0" borderId="1" xfId="13" applyNumberFormat="1" applyFont="1" applyFill="1" applyBorder="1" applyAlignment="1">
      <alignment horizontal="right" vertical="center"/>
    </xf>
    <xf numFmtId="169" fontId="2" fillId="8" borderId="1" xfId="13" applyNumberFormat="1" applyFont="1" applyFill="1" applyBorder="1" applyAlignment="1">
      <alignment horizontal="right" vertical="center"/>
    </xf>
    <xf numFmtId="0" fontId="2" fillId="37" borderId="1" xfId="0" applyFont="1" applyFill="1" applyBorder="1" applyAlignment="1">
      <alignment horizontal="left" vertical="center" wrapText="1"/>
    </xf>
    <xf numFmtId="0" fontId="2" fillId="2" borderId="1" xfId="0" applyFont="1" applyFill="1" applyBorder="1" applyAlignment="1">
      <alignment horizontal="right" vertical="top" wrapText="1"/>
    </xf>
    <xf numFmtId="0" fontId="2" fillId="0" borderId="3" xfId="0" applyFont="1" applyBorder="1" applyAlignment="1">
      <alignment horizontal="left" vertical="center" wrapText="1"/>
    </xf>
    <xf numFmtId="0" fontId="2" fillId="11" borderId="1" xfId="0" applyFont="1" applyFill="1" applyBorder="1" applyAlignment="1">
      <alignment horizontal="left" vertical="center" wrapText="1"/>
    </xf>
    <xf numFmtId="169" fontId="7" fillId="32" borderId="1" xfId="11" applyNumberFormat="1" applyFont="1" applyFill="1" applyBorder="1"/>
    <xf numFmtId="169" fontId="7" fillId="14" borderId="3" xfId="11" applyNumberFormat="1" applyFont="1" applyFill="1" applyBorder="1"/>
    <xf numFmtId="0" fontId="108" fillId="11" borderId="1" xfId="0" applyFont="1" applyFill="1" applyBorder="1" applyAlignment="1">
      <alignment horizontal="left" vertical="center" wrapText="1"/>
    </xf>
    <xf numFmtId="166" fontId="108" fillId="11" borderId="1" xfId="11" applyFont="1" applyFill="1" applyBorder="1" applyAlignment="1">
      <alignment horizontal="left" vertical="center" wrapText="1"/>
    </xf>
    <xf numFmtId="171" fontId="108" fillId="11" borderId="1" xfId="0" applyNumberFormat="1" applyFont="1" applyFill="1" applyBorder="1" applyAlignment="1">
      <alignment horizontal="left" vertical="center" wrapText="1"/>
    </xf>
    <xf numFmtId="0" fontId="19" fillId="32" borderId="5" xfId="0" applyFont="1" applyFill="1" applyBorder="1" applyAlignment="1">
      <alignment horizontal="left" vertical="center" wrapText="1"/>
    </xf>
    <xf numFmtId="0" fontId="109" fillId="15" borderId="3" xfId="0" applyFont="1" applyFill="1" applyBorder="1" applyAlignment="1">
      <alignment horizontal="left" vertical="center" wrapText="1"/>
    </xf>
    <xf numFmtId="0" fontId="13" fillId="0" borderId="3" xfId="0" applyFont="1" applyBorder="1" applyAlignment="1">
      <alignment vertical="center"/>
    </xf>
    <xf numFmtId="0" fontId="13" fillId="35" borderId="1" xfId="0" applyFont="1" applyFill="1" applyBorder="1" applyAlignment="1">
      <alignment horizontal="left" vertical="center" wrapText="1"/>
    </xf>
    <xf numFmtId="169" fontId="2" fillId="8" borderId="1" xfId="11" applyNumberFormat="1" applyFont="1" applyFill="1" applyBorder="1"/>
    <xf numFmtId="169" fontId="19" fillId="14" borderId="1" xfId="0" applyNumberFormat="1" applyFont="1" applyFill="1" applyBorder="1" applyAlignment="1">
      <alignment horizontal="justify" vertical="center" wrapText="1"/>
    </xf>
    <xf numFmtId="169" fontId="2" fillId="14" borderId="1" xfId="0" applyNumberFormat="1" applyFont="1" applyFill="1" applyBorder="1" applyAlignment="1">
      <alignment horizontal="justify" vertical="center" wrapText="1"/>
    </xf>
    <xf numFmtId="169" fontId="2" fillId="8" borderId="1" xfId="11" applyNumberFormat="1" applyFont="1" applyFill="1" applyBorder="1" applyAlignment="1">
      <alignment vertical="center"/>
    </xf>
    <xf numFmtId="0" fontId="13" fillId="0" borderId="5" xfId="0" applyFont="1" applyBorder="1" applyAlignment="1">
      <alignment vertical="center"/>
    </xf>
    <xf numFmtId="0" fontId="2" fillId="2" borderId="1" xfId="0" applyFont="1" applyFill="1" applyBorder="1" applyAlignment="1">
      <alignment horizontal="justify" vertical="center" wrapText="1"/>
    </xf>
    <xf numFmtId="181" fontId="13" fillId="2" borderId="1" xfId="0" applyNumberFormat="1" applyFont="1" applyFill="1" applyBorder="1" applyAlignment="1">
      <alignment vertical="center" wrapText="1"/>
    </xf>
    <xf numFmtId="181" fontId="2" fillId="2" borderId="1" xfId="0" applyNumberFormat="1" applyFont="1" applyFill="1" applyBorder="1" applyAlignment="1">
      <alignment vertical="center" wrapText="1"/>
    </xf>
    <xf numFmtId="171" fontId="19" fillId="2" borderId="1" xfId="0" applyNumberFormat="1" applyFont="1" applyFill="1" applyBorder="1" applyAlignment="1">
      <alignment horizontal="left" vertical="center" wrapText="1"/>
    </xf>
    <xf numFmtId="0" fontId="19" fillId="2" borderId="1" xfId="0" applyFont="1" applyFill="1" applyBorder="1" applyAlignment="1">
      <alignment horizontal="left" vertical="center" wrapText="1"/>
    </xf>
    <xf numFmtId="0" fontId="2" fillId="11" borderId="1" xfId="0" applyFont="1" applyFill="1" applyBorder="1" applyAlignment="1">
      <alignment vertical="top" wrapText="1"/>
    </xf>
    <xf numFmtId="169" fontId="7" fillId="14" borderId="1" xfId="13" applyNumberFormat="1" applyFont="1" applyFill="1" applyBorder="1" applyAlignment="1">
      <alignment horizontal="justify" vertical="center" wrapText="1"/>
    </xf>
    <xf numFmtId="0" fontId="2" fillId="2" borderId="0" xfId="0" applyFont="1" applyFill="1"/>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19" fillId="5" borderId="1" xfId="0" applyFont="1" applyFill="1" applyBorder="1" applyAlignment="1">
      <alignment vertical="center" wrapText="1"/>
    </xf>
    <xf numFmtId="2" fontId="19" fillId="5" borderId="1" xfId="0" applyNumberFormat="1" applyFont="1" applyFill="1" applyBorder="1" applyAlignment="1">
      <alignment vertical="center" wrapText="1"/>
    </xf>
    <xf numFmtId="166" fontId="19" fillId="5" borderId="1" xfId="11" applyFont="1" applyFill="1" applyBorder="1" applyAlignment="1">
      <alignment vertical="center" wrapText="1"/>
    </xf>
    <xf numFmtId="166" fontId="19" fillId="32" borderId="1" xfId="11" applyFont="1" applyFill="1" applyBorder="1" applyAlignment="1">
      <alignment vertical="center" wrapText="1"/>
    </xf>
    <xf numFmtId="0" fontId="49" fillId="5" borderId="3" xfId="0" applyFont="1" applyFill="1" applyBorder="1" applyAlignment="1">
      <alignment vertical="center" wrapText="1"/>
    </xf>
    <xf numFmtId="9" fontId="49" fillId="5" borderId="1" xfId="3" applyFont="1" applyFill="1" applyBorder="1" applyAlignment="1">
      <alignment vertical="center" wrapText="1"/>
    </xf>
    <xf numFmtId="0" fontId="7" fillId="2" borderId="1" xfId="9" applyNumberFormat="1" applyFont="1" applyFill="1" applyBorder="1" applyAlignment="1">
      <alignment horizontal="left" vertical="center" wrapText="1"/>
    </xf>
    <xf numFmtId="166" fontId="13" fillId="2" borderId="1" xfId="11" applyFont="1" applyFill="1" applyBorder="1" applyAlignment="1">
      <alignment horizontal="left" vertical="top" wrapText="1"/>
    </xf>
    <xf numFmtId="166" fontId="2" fillId="8" borderId="1" xfId="11" applyFont="1" applyFill="1" applyBorder="1" applyAlignment="1">
      <alignment vertical="center"/>
    </xf>
    <xf numFmtId="39" fontId="2" fillId="2" borderId="1" xfId="11" applyNumberFormat="1" applyFont="1" applyFill="1" applyBorder="1"/>
    <xf numFmtId="37" fontId="2" fillId="2" borderId="1" xfId="11" applyNumberFormat="1" applyFont="1" applyFill="1" applyBorder="1" applyAlignment="1">
      <alignment vertical="center"/>
    </xf>
    <xf numFmtId="39" fontId="2" fillId="2" borderId="1" xfId="11" applyNumberFormat="1" applyFont="1" applyFill="1" applyBorder="1" applyAlignment="1">
      <alignment vertical="center"/>
    </xf>
    <xf numFmtId="39" fontId="2" fillId="8" borderId="1" xfId="11" applyNumberFormat="1" applyFont="1" applyFill="1" applyBorder="1" applyAlignment="1">
      <alignment vertical="center"/>
    </xf>
    <xf numFmtId="39" fontId="2" fillId="2" borderId="3" xfId="11" applyNumberFormat="1" applyFont="1" applyFill="1" applyBorder="1" applyAlignment="1">
      <alignment vertical="center"/>
    </xf>
    <xf numFmtId="39" fontId="7" fillId="8" borderId="1" xfId="11" applyNumberFormat="1" applyFont="1" applyFill="1" applyBorder="1" applyAlignment="1">
      <alignment vertical="center"/>
    </xf>
    <xf numFmtId="39" fontId="7" fillId="32" borderId="1" xfId="11" applyNumberFormat="1" applyFont="1" applyFill="1" applyBorder="1" applyAlignment="1">
      <alignment vertical="center"/>
    </xf>
    <xf numFmtId="0" fontId="25" fillId="2" borderId="3" xfId="0" applyFont="1" applyFill="1" applyBorder="1"/>
    <xf numFmtId="9" fontId="25" fillId="2" borderId="1" xfId="3" applyFont="1" applyFill="1" applyBorder="1"/>
    <xf numFmtId="0" fontId="13" fillId="2" borderId="1" xfId="14" applyFont="1" applyFill="1" applyBorder="1" applyAlignment="1">
      <alignment horizontal="left" vertical="center" wrapText="1"/>
    </xf>
    <xf numFmtId="0" fontId="2" fillId="37" borderId="1" xfId="0" applyFont="1" applyFill="1" applyBorder="1" applyAlignment="1">
      <alignment vertical="top" wrapText="1"/>
    </xf>
    <xf numFmtId="9" fontId="13" fillId="2" borderId="1" xfId="0" applyNumberFormat="1" applyFont="1" applyFill="1" applyBorder="1" applyAlignment="1">
      <alignment horizontal="center" vertical="center"/>
    </xf>
    <xf numFmtId="166" fontId="2" fillId="2" borderId="1" xfId="11" applyFont="1" applyFill="1" applyBorder="1" applyAlignment="1">
      <alignment vertical="center"/>
    </xf>
    <xf numFmtId="176" fontId="2" fillId="2" borderId="1" xfId="11" applyNumberFormat="1" applyFont="1" applyFill="1" applyBorder="1" applyAlignment="1">
      <alignment vertical="center"/>
    </xf>
    <xf numFmtId="37" fontId="2" fillId="0" borderId="1" xfId="11" applyNumberFormat="1" applyFont="1" applyFill="1" applyBorder="1" applyAlignment="1">
      <alignment vertical="center"/>
    </xf>
    <xf numFmtId="166" fontId="2" fillId="0" borderId="1" xfId="11" applyFont="1" applyFill="1" applyBorder="1" applyAlignment="1">
      <alignment vertical="center"/>
    </xf>
    <xf numFmtId="0" fontId="2" fillId="35" borderId="1" xfId="0" applyFont="1" applyFill="1" applyBorder="1" applyAlignment="1">
      <alignment vertical="top" wrapText="1"/>
    </xf>
    <xf numFmtId="166" fontId="13" fillId="0" borderId="1" xfId="11" applyFont="1" applyFill="1" applyBorder="1" applyAlignment="1">
      <alignment horizontal="left" vertical="top" wrapText="1"/>
    </xf>
    <xf numFmtId="9" fontId="13" fillId="2" borderId="1" xfId="0" applyNumberFormat="1" applyFont="1" applyFill="1" applyBorder="1" applyAlignment="1">
      <alignment horizontal="center"/>
    </xf>
    <xf numFmtId="166" fontId="13" fillId="2" borderId="1" xfId="11" applyFont="1" applyFill="1" applyBorder="1" applyAlignment="1">
      <alignment vertical="top" wrapText="1"/>
    </xf>
    <xf numFmtId="39" fontId="2" fillId="0" borderId="1" xfId="11" applyNumberFormat="1" applyFont="1" applyFill="1" applyBorder="1" applyAlignment="1">
      <alignment vertical="center"/>
    </xf>
    <xf numFmtId="39" fontId="7" fillId="32" borderId="3" xfId="11" applyNumberFormat="1" applyFont="1" applyFill="1" applyBorder="1" applyAlignment="1">
      <alignment vertical="center"/>
    </xf>
    <xf numFmtId="0" fontId="112" fillId="2" borderId="1" xfId="0" applyFont="1" applyFill="1" applyBorder="1" applyAlignment="1">
      <alignment horizontal="left"/>
    </xf>
    <xf numFmtId="0" fontId="112" fillId="0" borderId="1" xfId="0" applyFont="1" applyFill="1" applyBorder="1"/>
    <xf numFmtId="0" fontId="112" fillId="2" borderId="1" xfId="0" applyFont="1" applyFill="1" applyBorder="1" applyAlignment="1">
      <alignment horizontal="left" wrapText="1"/>
    </xf>
    <xf numFmtId="0" fontId="112" fillId="2" borderId="1" xfId="15" applyFont="1" applyFill="1" applyBorder="1" applyAlignment="1">
      <alignment horizontal="left"/>
    </xf>
    <xf numFmtId="166" fontId="13" fillId="0" borderId="1" xfId="11" applyFont="1" applyFill="1" applyBorder="1" applyAlignment="1">
      <alignment vertical="top" wrapText="1"/>
    </xf>
    <xf numFmtId="0" fontId="112" fillId="2" borderId="1" xfId="15" applyFont="1" applyFill="1" applyBorder="1" applyAlignment="1">
      <alignment horizontal="left" wrapText="1"/>
    </xf>
    <xf numFmtId="0" fontId="112" fillId="2" borderId="1" xfId="0" applyFont="1" applyFill="1" applyBorder="1"/>
    <xf numFmtId="0" fontId="2" fillId="2" borderId="1" xfId="0" applyFont="1" applyFill="1" applyBorder="1" applyAlignment="1">
      <alignment wrapText="1"/>
    </xf>
    <xf numFmtId="166" fontId="2" fillId="2" borderId="1" xfId="11" applyFont="1" applyFill="1" applyBorder="1" applyAlignment="1">
      <alignment wrapText="1"/>
    </xf>
    <xf numFmtId="0" fontId="112" fillId="2" borderId="1" xfId="15" applyFont="1" applyFill="1" applyBorder="1" applyAlignment="1">
      <alignment horizontal="left" vertical="center" wrapText="1"/>
    </xf>
    <xf numFmtId="166" fontId="2" fillId="0" borderId="1" xfId="11" applyFont="1" applyFill="1" applyBorder="1" applyAlignment="1">
      <alignment wrapText="1"/>
    </xf>
    <xf numFmtId="0" fontId="2" fillId="0" borderId="1" xfId="0" applyFont="1" applyFill="1" applyBorder="1" applyAlignment="1">
      <alignment wrapText="1"/>
    </xf>
    <xf numFmtId="9" fontId="13" fillId="0" borderId="1" xfId="0" applyNumberFormat="1" applyFont="1" applyFill="1" applyBorder="1" applyAlignment="1">
      <alignment horizontal="center" vertical="center"/>
    </xf>
    <xf numFmtId="39" fontId="2" fillId="0" borderId="1" xfId="11" applyNumberFormat="1" applyFont="1" applyFill="1" applyBorder="1"/>
    <xf numFmtId="0" fontId="13" fillId="2" borderId="1" xfId="15" applyFont="1" applyFill="1" applyBorder="1" applyAlignment="1">
      <alignment horizontal="left" vertical="top" wrapText="1"/>
    </xf>
    <xf numFmtId="0" fontId="112" fillId="0" borderId="1" xfId="0" applyFont="1" applyFill="1" applyBorder="1" applyAlignment="1">
      <alignment vertical="center"/>
    </xf>
    <xf numFmtId="0" fontId="2" fillId="2" borderId="1" xfId="15" applyFont="1" applyFill="1" applyBorder="1" applyAlignment="1">
      <alignment horizontal="left" vertical="top" wrapText="1"/>
    </xf>
    <xf numFmtId="166" fontId="14" fillId="9" borderId="1" xfId="11" applyFont="1" applyFill="1" applyBorder="1" applyAlignment="1">
      <alignment vertical="top" wrapText="1"/>
    </xf>
    <xf numFmtId="166" fontId="15" fillId="9" borderId="1" xfId="11" applyFont="1" applyFill="1" applyBorder="1"/>
    <xf numFmtId="39" fontId="15" fillId="9" borderId="1" xfId="11" applyNumberFormat="1" applyFont="1" applyFill="1" applyBorder="1"/>
    <xf numFmtId="39" fontId="15" fillId="9" borderId="1" xfId="11" applyNumberFormat="1" applyFont="1" applyFill="1" applyBorder="1" applyAlignment="1">
      <alignment vertical="center"/>
    </xf>
    <xf numFmtId="39" fontId="15" fillId="9" borderId="3" xfId="11" applyNumberFormat="1" applyFont="1" applyFill="1" applyBorder="1" applyAlignment="1">
      <alignment vertical="center"/>
    </xf>
    <xf numFmtId="39" fontId="15" fillId="32" borderId="1" xfId="11" applyNumberFormat="1" applyFont="1" applyFill="1" applyBorder="1" applyAlignment="1">
      <alignment vertical="center"/>
    </xf>
    <xf numFmtId="0" fontId="19" fillId="11" borderId="1" xfId="0" applyFont="1" applyFill="1" applyBorder="1" applyAlignment="1">
      <alignment horizontal="left" vertical="top" wrapText="1"/>
    </xf>
    <xf numFmtId="4" fontId="14" fillId="11" borderId="1" xfId="0" applyNumberFormat="1" applyFont="1" applyFill="1" applyBorder="1" applyAlignment="1">
      <alignment horizontal="center" vertical="top" wrapText="1"/>
    </xf>
    <xf numFmtId="166" fontId="24" fillId="11" borderId="1" xfId="11" applyFont="1" applyFill="1" applyBorder="1"/>
    <xf numFmtId="39" fontId="14" fillId="11" borderId="1" xfId="11" applyNumberFormat="1" applyFont="1" applyFill="1" applyBorder="1"/>
    <xf numFmtId="2" fontId="14" fillId="11" borderId="1" xfId="11" applyNumberFormat="1" applyFont="1" applyFill="1" applyBorder="1"/>
    <xf numFmtId="2" fontId="14" fillId="11" borderId="1" xfId="11" applyNumberFormat="1" applyFont="1" applyFill="1" applyBorder="1" applyAlignment="1">
      <alignment horizontal="center"/>
    </xf>
    <xf numFmtId="4" fontId="54" fillId="11" borderId="1" xfId="11" applyNumberFormat="1" applyFont="1" applyFill="1" applyBorder="1" applyAlignment="1">
      <alignment horizontal="center"/>
    </xf>
    <xf numFmtId="166" fontId="24" fillId="32" borderId="1" xfId="11" applyFont="1" applyFill="1" applyBorder="1"/>
    <xf numFmtId="166" fontId="24" fillId="11" borderId="3" xfId="11" applyFont="1" applyFill="1" applyBorder="1"/>
    <xf numFmtId="9" fontId="14" fillId="11" borderId="1" xfId="3" applyFont="1" applyFill="1" applyBorder="1"/>
    <xf numFmtId="0" fontId="7" fillId="11" borderId="8" xfId="5" applyFont="1" applyFill="1" applyBorder="1" applyAlignment="1">
      <alignment horizontal="left" vertical="center"/>
    </xf>
    <xf numFmtId="0" fontId="2" fillId="11" borderId="14" xfId="5" applyFont="1" applyFill="1" applyBorder="1" applyAlignment="1">
      <alignment horizontal="left" vertical="center"/>
    </xf>
    <xf numFmtId="0" fontId="2" fillId="11" borderId="1" xfId="5" applyFont="1" applyFill="1" applyBorder="1" applyAlignment="1">
      <alignment horizontal="left" vertical="center"/>
    </xf>
    <xf numFmtId="0" fontId="2" fillId="11" borderId="1" xfId="0" applyFont="1" applyFill="1" applyBorder="1" applyAlignment="1">
      <alignment horizontal="right" vertical="top" wrapText="1"/>
    </xf>
    <xf numFmtId="181" fontId="2" fillId="11" borderId="1" xfId="0" applyNumberFormat="1" applyFont="1" applyFill="1" applyBorder="1" applyAlignment="1">
      <alignment vertical="top" wrapText="1"/>
    </xf>
    <xf numFmtId="9" fontId="2" fillId="11" borderId="8" xfId="12" applyFont="1" applyFill="1" applyBorder="1"/>
    <xf numFmtId="176" fontId="7" fillId="11" borderId="8" xfId="11" applyNumberFormat="1" applyFont="1" applyFill="1" applyBorder="1" applyAlignment="1">
      <alignment vertical="center"/>
    </xf>
    <xf numFmtId="39" fontId="2" fillId="11" borderId="8" xfId="11" applyNumberFormat="1" applyFont="1" applyFill="1" applyBorder="1"/>
    <xf numFmtId="169" fontId="2" fillId="11" borderId="8" xfId="12" applyNumberFormat="1" applyFont="1" applyFill="1" applyBorder="1"/>
    <xf numFmtId="169" fontId="108" fillId="32" borderId="15" xfId="0" applyNumberFormat="1" applyFont="1" applyFill="1" applyBorder="1" applyAlignment="1">
      <alignment horizontal="left" vertical="center" wrapText="1"/>
    </xf>
    <xf numFmtId="0" fontId="7" fillId="38" borderId="3" xfId="0" applyFont="1" applyFill="1" applyBorder="1" applyAlignment="1">
      <alignment horizontal="left" vertical="center" wrapText="1"/>
    </xf>
    <xf numFmtId="0" fontId="7" fillId="38" borderId="4" xfId="0" applyFont="1" applyFill="1" applyBorder="1" applyAlignment="1">
      <alignment horizontal="left" vertical="center" wrapText="1"/>
    </xf>
    <xf numFmtId="0" fontId="7" fillId="38" borderId="0" xfId="0" applyFont="1" applyFill="1" applyBorder="1" applyAlignment="1">
      <alignment vertical="center" wrapText="1"/>
    </xf>
    <xf numFmtId="0" fontId="7" fillId="38" borderId="1" xfId="0" applyFont="1" applyFill="1" applyBorder="1" applyAlignment="1">
      <alignment vertical="center" wrapText="1"/>
    </xf>
    <xf numFmtId="0" fontId="7" fillId="38" borderId="3" xfId="0" applyFont="1" applyFill="1" applyBorder="1" applyAlignment="1">
      <alignment vertical="center" wrapText="1"/>
    </xf>
    <xf numFmtId="0" fontId="7" fillId="39" borderId="1" xfId="0" applyFont="1" applyFill="1" applyBorder="1" applyAlignment="1">
      <alignment vertical="center" wrapText="1"/>
    </xf>
    <xf numFmtId="0" fontId="95" fillId="38" borderId="3" xfId="0" applyFont="1" applyFill="1" applyBorder="1" applyAlignment="1">
      <alignment vertical="center" wrapText="1"/>
    </xf>
    <xf numFmtId="9" fontId="95" fillId="38" borderId="1" xfId="3" applyFont="1" applyFill="1" applyBorder="1" applyAlignment="1">
      <alignment vertical="center" wrapText="1"/>
    </xf>
    <xf numFmtId="0" fontId="7" fillId="40" borderId="3" xfId="0" applyFont="1" applyFill="1" applyBorder="1" applyAlignment="1">
      <alignment vertical="center" wrapText="1"/>
    </xf>
    <xf numFmtId="0" fontId="7" fillId="40" borderId="4" xfId="0" applyFont="1" applyFill="1" applyBorder="1" applyAlignment="1">
      <alignment vertical="center" wrapText="1"/>
    </xf>
    <xf numFmtId="9" fontId="2" fillId="15" borderId="1" xfId="12" applyFont="1" applyFill="1" applyBorder="1"/>
    <xf numFmtId="176" fontId="7" fillId="15" borderId="1" xfId="11" applyNumberFormat="1" applyFont="1" applyFill="1" applyBorder="1" applyAlignment="1">
      <alignment vertical="center"/>
    </xf>
    <xf numFmtId="176" fontId="15" fillId="15" borderId="1" xfId="0" applyNumberFormat="1" applyFont="1" applyFill="1" applyBorder="1" applyAlignment="1">
      <alignment horizontal="left" vertical="top" wrapText="1"/>
    </xf>
    <xf numFmtId="176" fontId="15" fillId="32" borderId="1" xfId="0" applyNumberFormat="1" applyFont="1" applyFill="1" applyBorder="1" applyAlignment="1">
      <alignment horizontal="left" vertical="top" wrapText="1"/>
    </xf>
    <xf numFmtId="9" fontId="91" fillId="15" borderId="3" xfId="12" applyFont="1" applyFill="1" applyBorder="1"/>
    <xf numFmtId="9" fontId="91" fillId="15" borderId="1" xfId="3" applyFont="1" applyFill="1" applyBorder="1"/>
    <xf numFmtId="0" fontId="108" fillId="41" borderId="4" xfId="0" applyFont="1" applyFill="1" applyBorder="1" applyAlignment="1">
      <alignment wrapText="1"/>
    </xf>
    <xf numFmtId="0" fontId="108" fillId="42" borderId="1" xfId="0" applyFont="1" applyFill="1" applyBorder="1" applyAlignment="1">
      <alignment vertical="center" wrapText="1"/>
    </xf>
    <xf numFmtId="9" fontId="114" fillId="2" borderId="1" xfId="12" applyFont="1" applyFill="1" applyBorder="1"/>
    <xf numFmtId="176" fontId="108" fillId="2" borderId="1" xfId="11" applyNumberFormat="1" applyFont="1" applyFill="1" applyBorder="1" applyAlignment="1">
      <alignment vertical="center"/>
    </xf>
    <xf numFmtId="176" fontId="24" fillId="2" borderId="1" xfId="0" applyNumberFormat="1" applyFont="1" applyFill="1" applyBorder="1" applyAlignment="1">
      <alignment horizontal="left" vertical="top" wrapText="1"/>
    </xf>
    <xf numFmtId="176" fontId="24" fillId="32" borderId="1" xfId="0" applyNumberFormat="1" applyFont="1" applyFill="1" applyBorder="1" applyAlignment="1">
      <alignment horizontal="left" vertical="top" wrapText="1"/>
    </xf>
    <xf numFmtId="9" fontId="115" fillId="2" borderId="3" xfId="12" applyFont="1" applyFill="1" applyBorder="1"/>
    <xf numFmtId="9" fontId="115" fillId="2" borderId="1" xfId="3" applyFont="1" applyFill="1" applyBorder="1"/>
    <xf numFmtId="0" fontId="91" fillId="31" borderId="1" xfId="0" applyFont="1" applyFill="1" applyBorder="1" applyAlignment="1">
      <alignment horizontal="left"/>
    </xf>
    <xf numFmtId="0" fontId="13" fillId="33" borderId="1" xfId="0" applyFont="1" applyFill="1" applyBorder="1" applyAlignment="1">
      <alignment horizontal="left" vertical="top" wrapText="1"/>
    </xf>
    <xf numFmtId="0" fontId="2" fillId="42" borderId="2" xfId="16" applyFont="1" applyFill="1" applyBorder="1" applyAlignment="1">
      <alignment horizontal="left" vertical="center" wrapText="1"/>
    </xf>
    <xf numFmtId="167" fontId="2" fillId="2" borderId="1" xfId="11" applyNumberFormat="1" applyFont="1" applyFill="1" applyBorder="1" applyAlignment="1">
      <alignment horizontal="center"/>
    </xf>
    <xf numFmtId="167" fontId="2" fillId="2" borderId="1" xfId="11" applyNumberFormat="1" applyFont="1" applyFill="1" applyBorder="1" applyAlignment="1">
      <alignment horizontal="right"/>
    </xf>
    <xf numFmtId="38" fontId="2" fillId="2" borderId="1" xfId="11" applyNumberFormat="1" applyFont="1" applyFill="1" applyBorder="1" applyAlignment="1">
      <alignment horizontal="right"/>
    </xf>
    <xf numFmtId="38" fontId="2" fillId="8" borderId="1" xfId="11" applyNumberFormat="1" applyFont="1" applyFill="1" applyBorder="1" applyAlignment="1">
      <alignment horizontal="right"/>
    </xf>
    <xf numFmtId="0" fontId="7" fillId="0" borderId="1" xfId="0" applyFont="1" applyFill="1" applyBorder="1"/>
    <xf numFmtId="0" fontId="7" fillId="0" borderId="3" xfId="0" applyFont="1" applyFill="1" applyBorder="1"/>
    <xf numFmtId="169" fontId="2" fillId="32" borderId="1" xfId="0" applyNumberFormat="1" applyFont="1" applyFill="1" applyBorder="1" applyAlignment="1">
      <alignment vertical="center"/>
    </xf>
    <xf numFmtId="0" fontId="91" fillId="31" borderId="1" xfId="17" applyFont="1" applyFill="1" applyBorder="1" applyAlignment="1">
      <alignment horizontal="left"/>
    </xf>
    <xf numFmtId="0" fontId="2" fillId="0" borderId="1" xfId="16" applyFont="1" applyFill="1" applyBorder="1" applyAlignment="1">
      <alignment vertical="top" wrapText="1"/>
    </xf>
    <xf numFmtId="0" fontId="2" fillId="42" borderId="1" xfId="16" applyFont="1" applyFill="1" applyBorder="1" applyAlignment="1">
      <alignment horizontal="left" vertical="center" wrapText="1"/>
    </xf>
    <xf numFmtId="38" fontId="2" fillId="2" borderId="4" xfId="11" applyNumberFormat="1" applyFont="1" applyFill="1" applyBorder="1" applyAlignment="1">
      <alignment horizontal="right"/>
    </xf>
    <xf numFmtId="169" fontId="2" fillId="32" borderId="3" xfId="0" applyNumberFormat="1" applyFont="1" applyFill="1" applyBorder="1" applyAlignment="1">
      <alignment vertical="center"/>
    </xf>
    <xf numFmtId="0" fontId="2" fillId="0" borderId="3" xfId="0" applyFont="1" applyBorder="1" applyAlignment="1">
      <alignment horizontal="left" vertical="center"/>
    </xf>
    <xf numFmtId="0" fontId="7" fillId="0" borderId="1" xfId="0" applyFont="1" applyFill="1" applyBorder="1" applyAlignment="1">
      <alignment vertical="center" wrapText="1"/>
    </xf>
    <xf numFmtId="166" fontId="2" fillId="0" borderId="1" xfId="11" applyFont="1" applyFill="1" applyBorder="1" applyAlignment="1">
      <alignment horizontal="center" vertical="center"/>
    </xf>
    <xf numFmtId="166" fontId="2" fillId="8" borderId="1" xfId="11" applyFont="1" applyFill="1" applyBorder="1" applyAlignment="1">
      <alignment vertical="center" wrapText="1"/>
    </xf>
    <xf numFmtId="166" fontId="2" fillId="0" borderId="1" xfId="11" applyFont="1" applyBorder="1" applyAlignment="1">
      <alignment horizontal="center" vertical="center"/>
    </xf>
    <xf numFmtId="165" fontId="7" fillId="8" borderId="1" xfId="0" applyNumberFormat="1" applyFont="1" applyFill="1" applyBorder="1" applyAlignment="1">
      <alignment vertical="center" wrapText="1"/>
    </xf>
    <xf numFmtId="0" fontId="7" fillId="43" borderId="4" xfId="0" applyFont="1" applyFill="1" applyBorder="1" applyAlignment="1">
      <alignment horizontal="left" wrapText="1"/>
    </xf>
    <xf numFmtId="0" fontId="7" fillId="43" borderId="1" xfId="0" applyFont="1" applyFill="1" applyBorder="1" applyAlignment="1">
      <alignment horizontal="left" wrapText="1"/>
    </xf>
    <xf numFmtId="176" fontId="7" fillId="43" borderId="1" xfId="11" applyNumberFormat="1" applyFont="1" applyFill="1" applyBorder="1" applyAlignment="1">
      <alignment vertical="center" wrapText="1"/>
    </xf>
    <xf numFmtId="9" fontId="7" fillId="9" borderId="1" xfId="12" applyFont="1" applyFill="1" applyBorder="1"/>
    <xf numFmtId="0" fontId="7" fillId="9" borderId="3" xfId="0" applyFont="1" applyFill="1" applyBorder="1"/>
    <xf numFmtId="169" fontId="7" fillId="9" borderId="1" xfId="0" applyNumberFormat="1" applyFont="1" applyFill="1" applyBorder="1"/>
    <xf numFmtId="169" fontId="7" fillId="32" borderId="3" xfId="0" applyNumberFormat="1" applyFont="1" applyFill="1" applyBorder="1"/>
    <xf numFmtId="169" fontId="7" fillId="9" borderId="3" xfId="0" applyNumberFormat="1" applyFont="1" applyFill="1" applyBorder="1"/>
    <xf numFmtId="9" fontId="95" fillId="9" borderId="1" xfId="3" applyFont="1" applyFill="1" applyBorder="1"/>
    <xf numFmtId="0" fontId="7" fillId="40" borderId="3" xfId="0" applyFont="1" applyFill="1" applyBorder="1" applyAlignment="1">
      <alignment vertical="center"/>
    </xf>
    <xf numFmtId="0" fontId="7" fillId="40" borderId="4" xfId="0" applyFont="1" applyFill="1" applyBorder="1" applyAlignment="1">
      <alignment vertical="center"/>
    </xf>
    <xf numFmtId="0" fontId="7" fillId="40" borderId="5" xfId="0" applyFont="1" applyFill="1" applyBorder="1" applyAlignment="1">
      <alignment vertical="center"/>
    </xf>
    <xf numFmtId="0" fontId="7" fillId="39" borderId="5" xfId="0" applyFont="1" applyFill="1" applyBorder="1" applyAlignment="1">
      <alignment vertical="center"/>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8" xfId="0" applyFont="1" applyFill="1" applyBorder="1" applyAlignment="1">
      <alignment horizontal="left" vertical="center"/>
    </xf>
    <xf numFmtId="0" fontId="2" fillId="0" borderId="3" xfId="5" applyFont="1" applyBorder="1" applyAlignment="1">
      <alignment horizontal="left" vertical="center"/>
    </xf>
    <xf numFmtId="37" fontId="15" fillId="0" borderId="1" xfId="11" applyNumberFormat="1" applyFont="1" applyFill="1" applyBorder="1" applyAlignment="1">
      <alignment vertical="center"/>
    </xf>
    <xf numFmtId="175" fontId="2" fillId="0" borderId="1" xfId="6" applyNumberFormat="1" applyFont="1" applyFill="1" applyBorder="1" applyAlignment="1">
      <alignment horizontal="center" vertical="center"/>
    </xf>
    <xf numFmtId="0" fontId="2" fillId="0" borderId="1" xfId="5" applyFont="1" applyFill="1" applyBorder="1" applyAlignment="1">
      <alignment horizontal="center" vertical="center"/>
    </xf>
    <xf numFmtId="166" fontId="2" fillId="8" borderId="4" xfId="11" applyFont="1" applyFill="1" applyBorder="1" applyAlignment="1">
      <alignment vertical="center" wrapText="1"/>
    </xf>
    <xf numFmtId="39" fontId="15" fillId="0" borderId="1" xfId="11" applyNumberFormat="1" applyFont="1" applyFill="1" applyBorder="1"/>
    <xf numFmtId="39" fontId="15" fillId="0" borderId="3" xfId="11" applyNumberFormat="1" applyFont="1" applyFill="1" applyBorder="1" applyAlignment="1">
      <alignment vertical="center"/>
    </xf>
    <xf numFmtId="9" fontId="23" fillId="0" borderId="1" xfId="3" applyFont="1" applyFill="1" applyBorder="1"/>
    <xf numFmtId="0" fontId="2" fillId="43" borderId="4" xfId="0" applyFont="1" applyFill="1" applyBorder="1" applyAlignment="1">
      <alignment wrapText="1"/>
    </xf>
    <xf numFmtId="0" fontId="2" fillId="43" borderId="1" xfId="0" applyFont="1" applyFill="1" applyBorder="1" applyAlignment="1">
      <alignment wrapText="1"/>
    </xf>
    <xf numFmtId="1" fontId="2" fillId="43" borderId="9" xfId="11" applyNumberFormat="1" applyFont="1" applyFill="1" applyBorder="1" applyAlignment="1">
      <alignment horizontal="right"/>
    </xf>
    <xf numFmtId="0" fontId="2" fillId="43" borderId="4" xfId="0" applyFont="1" applyFill="1" applyBorder="1" applyAlignment="1">
      <alignment vertical="center" wrapText="1"/>
    </xf>
    <xf numFmtId="166" fontId="7" fillId="43" borderId="1" xfId="11" applyFont="1" applyFill="1" applyBorder="1" applyAlignment="1">
      <alignment vertical="center" wrapText="1"/>
    </xf>
    <xf numFmtId="0" fontId="7" fillId="43" borderId="1" xfId="0" applyFont="1" applyFill="1" applyBorder="1" applyAlignment="1">
      <alignment vertical="center" wrapText="1"/>
    </xf>
    <xf numFmtId="166" fontId="7" fillId="39" borderId="1" xfId="11" applyFont="1" applyFill="1" applyBorder="1" applyAlignment="1">
      <alignment vertical="center" wrapText="1"/>
    </xf>
    <xf numFmtId="166" fontId="7" fillId="43" borderId="3" xfId="11" applyFont="1" applyFill="1" applyBorder="1" applyAlignment="1">
      <alignment vertical="center" wrapText="1"/>
    </xf>
    <xf numFmtId="9" fontId="95" fillId="43" borderId="1" xfId="3" applyFont="1" applyFill="1" applyBorder="1" applyAlignment="1">
      <alignment vertical="center" wrapText="1"/>
    </xf>
    <xf numFmtId="0" fontId="95" fillId="40" borderId="4" xfId="0" applyFont="1" applyFill="1" applyBorder="1" applyAlignment="1">
      <alignment vertical="center"/>
    </xf>
    <xf numFmtId="9" fontId="95" fillId="40" borderId="1" xfId="3" applyFont="1" applyFill="1" applyBorder="1" applyAlignment="1">
      <alignment vertical="center"/>
    </xf>
    <xf numFmtId="0" fontId="2" fillId="16" borderId="1" xfId="5" applyFont="1" applyFill="1" applyBorder="1" applyAlignment="1" applyProtection="1">
      <alignment horizontal="left" vertical="center"/>
    </xf>
    <xf numFmtId="0" fontId="2" fillId="44" borderId="8" xfId="0" applyFont="1" applyFill="1" applyBorder="1" applyAlignment="1">
      <alignment horizontal="left" vertical="center"/>
    </xf>
    <xf numFmtId="0" fontId="2" fillId="36" borderId="1" xfId="0" applyFont="1" applyFill="1" applyBorder="1" applyAlignment="1">
      <alignment horizontal="left" vertical="center" wrapText="1"/>
    </xf>
    <xf numFmtId="1" fontId="2" fillId="0" borderId="2" xfId="11" applyNumberFormat="1" applyFont="1" applyFill="1" applyBorder="1" applyAlignment="1">
      <alignment horizontal="right"/>
    </xf>
    <xf numFmtId="0" fontId="2" fillId="0" borderId="1" xfId="0" applyFont="1" applyFill="1" applyBorder="1" applyAlignment="1">
      <alignment horizontal="right" vertical="center" wrapText="1"/>
    </xf>
    <xf numFmtId="166" fontId="2" fillId="45" borderId="3" xfId="11" applyFont="1" applyFill="1" applyBorder="1" applyAlignment="1">
      <alignment vertical="center" wrapText="1"/>
    </xf>
    <xf numFmtId="0" fontId="2" fillId="0" borderId="1" xfId="5" applyFont="1" applyBorder="1" applyAlignment="1">
      <alignment horizontal="right" vertical="center"/>
    </xf>
    <xf numFmtId="175" fontId="2" fillId="0" borderId="1" xfId="6" applyNumberFormat="1" applyFont="1" applyFill="1" applyBorder="1" applyAlignment="1">
      <alignment horizontal="right" vertical="center"/>
    </xf>
    <xf numFmtId="0" fontId="2" fillId="0" borderId="1" xfId="5" applyFont="1" applyFill="1" applyBorder="1" applyAlignment="1">
      <alignment horizontal="right" vertical="center"/>
    </xf>
    <xf numFmtId="165" fontId="2" fillId="8" borderId="4" xfId="0" applyNumberFormat="1" applyFont="1" applyFill="1" applyBorder="1" applyAlignment="1">
      <alignment vertical="center" wrapText="1"/>
    </xf>
    <xf numFmtId="44" fontId="2" fillId="8" borderId="1" xfId="13" applyFont="1" applyFill="1" applyBorder="1" applyAlignment="1">
      <alignment vertical="center"/>
    </xf>
    <xf numFmtId="44" fontId="2" fillId="32" borderId="1" xfId="13" applyFont="1" applyFill="1" applyBorder="1" applyAlignment="1">
      <alignment vertical="center"/>
    </xf>
    <xf numFmtId="0" fontId="2" fillId="43" borderId="4" xfId="0" applyFont="1" applyFill="1" applyBorder="1" applyAlignment="1">
      <alignment horizontal="left" wrapText="1"/>
    </xf>
    <xf numFmtId="1" fontId="2" fillId="43" borderId="1" xfId="11" applyNumberFormat="1" applyFont="1" applyFill="1" applyBorder="1" applyAlignment="1">
      <alignment horizontal="right"/>
    </xf>
    <xf numFmtId="166" fontId="7" fillId="43" borderId="1" xfId="11" applyFont="1" applyFill="1" applyBorder="1" applyAlignment="1">
      <alignment horizontal="right"/>
    </xf>
    <xf numFmtId="166" fontId="7" fillId="39" borderId="1" xfId="11" applyFont="1" applyFill="1" applyBorder="1" applyAlignment="1">
      <alignment horizontal="right"/>
    </xf>
    <xf numFmtId="166" fontId="7" fillId="43" borderId="3" xfId="11" applyFont="1" applyFill="1" applyBorder="1" applyAlignment="1">
      <alignment horizontal="right"/>
    </xf>
    <xf numFmtId="0" fontId="7" fillId="40" borderId="4" xfId="0" applyFont="1" applyFill="1" applyBorder="1" applyAlignment="1">
      <alignment horizontal="left" vertical="center"/>
    </xf>
    <xf numFmtId="0" fontId="2" fillId="0" borderId="4" xfId="0" applyFont="1" applyFill="1" applyBorder="1" applyAlignment="1">
      <alignment horizontal="left"/>
    </xf>
    <xf numFmtId="0" fontId="2" fillId="37" borderId="8" xfId="0" applyFont="1" applyFill="1" applyBorder="1" applyAlignment="1">
      <alignment horizontal="left" vertical="center"/>
    </xf>
    <xf numFmtId="0" fontId="2" fillId="0" borderId="14" xfId="0" applyFont="1" applyFill="1" applyBorder="1" applyAlignment="1">
      <alignment horizontal="left" vertical="top" wrapText="1"/>
    </xf>
    <xf numFmtId="176" fontId="2" fillId="8" borderId="3" xfId="11" applyNumberFormat="1" applyFont="1" applyFill="1" applyBorder="1" applyAlignment="1">
      <alignment horizontal="right" vertical="top" wrapText="1"/>
    </xf>
    <xf numFmtId="0" fontId="7" fillId="43" borderId="1" xfId="0" applyFont="1" applyFill="1" applyBorder="1" applyAlignment="1">
      <alignment horizontal="right" vertical="center"/>
    </xf>
    <xf numFmtId="0" fontId="7" fillId="43" borderId="4" xfId="0" applyFont="1" applyFill="1" applyBorder="1" applyAlignment="1">
      <alignment horizontal="right" vertical="center"/>
    </xf>
    <xf numFmtId="0" fontId="15" fillId="43" borderId="4" xfId="0" applyFont="1" applyFill="1" applyBorder="1" applyAlignment="1">
      <alignment horizontal="left" vertical="top" wrapText="1"/>
    </xf>
    <xf numFmtId="0" fontId="15" fillId="43" borderId="4" xfId="0" applyFont="1" applyFill="1" applyBorder="1" applyAlignment="1">
      <alignment vertical="top" wrapText="1"/>
    </xf>
    <xf numFmtId="37" fontId="7" fillId="43" borderId="1" xfId="11" applyNumberFormat="1" applyFont="1" applyFill="1" applyBorder="1" applyAlignment="1"/>
    <xf numFmtId="37" fontId="7" fillId="43" borderId="3" xfId="11" applyNumberFormat="1" applyFont="1" applyFill="1" applyBorder="1" applyAlignment="1"/>
    <xf numFmtId="169" fontId="7" fillId="43" borderId="1" xfId="0" applyNumberFormat="1" applyFont="1" applyFill="1" applyBorder="1" applyAlignment="1">
      <alignment vertical="center" wrapText="1"/>
    </xf>
    <xf numFmtId="169" fontId="7" fillId="39" borderId="1" xfId="0" applyNumberFormat="1" applyFont="1" applyFill="1" applyBorder="1" applyAlignment="1">
      <alignment vertical="center" wrapText="1"/>
    </xf>
    <xf numFmtId="169" fontId="7" fillId="43" borderId="3" xfId="0" applyNumberFormat="1" applyFont="1" applyFill="1" applyBorder="1" applyAlignment="1">
      <alignment vertical="center" wrapText="1"/>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2" fillId="35" borderId="8" xfId="0" applyFont="1" applyFill="1" applyBorder="1" applyAlignment="1">
      <alignment horizontal="left" vertical="center"/>
    </xf>
    <xf numFmtId="37" fontId="2" fillId="8" borderId="3" xfId="11" applyNumberFormat="1" applyFont="1" applyFill="1" applyBorder="1" applyAlignment="1">
      <alignment vertical="center"/>
    </xf>
    <xf numFmtId="0" fontId="2" fillId="0" borderId="3" xfId="0" applyFont="1" applyFill="1" applyBorder="1"/>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1" fontId="2" fillId="0" borderId="2" xfId="11" applyNumberFormat="1" applyFont="1" applyFill="1" applyBorder="1" applyAlignment="1">
      <alignment horizontal="right" vertical="center"/>
    </xf>
    <xf numFmtId="0" fontId="2" fillId="35" borderId="15" xfId="0" applyFont="1" applyFill="1" applyBorder="1" applyAlignment="1">
      <alignment horizontal="left" vertical="center"/>
    </xf>
    <xf numFmtId="1" fontId="2" fillId="0" borderId="1" xfId="11" applyNumberFormat="1" applyFont="1" applyFill="1" applyBorder="1" applyAlignment="1">
      <alignment horizontal="right" vertical="center"/>
    </xf>
    <xf numFmtId="0" fontId="7" fillId="43" borderId="4" xfId="0" applyFont="1" applyFill="1" applyBorder="1" applyAlignment="1">
      <alignment wrapText="1"/>
    </xf>
    <xf numFmtId="0" fontId="7" fillId="43" borderId="1" xfId="0" applyFont="1" applyFill="1" applyBorder="1" applyAlignment="1">
      <alignment wrapText="1"/>
    </xf>
    <xf numFmtId="37" fontId="7" fillId="43" borderId="1" xfId="11" applyNumberFormat="1" applyFont="1" applyFill="1" applyBorder="1"/>
    <xf numFmtId="37" fontId="7" fillId="43" borderId="3" xfId="11" applyNumberFormat="1" applyFont="1" applyFill="1" applyBorder="1"/>
    <xf numFmtId="0" fontId="7" fillId="0" borderId="3"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8" xfId="0" applyFont="1" applyFill="1" applyBorder="1" applyAlignment="1">
      <alignment horizontal="right" vertical="center"/>
    </xf>
    <xf numFmtId="0" fontId="2" fillId="0" borderId="14" xfId="0" applyFont="1" applyFill="1" applyBorder="1" applyAlignment="1">
      <alignment horizontal="right" vertical="top" wrapText="1"/>
    </xf>
    <xf numFmtId="0" fontId="2" fillId="8" borderId="3" xfId="0" applyFont="1" applyFill="1" applyBorder="1" applyAlignment="1">
      <alignment vertical="top" wrapText="1"/>
    </xf>
    <xf numFmtId="0" fontId="2" fillId="8" borderId="3" xfId="0" applyFont="1" applyFill="1" applyBorder="1"/>
    <xf numFmtId="0" fontId="2" fillId="32" borderId="3" xfId="0" applyFont="1" applyFill="1" applyBorder="1"/>
    <xf numFmtId="166" fontId="91" fillId="2" borderId="3" xfId="11" applyFont="1" applyFill="1" applyBorder="1"/>
    <xf numFmtId="9" fontId="91" fillId="2" borderId="1" xfId="3" applyFont="1" applyFill="1" applyBorder="1"/>
    <xf numFmtId="0" fontId="7" fillId="0" borderId="4" xfId="0" applyFont="1" applyFill="1" applyBorder="1" applyAlignment="1">
      <alignment vertical="center"/>
    </xf>
    <xf numFmtId="0" fontId="7" fillId="0" borderId="15" xfId="0" applyFont="1" applyFill="1" applyBorder="1" applyAlignment="1">
      <alignment vertical="center"/>
    </xf>
    <xf numFmtId="0" fontId="7" fillId="0" borderId="5" xfId="0" applyFont="1" applyFill="1" applyBorder="1" applyAlignment="1">
      <alignment vertical="center"/>
    </xf>
    <xf numFmtId="0" fontId="7" fillId="32" borderId="4" xfId="0" applyFont="1" applyFill="1" applyBorder="1" applyAlignment="1">
      <alignment vertical="center"/>
    </xf>
    <xf numFmtId="0" fontId="95" fillId="0" borderId="4" xfId="0" applyFont="1" applyFill="1" applyBorder="1" applyAlignment="1">
      <alignment vertical="center"/>
    </xf>
    <xf numFmtId="9" fontId="95" fillId="0" borderId="1" xfId="3" applyFont="1" applyFill="1" applyBorder="1" applyAlignment="1">
      <alignment vertical="center"/>
    </xf>
    <xf numFmtId="0" fontId="91" fillId="0" borderId="1" xfId="17" applyFont="1" applyFill="1" applyBorder="1" applyAlignment="1">
      <alignment horizontal="justify" wrapText="1"/>
    </xf>
    <xf numFmtId="0" fontId="2" fillId="0" borderId="1" xfId="0" applyFont="1" applyFill="1" applyBorder="1" applyAlignment="1">
      <alignment horizontal="left" vertical="center"/>
    </xf>
    <xf numFmtId="0" fontId="2" fillId="46" borderId="8" xfId="0" applyFont="1" applyFill="1" applyBorder="1" applyAlignment="1">
      <alignment horizontal="left" vertical="center"/>
    </xf>
    <xf numFmtId="167" fontId="91" fillId="0" borderId="1" xfId="18" applyNumberFormat="1" applyFont="1" applyFill="1" applyBorder="1" applyAlignment="1">
      <alignment horizontal="center" vertical="center"/>
    </xf>
    <xf numFmtId="166" fontId="2" fillId="8" borderId="3" xfId="11" applyFont="1" applyFill="1" applyBorder="1"/>
    <xf numFmtId="166" fontId="2" fillId="8" borderId="3" xfId="11" applyFont="1" applyFill="1" applyBorder="1" applyAlignment="1">
      <alignment vertical="center"/>
    </xf>
    <xf numFmtId="166" fontId="2" fillId="32" borderId="3" xfId="11" applyFont="1" applyFill="1" applyBorder="1" applyAlignment="1">
      <alignment vertical="center"/>
    </xf>
    <xf numFmtId="0" fontId="91" fillId="2" borderId="1" xfId="17" applyFont="1" applyFill="1" applyBorder="1" applyAlignment="1">
      <alignment horizontal="justify" wrapText="1"/>
    </xf>
    <xf numFmtId="167" fontId="91" fillId="2" borderId="1" xfId="18" applyNumberFormat="1" applyFont="1" applyFill="1" applyBorder="1" applyAlignment="1">
      <alignment horizontal="center" vertical="center"/>
    </xf>
    <xf numFmtId="0" fontId="2" fillId="0" borderId="1" xfId="0" applyFont="1" applyFill="1" applyBorder="1" applyAlignment="1">
      <alignment horizontal="left" wrapText="1"/>
    </xf>
    <xf numFmtId="43" fontId="2" fillId="0" borderId="3" xfId="0" applyNumberFormat="1" applyFont="1" applyFill="1" applyBorder="1"/>
    <xf numFmtId="0" fontId="2" fillId="0" borderId="8" xfId="0" applyFont="1" applyFill="1" applyBorder="1" applyAlignment="1">
      <alignment horizontal="left" vertical="center" wrapText="1"/>
    </xf>
    <xf numFmtId="0" fontId="2" fillId="0" borderId="1" xfId="5" applyFont="1" applyBorder="1" applyAlignment="1">
      <alignment horizontal="left" vertical="center"/>
    </xf>
    <xf numFmtId="0" fontId="2" fillId="0" borderId="14" xfId="0" applyFont="1" applyFill="1" applyBorder="1" applyAlignment="1">
      <alignment wrapText="1"/>
    </xf>
    <xf numFmtId="0" fontId="2" fillId="0" borderId="14" xfId="5" applyFont="1" applyBorder="1" applyAlignment="1">
      <alignment horizontal="left" vertical="center"/>
    </xf>
    <xf numFmtId="0" fontId="15" fillId="43" borderId="1" xfId="0" applyFont="1" applyFill="1" applyBorder="1" applyAlignment="1">
      <alignment vertical="top" wrapText="1"/>
    </xf>
    <xf numFmtId="0" fontId="7" fillId="43" borderId="14" xfId="0" applyFont="1" applyFill="1" applyBorder="1" applyAlignment="1">
      <alignment horizontal="right" vertical="center"/>
    </xf>
    <xf numFmtId="0" fontId="7" fillId="43" borderId="8" xfId="0" applyFont="1" applyFill="1" applyBorder="1" applyAlignment="1">
      <alignment horizontal="right" vertical="center"/>
    </xf>
    <xf numFmtId="0" fontId="15" fillId="43" borderId="14" xfId="0" applyFont="1" applyFill="1" applyBorder="1" applyAlignment="1">
      <alignment vertical="top" wrapText="1"/>
    </xf>
    <xf numFmtId="37" fontId="7" fillId="43" borderId="3" xfId="11" applyNumberFormat="1" applyFont="1" applyFill="1" applyBorder="1" applyAlignment="1">
      <alignment horizontal="right"/>
    </xf>
    <xf numFmtId="37" fontId="7" fillId="39" borderId="3" xfId="11" applyNumberFormat="1" applyFont="1" applyFill="1" applyBorder="1" applyAlignment="1">
      <alignment horizontal="right"/>
    </xf>
    <xf numFmtId="0" fontId="7" fillId="47" borderId="3" xfId="0" applyFont="1" applyFill="1" applyBorder="1" applyAlignment="1">
      <alignment vertical="center"/>
    </xf>
    <xf numFmtId="0" fontId="7" fillId="47" borderId="4" xfId="0" applyFont="1" applyFill="1" applyBorder="1" applyAlignment="1">
      <alignment vertical="center"/>
    </xf>
    <xf numFmtId="0" fontId="7" fillId="47" borderId="5" xfId="0" applyFont="1" applyFill="1" applyBorder="1" applyAlignment="1">
      <alignment vertical="center"/>
    </xf>
    <xf numFmtId="0" fontId="15" fillId="47" borderId="1" xfId="0" applyFont="1" applyFill="1" applyBorder="1" applyAlignment="1">
      <alignment horizontal="left" vertical="top" wrapText="1"/>
    </xf>
    <xf numFmtId="37" fontId="15" fillId="47" borderId="1" xfId="0" applyNumberFormat="1" applyFont="1" applyFill="1" applyBorder="1" applyAlignment="1">
      <alignment horizontal="left" vertical="top" wrapText="1"/>
    </xf>
    <xf numFmtId="169" fontId="19" fillId="11" borderId="1" xfId="0" applyNumberFormat="1" applyFont="1" applyFill="1" applyBorder="1" applyAlignment="1">
      <alignment vertical="center"/>
    </xf>
    <xf numFmtId="9" fontId="2" fillId="11" borderId="1" xfId="12" applyFont="1" applyFill="1" applyBorder="1"/>
    <xf numFmtId="165" fontId="2" fillId="11" borderId="3" xfId="0" applyNumberFormat="1" applyFont="1" applyFill="1" applyBorder="1"/>
    <xf numFmtId="169" fontId="19" fillId="32" borderId="3" xfId="0" applyNumberFormat="1" applyFont="1" applyFill="1" applyBorder="1" applyAlignment="1">
      <alignment vertical="center"/>
    </xf>
    <xf numFmtId="169" fontId="19" fillId="11" borderId="3" xfId="0" applyNumberFormat="1" applyFont="1" applyFill="1" applyBorder="1" applyAlignment="1">
      <alignment vertical="center"/>
    </xf>
    <xf numFmtId="9" fontId="96" fillId="11" borderId="1" xfId="3" applyFont="1" applyFill="1" applyBorder="1"/>
    <xf numFmtId="0" fontId="7" fillId="4" borderId="11" xfId="0" applyFont="1" applyFill="1" applyBorder="1" applyAlignment="1">
      <alignment horizontal="left" vertical="center"/>
    </xf>
    <xf numFmtId="0" fontId="7" fillId="4" borderId="15" xfId="0" applyFont="1" applyFill="1" applyBorder="1" applyAlignment="1">
      <alignment horizontal="left" vertical="center"/>
    </xf>
    <xf numFmtId="0" fontId="7" fillId="4" borderId="14" xfId="0" applyFont="1" applyFill="1" applyBorder="1" applyAlignment="1">
      <alignment horizontal="left" vertical="center"/>
    </xf>
    <xf numFmtId="0" fontId="7" fillId="4" borderId="1" xfId="0" applyFont="1" applyFill="1" applyBorder="1" applyAlignment="1">
      <alignment horizontal="left" vertical="center"/>
    </xf>
    <xf numFmtId="0" fontId="7" fillId="4" borderId="1" xfId="0" applyFont="1" applyFill="1" applyBorder="1" applyAlignment="1">
      <alignment vertical="center" wrapText="1"/>
    </xf>
    <xf numFmtId="1" fontId="7" fillId="4" borderId="1" xfId="0" applyNumberFormat="1" applyFont="1" applyFill="1" applyBorder="1" applyAlignment="1">
      <alignment vertical="center" wrapText="1"/>
    </xf>
    <xf numFmtId="0" fontId="7" fillId="4"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1" fontId="7" fillId="4" borderId="3" xfId="0" applyNumberFormat="1" applyFont="1" applyFill="1" applyBorder="1" applyAlignment="1">
      <alignment horizontal="center" vertical="center" wrapText="1"/>
    </xf>
    <xf numFmtId="1" fontId="7" fillId="32" borderId="3" xfId="0" applyNumberFormat="1" applyFont="1" applyFill="1" applyBorder="1" applyAlignment="1">
      <alignment horizontal="center" vertical="center" wrapText="1"/>
    </xf>
    <xf numFmtId="9" fontId="7" fillId="4" borderId="1" xfId="3" applyFont="1" applyFill="1" applyBorder="1" applyAlignment="1">
      <alignment horizontal="center" vertical="center" wrapText="1"/>
    </xf>
    <xf numFmtId="0" fontId="7" fillId="4" borderId="6" xfId="0" applyFont="1" applyFill="1" applyBorder="1" applyAlignment="1">
      <alignment horizontal="left" vertical="center"/>
    </xf>
    <xf numFmtId="0" fontId="7" fillId="4" borderId="9" xfId="0" applyFont="1" applyFill="1" applyBorder="1" applyAlignment="1">
      <alignment horizontal="left" vertical="center"/>
    </xf>
    <xf numFmtId="0" fontId="7" fillId="4" borderId="10" xfId="0" applyFont="1" applyFill="1" applyBorder="1" applyAlignment="1">
      <alignment horizontal="left" vertical="center"/>
    </xf>
    <xf numFmtId="39" fontId="7" fillId="4" borderId="1" xfId="0" applyNumberFormat="1" applyFont="1" applyFill="1" applyBorder="1" applyAlignment="1">
      <alignment horizontal="left" vertical="center"/>
    </xf>
    <xf numFmtId="39" fontId="7" fillId="4" borderId="1" xfId="0" applyNumberFormat="1" applyFont="1" applyFill="1" applyBorder="1" applyAlignment="1">
      <alignment vertical="center" wrapText="1"/>
    </xf>
    <xf numFmtId="39" fontId="7" fillId="4" borderId="3" xfId="0" applyNumberFormat="1" applyFont="1" applyFill="1" applyBorder="1" applyAlignment="1">
      <alignment vertical="center" wrapText="1"/>
    </xf>
    <xf numFmtId="166" fontId="7" fillId="4" borderId="3" xfId="11" applyFont="1" applyFill="1" applyBorder="1" applyAlignment="1">
      <alignment horizontal="center" vertical="center" wrapText="1"/>
    </xf>
    <xf numFmtId="166" fontId="7" fillId="32" borderId="3" xfId="11" applyFont="1" applyFill="1" applyBorder="1" applyAlignment="1">
      <alignment horizontal="center" vertical="center" wrapText="1"/>
    </xf>
    <xf numFmtId="0" fontId="7" fillId="17" borderId="6" xfId="0" applyFont="1" applyFill="1" applyBorder="1" applyAlignment="1">
      <alignment horizontal="left" vertical="center"/>
    </xf>
    <xf numFmtId="0" fontId="7" fillId="17" borderId="9" xfId="0" applyFont="1" applyFill="1" applyBorder="1" applyAlignment="1">
      <alignment horizontal="left" vertical="center"/>
    </xf>
    <xf numFmtId="0" fontId="2" fillId="17" borderId="9" xfId="0" applyFont="1" applyFill="1" applyBorder="1" applyAlignment="1">
      <alignment horizontal="left" vertical="center" wrapText="1"/>
    </xf>
    <xf numFmtId="0" fontId="2" fillId="17" borderId="10" xfId="0" applyFont="1" applyFill="1" applyBorder="1" applyAlignment="1">
      <alignment horizontal="right" vertical="center"/>
    </xf>
    <xf numFmtId="0" fontId="7" fillId="17" borderId="1" xfId="0" applyFont="1" applyFill="1" applyBorder="1" applyAlignment="1">
      <alignment horizontal="left" vertical="center"/>
    </xf>
    <xf numFmtId="0" fontId="7" fillId="17" borderId="1" xfId="0" applyFont="1" applyFill="1" applyBorder="1" applyAlignment="1">
      <alignment vertical="center" wrapText="1"/>
    </xf>
    <xf numFmtId="1" fontId="7" fillId="17" borderId="1" xfId="0" applyNumberFormat="1" applyFont="1" applyFill="1" applyBorder="1" applyAlignment="1">
      <alignment vertical="center" wrapText="1"/>
    </xf>
    <xf numFmtId="39" fontId="7" fillId="17" borderId="1" xfId="0" applyNumberFormat="1" applyFont="1" applyFill="1" applyBorder="1" applyAlignment="1">
      <alignment horizontal="center" vertical="center" wrapText="1"/>
    </xf>
    <xf numFmtId="0" fontId="7" fillId="17" borderId="1" xfId="0" applyFont="1" applyFill="1" applyBorder="1" applyAlignment="1">
      <alignment horizontal="center" vertical="center" wrapText="1"/>
    </xf>
    <xf numFmtId="0" fontId="7" fillId="17" borderId="3" xfId="0" applyFont="1" applyFill="1" applyBorder="1" applyAlignment="1">
      <alignment horizontal="center" vertical="center" wrapText="1"/>
    </xf>
    <xf numFmtId="1" fontId="7" fillId="17" borderId="3" xfId="0" applyNumberFormat="1" applyFont="1" applyFill="1" applyBorder="1" applyAlignment="1">
      <alignment horizontal="center" vertical="center" wrapText="1"/>
    </xf>
    <xf numFmtId="39" fontId="7" fillId="17" borderId="3" xfId="0" applyNumberFormat="1" applyFont="1" applyFill="1" applyBorder="1" applyAlignment="1">
      <alignment horizontal="center" vertical="center" wrapText="1"/>
    </xf>
    <xf numFmtId="9" fontId="7" fillId="17" borderId="1" xfId="3" applyFont="1" applyFill="1" applyBorder="1" applyAlignment="1">
      <alignment horizontal="center" vertical="center" wrapText="1"/>
    </xf>
    <xf numFmtId="0" fontId="2" fillId="14" borderId="3" xfId="0" applyFont="1" applyFill="1" applyBorder="1" applyAlignment="1">
      <alignment horizontal="right" vertical="top" wrapText="1"/>
    </xf>
    <xf numFmtId="0" fontId="2" fillId="14" borderId="4" xfId="0" applyFont="1" applyFill="1" applyBorder="1" applyAlignment="1">
      <alignment horizontal="right" vertical="top" wrapText="1"/>
    </xf>
    <xf numFmtId="0" fontId="2" fillId="14" borderId="5" xfId="0" applyFont="1" applyFill="1" applyBorder="1" applyAlignment="1">
      <alignment horizontal="right" vertical="top" wrapText="1"/>
    </xf>
    <xf numFmtId="39" fontId="7" fillId="14" borderId="1" xfId="0" applyNumberFormat="1" applyFont="1" applyFill="1" applyBorder="1"/>
    <xf numFmtId="1" fontId="7" fillId="14" borderId="1" xfId="0" applyNumberFormat="1" applyFont="1" applyFill="1" applyBorder="1"/>
    <xf numFmtId="39" fontId="7" fillId="14" borderId="3" xfId="0" applyNumberFormat="1" applyFont="1" applyFill="1" applyBorder="1"/>
    <xf numFmtId="39" fontId="7" fillId="32" borderId="3" xfId="0" applyNumberFormat="1" applyFont="1" applyFill="1" applyBorder="1"/>
    <xf numFmtId="9" fontId="7" fillId="14" borderId="1" xfId="3" applyFont="1" applyFill="1" applyBorder="1"/>
    <xf numFmtId="0" fontId="7" fillId="4" borderId="3" xfId="0" applyFont="1" applyFill="1" applyBorder="1" applyAlignment="1">
      <alignment horizontal="left"/>
    </xf>
    <xf numFmtId="0" fontId="7" fillId="4" borderId="4" xfId="0" applyFont="1" applyFill="1" applyBorder="1" applyAlignment="1">
      <alignment horizontal="left"/>
    </xf>
    <xf numFmtId="0" fontId="7" fillId="4" borderId="5" xfId="0" applyFont="1" applyFill="1" applyBorder="1" applyAlignment="1">
      <alignment horizontal="left"/>
    </xf>
    <xf numFmtId="0" fontId="2" fillId="4" borderId="1" xfId="0" applyFont="1" applyFill="1" applyBorder="1" applyAlignment="1">
      <alignment vertical="top" wrapText="1"/>
    </xf>
    <xf numFmtId="39" fontId="7" fillId="4" borderId="1" xfId="0" applyNumberFormat="1" applyFont="1" applyFill="1" applyBorder="1"/>
    <xf numFmtId="1" fontId="7" fillId="4" borderId="1" xfId="0" applyNumberFormat="1" applyFont="1" applyFill="1" applyBorder="1"/>
    <xf numFmtId="39" fontId="7" fillId="4" borderId="3" xfId="0" applyNumberFormat="1" applyFont="1" applyFill="1" applyBorder="1"/>
    <xf numFmtId="1" fontId="7" fillId="4" borderId="3" xfId="0" applyNumberFormat="1" applyFont="1" applyFill="1" applyBorder="1"/>
    <xf numFmtId="1" fontId="7" fillId="32" borderId="3" xfId="0" applyNumberFormat="1" applyFont="1" applyFill="1" applyBorder="1"/>
    <xf numFmtId="9" fontId="7" fillId="4" borderId="1" xfId="3" applyFont="1" applyFill="1" applyBorder="1"/>
    <xf numFmtId="0" fontId="2" fillId="18" borderId="3" xfId="0" applyFont="1" applyFill="1" applyBorder="1" applyAlignment="1">
      <alignment horizontal="right" vertical="top" wrapText="1"/>
    </xf>
    <xf numFmtId="0" fontId="2" fillId="18" borderId="4" xfId="0" applyFont="1" applyFill="1" applyBorder="1" applyAlignment="1">
      <alignment horizontal="right" vertical="top" wrapText="1"/>
    </xf>
    <xf numFmtId="0" fontId="2" fillId="18" borderId="5" xfId="0" applyFont="1" applyFill="1" applyBorder="1" applyAlignment="1">
      <alignment horizontal="right" vertical="top" wrapText="1"/>
    </xf>
    <xf numFmtId="0" fontId="2" fillId="18" borderId="1" xfId="0" applyFont="1" applyFill="1" applyBorder="1" applyAlignment="1">
      <alignment vertical="top" wrapText="1"/>
    </xf>
    <xf numFmtId="39" fontId="7" fillId="18" borderId="1" xfId="0" applyNumberFormat="1" applyFont="1" applyFill="1" applyBorder="1"/>
    <xf numFmtId="1" fontId="7" fillId="18" borderId="1" xfId="0" applyNumberFormat="1" applyFont="1" applyFill="1" applyBorder="1"/>
    <xf numFmtId="39" fontId="7" fillId="18" borderId="3" xfId="0" applyNumberFormat="1" applyFont="1" applyFill="1" applyBorder="1"/>
    <xf numFmtId="1" fontId="7" fillId="18" borderId="3" xfId="0" applyNumberFormat="1" applyFont="1" applyFill="1" applyBorder="1"/>
    <xf numFmtId="9" fontId="7" fillId="18" borderId="1" xfId="3" applyFont="1" applyFill="1" applyBorder="1"/>
    <xf numFmtId="0" fontId="7" fillId="14" borderId="3" xfId="0" applyFont="1" applyFill="1" applyBorder="1" applyAlignment="1">
      <alignment horizontal="right" vertical="center"/>
    </xf>
    <xf numFmtId="0" fontId="7" fillId="14" borderId="4" xfId="0" applyFont="1" applyFill="1" applyBorder="1" applyAlignment="1">
      <alignment horizontal="right" vertical="center"/>
    </xf>
    <xf numFmtId="0" fontId="7" fillId="14" borderId="5" xfId="0" applyFont="1" applyFill="1" applyBorder="1" applyAlignment="1">
      <alignment horizontal="right" vertical="center"/>
    </xf>
    <xf numFmtId="0" fontId="7" fillId="14" borderId="1" xfId="0" applyFont="1" applyFill="1" applyBorder="1" applyAlignment="1">
      <alignment horizontal="left" vertical="center"/>
    </xf>
    <xf numFmtId="37" fontId="7" fillId="14" borderId="1" xfId="0" applyNumberFormat="1" applyFont="1" applyFill="1" applyBorder="1"/>
    <xf numFmtId="182" fontId="7" fillId="14" borderId="3" xfId="0" applyNumberFormat="1" applyFont="1" applyFill="1" applyBorder="1"/>
    <xf numFmtId="176" fontId="7" fillId="14" borderId="3" xfId="11" applyNumberFormat="1" applyFont="1" applyFill="1" applyBorder="1"/>
    <xf numFmtId="176" fontId="7" fillId="32" borderId="3" xfId="11" applyNumberFormat="1" applyFont="1" applyFill="1" applyBorder="1"/>
    <xf numFmtId="0" fontId="2" fillId="0" borderId="0" xfId="0" applyFont="1" applyFill="1" applyAlignment="1">
      <alignment horizontal="left" wrapText="1"/>
    </xf>
    <xf numFmtId="1" fontId="2" fillId="0" borderId="0" xfId="0" applyNumberFormat="1" applyFont="1" applyFill="1"/>
    <xf numFmtId="39" fontId="2" fillId="0" borderId="0" xfId="0" applyNumberFormat="1" applyFont="1" applyFill="1"/>
    <xf numFmtId="0" fontId="9" fillId="0" borderId="1" xfId="0" applyFont="1" applyBorder="1"/>
    <xf numFmtId="165" fontId="9" fillId="0" borderId="1" xfId="1" applyFont="1" applyFill="1" applyBorder="1"/>
    <xf numFmtId="1" fontId="7" fillId="0" borderId="1" xfId="0" applyNumberFormat="1" applyFont="1" applyFill="1" applyBorder="1"/>
    <xf numFmtId="165" fontId="7" fillId="0" borderId="1" xfId="1" applyFont="1" applyFill="1" applyBorder="1"/>
    <xf numFmtId="9" fontId="7" fillId="0" borderId="1" xfId="3" applyFont="1" applyFill="1" applyBorder="1"/>
    <xf numFmtId="0" fontId="7" fillId="11" borderId="4" xfId="0" applyFont="1" applyFill="1" applyBorder="1" applyAlignment="1">
      <alignment vertical="top"/>
    </xf>
    <xf numFmtId="0" fontId="12" fillId="4" borderId="4" xfId="0" applyFont="1" applyFill="1" applyBorder="1" applyAlignment="1">
      <alignment horizontal="left" vertical="center" wrapText="1"/>
    </xf>
    <xf numFmtId="0" fontId="7" fillId="0" borderId="1" xfId="0" applyFont="1" applyBorder="1" applyAlignment="1">
      <alignment vertical="top" wrapText="1"/>
    </xf>
    <xf numFmtId="0" fontId="19" fillId="11" borderId="1" xfId="0" applyFont="1" applyFill="1" applyBorder="1" applyAlignment="1">
      <alignment horizontal="left" vertical="center"/>
    </xf>
    <xf numFmtId="0" fontId="19" fillId="15" borderId="3" xfId="0" applyFont="1" applyFill="1" applyBorder="1" applyAlignment="1">
      <alignment horizontal="left" vertical="center" wrapText="1"/>
    </xf>
    <xf numFmtId="0" fontId="19" fillId="15" borderId="5" xfId="0" applyFont="1" applyFill="1" applyBorder="1" applyAlignment="1">
      <alignment horizontal="left" vertical="center" wrapText="1"/>
    </xf>
    <xf numFmtId="0" fontId="47" fillId="2" borderId="0" xfId="0" applyFont="1" applyFill="1" applyAlignment="1">
      <alignment horizontal="left" vertical="top"/>
    </xf>
    <xf numFmtId="0" fontId="39" fillId="2" borderId="0" xfId="0" applyFont="1" applyFill="1" applyAlignment="1">
      <alignment horizontal="left" vertical="top"/>
    </xf>
    <xf numFmtId="0" fontId="39" fillId="0" borderId="0" xfId="0" applyFont="1" applyAlignment="1">
      <alignment horizontal="left" vertical="top"/>
    </xf>
    <xf numFmtId="0" fontId="37" fillId="0" borderId="1" xfId="0" applyFont="1" applyBorder="1" applyAlignment="1">
      <alignment horizontal="left" vertical="top" wrapText="1"/>
    </xf>
    <xf numFmtId="0" fontId="37" fillId="0" borderId="1" xfId="0" applyFont="1" applyBorder="1" applyAlignment="1">
      <alignment horizontal="left" vertical="top"/>
    </xf>
    <xf numFmtId="0" fontId="38" fillId="0" borderId="1" xfId="0" applyFont="1" applyFill="1" applyBorder="1" applyAlignment="1">
      <alignment horizontal="left" vertical="top"/>
    </xf>
    <xf numFmtId="9" fontId="41" fillId="0" borderId="1" xfId="3" applyFont="1" applyFill="1" applyBorder="1" applyAlignment="1">
      <alignment horizontal="left" vertical="top"/>
    </xf>
    <xf numFmtId="9" fontId="41" fillId="0" borderId="1" xfId="3" applyFont="1" applyFill="1" applyBorder="1" applyAlignment="1">
      <alignment horizontal="left" vertical="top" wrapText="1"/>
    </xf>
    <xf numFmtId="0" fontId="7" fillId="0" borderId="1" xfId="0" applyFont="1" applyBorder="1" applyAlignment="1">
      <alignment vertical="top"/>
    </xf>
    <xf numFmtId="0" fontId="12" fillId="2" borderId="1" xfId="0" applyFont="1" applyFill="1" applyBorder="1" applyAlignment="1">
      <alignment vertical="center" wrapText="1"/>
    </xf>
    <xf numFmtId="0" fontId="25" fillId="0" borderId="1" xfId="0" applyFont="1" applyBorder="1"/>
    <xf numFmtId="0" fontId="2" fillId="0" borderId="1" xfId="0" applyFont="1" applyBorder="1" applyAlignment="1"/>
    <xf numFmtId="9" fontId="110" fillId="14" borderId="1" xfId="3" applyFont="1" applyFill="1" applyBorder="1" applyAlignment="1">
      <alignment vertical="center"/>
    </xf>
    <xf numFmtId="0" fontId="13" fillId="14" borderId="1" xfId="0" applyFont="1" applyFill="1" applyBorder="1" applyAlignment="1">
      <alignment horizontal="left" vertical="center" wrapText="1"/>
    </xf>
    <xf numFmtId="0" fontId="2" fillId="2" borderId="1" xfId="0" applyFont="1" applyFill="1" applyBorder="1"/>
    <xf numFmtId="9" fontId="25" fillId="9" borderId="1" xfId="3" applyFont="1" applyFill="1" applyBorder="1" applyAlignment="1">
      <alignment wrapText="1"/>
    </xf>
    <xf numFmtId="9" fontId="95" fillId="9" borderId="1" xfId="3" applyFont="1" applyFill="1" applyBorder="1" applyAlignment="1">
      <alignment vertical="center" wrapText="1"/>
    </xf>
    <xf numFmtId="165" fontId="110" fillId="0" borderId="3" xfId="1" applyFont="1" applyBorder="1"/>
    <xf numFmtId="9" fontId="25" fillId="9" borderId="1" xfId="3" applyFont="1" applyFill="1" applyBorder="1" applyAlignment="1">
      <alignment vertical="center" wrapText="1"/>
    </xf>
    <xf numFmtId="9" fontId="7" fillId="4" borderId="1" xfId="3" applyFont="1" applyFill="1" applyBorder="1" applyAlignment="1">
      <alignment horizontal="right" vertical="center" wrapText="1"/>
    </xf>
    <xf numFmtId="182" fontId="2" fillId="14" borderId="1" xfId="0" applyNumberFormat="1" applyFont="1" applyFill="1" applyBorder="1" applyAlignment="1">
      <alignment vertical="center" wrapText="1"/>
    </xf>
    <xf numFmtId="0" fontId="2" fillId="0" borderId="1" xfId="0" applyNumberFormat="1" applyFont="1" applyBorder="1" applyAlignment="1">
      <alignment horizontal="left" vertical="center" wrapText="1"/>
    </xf>
    <xf numFmtId="165" fontId="2" fillId="0" borderId="1" xfId="1" applyFont="1" applyBorder="1" applyAlignment="1">
      <alignment vertical="center"/>
    </xf>
    <xf numFmtId="39" fontId="2" fillId="15" borderId="1" xfId="0" applyNumberFormat="1" applyFont="1" applyFill="1" applyBorder="1" applyAlignment="1">
      <alignment vertical="center"/>
    </xf>
    <xf numFmtId="0" fontId="2" fillId="2" borderId="1" xfId="0" applyNumberFormat="1" applyFont="1" applyFill="1" applyBorder="1" applyAlignment="1">
      <alignment horizontal="left" vertical="center" wrapText="1"/>
    </xf>
    <xf numFmtId="0" fontId="2" fillId="15" borderId="1" xfId="0" applyFont="1" applyFill="1" applyBorder="1" applyAlignment="1">
      <alignment vertical="center"/>
    </xf>
    <xf numFmtId="0" fontId="16" fillId="0" borderId="0" xfId="0" applyFont="1" applyAlignment="1">
      <alignment vertical="center" wrapText="1"/>
    </xf>
    <xf numFmtId="39" fontId="2" fillId="0" borderId="1" xfId="0" applyNumberFormat="1" applyFont="1" applyBorder="1" applyAlignment="1">
      <alignment vertical="center" wrapText="1"/>
    </xf>
    <xf numFmtId="0" fontId="16" fillId="0" borderId="1" xfId="0" applyFont="1" applyBorder="1" applyAlignment="1">
      <alignment vertical="center" wrapText="1"/>
    </xf>
    <xf numFmtId="39" fontId="116" fillId="2" borderId="1" xfId="1" applyNumberFormat="1" applyFont="1" applyFill="1" applyBorder="1" applyAlignment="1">
      <alignment vertical="top" wrapText="1"/>
    </xf>
    <xf numFmtId="39" fontId="29" fillId="2" borderId="1" xfId="1" applyNumberFormat="1" applyFont="1" applyFill="1" applyBorder="1" applyAlignment="1">
      <alignment vertical="center" wrapText="1"/>
    </xf>
    <xf numFmtId="39" fontId="117" fillId="2" borderId="1" xfId="1" applyNumberFormat="1" applyFont="1" applyFill="1" applyBorder="1" applyAlignment="1">
      <alignment vertical="center" wrapText="1"/>
    </xf>
    <xf numFmtId="0" fontId="119" fillId="0" borderId="0" xfId="15" applyFont="1" applyBorder="1" applyAlignment="1">
      <alignment vertical="center"/>
    </xf>
    <xf numFmtId="0" fontId="119" fillId="0" borderId="0" xfId="15" applyFont="1" applyFill="1" applyBorder="1" applyAlignment="1">
      <alignment vertical="center"/>
    </xf>
    <xf numFmtId="0" fontId="120" fillId="0" borderId="0" xfId="15" applyFont="1" applyBorder="1" applyAlignment="1">
      <alignment vertical="center"/>
    </xf>
    <xf numFmtId="0" fontId="120" fillId="25" borderId="0" xfId="15" applyFont="1" applyFill="1" applyBorder="1" applyAlignment="1">
      <alignment vertical="center"/>
    </xf>
    <xf numFmtId="0" fontId="119" fillId="25" borderId="0" xfId="15" applyFont="1" applyFill="1" applyBorder="1" applyAlignment="1">
      <alignment vertical="center"/>
    </xf>
    <xf numFmtId="0" fontId="121" fillId="0" borderId="0" xfId="15" applyFont="1" applyFill="1" applyBorder="1" applyAlignment="1">
      <alignment vertical="center"/>
    </xf>
    <xf numFmtId="10" fontId="119" fillId="0" borderId="0" xfId="12" applyNumberFormat="1" applyFont="1" applyFill="1" applyBorder="1" applyAlignment="1">
      <alignment vertical="center"/>
    </xf>
    <xf numFmtId="0" fontId="122" fillId="0" borderId="0" xfId="15" applyFont="1" applyFill="1" applyBorder="1" applyAlignment="1">
      <alignment vertical="center"/>
    </xf>
    <xf numFmtId="0" fontId="119" fillId="48" borderId="0" xfId="15" applyFont="1" applyFill="1" applyBorder="1" applyAlignment="1">
      <alignment vertical="center"/>
    </xf>
    <xf numFmtId="0" fontId="119" fillId="0" borderId="0" xfId="15" applyFont="1" applyFill="1" applyBorder="1" applyAlignment="1">
      <alignment horizontal="center" vertical="center"/>
    </xf>
    <xf numFmtId="49" fontId="122" fillId="14" borderId="0" xfId="15" applyNumberFormat="1" applyFont="1" applyFill="1" applyBorder="1" applyAlignment="1">
      <alignment vertical="center"/>
    </xf>
    <xf numFmtId="0" fontId="119" fillId="0" borderId="0" xfId="15" applyFont="1" applyAlignment="1">
      <alignment vertical="center"/>
    </xf>
    <xf numFmtId="0" fontId="121" fillId="0" borderId="0" xfId="15" applyFont="1" applyAlignment="1">
      <alignment vertical="center"/>
    </xf>
    <xf numFmtId="9" fontId="121" fillId="0" borderId="0" xfId="12" applyFont="1" applyAlignment="1">
      <alignment vertical="center"/>
    </xf>
    <xf numFmtId="0" fontId="119" fillId="0" borderId="0" xfId="15" applyFont="1" applyAlignment="1">
      <alignment vertical="center" wrapText="1"/>
    </xf>
    <xf numFmtId="0" fontId="123" fillId="0" borderId="0" xfId="15" applyFont="1" applyBorder="1" applyAlignment="1">
      <alignment vertical="center"/>
    </xf>
    <xf numFmtId="0" fontId="124" fillId="0" borderId="0" xfId="15" applyFont="1" applyFill="1" applyBorder="1" applyAlignment="1">
      <alignment vertical="center"/>
    </xf>
    <xf numFmtId="0" fontId="125" fillId="0" borderId="1" xfId="15" applyFont="1" applyFill="1" applyBorder="1" applyAlignment="1">
      <alignment horizontal="right" vertical="center"/>
    </xf>
    <xf numFmtId="0" fontId="125" fillId="0" borderId="0" xfId="15" applyFont="1" applyBorder="1" applyAlignment="1">
      <alignment horizontal="center" vertical="center"/>
    </xf>
    <xf numFmtId="0" fontId="125" fillId="0" borderId="1" xfId="15" applyFont="1" applyBorder="1" applyAlignment="1">
      <alignment horizontal="right" vertical="center"/>
    </xf>
    <xf numFmtId="0" fontId="126" fillId="0" borderId="0" xfId="15" applyFont="1" applyBorder="1" applyAlignment="1">
      <alignment horizontal="center" vertical="center"/>
    </xf>
    <xf numFmtId="0" fontId="120" fillId="25" borderId="0" xfId="15" applyFont="1" applyFill="1" applyBorder="1" applyAlignment="1">
      <alignment horizontal="center" vertical="center"/>
    </xf>
    <xf numFmtId="0" fontId="126" fillId="25" borderId="0" xfId="15" applyFont="1" applyFill="1" applyBorder="1" applyAlignment="1">
      <alignment horizontal="center" vertical="center"/>
    </xf>
    <xf numFmtId="0" fontId="126" fillId="0" borderId="0" xfId="15" applyFont="1" applyFill="1" applyBorder="1" applyAlignment="1">
      <alignment horizontal="center" vertical="center"/>
    </xf>
    <xf numFmtId="10" fontId="126" fillId="0" borderId="0" xfId="12" applyNumberFormat="1" applyFont="1" applyFill="1" applyBorder="1" applyAlignment="1">
      <alignment horizontal="center" vertical="center"/>
    </xf>
    <xf numFmtId="0" fontId="127" fillId="0" borderId="0" xfId="15" applyFont="1" applyFill="1" applyBorder="1" applyAlignment="1">
      <alignment horizontal="center" vertical="center"/>
    </xf>
    <xf numFmtId="0" fontId="126" fillId="48" borderId="0" xfId="15" applyFont="1" applyFill="1" applyBorder="1" applyAlignment="1">
      <alignment horizontal="center" vertical="center"/>
    </xf>
    <xf numFmtId="49" fontId="127" fillId="14" borderId="0" xfId="15" applyNumberFormat="1" applyFont="1" applyFill="1" applyBorder="1" applyAlignment="1">
      <alignment horizontal="center" vertical="center"/>
    </xf>
    <xf numFmtId="0" fontId="125" fillId="0" borderId="0" xfId="15" applyFont="1" applyBorder="1" applyAlignment="1">
      <alignment vertical="center"/>
    </xf>
    <xf numFmtId="176" fontId="125" fillId="0" borderId="1" xfId="19" applyNumberFormat="1" applyFont="1" applyBorder="1" applyAlignment="1">
      <alignment horizontal="left" vertical="center"/>
    </xf>
    <xf numFmtId="176" fontId="125" fillId="0" borderId="1" xfId="15" applyNumberFormat="1" applyFont="1" applyBorder="1" applyAlignment="1">
      <alignment horizontal="left" vertical="center"/>
    </xf>
    <xf numFmtId="0" fontId="36" fillId="3" borderId="2" xfId="15" applyFont="1" applyFill="1" applyBorder="1" applyAlignment="1">
      <alignment horizontal="center" vertical="center" wrapText="1"/>
    </xf>
    <xf numFmtId="0" fontId="37" fillId="25" borderId="2" xfId="15" applyFont="1" applyFill="1" applyBorder="1" applyAlignment="1">
      <alignment horizontal="center" vertical="center" wrapText="1"/>
    </xf>
    <xf numFmtId="0" fontId="37" fillId="25" borderId="2" xfId="20" applyNumberFormat="1" applyFont="1" applyFill="1" applyBorder="1" applyAlignment="1">
      <alignment horizontal="center" vertical="center" wrapText="1"/>
    </xf>
    <xf numFmtId="0" fontId="36" fillId="3" borderId="2" xfId="20" applyNumberFormat="1" applyFont="1" applyFill="1" applyBorder="1" applyAlignment="1">
      <alignment horizontal="center" vertical="center" wrapText="1"/>
    </xf>
    <xf numFmtId="0" fontId="37" fillId="0" borderId="2" xfId="20" applyNumberFormat="1" applyFont="1" applyFill="1" applyBorder="1" applyAlignment="1">
      <alignment horizontal="center" vertical="center" wrapText="1"/>
    </xf>
    <xf numFmtId="0" fontId="130" fillId="0" borderId="2" xfId="20" applyNumberFormat="1" applyFont="1" applyFill="1" applyBorder="1" applyAlignment="1">
      <alignment horizontal="center" vertical="center" wrapText="1"/>
    </xf>
    <xf numFmtId="10" fontId="36" fillId="0" borderId="2" xfId="12" applyNumberFormat="1" applyFont="1" applyFill="1" applyBorder="1" applyAlignment="1">
      <alignment horizontal="center" vertical="center" wrapText="1"/>
    </xf>
    <xf numFmtId="0" fontId="131" fillId="0" borderId="2" xfId="20" applyNumberFormat="1" applyFont="1" applyFill="1" applyBorder="1" applyAlignment="1">
      <alignment horizontal="center" vertical="center" wrapText="1"/>
    </xf>
    <xf numFmtId="0" fontId="36" fillId="48" borderId="2" xfId="20" applyNumberFormat="1" applyFont="1" applyFill="1" applyBorder="1" applyAlignment="1">
      <alignment horizontal="center" vertical="center" wrapText="1"/>
    </xf>
    <xf numFmtId="0" fontId="130" fillId="3" borderId="2" xfId="15" applyFont="1" applyFill="1" applyBorder="1" applyAlignment="1">
      <alignment horizontal="center" vertical="center" wrapText="1"/>
    </xf>
    <xf numFmtId="49" fontId="131" fillId="14" borderId="2" xfId="20" applyNumberFormat="1" applyFont="1" applyFill="1" applyBorder="1" applyAlignment="1">
      <alignment horizontal="center" vertical="center" wrapText="1"/>
    </xf>
    <xf numFmtId="0" fontId="132" fillId="9" borderId="2" xfId="7" applyNumberFormat="1" applyFont="1" applyFill="1" applyBorder="1" applyAlignment="1">
      <alignment horizontal="center" vertical="center" wrapText="1"/>
    </xf>
    <xf numFmtId="9" fontId="132" fillId="9" borderId="2" xfId="12" applyFont="1" applyFill="1" applyBorder="1" applyAlignment="1">
      <alignment horizontal="center" vertical="center" wrapText="1"/>
    </xf>
    <xf numFmtId="0" fontId="120" fillId="49" borderId="0" xfId="15" applyFont="1" applyFill="1" applyAlignment="1">
      <alignment vertical="center" wrapText="1"/>
    </xf>
    <xf numFmtId="0" fontId="37" fillId="4" borderId="4" xfId="15" applyFont="1" applyFill="1" applyBorder="1" applyAlignment="1">
      <alignment vertical="center" wrapText="1"/>
    </xf>
    <xf numFmtId="0" fontId="37" fillId="0" borderId="4" xfId="15" applyFont="1" applyFill="1" applyBorder="1" applyAlignment="1">
      <alignment vertical="center" wrapText="1"/>
    </xf>
    <xf numFmtId="170" fontId="130" fillId="0" borderId="4" xfId="15" applyNumberFormat="1" applyFont="1" applyFill="1" applyBorder="1" applyAlignment="1">
      <alignment vertical="center" wrapText="1"/>
    </xf>
    <xf numFmtId="0" fontId="37" fillId="48" borderId="4" xfId="15" applyFont="1" applyFill="1" applyBorder="1" applyAlignment="1">
      <alignment vertical="center" wrapText="1"/>
    </xf>
    <xf numFmtId="0" fontId="130" fillId="0" borderId="4" xfId="15" applyFont="1" applyFill="1" applyBorder="1" applyAlignment="1">
      <alignment vertical="center" wrapText="1"/>
    </xf>
    <xf numFmtId="10" fontId="37" fillId="0" borderId="4" xfId="12" applyNumberFormat="1" applyFont="1" applyFill="1" applyBorder="1" applyAlignment="1">
      <alignment vertical="center" wrapText="1"/>
    </xf>
    <xf numFmtId="49" fontId="37" fillId="4" borderId="4" xfId="15" applyNumberFormat="1" applyFont="1" applyFill="1" applyBorder="1" applyAlignment="1">
      <alignment vertical="center" wrapText="1"/>
    </xf>
    <xf numFmtId="0" fontId="130" fillId="4" borderId="4" xfId="15" applyFont="1" applyFill="1" applyBorder="1" applyAlignment="1">
      <alignment vertical="center" wrapText="1"/>
    </xf>
    <xf numFmtId="9" fontId="130" fillId="4" borderId="4" xfId="12" applyFont="1" applyFill="1" applyBorder="1" applyAlignment="1">
      <alignment vertical="center" wrapText="1"/>
    </xf>
    <xf numFmtId="0" fontId="37" fillId="49" borderId="1" xfId="15" applyFont="1" applyFill="1" applyBorder="1" applyAlignment="1">
      <alignment vertical="center" wrapText="1"/>
    </xf>
    <xf numFmtId="0" fontId="37" fillId="2" borderId="9" xfId="15" applyFont="1" applyFill="1" applyBorder="1" applyAlignment="1">
      <alignment vertical="center" wrapText="1"/>
    </xf>
    <xf numFmtId="0" fontId="37" fillId="2" borderId="6" xfId="15" applyFont="1" applyFill="1" applyBorder="1" applyAlignment="1">
      <alignment vertical="center" wrapText="1"/>
    </xf>
    <xf numFmtId="0" fontId="37" fillId="15" borderId="4" xfId="15" applyFont="1" applyFill="1" applyBorder="1" applyAlignment="1">
      <alignment vertical="center" wrapText="1"/>
    </xf>
    <xf numFmtId="0" fontId="37" fillId="25" borderId="4" xfId="15" applyFont="1" applyFill="1" applyBorder="1" applyAlignment="1">
      <alignment vertical="center" wrapText="1"/>
    </xf>
    <xf numFmtId="170" fontId="37" fillId="25" borderId="4" xfId="15" applyNumberFormat="1" applyFont="1" applyFill="1" applyBorder="1" applyAlignment="1">
      <alignment vertical="center" wrapText="1"/>
    </xf>
    <xf numFmtId="170" fontId="130" fillId="15" borderId="4" xfId="15" applyNumberFormat="1" applyFont="1" applyFill="1" applyBorder="1" applyAlignment="1">
      <alignment vertical="center" wrapText="1"/>
    </xf>
    <xf numFmtId="184" fontId="37" fillId="15" borderId="4" xfId="15" applyNumberFormat="1" applyFont="1" applyFill="1" applyBorder="1" applyAlignment="1">
      <alignment vertical="center" wrapText="1"/>
    </xf>
    <xf numFmtId="39" fontId="37" fillId="15" borderId="4" xfId="15" applyNumberFormat="1" applyFont="1" applyFill="1" applyBorder="1" applyAlignment="1">
      <alignment vertical="center" wrapText="1"/>
    </xf>
    <xf numFmtId="10" fontId="37" fillId="15" borderId="4" xfId="12" applyNumberFormat="1" applyFont="1" applyFill="1" applyBorder="1" applyAlignment="1">
      <alignment vertical="center" wrapText="1"/>
    </xf>
    <xf numFmtId="166" fontId="135" fillId="15" borderId="4" xfId="15" applyNumberFormat="1" applyFont="1" applyFill="1" applyBorder="1" applyAlignment="1">
      <alignment vertical="center" wrapText="1"/>
    </xf>
    <xf numFmtId="166" fontId="135" fillId="48" borderId="4" xfId="15" applyNumberFormat="1" applyFont="1" applyFill="1" applyBorder="1" applyAlignment="1">
      <alignment vertical="center" wrapText="1"/>
    </xf>
    <xf numFmtId="39" fontId="37" fillId="25" borderId="4" xfId="15" applyNumberFormat="1" applyFont="1" applyFill="1" applyBorder="1" applyAlignment="1">
      <alignment vertical="center" wrapText="1"/>
    </xf>
    <xf numFmtId="170" fontId="37" fillId="15" borderId="4" xfId="15" applyNumberFormat="1" applyFont="1" applyFill="1" applyBorder="1" applyAlignment="1">
      <alignment horizontal="center" vertical="center" wrapText="1"/>
    </xf>
    <xf numFmtId="0" fontId="37" fillId="15" borderId="4" xfId="15" applyFont="1" applyFill="1" applyBorder="1" applyAlignment="1">
      <alignment horizontal="center" vertical="center" wrapText="1"/>
    </xf>
    <xf numFmtId="49" fontId="122" fillId="15" borderId="0" xfId="15" applyNumberFormat="1" applyFont="1" applyFill="1" applyAlignment="1">
      <alignment vertical="center"/>
    </xf>
    <xf numFmtId="165" fontId="37" fillId="15" borderId="4" xfId="15" applyNumberFormat="1" applyFont="1" applyFill="1" applyBorder="1" applyAlignment="1">
      <alignment vertical="center" wrapText="1"/>
    </xf>
    <xf numFmtId="166" fontId="37" fillId="15" borderId="4" xfId="15" applyNumberFormat="1" applyFont="1" applyFill="1" applyBorder="1" applyAlignment="1">
      <alignment vertical="center" wrapText="1"/>
    </xf>
    <xf numFmtId="2" fontId="130" fillId="15" borderId="4" xfId="15" applyNumberFormat="1" applyFont="1" applyFill="1" applyBorder="1" applyAlignment="1">
      <alignment vertical="center" wrapText="1"/>
    </xf>
    <xf numFmtId="9" fontId="130" fillId="15" borderId="4" xfId="12" applyFont="1" applyFill="1" applyBorder="1" applyAlignment="1">
      <alignment vertical="center" wrapText="1"/>
    </xf>
    <xf numFmtId="0" fontId="37" fillId="15" borderId="1" xfId="15" applyFont="1" applyFill="1" applyBorder="1" applyAlignment="1">
      <alignment vertical="center" wrapText="1"/>
    </xf>
    <xf numFmtId="0" fontId="119" fillId="15" borderId="1" xfId="15" applyFont="1" applyFill="1" applyBorder="1" applyAlignment="1">
      <alignment vertical="center" wrapText="1"/>
    </xf>
    <xf numFmtId="0" fontId="119" fillId="15" borderId="0" xfId="15" applyFont="1" applyFill="1" applyAlignment="1">
      <alignment vertical="center"/>
    </xf>
    <xf numFmtId="0" fontId="120" fillId="0" borderId="8" xfId="15" applyFont="1" applyBorder="1" applyAlignment="1">
      <alignment horizontal="center" vertical="center" wrapText="1"/>
    </xf>
    <xf numFmtId="0" fontId="119" fillId="0" borderId="1" xfId="15" applyFont="1" applyFill="1" applyBorder="1" applyAlignment="1">
      <alignment vertical="center" wrapText="1"/>
    </xf>
    <xf numFmtId="0" fontId="119" fillId="0" borderId="1" xfId="15" applyFont="1" applyFill="1" applyBorder="1" applyAlignment="1">
      <alignment horizontal="left" vertical="center" wrapText="1"/>
    </xf>
    <xf numFmtId="0" fontId="121" fillId="0" borderId="1" xfId="15" applyFont="1" applyFill="1" applyBorder="1" applyAlignment="1">
      <alignment horizontal="left" vertical="center" wrapText="1"/>
    </xf>
    <xf numFmtId="0" fontId="119" fillId="25" borderId="1" xfId="15" applyFont="1" applyFill="1" applyBorder="1" applyAlignment="1">
      <alignment vertical="center" wrapText="1"/>
    </xf>
    <xf numFmtId="39" fontId="119" fillId="25" borderId="1" xfId="19" applyNumberFormat="1" applyFont="1" applyFill="1" applyBorder="1" applyAlignment="1">
      <alignment vertical="center"/>
    </xf>
    <xf numFmtId="9" fontId="119" fillId="0" borderId="1" xfId="21" applyFont="1" applyFill="1" applyBorder="1" applyAlignment="1">
      <alignment vertical="center"/>
    </xf>
    <xf numFmtId="0" fontId="119" fillId="2" borderId="1" xfId="15" applyFont="1" applyFill="1" applyBorder="1" applyAlignment="1">
      <alignment vertical="center" wrapText="1"/>
    </xf>
    <xf numFmtId="0" fontId="119" fillId="0" borderId="1" xfId="15" applyFont="1" applyBorder="1" applyAlignment="1">
      <alignment vertical="center" wrapText="1"/>
    </xf>
    <xf numFmtId="39" fontId="119" fillId="0" borderId="1" xfId="19" applyNumberFormat="1" applyFont="1" applyFill="1" applyBorder="1" applyAlignment="1">
      <alignment vertical="center"/>
    </xf>
    <xf numFmtId="39" fontId="121" fillId="0" borderId="1" xfId="19" applyNumberFormat="1" applyFont="1" applyFill="1" applyBorder="1" applyAlignment="1">
      <alignment vertical="center"/>
    </xf>
    <xf numFmtId="10" fontId="119" fillId="0" borderId="1" xfId="12" applyNumberFormat="1" applyFont="1" applyFill="1" applyBorder="1" applyAlignment="1">
      <alignment vertical="center"/>
    </xf>
    <xf numFmtId="9" fontId="122" fillId="0" borderId="1" xfId="21" applyFont="1" applyFill="1" applyBorder="1" applyAlignment="1">
      <alignment vertical="center"/>
    </xf>
    <xf numFmtId="39" fontId="119" fillId="48" borderId="1" xfId="19" applyNumberFormat="1" applyFont="1" applyFill="1" applyBorder="1" applyAlignment="1">
      <alignment vertical="center"/>
    </xf>
    <xf numFmtId="39" fontId="119" fillId="0" borderId="1" xfId="19" applyNumberFormat="1" applyFont="1" applyFill="1" applyBorder="1" applyAlignment="1">
      <alignment horizontal="center" vertical="center"/>
    </xf>
    <xf numFmtId="49" fontId="122" fillId="14" borderId="1" xfId="21" applyNumberFormat="1" applyFont="1" applyFill="1" applyBorder="1" applyAlignment="1">
      <alignment vertical="center"/>
    </xf>
    <xf numFmtId="39" fontId="119" fillId="0" borderId="3" xfId="19" applyNumberFormat="1" applyFont="1" applyFill="1" applyBorder="1" applyAlignment="1">
      <alignment vertical="center"/>
    </xf>
    <xf numFmtId="170" fontId="119" fillId="0" borderId="3" xfId="15" applyNumberFormat="1" applyFont="1" applyBorder="1" applyAlignment="1">
      <alignment vertical="center"/>
    </xf>
    <xf numFmtId="170" fontId="121" fillId="0" borderId="3" xfId="15" applyNumberFormat="1" applyFont="1" applyBorder="1" applyAlignment="1">
      <alignment vertical="center"/>
    </xf>
    <xf numFmtId="9" fontId="121" fillId="0" borderId="1" xfId="12" applyFont="1" applyFill="1" applyBorder="1" applyAlignment="1">
      <alignment vertical="center"/>
    </xf>
    <xf numFmtId="0" fontId="136" fillId="0" borderId="1" xfId="15" applyFont="1" applyBorder="1" applyAlignment="1">
      <alignment horizontal="justify" vertical="center"/>
    </xf>
    <xf numFmtId="0" fontId="121" fillId="0" borderId="1" xfId="15" applyFont="1" applyBorder="1" applyAlignment="1">
      <alignment vertical="center" wrapText="1"/>
    </xf>
    <xf numFmtId="2" fontId="119" fillId="25" borderId="1" xfId="15" applyNumberFormat="1" applyFont="1" applyFill="1" applyBorder="1" applyAlignment="1">
      <alignment vertical="center" wrapText="1"/>
    </xf>
    <xf numFmtId="0" fontId="120" fillId="14" borderId="8" xfId="15" applyFont="1" applyFill="1" applyBorder="1" applyAlignment="1">
      <alignment horizontal="center" vertical="center" wrapText="1"/>
    </xf>
    <xf numFmtId="0" fontId="119" fillId="14" borderId="1" xfId="15" applyFont="1" applyFill="1" applyBorder="1" applyAlignment="1">
      <alignment vertical="center" wrapText="1"/>
    </xf>
    <xf numFmtId="2" fontId="119" fillId="14" borderId="1" xfId="15" applyNumberFormat="1" applyFont="1" applyFill="1" applyBorder="1" applyAlignment="1">
      <alignment vertical="center" wrapText="1"/>
    </xf>
    <xf numFmtId="39" fontId="119" fillId="14" borderId="1" xfId="19" applyNumberFormat="1" applyFont="1" applyFill="1" applyBorder="1" applyAlignment="1">
      <alignment vertical="center"/>
    </xf>
    <xf numFmtId="9" fontId="119" fillId="14" borderId="1" xfId="21" applyFont="1" applyFill="1" applyBorder="1" applyAlignment="1">
      <alignment vertical="center"/>
    </xf>
    <xf numFmtId="39" fontId="121" fillId="14" borderId="1" xfId="19" applyNumberFormat="1" applyFont="1" applyFill="1" applyBorder="1" applyAlignment="1">
      <alignment vertical="center"/>
    </xf>
    <xf numFmtId="10" fontId="119" fillId="14" borderId="1" xfId="12" applyNumberFormat="1" applyFont="1" applyFill="1" applyBorder="1" applyAlignment="1">
      <alignment vertical="center"/>
    </xf>
    <xf numFmtId="9" fontId="119" fillId="14" borderId="1" xfId="21" applyFont="1" applyFill="1" applyBorder="1" applyAlignment="1">
      <alignment vertical="center" wrapText="1"/>
    </xf>
    <xf numFmtId="0" fontId="119" fillId="14" borderId="1" xfId="15" applyFont="1" applyFill="1" applyBorder="1" applyAlignment="1">
      <alignment horizontal="center" vertical="center" wrapText="1"/>
    </xf>
    <xf numFmtId="49" fontId="119" fillId="14" borderId="1" xfId="21" applyNumberFormat="1" applyFont="1" applyFill="1" applyBorder="1" applyAlignment="1">
      <alignment vertical="center" wrapText="1"/>
    </xf>
    <xf numFmtId="39" fontId="119" fillId="14" borderId="3" xfId="19" applyNumberFormat="1" applyFont="1" applyFill="1" applyBorder="1" applyAlignment="1">
      <alignment vertical="center"/>
    </xf>
    <xf numFmtId="170" fontId="119" fillId="14" borderId="3" xfId="15" applyNumberFormat="1" applyFont="1" applyFill="1" applyBorder="1" applyAlignment="1">
      <alignment vertical="center"/>
    </xf>
    <xf numFmtId="170" fontId="121" fillId="14" borderId="3" xfId="15" applyNumberFormat="1" applyFont="1" applyFill="1" applyBorder="1" applyAlignment="1">
      <alignment vertical="center"/>
    </xf>
    <xf numFmtId="9" fontId="121" fillId="14" borderId="1" xfId="12" applyFont="1" applyFill="1" applyBorder="1" applyAlignment="1">
      <alignment vertical="center"/>
    </xf>
    <xf numFmtId="0" fontId="138" fillId="14" borderId="1" xfId="15" applyFont="1" applyFill="1" applyBorder="1" applyAlignment="1">
      <alignment horizontal="justify" vertical="center"/>
    </xf>
    <xf numFmtId="0" fontId="119" fillId="14" borderId="0" xfId="15" applyFont="1" applyFill="1" applyAlignment="1">
      <alignment vertical="center"/>
    </xf>
    <xf numFmtId="0" fontId="120" fillId="11" borderId="8" xfId="15" applyFont="1" applyFill="1" applyBorder="1" applyAlignment="1">
      <alignment horizontal="center" vertical="center" wrapText="1"/>
    </xf>
    <xf numFmtId="0" fontId="119" fillId="11" borderId="1" xfId="15" applyFont="1" applyFill="1" applyBorder="1" applyAlignment="1">
      <alignment vertical="center" wrapText="1"/>
    </xf>
    <xf numFmtId="39" fontId="119" fillId="11" borderId="1" xfId="19" applyNumberFormat="1" applyFont="1" applyFill="1" applyBorder="1" applyAlignment="1">
      <alignment vertical="center"/>
    </xf>
    <xf numFmtId="9" fontId="119" fillId="11" borderId="1" xfId="21" applyFont="1" applyFill="1" applyBorder="1" applyAlignment="1">
      <alignment vertical="center"/>
    </xf>
    <xf numFmtId="39" fontId="121" fillId="11" borderId="1" xfId="19" applyNumberFormat="1" applyFont="1" applyFill="1" applyBorder="1" applyAlignment="1">
      <alignment vertical="center"/>
    </xf>
    <xf numFmtId="10" fontId="119" fillId="11" borderId="1" xfId="12" applyNumberFormat="1" applyFont="1" applyFill="1" applyBorder="1" applyAlignment="1">
      <alignment vertical="center"/>
    </xf>
    <xf numFmtId="0" fontId="119" fillId="11" borderId="1" xfId="15" applyFont="1" applyFill="1" applyBorder="1" applyAlignment="1">
      <alignment horizontal="center" vertical="center" wrapText="1"/>
    </xf>
    <xf numFmtId="49" fontId="119" fillId="11" borderId="1" xfId="21" applyNumberFormat="1" applyFont="1" applyFill="1" applyBorder="1" applyAlignment="1">
      <alignment vertical="center" wrapText="1"/>
    </xf>
    <xf numFmtId="39" fontId="119" fillId="11" borderId="3" xfId="19" applyNumberFormat="1" applyFont="1" applyFill="1" applyBorder="1" applyAlignment="1">
      <alignment vertical="center"/>
    </xf>
    <xf numFmtId="170" fontId="119" fillId="11" borderId="3" xfId="15" applyNumberFormat="1" applyFont="1" applyFill="1" applyBorder="1" applyAlignment="1">
      <alignment vertical="center"/>
    </xf>
    <xf numFmtId="170" fontId="121" fillId="11" borderId="3" xfId="15" applyNumberFormat="1" applyFont="1" applyFill="1" applyBorder="1" applyAlignment="1">
      <alignment vertical="center"/>
    </xf>
    <xf numFmtId="9" fontId="121" fillId="11" borderId="1" xfId="12" applyFont="1" applyFill="1" applyBorder="1" applyAlignment="1">
      <alignment vertical="center"/>
    </xf>
    <xf numFmtId="49" fontId="119" fillId="11" borderId="1" xfId="15" applyNumberFormat="1" applyFont="1" applyFill="1" applyBorder="1" applyAlignment="1">
      <alignment vertical="center" wrapText="1"/>
    </xf>
    <xf numFmtId="0" fontId="139" fillId="11" borderId="1" xfId="0" applyFont="1" applyFill="1" applyBorder="1" applyAlignment="1">
      <alignment vertical="center" wrapText="1"/>
    </xf>
    <xf numFmtId="0" fontId="119" fillId="11" borderId="0" xfId="15" applyFont="1" applyFill="1" applyAlignment="1">
      <alignment vertical="center"/>
    </xf>
    <xf numFmtId="49" fontId="119" fillId="14" borderId="1" xfId="21" applyNumberFormat="1" applyFont="1" applyFill="1" applyBorder="1" applyAlignment="1">
      <alignment vertical="center"/>
    </xf>
    <xf numFmtId="0" fontId="120" fillId="0" borderId="8" xfId="15" applyFont="1" applyFill="1" applyBorder="1" applyAlignment="1">
      <alignment horizontal="center" vertical="center" wrapText="1"/>
    </xf>
    <xf numFmtId="49" fontId="119" fillId="0" borderId="1" xfId="21" applyNumberFormat="1" applyFont="1" applyFill="1" applyBorder="1" applyAlignment="1">
      <alignment vertical="center"/>
    </xf>
    <xf numFmtId="170" fontId="119" fillId="0" borderId="3" xfId="15" applyNumberFormat="1" applyFont="1" applyFill="1" applyBorder="1" applyAlignment="1">
      <alignment vertical="center"/>
    </xf>
    <xf numFmtId="170" fontId="121" fillId="0" borderId="3" xfId="15" applyNumberFormat="1" applyFont="1" applyFill="1" applyBorder="1" applyAlignment="1">
      <alignment vertical="center"/>
    </xf>
    <xf numFmtId="0" fontId="138" fillId="0" borderId="1" xfId="15" applyFont="1" applyFill="1" applyBorder="1" applyAlignment="1">
      <alignment horizontal="justify" vertical="center"/>
    </xf>
    <xf numFmtId="0" fontId="119" fillId="0" borderId="0" xfId="15" applyFont="1" applyFill="1" applyAlignment="1">
      <alignment vertical="center"/>
    </xf>
    <xf numFmtId="39" fontId="119" fillId="14" borderId="1" xfId="19" applyNumberFormat="1" applyFont="1" applyFill="1" applyBorder="1" applyAlignment="1">
      <alignment horizontal="center" vertical="center"/>
    </xf>
    <xf numFmtId="0" fontId="119" fillId="0" borderId="1" xfId="15" applyFont="1" applyFill="1" applyBorder="1" applyAlignment="1">
      <alignment horizontal="center" vertical="center" wrapText="1"/>
    </xf>
    <xf numFmtId="0" fontId="119" fillId="0" borderId="8" xfId="15" applyFont="1" applyFill="1" applyBorder="1" applyAlignment="1">
      <alignment horizontal="center" vertical="center" wrapText="1"/>
    </xf>
    <xf numFmtId="0" fontId="138" fillId="0" borderId="1" xfId="15" applyFont="1" applyFill="1" applyBorder="1" applyAlignment="1">
      <alignment horizontal="justify" vertical="center" wrapText="1"/>
    </xf>
    <xf numFmtId="9" fontId="120" fillId="0" borderId="1" xfId="21" applyFont="1" applyFill="1" applyBorder="1" applyAlignment="1">
      <alignment vertical="center"/>
    </xf>
    <xf numFmtId="0" fontId="126" fillId="11" borderId="8" xfId="15" applyFont="1" applyFill="1" applyBorder="1" applyAlignment="1">
      <alignment horizontal="center" vertical="center" wrapText="1"/>
    </xf>
    <xf numFmtId="0" fontId="121" fillId="11" borderId="1" xfId="15" applyFont="1" applyFill="1" applyBorder="1" applyAlignment="1">
      <alignment vertical="center" wrapText="1"/>
    </xf>
    <xf numFmtId="9" fontId="121" fillId="11" borderId="1" xfId="21" applyFont="1" applyFill="1" applyBorder="1" applyAlignment="1">
      <alignment vertical="center"/>
    </xf>
    <xf numFmtId="10" fontId="121" fillId="11" borderId="1" xfId="22" applyNumberFormat="1" applyFont="1" applyFill="1" applyBorder="1" applyAlignment="1">
      <alignment vertical="center"/>
    </xf>
    <xf numFmtId="39" fontId="121" fillId="48" borderId="1" xfId="19" applyNumberFormat="1" applyFont="1" applyFill="1" applyBorder="1" applyAlignment="1">
      <alignment vertical="center"/>
    </xf>
    <xf numFmtId="2" fontId="121" fillId="11" borderId="1" xfId="15" applyNumberFormat="1" applyFont="1" applyFill="1" applyBorder="1" applyAlignment="1">
      <alignment vertical="center" wrapText="1"/>
    </xf>
    <xf numFmtId="0" fontId="121" fillId="11" borderId="1" xfId="15" applyFont="1" applyFill="1" applyBorder="1" applyAlignment="1">
      <alignment horizontal="center" vertical="center" wrapText="1"/>
    </xf>
    <xf numFmtId="49" fontId="121" fillId="11" borderId="1" xfId="21" applyNumberFormat="1" applyFont="1" applyFill="1" applyBorder="1" applyAlignment="1">
      <alignment vertical="center"/>
    </xf>
    <xf numFmtId="39" fontId="121" fillId="11" borderId="3" xfId="19" applyNumberFormat="1" applyFont="1" applyFill="1" applyBorder="1" applyAlignment="1">
      <alignment vertical="center"/>
    </xf>
    <xf numFmtId="0" fontId="137" fillId="11" borderId="1" xfId="15" applyFont="1" applyFill="1" applyBorder="1" applyAlignment="1">
      <alignment horizontal="justify" vertical="center"/>
    </xf>
    <xf numFmtId="0" fontId="140" fillId="11" borderId="1" xfId="0" applyFont="1" applyFill="1" applyBorder="1" applyAlignment="1">
      <alignment vertical="center" wrapText="1"/>
    </xf>
    <xf numFmtId="0" fontId="121" fillId="11" borderId="0" xfId="15" applyFont="1" applyFill="1" applyAlignment="1">
      <alignment vertical="center"/>
    </xf>
    <xf numFmtId="39" fontId="126" fillId="11" borderId="1" xfId="19" applyNumberFormat="1" applyFont="1" applyFill="1" applyBorder="1" applyAlignment="1">
      <alignment vertical="center"/>
    </xf>
    <xf numFmtId="0" fontId="141" fillId="11" borderId="1" xfId="0" applyFont="1" applyFill="1" applyBorder="1" applyAlignment="1">
      <alignment horizontal="justify" vertical="center" wrapText="1"/>
    </xf>
    <xf numFmtId="0" fontId="120" fillId="9" borderId="2" xfId="15" applyFont="1" applyFill="1" applyBorder="1" applyAlignment="1">
      <alignment horizontal="center" vertical="center" wrapText="1"/>
    </xf>
    <xf numFmtId="0" fontId="119" fillId="9" borderId="1" xfId="15" applyFont="1" applyFill="1" applyBorder="1" applyAlignment="1">
      <alignment vertical="center" wrapText="1"/>
    </xf>
    <xf numFmtId="0" fontId="142" fillId="9" borderId="1" xfId="15" applyFont="1" applyFill="1" applyBorder="1" applyAlignment="1">
      <alignment vertical="center" wrapText="1"/>
    </xf>
    <xf numFmtId="0" fontId="142" fillId="25" borderId="1" xfId="15" applyFont="1" applyFill="1" applyBorder="1" applyAlignment="1">
      <alignment vertical="center" wrapText="1"/>
    </xf>
    <xf numFmtId="39" fontId="120" fillId="25" borderId="1" xfId="19" applyNumberFormat="1" applyFont="1" applyFill="1" applyBorder="1" applyAlignment="1">
      <alignment vertical="center"/>
    </xf>
    <xf numFmtId="39" fontId="120" fillId="9" borderId="1" xfId="19" applyNumberFormat="1" applyFont="1" applyFill="1" applyBorder="1" applyAlignment="1">
      <alignment vertical="center"/>
    </xf>
    <xf numFmtId="39" fontId="126" fillId="9" borderId="1" xfId="19" applyNumberFormat="1" applyFont="1" applyFill="1" applyBorder="1" applyAlignment="1">
      <alignment vertical="center"/>
    </xf>
    <xf numFmtId="10" fontId="120" fillId="9" borderId="1" xfId="12" applyNumberFormat="1" applyFont="1" applyFill="1" applyBorder="1" applyAlignment="1">
      <alignment vertical="center"/>
    </xf>
    <xf numFmtId="39" fontId="120" fillId="48" borderId="1" xfId="19" applyNumberFormat="1" applyFont="1" applyFill="1" applyBorder="1" applyAlignment="1">
      <alignment vertical="center"/>
    </xf>
    <xf numFmtId="39" fontId="120" fillId="9" borderId="1" xfId="19" applyNumberFormat="1" applyFont="1" applyFill="1" applyBorder="1" applyAlignment="1">
      <alignment horizontal="center" vertical="center"/>
    </xf>
    <xf numFmtId="39" fontId="120" fillId="0" borderId="1" xfId="19" applyNumberFormat="1" applyFont="1" applyFill="1" applyBorder="1" applyAlignment="1">
      <alignment vertical="center"/>
    </xf>
    <xf numFmtId="39" fontId="126" fillId="0" borderId="1" xfId="19" applyNumberFormat="1" applyFont="1" applyFill="1" applyBorder="1" applyAlignment="1">
      <alignment vertical="center"/>
    </xf>
    <xf numFmtId="10" fontId="120" fillId="0" borderId="1" xfId="12" applyNumberFormat="1" applyFont="1" applyFill="1" applyBorder="1" applyAlignment="1">
      <alignment vertical="center"/>
    </xf>
    <xf numFmtId="49" fontId="120" fillId="9" borderId="1" xfId="19" applyNumberFormat="1" applyFont="1" applyFill="1" applyBorder="1" applyAlignment="1">
      <alignment vertical="center"/>
    </xf>
    <xf numFmtId="39" fontId="120" fillId="9" borderId="3" xfId="19" applyNumberFormat="1" applyFont="1" applyFill="1" applyBorder="1" applyAlignment="1">
      <alignment vertical="center"/>
    </xf>
    <xf numFmtId="39" fontId="126" fillId="9" borderId="3" xfId="19" applyNumberFormat="1" applyFont="1" applyFill="1" applyBorder="1" applyAlignment="1">
      <alignment vertical="center"/>
    </xf>
    <xf numFmtId="9" fontId="126" fillId="9" borderId="1" xfId="12" applyFont="1" applyFill="1" applyBorder="1" applyAlignment="1">
      <alignment vertical="center"/>
    </xf>
    <xf numFmtId="39" fontId="142" fillId="9" borderId="1" xfId="19" applyNumberFormat="1" applyFont="1" applyFill="1" applyBorder="1" applyAlignment="1">
      <alignment vertical="center"/>
    </xf>
    <xf numFmtId="0" fontId="119" fillId="9" borderId="0" xfId="15" applyFont="1" applyFill="1" applyAlignment="1">
      <alignment vertical="center"/>
    </xf>
    <xf numFmtId="0" fontId="120" fillId="9" borderId="8" xfId="15" applyFont="1" applyFill="1" applyBorder="1" applyAlignment="1">
      <alignment horizontal="center" vertical="center" wrapText="1"/>
    </xf>
    <xf numFmtId="0" fontId="119" fillId="14" borderId="1" xfId="15" applyFont="1" applyFill="1" applyBorder="1" applyAlignment="1">
      <alignment horizontal="left" vertical="center" wrapText="1"/>
    </xf>
    <xf numFmtId="0" fontId="119" fillId="0" borderId="1" xfId="15" applyFont="1" applyFill="1" applyBorder="1" applyAlignment="1">
      <alignment vertical="center"/>
    </xf>
    <xf numFmtId="49" fontId="119" fillId="11" borderId="1" xfId="21" applyNumberFormat="1" applyFont="1" applyFill="1" applyBorder="1" applyAlignment="1">
      <alignment vertical="center"/>
    </xf>
    <xf numFmtId="49" fontId="119" fillId="14" borderId="1" xfId="19" applyNumberFormat="1" applyFont="1" applyFill="1" applyBorder="1" applyAlignment="1">
      <alignment vertical="center"/>
    </xf>
    <xf numFmtId="0" fontId="139" fillId="14" borderId="1" xfId="0" applyFont="1" applyFill="1" applyBorder="1" applyAlignment="1">
      <alignment vertical="center" wrapText="1"/>
    </xf>
    <xf numFmtId="0" fontId="138" fillId="14" borderId="1" xfId="15" applyFont="1" applyFill="1" applyBorder="1" applyAlignment="1">
      <alignment horizontal="justify" vertical="center" wrapText="1"/>
    </xf>
    <xf numFmtId="0" fontId="120" fillId="9" borderId="1" xfId="15" applyFont="1" applyFill="1" applyBorder="1" applyAlignment="1">
      <alignment vertical="center" wrapText="1"/>
    </xf>
    <xf numFmtId="0" fontId="120" fillId="0" borderId="0" xfId="15" applyFont="1" applyFill="1" applyAlignment="1">
      <alignment vertical="center"/>
    </xf>
    <xf numFmtId="0" fontId="120" fillId="0" borderId="1" xfId="15" applyFont="1" applyFill="1" applyBorder="1" applyAlignment="1">
      <alignment horizontal="left" vertical="center" wrapText="1"/>
    </xf>
    <xf numFmtId="0" fontId="120" fillId="0" borderId="1" xfId="15" applyFont="1" applyFill="1" applyBorder="1" applyAlignment="1">
      <alignment vertical="center" wrapText="1"/>
    </xf>
    <xf numFmtId="0" fontId="120" fillId="25" borderId="1" xfId="15" applyFont="1" applyFill="1" applyBorder="1" applyAlignment="1">
      <alignment vertical="center" wrapText="1"/>
    </xf>
    <xf numFmtId="0" fontId="120" fillId="0" borderId="1" xfId="15" applyFont="1" applyFill="1" applyBorder="1" applyAlignment="1">
      <alignment horizontal="center" vertical="center" wrapText="1"/>
    </xf>
    <xf numFmtId="49" fontId="120" fillId="0" borderId="1" xfId="21" applyNumberFormat="1" applyFont="1" applyFill="1" applyBorder="1" applyAlignment="1">
      <alignment vertical="center"/>
    </xf>
    <xf numFmtId="9" fontId="126" fillId="0" borderId="1" xfId="12" applyFont="1" applyFill="1" applyBorder="1" applyAlignment="1">
      <alignment vertical="center"/>
    </xf>
    <xf numFmtId="0" fontId="129" fillId="0" borderId="1" xfId="15" applyFont="1" applyFill="1" applyBorder="1" applyAlignment="1">
      <alignment horizontal="justify" vertical="center"/>
    </xf>
    <xf numFmtId="0" fontId="120" fillId="14" borderId="1" xfId="15" applyFont="1" applyFill="1" applyBorder="1" applyAlignment="1">
      <alignment horizontal="left" vertical="center" wrapText="1"/>
    </xf>
    <xf numFmtId="0" fontId="120" fillId="11" borderId="1" xfId="15" applyFont="1" applyFill="1" applyBorder="1" applyAlignment="1">
      <alignment horizontal="left" vertical="center" wrapText="1"/>
    </xf>
    <xf numFmtId="0" fontId="138" fillId="11" borderId="1" xfId="15" applyFont="1" applyFill="1" applyBorder="1" applyAlignment="1">
      <alignment horizontal="justify" vertical="center"/>
    </xf>
    <xf numFmtId="0" fontId="142" fillId="0" borderId="14" xfId="15" applyFont="1" applyFill="1" applyBorder="1" applyAlignment="1">
      <alignment vertical="center" wrapText="1"/>
    </xf>
    <xf numFmtId="0" fontId="126" fillId="11" borderId="1" xfId="15" applyFont="1" applyFill="1" applyBorder="1" applyAlignment="1">
      <alignment horizontal="left" vertical="center" wrapText="1"/>
    </xf>
    <xf numFmtId="0" fontId="121" fillId="11" borderId="8" xfId="15" applyFont="1" applyFill="1" applyBorder="1" applyAlignment="1">
      <alignment horizontal="left" vertical="center"/>
    </xf>
    <xf numFmtId="0" fontId="144" fillId="11" borderId="14" xfId="15" applyFont="1" applyFill="1" applyBorder="1" applyAlignment="1">
      <alignment vertical="center" wrapText="1"/>
    </xf>
    <xf numFmtId="3" fontId="137" fillId="11" borderId="1" xfId="15" applyNumberFormat="1" applyFont="1" applyFill="1" applyBorder="1" applyAlignment="1">
      <alignment horizontal="right" vertical="center"/>
    </xf>
    <xf numFmtId="0" fontId="141" fillId="11" borderId="1" xfId="0" applyFont="1" applyFill="1" applyBorder="1" applyAlignment="1">
      <alignment vertical="center" wrapText="1"/>
    </xf>
    <xf numFmtId="0" fontId="126" fillId="11" borderId="0" xfId="15" applyFont="1" applyFill="1" applyAlignment="1">
      <alignment vertical="center"/>
    </xf>
    <xf numFmtId="0" fontId="120" fillId="9" borderId="1" xfId="15" applyFont="1" applyFill="1" applyBorder="1" applyAlignment="1">
      <alignment horizontal="left" vertical="center" wrapText="1"/>
    </xf>
    <xf numFmtId="0" fontId="146" fillId="9" borderId="1" xfId="15" applyFont="1" applyFill="1" applyBorder="1" applyAlignment="1">
      <alignment vertical="center" wrapText="1"/>
    </xf>
    <xf numFmtId="39" fontId="127" fillId="9" borderId="1" xfId="19" applyNumberFormat="1" applyFont="1" applyFill="1" applyBorder="1" applyAlignment="1">
      <alignment vertical="center"/>
    </xf>
    <xf numFmtId="49" fontId="127" fillId="9" borderId="1" xfId="19" applyNumberFormat="1" applyFont="1" applyFill="1" applyBorder="1" applyAlignment="1">
      <alignment vertical="center"/>
    </xf>
    <xf numFmtId="0" fontId="142" fillId="11" borderId="1" xfId="15" applyFont="1" applyFill="1" applyBorder="1" applyAlignment="1">
      <alignment vertical="center" wrapText="1"/>
    </xf>
    <xf numFmtId="39" fontId="120" fillId="11" borderId="1" xfId="19" applyNumberFormat="1" applyFont="1" applyFill="1" applyBorder="1" applyAlignment="1">
      <alignment vertical="center"/>
    </xf>
    <xf numFmtId="10" fontId="120" fillId="11" borderId="1" xfId="12" applyNumberFormat="1" applyFont="1" applyFill="1" applyBorder="1" applyAlignment="1">
      <alignment vertical="center"/>
    </xf>
    <xf numFmtId="39" fontId="127" fillId="11" borderId="1" xfId="19" applyNumberFormat="1" applyFont="1" applyFill="1" applyBorder="1" applyAlignment="1">
      <alignment vertical="center"/>
    </xf>
    <xf numFmtId="9" fontId="120" fillId="25" borderId="1" xfId="21" applyFont="1" applyFill="1" applyBorder="1" applyAlignment="1">
      <alignment vertical="center"/>
    </xf>
    <xf numFmtId="185" fontId="120" fillId="25" borderId="1" xfId="19" applyNumberFormat="1" applyFont="1" applyFill="1" applyBorder="1" applyAlignment="1">
      <alignment vertical="center"/>
    </xf>
    <xf numFmtId="39" fontId="120" fillId="11" borderId="1" xfId="19" applyNumberFormat="1" applyFont="1" applyFill="1" applyBorder="1" applyAlignment="1">
      <alignment horizontal="center" vertical="center"/>
    </xf>
    <xf numFmtId="9" fontId="120" fillId="11" borderId="1" xfId="21" applyFont="1" applyFill="1" applyBorder="1" applyAlignment="1">
      <alignment horizontal="center" vertical="center"/>
    </xf>
    <xf numFmtId="185" fontId="120" fillId="11" borderId="1" xfId="19" applyNumberFormat="1" applyFont="1" applyFill="1" applyBorder="1" applyAlignment="1">
      <alignment horizontal="center" vertical="center"/>
    </xf>
    <xf numFmtId="49" fontId="127" fillId="11" borderId="1" xfId="19" applyNumberFormat="1" applyFont="1" applyFill="1" applyBorder="1" applyAlignment="1">
      <alignment vertical="center"/>
    </xf>
    <xf numFmtId="9" fontId="120" fillId="11" borderId="1" xfId="21" applyFont="1" applyFill="1" applyBorder="1" applyAlignment="1">
      <alignment vertical="center"/>
    </xf>
    <xf numFmtId="39" fontId="120" fillId="11" borderId="3" xfId="19" applyNumberFormat="1" applyFont="1" applyFill="1" applyBorder="1" applyAlignment="1">
      <alignment vertical="center"/>
    </xf>
    <xf numFmtId="39" fontId="126" fillId="11" borderId="3" xfId="19" applyNumberFormat="1" applyFont="1" applyFill="1" applyBorder="1" applyAlignment="1">
      <alignment vertical="center"/>
    </xf>
    <xf numFmtId="9" fontId="126" fillId="11" borderId="1" xfId="12" applyFont="1" applyFill="1" applyBorder="1" applyAlignment="1">
      <alignment vertical="center"/>
    </xf>
    <xf numFmtId="39" fontId="142" fillId="11" borderId="1" xfId="19" applyNumberFormat="1" applyFont="1" applyFill="1" applyBorder="1" applyAlignment="1">
      <alignment vertical="center"/>
    </xf>
    <xf numFmtId="0" fontId="120" fillId="11" borderId="1" xfId="15" applyFont="1" applyFill="1" applyBorder="1" applyAlignment="1">
      <alignment vertical="center" wrapText="1"/>
    </xf>
    <xf numFmtId="0" fontId="120" fillId="11" borderId="0" xfId="15" applyFont="1" applyFill="1" applyAlignment="1">
      <alignment vertical="center"/>
    </xf>
    <xf numFmtId="0" fontId="36" fillId="18" borderId="0" xfId="15" applyFont="1" applyFill="1" applyBorder="1" applyAlignment="1">
      <alignment vertical="center" wrapText="1"/>
    </xf>
    <xf numFmtId="0" fontId="37" fillId="25" borderId="0" xfId="15" applyFont="1" applyFill="1" applyBorder="1" applyAlignment="1">
      <alignment vertical="center" wrapText="1"/>
    </xf>
    <xf numFmtId="0" fontId="36" fillId="25" borderId="0" xfId="15" applyFont="1" applyFill="1" applyBorder="1" applyAlignment="1">
      <alignment vertical="center" wrapText="1"/>
    </xf>
    <xf numFmtId="0" fontId="130" fillId="18" borderId="0" xfId="15" applyFont="1" applyFill="1" applyBorder="1" applyAlignment="1">
      <alignment vertical="center" wrapText="1"/>
    </xf>
    <xf numFmtId="10" fontId="36" fillId="18" borderId="0" xfId="12" applyNumberFormat="1" applyFont="1" applyFill="1" applyBorder="1" applyAlignment="1">
      <alignment vertical="center" wrapText="1"/>
    </xf>
    <xf numFmtId="0" fontId="131" fillId="18" borderId="0" xfId="15" applyFont="1" applyFill="1" applyBorder="1" applyAlignment="1">
      <alignment vertical="center" wrapText="1"/>
    </xf>
    <xf numFmtId="0" fontId="36" fillId="48" borderId="0" xfId="15" applyFont="1" applyFill="1" applyBorder="1" applyAlignment="1">
      <alignment vertical="center" wrapText="1"/>
    </xf>
    <xf numFmtId="0" fontId="36" fillId="18" borderId="0" xfId="15" applyFont="1" applyFill="1" applyBorder="1" applyAlignment="1">
      <alignment horizontal="center" vertical="center" wrapText="1"/>
    </xf>
    <xf numFmtId="0" fontId="36" fillId="0" borderId="0" xfId="15" applyFont="1" applyFill="1" applyBorder="1" applyAlignment="1">
      <alignment vertical="center" wrapText="1"/>
    </xf>
    <xf numFmtId="0" fontId="130" fillId="0" borderId="0" xfId="15" applyFont="1" applyFill="1" applyBorder="1" applyAlignment="1">
      <alignment vertical="center" wrapText="1"/>
    </xf>
    <xf numFmtId="10" fontId="36" fillId="0" borderId="0" xfId="12" applyNumberFormat="1" applyFont="1" applyFill="1" applyBorder="1" applyAlignment="1">
      <alignment vertical="center" wrapText="1"/>
    </xf>
    <xf numFmtId="49" fontId="131" fillId="18" borderId="0" xfId="15" applyNumberFormat="1" applyFont="1" applyFill="1" applyBorder="1" applyAlignment="1">
      <alignment vertical="center" wrapText="1"/>
    </xf>
    <xf numFmtId="9" fontId="130" fillId="18" borderId="0" xfId="12" applyFont="1" applyFill="1" applyBorder="1" applyAlignment="1">
      <alignment vertical="center" wrapText="1"/>
    </xf>
    <xf numFmtId="0" fontId="36" fillId="18" borderId="1" xfId="15" applyFont="1" applyFill="1" applyBorder="1" applyAlignment="1">
      <alignment vertical="center" wrapText="1"/>
    </xf>
    <xf numFmtId="0" fontId="36" fillId="18" borderId="9" xfId="15" applyFont="1" applyFill="1" applyBorder="1" applyAlignment="1">
      <alignment vertical="center" wrapText="1"/>
    </xf>
    <xf numFmtId="0" fontId="36" fillId="18" borderId="6" xfId="15" applyFont="1" applyFill="1" applyBorder="1" applyAlignment="1">
      <alignment vertical="center" wrapText="1"/>
    </xf>
    <xf numFmtId="0" fontId="120" fillId="15" borderId="4" xfId="15" applyFont="1" applyFill="1" applyBorder="1" applyAlignment="1">
      <alignment vertical="center" wrapText="1"/>
    </xf>
    <xf numFmtId="0" fontId="120" fillId="25" borderId="4" xfId="15" applyFont="1" applyFill="1" applyBorder="1" applyAlignment="1">
      <alignment vertical="center" wrapText="1"/>
    </xf>
    <xf numFmtId="0" fontId="126" fillId="15" borderId="4" xfId="15" applyFont="1" applyFill="1" applyBorder="1" applyAlignment="1">
      <alignment vertical="center" wrapText="1"/>
    </xf>
    <xf numFmtId="10" fontId="120" fillId="15" borderId="4" xfId="12" applyNumberFormat="1" applyFont="1" applyFill="1" applyBorder="1" applyAlignment="1">
      <alignment vertical="center" wrapText="1"/>
    </xf>
    <xf numFmtId="0" fontId="127" fillId="15" borderId="4" xfId="15" applyFont="1" applyFill="1" applyBorder="1" applyAlignment="1">
      <alignment vertical="center" wrapText="1"/>
    </xf>
    <xf numFmtId="0" fontId="120" fillId="48" borderId="4" xfId="15" applyFont="1" applyFill="1" applyBorder="1" applyAlignment="1">
      <alignment vertical="center" wrapText="1"/>
    </xf>
    <xf numFmtId="0" fontId="120" fillId="15" borderId="4" xfId="15" applyFont="1" applyFill="1" applyBorder="1" applyAlignment="1">
      <alignment horizontal="center" vertical="center" wrapText="1"/>
    </xf>
    <xf numFmtId="0" fontId="120" fillId="0" borderId="4" xfId="15" applyFont="1" applyFill="1" applyBorder="1" applyAlignment="1">
      <alignment vertical="center" wrapText="1"/>
    </xf>
    <xf numFmtId="0" fontId="126" fillId="0" borderId="4" xfId="15" applyFont="1" applyFill="1" applyBorder="1" applyAlignment="1">
      <alignment vertical="center" wrapText="1"/>
    </xf>
    <xf numFmtId="10" fontId="120" fillId="0" borderId="4" xfId="12" applyNumberFormat="1" applyFont="1" applyFill="1" applyBorder="1" applyAlignment="1">
      <alignment vertical="center" wrapText="1"/>
    </xf>
    <xf numFmtId="49" fontId="127" fillId="15" borderId="4" xfId="15" applyNumberFormat="1" applyFont="1" applyFill="1" applyBorder="1" applyAlignment="1">
      <alignment vertical="center" wrapText="1"/>
    </xf>
    <xf numFmtId="9" fontId="126" fillId="15" borderId="4" xfId="12" applyFont="1" applyFill="1" applyBorder="1" applyAlignment="1">
      <alignment vertical="center" wrapText="1"/>
    </xf>
    <xf numFmtId="0" fontId="120" fillId="15" borderId="1" xfId="15" applyFont="1" applyFill="1" applyBorder="1" applyAlignment="1">
      <alignment vertical="center" wrapText="1"/>
    </xf>
    <xf numFmtId="0" fontId="120" fillId="15" borderId="15" xfId="15" applyFont="1" applyFill="1" applyBorder="1" applyAlignment="1">
      <alignment vertical="center" wrapText="1"/>
    </xf>
    <xf numFmtId="0" fontId="120" fillId="15" borderId="11" xfId="15" applyFont="1" applyFill="1" applyBorder="1" applyAlignment="1">
      <alignment vertical="center" wrapText="1"/>
    </xf>
    <xf numFmtId="0" fontId="119" fillId="11" borderId="8" xfId="15" applyFont="1" applyFill="1" applyBorder="1" applyAlignment="1">
      <alignment horizontal="center" vertical="center" wrapText="1"/>
    </xf>
    <xf numFmtId="0" fontId="119" fillId="11" borderId="8" xfId="15" applyFont="1" applyFill="1" applyBorder="1" applyAlignment="1">
      <alignment horizontal="left" vertical="center"/>
    </xf>
    <xf numFmtId="3" fontId="138" fillId="11" borderId="1" xfId="15" applyNumberFormat="1" applyFont="1" applyFill="1" applyBorder="1" applyAlignment="1">
      <alignment horizontal="right" vertical="center"/>
    </xf>
    <xf numFmtId="39" fontId="119" fillId="50" borderId="1" xfId="19" applyNumberFormat="1" applyFont="1" applyFill="1" applyBorder="1" applyAlignment="1">
      <alignment vertical="center"/>
    </xf>
    <xf numFmtId="0" fontId="119" fillId="50" borderId="8" xfId="15" applyFont="1" applyFill="1" applyBorder="1" applyAlignment="1">
      <alignment horizontal="center" vertical="center" wrapText="1"/>
    </xf>
    <xf numFmtId="0" fontId="138" fillId="50" borderId="1" xfId="15" applyFont="1" applyFill="1" applyBorder="1" applyAlignment="1">
      <alignment horizontal="justify" vertical="center"/>
    </xf>
    <xf numFmtId="0" fontId="119" fillId="50" borderId="8" xfId="15" applyFont="1" applyFill="1" applyBorder="1" applyAlignment="1">
      <alignment horizontal="left" vertical="center"/>
    </xf>
    <xf numFmtId="0" fontId="148" fillId="50" borderId="14" xfId="15" applyFont="1" applyFill="1" applyBorder="1" applyAlignment="1">
      <alignment vertical="center" wrapText="1"/>
    </xf>
    <xf numFmtId="3" fontId="138" fillId="50" borderId="1" xfId="15" applyNumberFormat="1" applyFont="1" applyFill="1" applyBorder="1" applyAlignment="1">
      <alignment horizontal="right" vertical="center"/>
    </xf>
    <xf numFmtId="9" fontId="119" fillId="50" borderId="1" xfId="21" applyFont="1" applyFill="1" applyBorder="1" applyAlignment="1">
      <alignment vertical="center"/>
    </xf>
    <xf numFmtId="39" fontId="121" fillId="50" borderId="1" xfId="19" applyNumberFormat="1" applyFont="1" applyFill="1" applyBorder="1" applyAlignment="1">
      <alignment vertical="center"/>
    </xf>
    <xf numFmtId="10" fontId="119" fillId="50" borderId="1" xfId="12" applyNumberFormat="1" applyFont="1" applyFill="1" applyBorder="1" applyAlignment="1">
      <alignment vertical="center"/>
    </xf>
    <xf numFmtId="0" fontId="119" fillId="50" borderId="1" xfId="15" applyFont="1" applyFill="1" applyBorder="1" applyAlignment="1">
      <alignment vertical="center" wrapText="1"/>
    </xf>
    <xf numFmtId="0" fontId="119" fillId="50" borderId="1" xfId="15" applyFont="1" applyFill="1" applyBorder="1" applyAlignment="1">
      <alignment horizontal="center" vertical="center" wrapText="1"/>
    </xf>
    <xf numFmtId="49" fontId="119" fillId="50" borderId="1" xfId="21" applyNumberFormat="1" applyFont="1" applyFill="1" applyBorder="1" applyAlignment="1">
      <alignment vertical="center"/>
    </xf>
    <xf numFmtId="39" fontId="119" fillId="50" borderId="3" xfId="19" applyNumberFormat="1" applyFont="1" applyFill="1" applyBorder="1" applyAlignment="1">
      <alignment vertical="center"/>
    </xf>
    <xf numFmtId="39" fontId="121" fillId="50" borderId="3" xfId="19" applyNumberFormat="1" applyFont="1" applyFill="1" applyBorder="1" applyAlignment="1">
      <alignment vertical="center"/>
    </xf>
    <xf numFmtId="9" fontId="121" fillId="50" borderId="1" xfId="12" applyFont="1" applyFill="1" applyBorder="1" applyAlignment="1">
      <alignment vertical="center"/>
    </xf>
    <xf numFmtId="0" fontId="119" fillId="50" borderId="0" xfId="15" applyFont="1" applyFill="1" applyAlignment="1">
      <alignment vertical="center"/>
    </xf>
    <xf numFmtId="0" fontId="119" fillId="14" borderId="8" xfId="15" applyFont="1" applyFill="1" applyBorder="1" applyAlignment="1">
      <alignment horizontal="center" vertical="center" wrapText="1"/>
    </xf>
    <xf numFmtId="0" fontId="119" fillId="14" borderId="8" xfId="15" applyFont="1" applyFill="1" applyBorder="1" applyAlignment="1">
      <alignment horizontal="left" vertical="center"/>
    </xf>
    <xf numFmtId="0" fontId="148" fillId="14" borderId="14" xfId="15" applyFont="1" applyFill="1" applyBorder="1" applyAlignment="1">
      <alignment vertical="center" wrapText="1"/>
    </xf>
    <xf numFmtId="3" fontId="138" fillId="14" borderId="1" xfId="15" applyNumberFormat="1" applyFont="1" applyFill="1" applyBorder="1" applyAlignment="1">
      <alignment horizontal="right" vertical="center"/>
    </xf>
    <xf numFmtId="186" fontId="138" fillId="14" borderId="1" xfId="15" applyNumberFormat="1" applyFont="1" applyFill="1" applyBorder="1" applyAlignment="1">
      <alignment horizontal="right" vertical="center"/>
    </xf>
    <xf numFmtId="39" fontId="121" fillId="14" borderId="3" xfId="19" applyNumberFormat="1" applyFont="1" applyFill="1" applyBorder="1" applyAlignment="1">
      <alignment vertical="center"/>
    </xf>
    <xf numFmtId="0" fontId="148" fillId="11" borderId="14" xfId="15" applyFont="1" applyFill="1" applyBorder="1" applyAlignment="1">
      <alignment vertical="center" wrapText="1"/>
    </xf>
    <xf numFmtId="186" fontId="138" fillId="11" borderId="1" xfId="15" applyNumberFormat="1" applyFont="1" applyFill="1" applyBorder="1" applyAlignment="1">
      <alignment horizontal="right" vertical="center"/>
    </xf>
    <xf numFmtId="0" fontId="120" fillId="9" borderId="1" xfId="15" applyFont="1" applyFill="1" applyBorder="1" applyAlignment="1">
      <alignment horizontal="right" vertical="center"/>
    </xf>
    <xf numFmtId="0" fontId="120" fillId="9" borderId="14" xfId="15" applyFont="1" applyFill="1" applyBorder="1" applyAlignment="1">
      <alignment horizontal="right" vertical="center"/>
    </xf>
    <xf numFmtId="0" fontId="120" fillId="9" borderId="8" xfId="15" applyFont="1" applyFill="1" applyBorder="1" applyAlignment="1">
      <alignment horizontal="right" vertical="center"/>
    </xf>
    <xf numFmtId="187" fontId="120" fillId="25" borderId="1" xfId="19" applyNumberFormat="1" applyFont="1" applyFill="1" applyBorder="1" applyAlignment="1">
      <alignment vertical="center"/>
    </xf>
    <xf numFmtId="187" fontId="120" fillId="9" borderId="1" xfId="19" applyNumberFormat="1" applyFont="1" applyFill="1" applyBorder="1" applyAlignment="1">
      <alignment horizontal="center" vertical="center"/>
    </xf>
    <xf numFmtId="9" fontId="120" fillId="9" borderId="1" xfId="21" applyFont="1" applyFill="1" applyBorder="1" applyAlignment="1">
      <alignment vertical="center"/>
    </xf>
    <xf numFmtId="0" fontId="120" fillId="9" borderId="0" xfId="15" applyFont="1" applyFill="1" applyAlignment="1">
      <alignment vertical="center"/>
    </xf>
    <xf numFmtId="0" fontId="120" fillId="15" borderId="3" xfId="15" applyFont="1" applyFill="1" applyBorder="1" applyAlignment="1">
      <alignment vertical="center"/>
    </xf>
    <xf numFmtId="0" fontId="120" fillId="15" borderId="4" xfId="15" applyFont="1" applyFill="1" applyBorder="1" applyAlignment="1">
      <alignment vertical="center"/>
    </xf>
    <xf numFmtId="0" fontId="120" fillId="25" borderId="4" xfId="15" applyFont="1" applyFill="1" applyBorder="1" applyAlignment="1">
      <alignment vertical="center"/>
    </xf>
    <xf numFmtId="0" fontId="126" fillId="15" borderId="4" xfId="15" applyFont="1" applyFill="1" applyBorder="1" applyAlignment="1">
      <alignment vertical="center"/>
    </xf>
    <xf numFmtId="10" fontId="120" fillId="15" borderId="4" xfId="15" applyNumberFormat="1" applyFont="1" applyFill="1" applyBorder="1" applyAlignment="1">
      <alignment vertical="center"/>
    </xf>
    <xf numFmtId="0" fontId="120" fillId="48" borderId="4" xfId="15" applyFont="1" applyFill="1" applyBorder="1" applyAlignment="1">
      <alignment vertical="center"/>
    </xf>
    <xf numFmtId="188" fontId="120" fillId="25" borderId="4" xfId="15" applyNumberFormat="1" applyFont="1" applyFill="1" applyBorder="1" applyAlignment="1">
      <alignment vertical="center"/>
    </xf>
    <xf numFmtId="0" fontId="120" fillId="15" borderId="4" xfId="15" applyFont="1" applyFill="1" applyBorder="1" applyAlignment="1">
      <alignment horizontal="center" vertical="center"/>
    </xf>
    <xf numFmtId="0" fontId="120" fillId="0" borderId="4" xfId="15" applyFont="1" applyFill="1" applyBorder="1" applyAlignment="1">
      <alignment vertical="center"/>
    </xf>
    <xf numFmtId="0" fontId="126" fillId="0" borderId="4" xfId="15" applyFont="1" applyFill="1" applyBorder="1" applyAlignment="1">
      <alignment vertical="center"/>
    </xf>
    <xf numFmtId="10" fontId="120" fillId="0" borderId="4" xfId="15" applyNumberFormat="1" applyFont="1" applyFill="1" applyBorder="1" applyAlignment="1">
      <alignment vertical="center"/>
    </xf>
    <xf numFmtId="49" fontId="120" fillId="15" borderId="4" xfId="15" applyNumberFormat="1" applyFont="1" applyFill="1" applyBorder="1" applyAlignment="1">
      <alignment vertical="center"/>
    </xf>
    <xf numFmtId="9" fontId="126" fillId="15" borderId="4" xfId="12" applyFont="1" applyFill="1" applyBorder="1" applyAlignment="1">
      <alignment vertical="center"/>
    </xf>
    <xf numFmtId="0" fontId="120" fillId="15" borderId="1" xfId="15" applyFont="1" applyFill="1" applyBorder="1" applyAlignment="1">
      <alignment vertical="center"/>
    </xf>
    <xf numFmtId="0" fontId="120" fillId="15" borderId="0" xfId="15" applyFont="1" applyFill="1" applyAlignment="1">
      <alignment vertical="center"/>
    </xf>
    <xf numFmtId="0" fontId="120" fillId="0" borderId="1" xfId="15" applyFont="1" applyFill="1" applyBorder="1" applyAlignment="1">
      <alignment horizontal="right" vertical="center"/>
    </xf>
    <xf numFmtId="0" fontId="120" fillId="0" borderId="14" xfId="15" applyFont="1" applyFill="1" applyBorder="1" applyAlignment="1">
      <alignment horizontal="right" vertical="center"/>
    </xf>
    <xf numFmtId="0" fontId="120" fillId="0" borderId="8" xfId="15" applyFont="1" applyFill="1" applyBorder="1" applyAlignment="1">
      <alignment horizontal="right" vertical="center"/>
    </xf>
    <xf numFmtId="39" fontId="142" fillId="25" borderId="1" xfId="19" applyNumberFormat="1" applyFont="1" applyFill="1" applyBorder="1" applyAlignment="1">
      <alignment vertical="center"/>
    </xf>
    <xf numFmtId="39" fontId="142" fillId="0" borderId="1" xfId="19" applyNumberFormat="1" applyFont="1" applyFill="1" applyBorder="1" applyAlignment="1">
      <alignment vertical="center"/>
    </xf>
    <xf numFmtId="0" fontId="142" fillId="0" borderId="1" xfId="15" applyFont="1" applyFill="1" applyBorder="1" applyAlignment="1">
      <alignment vertical="center" wrapText="1"/>
    </xf>
    <xf numFmtId="39" fontId="144" fillId="0" borderId="1" xfId="19" applyNumberFormat="1" applyFont="1" applyFill="1" applyBorder="1" applyAlignment="1">
      <alignment vertical="center"/>
    </xf>
    <xf numFmtId="10" fontId="142" fillId="0" borderId="1" xfId="12" applyNumberFormat="1" applyFont="1" applyFill="1" applyBorder="1" applyAlignment="1">
      <alignment vertical="center"/>
    </xf>
    <xf numFmtId="39" fontId="149" fillId="0" borderId="1" xfId="19" applyNumberFormat="1" applyFont="1" applyFill="1" applyBorder="1" applyAlignment="1">
      <alignment vertical="center"/>
    </xf>
    <xf numFmtId="39" fontId="142" fillId="48" borderId="1" xfId="19" applyNumberFormat="1" applyFont="1" applyFill="1" applyBorder="1" applyAlignment="1">
      <alignment vertical="center"/>
    </xf>
    <xf numFmtId="39" fontId="142" fillId="0" borderId="1" xfId="19" applyNumberFormat="1" applyFont="1" applyFill="1" applyBorder="1" applyAlignment="1">
      <alignment horizontal="center" vertical="center"/>
    </xf>
    <xf numFmtId="49" fontId="149" fillId="14" borderId="1" xfId="19" applyNumberFormat="1" applyFont="1" applyFill="1" applyBorder="1" applyAlignment="1">
      <alignment vertical="center"/>
    </xf>
    <xf numFmtId="39" fontId="142" fillId="0" borderId="3" xfId="19" applyNumberFormat="1" applyFont="1" applyFill="1" applyBorder="1" applyAlignment="1">
      <alignment vertical="center"/>
    </xf>
    <xf numFmtId="39" fontId="142" fillId="8" borderId="1" xfId="19" applyNumberFormat="1" applyFont="1" applyFill="1" applyBorder="1" applyAlignment="1">
      <alignment vertical="center"/>
    </xf>
    <xf numFmtId="39" fontId="144" fillId="0" borderId="3" xfId="19" applyNumberFormat="1" applyFont="1" applyFill="1" applyBorder="1" applyAlignment="1">
      <alignment vertical="center"/>
    </xf>
    <xf numFmtId="9" fontId="144" fillId="0" borderId="1" xfId="12" applyFont="1" applyFill="1" applyBorder="1" applyAlignment="1">
      <alignment vertical="center"/>
    </xf>
    <xf numFmtId="0" fontId="120" fillId="11" borderId="1" xfId="15" applyFont="1" applyFill="1" applyBorder="1" applyAlignment="1">
      <alignment horizontal="right" vertical="center"/>
    </xf>
    <xf numFmtId="0" fontId="120" fillId="11" borderId="14" xfId="15" applyFont="1" applyFill="1" applyBorder="1" applyAlignment="1">
      <alignment horizontal="right" vertical="center"/>
    </xf>
    <xf numFmtId="0" fontId="120" fillId="11" borderId="8" xfId="15" applyFont="1" applyFill="1" applyBorder="1" applyAlignment="1">
      <alignment horizontal="right" vertical="center"/>
    </xf>
    <xf numFmtId="0" fontId="146" fillId="11" borderId="1" xfId="15" applyFont="1" applyFill="1" applyBorder="1" applyAlignment="1">
      <alignment vertical="center" wrapText="1"/>
    </xf>
    <xf numFmtId="39" fontId="144" fillId="11" borderId="1" xfId="19" applyNumberFormat="1" applyFont="1" applyFill="1" applyBorder="1" applyAlignment="1">
      <alignment vertical="center"/>
    </xf>
    <xf numFmtId="10" fontId="142" fillId="11" borderId="1" xfId="12" applyNumberFormat="1" applyFont="1" applyFill="1" applyBorder="1" applyAlignment="1">
      <alignment vertical="center"/>
    </xf>
    <xf numFmtId="39" fontId="149" fillId="11" borderId="1" xfId="19" applyNumberFormat="1" applyFont="1" applyFill="1" applyBorder="1" applyAlignment="1">
      <alignment vertical="center"/>
    </xf>
    <xf numFmtId="39" fontId="142" fillId="11" borderId="1" xfId="19" applyNumberFormat="1" applyFont="1" applyFill="1" applyBorder="1" applyAlignment="1">
      <alignment horizontal="center" vertical="center"/>
    </xf>
    <xf numFmtId="49" fontId="149" fillId="11" borderId="1" xfId="19" applyNumberFormat="1" applyFont="1" applyFill="1" applyBorder="1" applyAlignment="1">
      <alignment vertical="center"/>
    </xf>
    <xf numFmtId="39" fontId="142" fillId="11" borderId="3" xfId="19" applyNumberFormat="1" applyFont="1" applyFill="1" applyBorder="1" applyAlignment="1">
      <alignment vertical="center"/>
    </xf>
    <xf numFmtId="39" fontId="144" fillId="11" borderId="3" xfId="19" applyNumberFormat="1" applyFont="1" applyFill="1" applyBorder="1" applyAlignment="1">
      <alignment vertical="center"/>
    </xf>
    <xf numFmtId="9" fontId="144" fillId="11" borderId="1" xfId="12" applyFont="1" applyFill="1" applyBorder="1" applyAlignment="1">
      <alignment vertical="center"/>
    </xf>
    <xf numFmtId="0" fontId="119" fillId="0" borderId="1" xfId="15" applyFont="1" applyFill="1" applyBorder="1" applyAlignment="1">
      <alignment horizontal="right" vertical="center"/>
    </xf>
    <xf numFmtId="0" fontId="119" fillId="0" borderId="8" xfId="15" applyFont="1" applyFill="1" applyBorder="1" applyAlignment="1">
      <alignment horizontal="left" vertical="center"/>
    </xf>
    <xf numFmtId="0" fontId="148" fillId="0" borderId="14" xfId="15" applyFont="1" applyFill="1" applyBorder="1" applyAlignment="1">
      <alignment vertical="center" wrapText="1"/>
    </xf>
    <xf numFmtId="2" fontId="121" fillId="0" borderId="1" xfId="15" applyNumberFormat="1" applyFont="1" applyFill="1" applyBorder="1" applyAlignment="1">
      <alignment vertical="center" wrapText="1"/>
    </xf>
    <xf numFmtId="10" fontId="119" fillId="0" borderId="1" xfId="12" applyNumberFormat="1" applyFont="1" applyFill="1" applyBorder="1" applyAlignment="1">
      <alignment vertical="center" wrapText="1"/>
    </xf>
    <xf numFmtId="39" fontId="148" fillId="25" borderId="1" xfId="19" applyNumberFormat="1" applyFont="1" applyFill="1" applyBorder="1" applyAlignment="1">
      <alignment vertical="center"/>
    </xf>
    <xf numFmtId="166" fontId="148" fillId="25" borderId="1" xfId="19" applyNumberFormat="1" applyFont="1" applyFill="1" applyBorder="1" applyAlignment="1">
      <alignment vertical="center"/>
    </xf>
    <xf numFmtId="39" fontId="148" fillId="0" borderId="1" xfId="19" applyNumberFormat="1" applyFont="1" applyFill="1" applyBorder="1" applyAlignment="1">
      <alignment horizontal="center" vertical="center"/>
    </xf>
    <xf numFmtId="166" fontId="148" fillId="0" borderId="1" xfId="19" applyNumberFormat="1" applyFont="1" applyFill="1" applyBorder="1" applyAlignment="1">
      <alignment vertical="center"/>
    </xf>
    <xf numFmtId="0" fontId="121" fillId="0" borderId="1" xfId="15" applyFont="1" applyFill="1" applyBorder="1" applyAlignment="1">
      <alignment vertical="center" wrapText="1"/>
    </xf>
    <xf numFmtId="39" fontId="121" fillId="0" borderId="3" xfId="19" applyNumberFormat="1" applyFont="1" applyFill="1" applyBorder="1" applyAlignment="1">
      <alignment vertical="center"/>
    </xf>
    <xf numFmtId="0" fontId="136" fillId="9" borderId="1" xfId="15" applyFont="1" applyFill="1" applyBorder="1" applyAlignment="1">
      <alignment horizontal="justify" vertical="center"/>
    </xf>
    <xf numFmtId="0" fontId="119" fillId="11" borderId="1" xfId="15" applyFont="1" applyFill="1" applyBorder="1" applyAlignment="1">
      <alignment horizontal="right" vertical="center"/>
    </xf>
    <xf numFmtId="0" fontId="119" fillId="14" borderId="1" xfId="15" applyFont="1" applyFill="1" applyBorder="1" applyAlignment="1">
      <alignment horizontal="right" vertical="center"/>
    </xf>
    <xf numFmtId="0" fontId="138" fillId="14" borderId="1" xfId="15" applyFont="1" applyFill="1" applyBorder="1" applyAlignment="1">
      <alignment horizontal="left" vertical="center"/>
    </xf>
    <xf numFmtId="0" fontId="120" fillId="9" borderId="5" xfId="15" applyFont="1" applyFill="1" applyBorder="1" applyAlignment="1">
      <alignment horizontal="right" vertical="center"/>
    </xf>
    <xf numFmtId="0" fontId="120" fillId="9" borderId="1" xfId="15" applyFont="1" applyFill="1" applyBorder="1" applyAlignment="1">
      <alignment horizontal="left" vertical="center"/>
    </xf>
    <xf numFmtId="0" fontId="142" fillId="11" borderId="14" xfId="15" applyFont="1" applyFill="1" applyBorder="1" applyAlignment="1">
      <alignment vertical="center" wrapText="1"/>
    </xf>
    <xf numFmtId="49" fontId="142" fillId="0" borderId="1" xfId="19" applyNumberFormat="1" applyFont="1" applyFill="1" applyBorder="1" applyAlignment="1">
      <alignment vertical="center"/>
    </xf>
    <xf numFmtId="0" fontId="120" fillId="11" borderId="5" xfId="15" applyFont="1" applyFill="1" applyBorder="1" applyAlignment="1">
      <alignment horizontal="right" vertical="center"/>
    </xf>
    <xf numFmtId="0" fontId="119" fillId="14" borderId="8" xfId="15" applyFont="1" applyFill="1" applyBorder="1" applyAlignment="1">
      <alignment horizontal="left" vertical="center" wrapText="1"/>
    </xf>
    <xf numFmtId="9" fontId="119" fillId="14" borderId="1" xfId="15" applyNumberFormat="1" applyFont="1" applyFill="1" applyBorder="1" applyAlignment="1">
      <alignment vertical="center"/>
    </xf>
    <xf numFmtId="0" fontId="120" fillId="9" borderId="0" xfId="15" applyFont="1" applyFill="1" applyAlignment="1">
      <alignment vertical="center" wrapText="1"/>
    </xf>
    <xf numFmtId="0" fontId="142" fillId="11" borderId="1" xfId="15" applyFont="1" applyFill="1" applyBorder="1" applyAlignment="1">
      <alignment horizontal="left" vertical="center" wrapText="1"/>
    </xf>
    <xf numFmtId="0" fontId="142" fillId="25" borderId="1" xfId="15" applyFont="1" applyFill="1" applyBorder="1" applyAlignment="1">
      <alignment horizontal="left" vertical="center" wrapText="1"/>
    </xf>
    <xf numFmtId="9" fontId="142" fillId="25" borderId="1" xfId="21" applyFont="1" applyFill="1" applyBorder="1" applyAlignment="1">
      <alignment horizontal="left" vertical="center" wrapText="1"/>
    </xf>
    <xf numFmtId="39" fontId="120" fillId="25" borderId="1" xfId="19" applyNumberFormat="1" applyFont="1" applyFill="1" applyBorder="1" applyAlignment="1">
      <alignment horizontal="right" vertical="center"/>
    </xf>
    <xf numFmtId="39" fontId="120" fillId="11" borderId="1" xfId="19" applyNumberFormat="1" applyFont="1" applyFill="1" applyBorder="1" applyAlignment="1">
      <alignment horizontal="right" vertical="center"/>
    </xf>
    <xf numFmtId="9" fontId="142" fillId="11" borderId="1" xfId="21" applyFont="1" applyFill="1" applyBorder="1" applyAlignment="1">
      <alignment horizontal="left" vertical="center" wrapText="1"/>
    </xf>
    <xf numFmtId="39" fontId="126" fillId="11" borderId="1" xfId="19" applyNumberFormat="1" applyFont="1" applyFill="1" applyBorder="1" applyAlignment="1">
      <alignment horizontal="right" vertical="center"/>
    </xf>
    <xf numFmtId="10" fontId="120" fillId="11" borderId="1" xfId="12" applyNumberFormat="1" applyFont="1" applyFill="1" applyBorder="1" applyAlignment="1">
      <alignment horizontal="right" vertical="center"/>
    </xf>
    <xf numFmtId="39" fontId="127" fillId="11" borderId="1" xfId="19" applyNumberFormat="1" applyFont="1" applyFill="1" applyBorder="1" applyAlignment="1">
      <alignment horizontal="right" vertical="center"/>
    </xf>
    <xf numFmtId="39" fontId="120" fillId="48" borderId="1" xfId="19" applyNumberFormat="1" applyFont="1" applyFill="1" applyBorder="1" applyAlignment="1">
      <alignment horizontal="right" vertical="center"/>
    </xf>
    <xf numFmtId="39" fontId="120" fillId="0" borderId="1" xfId="19" applyNumberFormat="1" applyFont="1" applyFill="1" applyBorder="1" applyAlignment="1">
      <alignment horizontal="right" vertical="center"/>
    </xf>
    <xf numFmtId="39" fontId="126" fillId="0" borderId="1" xfId="19" applyNumberFormat="1" applyFont="1" applyFill="1" applyBorder="1" applyAlignment="1">
      <alignment horizontal="right" vertical="center"/>
    </xf>
    <xf numFmtId="10" fontId="120" fillId="0" borderId="1" xfId="12" applyNumberFormat="1" applyFont="1" applyFill="1" applyBorder="1" applyAlignment="1">
      <alignment horizontal="right" vertical="center"/>
    </xf>
    <xf numFmtId="49" fontId="127" fillId="11" borderId="1" xfId="19" applyNumberFormat="1" applyFont="1" applyFill="1" applyBorder="1" applyAlignment="1">
      <alignment horizontal="right" vertical="center"/>
    </xf>
    <xf numFmtId="39" fontId="120" fillId="11" borderId="1" xfId="19" applyNumberFormat="1" applyFont="1" applyFill="1" applyBorder="1" applyAlignment="1">
      <alignment horizontal="left" vertical="center"/>
    </xf>
    <xf numFmtId="39" fontId="142" fillId="11" borderId="1" xfId="19" applyNumberFormat="1" applyFont="1" applyFill="1" applyBorder="1" applyAlignment="1">
      <alignment horizontal="left" vertical="center"/>
    </xf>
    <xf numFmtId="0" fontId="120" fillId="11" borderId="0" xfId="15" applyFont="1" applyFill="1" applyAlignment="1">
      <alignment horizontal="left" vertical="center" wrapText="1"/>
    </xf>
    <xf numFmtId="0" fontId="120" fillId="11" borderId="0" xfId="15" applyFont="1" applyFill="1" applyAlignment="1">
      <alignment horizontal="left" vertical="center"/>
    </xf>
    <xf numFmtId="0" fontId="120" fillId="25" borderId="1" xfId="15" applyFont="1" applyFill="1" applyBorder="1" applyAlignment="1">
      <alignment horizontal="left" vertical="center"/>
    </xf>
    <xf numFmtId="0" fontId="120" fillId="4" borderId="1" xfId="15" applyFont="1" applyFill="1" applyBorder="1" applyAlignment="1">
      <alignment vertical="center" wrapText="1"/>
    </xf>
    <xf numFmtId="0" fontId="120" fillId="4" borderId="1" xfId="15" applyFont="1" applyFill="1" applyBorder="1" applyAlignment="1">
      <alignment horizontal="left" vertical="center"/>
    </xf>
    <xf numFmtId="0" fontId="126" fillId="4" borderId="1" xfId="15" applyFont="1" applyFill="1" applyBorder="1" applyAlignment="1">
      <alignment vertical="center" wrapText="1"/>
    </xf>
    <xf numFmtId="10" fontId="120" fillId="4" borderId="1" xfId="12" applyNumberFormat="1" applyFont="1" applyFill="1" applyBorder="1" applyAlignment="1">
      <alignment vertical="center" wrapText="1"/>
    </xf>
    <xf numFmtId="0" fontId="127" fillId="4" borderId="1" xfId="15" applyFont="1" applyFill="1" applyBorder="1" applyAlignment="1">
      <alignment vertical="center" wrapText="1"/>
    </xf>
    <xf numFmtId="0" fontId="120" fillId="48" borderId="1" xfId="15" applyFont="1" applyFill="1" applyBorder="1" applyAlignment="1">
      <alignment vertical="center" wrapText="1"/>
    </xf>
    <xf numFmtId="0" fontId="120" fillId="25" borderId="1" xfId="15" applyFont="1" applyFill="1" applyBorder="1" applyAlignment="1">
      <alignment horizontal="center" vertical="center" wrapText="1"/>
    </xf>
    <xf numFmtId="0" fontId="120" fillId="4" borderId="1" xfId="15" applyFont="1" applyFill="1" applyBorder="1" applyAlignment="1">
      <alignment horizontal="center" vertical="center" wrapText="1"/>
    </xf>
    <xf numFmtId="0" fontId="126" fillId="0" borderId="1" xfId="15" applyFont="1" applyFill="1" applyBorder="1" applyAlignment="1">
      <alignment horizontal="center" vertical="center" wrapText="1"/>
    </xf>
    <xf numFmtId="10" fontId="120" fillId="0" borderId="1" xfId="15" applyNumberFormat="1" applyFont="1" applyFill="1" applyBorder="1" applyAlignment="1">
      <alignment horizontal="center" vertical="center" wrapText="1"/>
    </xf>
    <xf numFmtId="49" fontId="127" fillId="4" borderId="1" xfId="15" applyNumberFormat="1" applyFont="1" applyFill="1" applyBorder="1" applyAlignment="1">
      <alignment vertical="center" wrapText="1"/>
    </xf>
    <xf numFmtId="0" fontId="120" fillId="4" borderId="3" xfId="15" applyFont="1" applyFill="1" applyBorder="1" applyAlignment="1">
      <alignment horizontal="center" vertical="center" wrapText="1"/>
    </xf>
    <xf numFmtId="0" fontId="126" fillId="4" borderId="1" xfId="15" applyFont="1" applyFill="1" applyBorder="1" applyAlignment="1">
      <alignment horizontal="center" vertical="center" wrapText="1"/>
    </xf>
    <xf numFmtId="9" fontId="126" fillId="4" borderId="1" xfId="12" applyFont="1" applyFill="1" applyBorder="1" applyAlignment="1">
      <alignment horizontal="center" vertical="center" wrapText="1"/>
    </xf>
    <xf numFmtId="0" fontId="119" fillId="4" borderId="0" xfId="15" applyFont="1" applyFill="1" applyAlignment="1">
      <alignment vertical="center" wrapText="1"/>
    </xf>
    <xf numFmtId="0" fontId="119" fillId="4" borderId="0" xfId="15" applyFont="1" applyFill="1" applyAlignment="1">
      <alignment vertical="center"/>
    </xf>
    <xf numFmtId="170" fontId="120" fillId="25" borderId="1" xfId="15" applyNumberFormat="1" applyFont="1" applyFill="1" applyBorder="1" applyAlignment="1">
      <alignment vertical="center" wrapText="1"/>
    </xf>
    <xf numFmtId="170" fontId="120" fillId="4" borderId="1" xfId="15" applyNumberFormat="1" applyFont="1" applyFill="1" applyBorder="1" applyAlignment="1">
      <alignment vertical="center" wrapText="1"/>
    </xf>
    <xf numFmtId="170" fontId="126" fillId="4" borderId="1" xfId="15" applyNumberFormat="1" applyFont="1" applyFill="1" applyBorder="1" applyAlignment="1">
      <alignment vertical="center" wrapText="1"/>
    </xf>
    <xf numFmtId="170" fontId="127" fillId="4" borderId="1" xfId="15" applyNumberFormat="1" applyFont="1" applyFill="1" applyBorder="1" applyAlignment="1">
      <alignment vertical="center" wrapText="1"/>
    </xf>
    <xf numFmtId="170" fontId="120" fillId="48" borderId="1" xfId="15" applyNumberFormat="1" applyFont="1" applyFill="1" applyBorder="1" applyAlignment="1">
      <alignment vertical="center" wrapText="1"/>
    </xf>
    <xf numFmtId="170" fontId="120" fillId="4" borderId="1" xfId="15" applyNumberFormat="1" applyFont="1" applyFill="1" applyBorder="1" applyAlignment="1">
      <alignment horizontal="center" vertical="center" wrapText="1"/>
    </xf>
    <xf numFmtId="170" fontId="120" fillId="0" borderId="1" xfId="15" applyNumberFormat="1" applyFont="1" applyFill="1" applyBorder="1" applyAlignment="1">
      <alignment vertical="center" wrapText="1"/>
    </xf>
    <xf numFmtId="170" fontId="126" fillId="0" borderId="1" xfId="15" applyNumberFormat="1" applyFont="1" applyFill="1" applyBorder="1" applyAlignment="1">
      <alignment vertical="center" wrapText="1"/>
    </xf>
    <xf numFmtId="10" fontId="120" fillId="0" borderId="1" xfId="12" applyNumberFormat="1" applyFont="1" applyFill="1" applyBorder="1" applyAlignment="1">
      <alignment vertical="center" wrapText="1"/>
    </xf>
    <xf numFmtId="9" fontId="120" fillId="4" borderId="1" xfId="21" applyNumberFormat="1" applyFont="1" applyFill="1" applyBorder="1" applyAlignment="1">
      <alignment vertical="center"/>
    </xf>
    <xf numFmtId="170" fontId="126" fillId="4" borderId="1" xfId="15" applyNumberFormat="1" applyFont="1" applyFill="1" applyBorder="1" applyAlignment="1">
      <alignment horizontal="center" vertical="center" wrapText="1"/>
    </xf>
    <xf numFmtId="9" fontId="126" fillId="4" borderId="1" xfId="12" applyFont="1" applyFill="1" applyBorder="1" applyAlignment="1">
      <alignment vertical="center"/>
    </xf>
    <xf numFmtId="0" fontId="120" fillId="17" borderId="6" xfId="15" applyFont="1" applyFill="1" applyBorder="1" applyAlignment="1">
      <alignment horizontal="left" vertical="center"/>
    </xf>
    <xf numFmtId="0" fontId="120" fillId="17" borderId="9" xfId="15" applyFont="1" applyFill="1" applyBorder="1" applyAlignment="1">
      <alignment horizontal="left" vertical="center"/>
    </xf>
    <xf numFmtId="0" fontId="119" fillId="17" borderId="9" xfId="15" applyFont="1" applyFill="1" applyBorder="1" applyAlignment="1">
      <alignment horizontal="left" vertical="center"/>
    </xf>
    <xf numFmtId="0" fontId="119" fillId="17" borderId="10" xfId="15" applyFont="1" applyFill="1" applyBorder="1" applyAlignment="1">
      <alignment horizontal="right" vertical="center"/>
    </xf>
    <xf numFmtId="0" fontId="120" fillId="17" borderId="1" xfId="15" applyFont="1" applyFill="1" applyBorder="1" applyAlignment="1">
      <alignment vertical="center" wrapText="1"/>
    </xf>
    <xf numFmtId="0" fontId="120" fillId="17" borderId="1" xfId="15" applyFont="1" applyFill="1" applyBorder="1" applyAlignment="1">
      <alignment horizontal="left" vertical="center"/>
    </xf>
    <xf numFmtId="0" fontId="126" fillId="0" borderId="1" xfId="15" applyFont="1" applyFill="1" applyBorder="1" applyAlignment="1">
      <alignment vertical="center" wrapText="1"/>
    </xf>
    <xf numFmtId="10" fontId="120" fillId="0" borderId="1" xfId="15" applyNumberFormat="1" applyFont="1" applyFill="1" applyBorder="1" applyAlignment="1">
      <alignment vertical="center" wrapText="1"/>
    </xf>
    <xf numFmtId="0" fontId="120" fillId="17" borderId="1" xfId="15" applyFont="1" applyFill="1" applyBorder="1" applyAlignment="1">
      <alignment horizontal="center" vertical="center" wrapText="1"/>
    </xf>
    <xf numFmtId="49" fontId="120" fillId="17" borderId="1" xfId="15" applyNumberFormat="1" applyFont="1" applyFill="1" applyBorder="1" applyAlignment="1">
      <alignment horizontal="center" vertical="center" wrapText="1"/>
    </xf>
    <xf numFmtId="0" fontId="120" fillId="17" borderId="3" xfId="15" applyFont="1" applyFill="1" applyBorder="1" applyAlignment="1">
      <alignment horizontal="center" vertical="center" wrapText="1"/>
    </xf>
    <xf numFmtId="0" fontId="126" fillId="17" borderId="1" xfId="15" applyFont="1" applyFill="1" applyBorder="1" applyAlignment="1">
      <alignment horizontal="center" vertical="center" wrapText="1"/>
    </xf>
    <xf numFmtId="9" fontId="126" fillId="17" borderId="1" xfId="12" applyFont="1" applyFill="1" applyBorder="1" applyAlignment="1">
      <alignment horizontal="center" vertical="center" wrapText="1"/>
    </xf>
    <xf numFmtId="0" fontId="119" fillId="17" borderId="0" xfId="15" applyFont="1" applyFill="1" applyAlignment="1">
      <alignment vertical="center" wrapText="1"/>
    </xf>
    <xf numFmtId="0" fontId="119" fillId="17" borderId="0" xfId="15" applyFont="1" applyFill="1" applyAlignment="1">
      <alignment vertical="center"/>
    </xf>
    <xf numFmtId="39" fontId="120" fillId="25" borderId="1" xfId="15" applyNumberFormat="1" applyFont="1" applyFill="1" applyBorder="1" applyAlignment="1">
      <alignment vertical="center"/>
    </xf>
    <xf numFmtId="39" fontId="120" fillId="14" borderId="1" xfId="15" applyNumberFormat="1" applyFont="1" applyFill="1" applyBorder="1" applyAlignment="1">
      <alignment vertical="center"/>
    </xf>
    <xf numFmtId="39" fontId="126" fillId="14" borderId="1" xfId="15" applyNumberFormat="1" applyFont="1" applyFill="1" applyBorder="1" applyAlignment="1">
      <alignment vertical="center"/>
    </xf>
    <xf numFmtId="10" fontId="120" fillId="14" borderId="1" xfId="12" applyNumberFormat="1" applyFont="1" applyFill="1" applyBorder="1" applyAlignment="1">
      <alignment vertical="center"/>
    </xf>
    <xf numFmtId="39" fontId="127" fillId="14" borderId="1" xfId="15" applyNumberFormat="1" applyFont="1" applyFill="1" applyBorder="1" applyAlignment="1">
      <alignment vertical="center"/>
    </xf>
    <xf numFmtId="39" fontId="120" fillId="48" borderId="1" xfId="15" applyNumberFormat="1" applyFont="1" applyFill="1" applyBorder="1" applyAlignment="1">
      <alignment vertical="center"/>
    </xf>
    <xf numFmtId="39" fontId="120" fillId="14" borderId="1" xfId="15" applyNumberFormat="1" applyFont="1" applyFill="1" applyBorder="1" applyAlignment="1">
      <alignment horizontal="center" vertical="center"/>
    </xf>
    <xf numFmtId="39" fontId="120" fillId="0" borderId="1" xfId="15" applyNumberFormat="1" applyFont="1" applyFill="1" applyBorder="1" applyAlignment="1">
      <alignment vertical="center"/>
    </xf>
    <xf numFmtId="39" fontId="126" fillId="0" borderId="1" xfId="15" applyNumberFormat="1" applyFont="1" applyFill="1" applyBorder="1" applyAlignment="1">
      <alignment vertical="center"/>
    </xf>
    <xf numFmtId="49" fontId="127" fillId="14" borderId="1" xfId="15" applyNumberFormat="1" applyFont="1" applyFill="1" applyBorder="1" applyAlignment="1">
      <alignment vertical="center"/>
    </xf>
    <xf numFmtId="39" fontId="120" fillId="14" borderId="3" xfId="15" applyNumberFormat="1" applyFont="1" applyFill="1" applyBorder="1" applyAlignment="1">
      <alignment vertical="center"/>
    </xf>
    <xf numFmtId="9" fontId="126" fillId="14" borderId="1" xfId="12" applyFont="1" applyFill="1" applyBorder="1" applyAlignment="1">
      <alignment vertical="center"/>
    </xf>
    <xf numFmtId="0" fontId="119" fillId="14" borderId="0" xfId="15" applyFont="1" applyFill="1" applyAlignment="1">
      <alignment vertical="center" wrapText="1"/>
    </xf>
    <xf numFmtId="39" fontId="120" fillId="4" borderId="1" xfId="15" applyNumberFormat="1" applyFont="1" applyFill="1" applyBorder="1" applyAlignment="1">
      <alignment vertical="center"/>
    </xf>
    <xf numFmtId="0" fontId="119" fillId="4" borderId="1" xfId="15" applyFont="1" applyFill="1" applyBorder="1" applyAlignment="1">
      <alignment vertical="center" wrapText="1"/>
    </xf>
    <xf numFmtId="39" fontId="126" fillId="4" borderId="1" xfId="15" applyNumberFormat="1" applyFont="1" applyFill="1" applyBorder="1" applyAlignment="1">
      <alignment vertical="center"/>
    </xf>
    <xf numFmtId="10" fontId="120" fillId="4" borderId="1" xfId="12" applyNumberFormat="1" applyFont="1" applyFill="1" applyBorder="1" applyAlignment="1">
      <alignment vertical="center"/>
    </xf>
    <xf numFmtId="39" fontId="127" fillId="4" borderId="1" xfId="15" applyNumberFormat="1" applyFont="1" applyFill="1" applyBorder="1" applyAlignment="1">
      <alignment vertical="center"/>
    </xf>
    <xf numFmtId="39" fontId="120" fillId="4" borderId="1" xfId="15" applyNumberFormat="1" applyFont="1" applyFill="1" applyBorder="1" applyAlignment="1">
      <alignment horizontal="center" vertical="center"/>
    </xf>
    <xf numFmtId="49" fontId="127" fillId="4" borderId="1" xfId="15" applyNumberFormat="1" applyFont="1" applyFill="1" applyBorder="1" applyAlignment="1">
      <alignment vertical="center"/>
    </xf>
    <xf numFmtId="39" fontId="120" fillId="4" borderId="3" xfId="15" applyNumberFormat="1" applyFont="1" applyFill="1" applyBorder="1" applyAlignment="1">
      <alignment vertical="center"/>
    </xf>
    <xf numFmtId="39" fontId="120" fillId="51" borderId="1" xfId="15" applyNumberFormat="1" applyFont="1" applyFill="1" applyBorder="1" applyAlignment="1">
      <alignment vertical="center"/>
    </xf>
    <xf numFmtId="0" fontId="119" fillId="51" borderId="1" xfId="15" applyFont="1" applyFill="1" applyBorder="1" applyAlignment="1">
      <alignment vertical="center" wrapText="1"/>
    </xf>
    <xf numFmtId="39" fontId="126" fillId="51" borderId="1" xfId="15" applyNumberFormat="1" applyFont="1" applyFill="1" applyBorder="1" applyAlignment="1">
      <alignment vertical="center"/>
    </xf>
    <xf numFmtId="10" fontId="120" fillId="51" borderId="1" xfId="15" applyNumberFormat="1" applyFont="1" applyFill="1" applyBorder="1" applyAlignment="1">
      <alignment vertical="center"/>
    </xf>
    <xf numFmtId="39" fontId="120" fillId="51" borderId="1" xfId="15" applyNumberFormat="1" applyFont="1" applyFill="1" applyBorder="1" applyAlignment="1">
      <alignment horizontal="center" vertical="center"/>
    </xf>
    <xf numFmtId="10" fontId="120" fillId="0" borderId="1" xfId="15" applyNumberFormat="1" applyFont="1" applyFill="1" applyBorder="1" applyAlignment="1">
      <alignment vertical="center"/>
    </xf>
    <xf numFmtId="49" fontId="120" fillId="51" borderId="1" xfId="15" applyNumberFormat="1" applyFont="1" applyFill="1" applyBorder="1" applyAlignment="1">
      <alignment vertical="center"/>
    </xf>
    <xf numFmtId="39" fontId="120" fillId="51" borderId="3" xfId="15" applyNumberFormat="1" applyFont="1" applyFill="1" applyBorder="1" applyAlignment="1">
      <alignment vertical="center"/>
    </xf>
    <xf numFmtId="9" fontId="126" fillId="51" borderId="1" xfId="12" applyFont="1" applyFill="1" applyBorder="1" applyAlignment="1">
      <alignment vertical="center"/>
    </xf>
    <xf numFmtId="0" fontId="119" fillId="51" borderId="0" xfId="15" applyFont="1" applyFill="1" applyAlignment="1">
      <alignment vertical="center" wrapText="1"/>
    </xf>
    <xf numFmtId="0" fontId="119" fillId="51" borderId="0" xfId="15" applyFont="1" applyFill="1" applyAlignment="1">
      <alignment vertical="center"/>
    </xf>
    <xf numFmtId="0" fontId="120" fillId="14" borderId="5" xfId="15" applyFont="1" applyFill="1" applyBorder="1" applyAlignment="1">
      <alignment horizontal="left" vertical="center"/>
    </xf>
    <xf numFmtId="0" fontId="120" fillId="14" borderId="1" xfId="15" applyFont="1" applyFill="1" applyBorder="1" applyAlignment="1">
      <alignment horizontal="left" vertical="center"/>
    </xf>
    <xf numFmtId="9" fontId="120" fillId="14" borderId="1" xfId="21" applyFont="1" applyFill="1" applyBorder="1" applyAlignment="1">
      <alignment horizontal="left" vertical="center"/>
    </xf>
    <xf numFmtId="0" fontId="119" fillId="25" borderId="0" xfId="15" applyFont="1" applyFill="1" applyAlignment="1">
      <alignment vertical="center"/>
    </xf>
    <xf numFmtId="170" fontId="119" fillId="25" borderId="0" xfId="15" applyNumberFormat="1" applyFont="1" applyFill="1" applyAlignment="1">
      <alignment vertical="center"/>
    </xf>
    <xf numFmtId="0" fontId="121" fillId="0" borderId="0" xfId="15" applyFont="1" applyFill="1" applyAlignment="1">
      <alignment vertical="center"/>
    </xf>
    <xf numFmtId="170" fontId="121" fillId="0" borderId="0" xfId="15" applyNumberFormat="1" applyFont="1" applyFill="1" applyAlignment="1">
      <alignment vertical="center"/>
    </xf>
    <xf numFmtId="170" fontId="119" fillId="0" borderId="0" xfId="15" applyNumberFormat="1" applyFont="1" applyFill="1" applyAlignment="1">
      <alignment vertical="center"/>
    </xf>
    <xf numFmtId="0" fontId="122" fillId="0" borderId="0" xfId="15" applyFont="1" applyFill="1" applyAlignment="1">
      <alignment vertical="center"/>
    </xf>
    <xf numFmtId="170" fontId="119" fillId="48" borderId="0" xfId="15" applyNumberFormat="1" applyFont="1" applyFill="1" applyAlignment="1">
      <alignment vertical="center"/>
    </xf>
    <xf numFmtId="0" fontId="121" fillId="0" borderId="0" xfId="15" applyFont="1" applyFill="1" applyAlignment="1">
      <alignment horizontal="center" vertical="center"/>
    </xf>
    <xf numFmtId="170" fontId="121" fillId="0" borderId="0" xfId="15" applyNumberFormat="1" applyFont="1" applyFill="1" applyAlignment="1">
      <alignment horizontal="center" vertical="center"/>
    </xf>
    <xf numFmtId="0" fontId="119" fillId="0" borderId="0" xfId="15" applyFont="1" applyFill="1" applyAlignment="1">
      <alignment horizontal="center" vertical="center"/>
    </xf>
    <xf numFmtId="9" fontId="121" fillId="0" borderId="0" xfId="12" applyFont="1" applyFill="1" applyAlignment="1">
      <alignment vertical="center"/>
    </xf>
    <xf numFmtId="9" fontId="119" fillId="0" borderId="0" xfId="21" applyNumberFormat="1" applyFont="1" applyFill="1" applyAlignment="1">
      <alignment vertical="center"/>
    </xf>
    <xf numFmtId="0" fontId="119" fillId="0" borderId="0" xfId="15" applyFont="1" applyFill="1" applyAlignment="1">
      <alignment vertical="center" wrapText="1"/>
    </xf>
    <xf numFmtId="0" fontId="120" fillId="0" borderId="11" xfId="15" applyFont="1" applyBorder="1" applyAlignment="1">
      <alignment vertical="center"/>
    </xf>
    <xf numFmtId="0" fontId="120" fillId="0" borderId="15" xfId="15" applyFont="1" applyBorder="1" applyAlignment="1">
      <alignment vertical="center"/>
    </xf>
    <xf numFmtId="0" fontId="120" fillId="25" borderId="14" xfId="15" applyFont="1" applyFill="1" applyBorder="1" applyAlignment="1">
      <alignment vertical="center"/>
    </xf>
    <xf numFmtId="0" fontId="120" fillId="25" borderId="0" xfId="15" applyFont="1" applyFill="1" applyAlignment="1">
      <alignment vertical="center"/>
    </xf>
    <xf numFmtId="0" fontId="120" fillId="0" borderId="14" xfId="15" applyFont="1" applyBorder="1" applyAlignment="1">
      <alignment vertical="center"/>
    </xf>
    <xf numFmtId="0" fontId="120" fillId="0" borderId="0" xfId="15" applyFont="1" applyAlignment="1">
      <alignment vertical="center"/>
    </xf>
    <xf numFmtId="10" fontId="120" fillId="0" borderId="1" xfId="12" applyNumberFormat="1" applyFont="1" applyFill="1" applyBorder="1" applyAlignment="1">
      <alignment horizontal="center" vertical="center" wrapText="1"/>
    </xf>
    <xf numFmtId="0" fontId="127" fillId="0" borderId="1" xfId="15" applyFont="1" applyFill="1" applyBorder="1" applyAlignment="1">
      <alignment horizontal="center" vertical="center" wrapText="1"/>
    </xf>
    <xf numFmtId="0" fontId="120" fillId="48" borderId="0" xfId="15" applyFont="1" applyFill="1" applyBorder="1" applyAlignment="1">
      <alignment horizontal="center" vertical="center" wrapText="1"/>
    </xf>
    <xf numFmtId="0" fontId="120" fillId="0" borderId="0" xfId="15" applyFont="1" applyAlignment="1">
      <alignment horizontal="center" vertical="center"/>
    </xf>
    <xf numFmtId="49" fontId="127" fillId="14" borderId="1" xfId="15" applyNumberFormat="1" applyFont="1" applyFill="1" applyBorder="1" applyAlignment="1">
      <alignment horizontal="center" vertical="center" wrapText="1"/>
    </xf>
    <xf numFmtId="166" fontId="121" fillId="0" borderId="0" xfId="19" applyNumberFormat="1" applyFont="1" applyAlignment="1">
      <alignment vertical="center"/>
    </xf>
    <xf numFmtId="170" fontId="119" fillId="0" borderId="0" xfId="15" applyNumberFormat="1" applyFont="1" applyAlignment="1">
      <alignment vertical="center"/>
    </xf>
    <xf numFmtId="170" fontId="121" fillId="0" borderId="0" xfId="15" applyNumberFormat="1" applyFont="1" applyAlignment="1">
      <alignment vertical="center"/>
    </xf>
    <xf numFmtId="0" fontId="119" fillId="0" borderId="12" xfId="15" applyFont="1" applyBorder="1" applyAlignment="1">
      <alignment vertical="center"/>
    </xf>
    <xf numFmtId="0" fontId="119" fillId="25" borderId="13" xfId="15" applyFont="1" applyFill="1" applyBorder="1" applyAlignment="1">
      <alignment vertical="center"/>
    </xf>
    <xf numFmtId="0" fontId="119" fillId="0" borderId="13" xfId="15" applyFont="1" applyBorder="1" applyAlignment="1">
      <alignment vertical="center"/>
    </xf>
    <xf numFmtId="39" fontId="151" fillId="0" borderId="1" xfId="15" applyNumberFormat="1" applyFont="1" applyFill="1" applyBorder="1" applyAlignment="1">
      <alignment vertical="center" wrapText="1"/>
    </xf>
    <xf numFmtId="39" fontId="152" fillId="0" borderId="1" xfId="15" applyNumberFormat="1" applyFont="1" applyFill="1" applyBorder="1" applyAlignment="1">
      <alignment vertical="center" wrapText="1"/>
    </xf>
    <xf numFmtId="9" fontId="39" fillId="0" borderId="1" xfId="21" applyFont="1" applyFill="1" applyBorder="1" applyAlignment="1">
      <alignment vertical="center" wrapText="1"/>
    </xf>
    <xf numFmtId="9" fontId="39" fillId="48" borderId="0" xfId="21" applyFont="1" applyFill="1" applyBorder="1" applyAlignment="1">
      <alignment vertical="center" wrapText="1"/>
    </xf>
    <xf numFmtId="166" fontId="119" fillId="25" borderId="1" xfId="19" applyNumberFormat="1" applyFont="1" applyFill="1" applyBorder="1" applyAlignment="1">
      <alignment vertical="center" wrapText="1"/>
    </xf>
    <xf numFmtId="9" fontId="153" fillId="25" borderId="1" xfId="21" applyFont="1" applyFill="1" applyBorder="1" applyAlignment="1">
      <alignment vertical="center" wrapText="1"/>
    </xf>
    <xf numFmtId="0" fontId="119" fillId="0" borderId="0" xfId="15" applyFont="1" applyBorder="1" applyAlignment="1">
      <alignment horizontal="center" vertical="center"/>
    </xf>
    <xf numFmtId="0" fontId="153" fillId="0" borderId="1" xfId="15" applyFont="1" applyBorder="1" applyAlignment="1">
      <alignment horizontal="center" vertical="center" wrapText="1"/>
    </xf>
    <xf numFmtId="166" fontId="153" fillId="0" borderId="1" xfId="19" applyNumberFormat="1" applyFont="1" applyBorder="1" applyAlignment="1">
      <alignment horizontal="center" vertical="center" wrapText="1"/>
    </xf>
    <xf numFmtId="9" fontId="153" fillId="0" borderId="1" xfId="21" applyFont="1" applyFill="1" applyBorder="1" applyAlignment="1">
      <alignment vertical="center" wrapText="1"/>
    </xf>
    <xf numFmtId="49" fontId="152" fillId="14" borderId="1" xfId="15" applyNumberFormat="1" applyFont="1" applyFill="1" applyBorder="1" applyAlignment="1">
      <alignment vertical="center" wrapText="1"/>
    </xf>
    <xf numFmtId="166" fontId="119" fillId="0" borderId="0" xfId="19" applyNumberFormat="1" applyFont="1" applyBorder="1" applyAlignment="1">
      <alignment vertical="center"/>
    </xf>
    <xf numFmtId="166" fontId="119" fillId="0" borderId="0" xfId="19" applyNumberFormat="1" applyFont="1" applyAlignment="1">
      <alignment vertical="center"/>
    </xf>
    <xf numFmtId="170" fontId="119" fillId="0" borderId="0" xfId="15" applyNumberFormat="1" applyFont="1" applyBorder="1" applyAlignment="1">
      <alignment vertical="center"/>
    </xf>
    <xf numFmtId="170" fontId="121" fillId="0" borderId="0" xfId="15" applyNumberFormat="1" applyFont="1" applyBorder="1" applyAlignment="1">
      <alignment vertical="center"/>
    </xf>
    <xf numFmtId="9" fontId="121" fillId="0" borderId="0" xfId="12" applyFont="1" applyBorder="1" applyAlignment="1">
      <alignment vertical="center"/>
    </xf>
    <xf numFmtId="9" fontId="119" fillId="0" borderId="0" xfId="21" applyFont="1" applyAlignment="1">
      <alignment vertical="center"/>
    </xf>
    <xf numFmtId="166" fontId="153" fillId="2" borderId="1" xfId="19" applyNumberFormat="1" applyFont="1" applyFill="1" applyBorder="1" applyAlignment="1">
      <alignment horizontal="center" vertical="center" wrapText="1"/>
    </xf>
    <xf numFmtId="43" fontId="119" fillId="0" borderId="0" xfId="15" applyNumberFormat="1" applyFont="1" applyFill="1" applyAlignment="1">
      <alignment vertical="center"/>
    </xf>
    <xf numFmtId="43" fontId="119" fillId="0" borderId="0" xfId="15" applyNumberFormat="1" applyFont="1" applyAlignment="1">
      <alignment vertical="center"/>
    </xf>
    <xf numFmtId="0" fontId="119" fillId="25" borderId="1" xfId="15" applyFont="1" applyFill="1" applyBorder="1" applyAlignment="1">
      <alignment vertical="center"/>
    </xf>
    <xf numFmtId="0" fontId="121" fillId="0" borderId="1" xfId="15" applyFont="1" applyFill="1" applyBorder="1" applyAlignment="1">
      <alignment vertical="center"/>
    </xf>
    <xf numFmtId="0" fontId="120" fillId="25" borderId="1" xfId="15" applyFont="1" applyFill="1" applyBorder="1" applyAlignment="1">
      <alignment vertical="center"/>
    </xf>
    <xf numFmtId="180" fontId="120" fillId="8" borderId="1" xfId="15" applyNumberFormat="1" applyFont="1" applyFill="1" applyBorder="1" applyAlignment="1">
      <alignment vertical="center"/>
    </xf>
    <xf numFmtId="0" fontId="120" fillId="0" borderId="1" xfId="15" applyFont="1" applyFill="1" applyBorder="1" applyAlignment="1">
      <alignment vertical="center"/>
    </xf>
    <xf numFmtId="0" fontId="126" fillId="0" borderId="1" xfId="15" applyFont="1" applyFill="1" applyBorder="1" applyAlignment="1">
      <alignment vertical="center"/>
    </xf>
    <xf numFmtId="180" fontId="127" fillId="0" borderId="1" xfId="15" applyNumberFormat="1" applyFont="1" applyFill="1" applyBorder="1" applyAlignment="1">
      <alignment vertical="center"/>
    </xf>
    <xf numFmtId="9" fontId="120" fillId="8" borderId="1" xfId="21" applyFont="1" applyFill="1" applyBorder="1" applyAlignment="1">
      <alignment vertical="center"/>
    </xf>
    <xf numFmtId="9" fontId="120" fillId="48" borderId="0" xfId="21" applyFont="1" applyFill="1" applyBorder="1" applyAlignment="1">
      <alignment vertical="center"/>
    </xf>
    <xf numFmtId="166" fontId="120" fillId="25" borderId="1" xfId="19" applyNumberFormat="1" applyFont="1" applyFill="1" applyBorder="1" applyAlignment="1">
      <alignment vertical="center" wrapText="1"/>
    </xf>
    <xf numFmtId="9" fontId="150" fillId="25" borderId="1" xfId="21" applyFont="1" applyFill="1" applyBorder="1" applyAlignment="1">
      <alignment vertical="center" wrapText="1"/>
    </xf>
    <xf numFmtId="0" fontId="150" fillId="8" borderId="1" xfId="15" applyFont="1" applyFill="1" applyBorder="1" applyAlignment="1">
      <alignment horizontal="center" vertical="center" wrapText="1"/>
    </xf>
    <xf numFmtId="166" fontId="150" fillId="8" borderId="1" xfId="19" applyNumberFormat="1" applyFont="1" applyFill="1" applyBorder="1" applyAlignment="1">
      <alignment horizontal="center" vertical="center" wrapText="1"/>
    </xf>
    <xf numFmtId="9" fontId="150" fillId="0" borderId="1" xfId="21" applyFont="1" applyFill="1" applyBorder="1" applyAlignment="1">
      <alignment vertical="center" wrapText="1"/>
    </xf>
    <xf numFmtId="10" fontId="119" fillId="0" borderId="0" xfId="12" applyNumberFormat="1" applyFont="1" applyFill="1" applyAlignment="1">
      <alignment vertical="center"/>
    </xf>
    <xf numFmtId="0" fontId="119" fillId="48" borderId="0" xfId="15" applyFont="1" applyFill="1" applyAlignment="1">
      <alignment vertical="center"/>
    </xf>
    <xf numFmtId="180" fontId="119" fillId="25" borderId="0" xfId="15" applyNumberFormat="1" applyFont="1" applyFill="1" applyAlignment="1">
      <alignment vertical="center"/>
    </xf>
    <xf numFmtId="180" fontId="119" fillId="0" borderId="0" xfId="15" applyNumberFormat="1" applyFont="1" applyFill="1" applyAlignment="1">
      <alignment horizontal="center" vertical="center"/>
    </xf>
    <xf numFmtId="170" fontId="119" fillId="0" borderId="0" xfId="15" applyNumberFormat="1" applyFont="1" applyFill="1" applyAlignment="1">
      <alignment horizontal="center" vertical="center"/>
    </xf>
    <xf numFmtId="49" fontId="122" fillId="14" borderId="0" xfId="15" applyNumberFormat="1" applyFont="1" applyFill="1" applyAlignment="1">
      <alignment vertical="center"/>
    </xf>
    <xf numFmtId="0" fontId="119" fillId="0" borderId="15" xfId="15" applyFont="1" applyFill="1" applyBorder="1" applyAlignment="1">
      <alignment vertical="center"/>
    </xf>
    <xf numFmtId="0" fontId="119" fillId="0" borderId="15" xfId="15" applyFont="1" applyBorder="1" applyAlignment="1">
      <alignment vertical="center"/>
    </xf>
    <xf numFmtId="0" fontId="119" fillId="25" borderId="14" xfId="15" applyFont="1" applyFill="1" applyBorder="1" applyAlignment="1">
      <alignment vertical="center"/>
    </xf>
    <xf numFmtId="169" fontId="119" fillId="0" borderId="0" xfId="15" applyNumberFormat="1" applyFont="1" applyFill="1" applyAlignment="1">
      <alignment vertical="center"/>
    </xf>
    <xf numFmtId="0" fontId="119" fillId="0" borderId="14" xfId="15" applyFont="1" applyBorder="1" applyAlignment="1">
      <alignment vertical="center"/>
    </xf>
    <xf numFmtId="169" fontId="122" fillId="0" borderId="0" xfId="15" applyNumberFormat="1" applyFont="1" applyFill="1" applyAlignment="1">
      <alignment vertical="center"/>
    </xf>
    <xf numFmtId="39" fontId="119" fillId="0" borderId="0" xfId="15" applyNumberFormat="1" applyFont="1" applyFill="1" applyBorder="1" applyAlignment="1">
      <alignment vertical="center"/>
    </xf>
    <xf numFmtId="9" fontId="119" fillId="0" borderId="0" xfId="21" applyFont="1" applyBorder="1" applyAlignment="1">
      <alignment vertical="center"/>
    </xf>
    <xf numFmtId="9" fontId="119" fillId="0" borderId="0" xfId="21" applyFont="1" applyFill="1" applyBorder="1" applyAlignment="1">
      <alignment vertical="center"/>
    </xf>
    <xf numFmtId="0" fontId="119" fillId="0" borderId="9" xfId="15" applyFont="1" applyBorder="1" applyAlignment="1">
      <alignment vertical="center"/>
    </xf>
    <xf numFmtId="0" fontId="119" fillId="0" borderId="9" xfId="15" applyFont="1" applyFill="1" applyBorder="1" applyAlignment="1">
      <alignment vertical="center"/>
    </xf>
    <xf numFmtId="2" fontId="119" fillId="0" borderId="9" xfId="15" applyNumberFormat="1" applyFont="1" applyFill="1" applyBorder="1" applyAlignment="1">
      <alignment vertical="center"/>
    </xf>
    <xf numFmtId="0" fontId="119" fillId="25" borderId="10" xfId="15" applyFont="1" applyFill="1" applyBorder="1" applyAlignment="1">
      <alignment vertical="center"/>
    </xf>
    <xf numFmtId="0" fontId="119" fillId="0" borderId="10" xfId="15" applyFont="1" applyBorder="1" applyAlignment="1">
      <alignment vertical="center"/>
    </xf>
    <xf numFmtId="39" fontId="25" fillId="0" borderId="8" xfId="1" applyNumberFormat="1" applyFont="1" applyFill="1" applyBorder="1" applyAlignment="1">
      <alignment horizontal="center" vertical="top" wrapText="1"/>
    </xf>
    <xf numFmtId="39" fontId="25" fillId="0" borderId="2" xfId="1" applyNumberFormat="1" applyFont="1" applyFill="1" applyBorder="1" applyAlignment="1">
      <alignment horizontal="center" vertical="top" wrapText="1"/>
    </xf>
    <xf numFmtId="0" fontId="7" fillId="13" borderId="3" xfId="0" applyFont="1" applyFill="1" applyBorder="1" applyAlignment="1">
      <alignment horizontal="left" vertical="center"/>
    </xf>
    <xf numFmtId="0" fontId="7" fillId="13" borderId="4" xfId="0" applyFont="1" applyFill="1" applyBorder="1" applyAlignment="1">
      <alignment horizontal="left" vertical="center"/>
    </xf>
    <xf numFmtId="0" fontId="27" fillId="4" borderId="3" xfId="0" applyFont="1" applyFill="1" applyBorder="1" applyAlignment="1">
      <alignment horizontal="left" vertical="center" wrapText="1"/>
    </xf>
    <xf numFmtId="0" fontId="27" fillId="4" borderId="4" xfId="0" applyFont="1" applyFill="1" applyBorder="1" applyAlignment="1">
      <alignment horizontal="left" vertical="center" wrapText="1"/>
    </xf>
    <xf numFmtId="0" fontId="13" fillId="2" borderId="8"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2" xfId="0" applyFont="1" applyFill="1" applyBorder="1" applyAlignment="1">
      <alignment horizontal="center" vertical="center"/>
    </xf>
    <xf numFmtId="39" fontId="25" fillId="0" borderId="7" xfId="1" applyNumberFormat="1" applyFont="1" applyFill="1" applyBorder="1" applyAlignment="1">
      <alignment horizontal="center" vertical="top" wrapText="1"/>
    </xf>
    <xf numFmtId="0" fontId="7" fillId="2" borderId="8" xfId="0" applyFont="1" applyFill="1" applyBorder="1" applyAlignment="1">
      <alignment horizontal="left" vertical="center" wrapText="1"/>
    </xf>
    <xf numFmtId="0" fontId="7" fillId="2" borderId="7" xfId="0" applyFont="1" applyFill="1" applyBorder="1" applyAlignment="1">
      <alignment horizontal="left" vertical="center" wrapText="1"/>
    </xf>
    <xf numFmtId="39" fontId="2" fillId="2" borderId="8" xfId="1" applyNumberFormat="1" applyFont="1" applyFill="1" applyBorder="1" applyAlignment="1">
      <alignment horizontal="center" vertical="top" wrapText="1"/>
    </xf>
    <xf numFmtId="39" fontId="2" fillId="2" borderId="7" xfId="1" applyNumberFormat="1" applyFont="1" applyFill="1" applyBorder="1" applyAlignment="1">
      <alignment horizontal="center" vertical="top" wrapText="1"/>
    </xf>
    <xf numFmtId="39" fontId="2" fillId="2" borderId="2" xfId="1" applyNumberFormat="1" applyFont="1" applyFill="1" applyBorder="1" applyAlignment="1">
      <alignment horizontal="center" vertical="top" wrapText="1"/>
    </xf>
    <xf numFmtId="0" fontId="2" fillId="0" borderId="8" xfId="0" applyFont="1" applyBorder="1" applyAlignment="1">
      <alignment horizontal="center" wrapText="1"/>
    </xf>
    <xf numFmtId="0" fontId="2" fillId="0" borderId="2" xfId="0" applyFont="1" applyBorder="1" applyAlignment="1">
      <alignment horizontal="center" wrapText="1"/>
    </xf>
    <xf numFmtId="0" fontId="7" fillId="2" borderId="2" xfId="0" applyFont="1" applyFill="1" applyBorder="1" applyAlignment="1">
      <alignment horizontal="left" vertical="center" wrapText="1"/>
    </xf>
    <xf numFmtId="0" fontId="2" fillId="0" borderId="7" xfId="0" applyFont="1" applyBorder="1" applyAlignment="1">
      <alignment horizontal="center" wrapText="1"/>
    </xf>
    <xf numFmtId="165" fontId="2" fillId="2" borderId="1" xfId="1" applyFont="1" applyFill="1" applyBorder="1" applyAlignment="1">
      <alignment horizontal="left" vertical="center" wrapText="1"/>
    </xf>
    <xf numFmtId="165" fontId="2" fillId="0" borderId="8" xfId="1" applyFont="1" applyBorder="1" applyAlignment="1">
      <alignment horizontal="center" wrapText="1"/>
    </xf>
    <xf numFmtId="165" fontId="2" fillId="0" borderId="7" xfId="1" applyFont="1" applyBorder="1" applyAlignment="1">
      <alignment horizontal="center" wrapText="1"/>
    </xf>
    <xf numFmtId="165" fontId="2" fillId="0" borderId="2" xfId="1" applyFont="1" applyBorder="1" applyAlignment="1">
      <alignment horizontal="center" wrapText="1"/>
    </xf>
    <xf numFmtId="165" fontId="7" fillId="0" borderId="11" xfId="1" applyFont="1" applyFill="1" applyBorder="1" applyAlignment="1">
      <alignment horizontal="left" vertical="center" wrapText="1"/>
    </xf>
    <xf numFmtId="165" fontId="7" fillId="0" borderId="12" xfId="1" applyFont="1" applyFill="1" applyBorder="1" applyAlignment="1">
      <alignment horizontal="left" vertical="center" wrapText="1"/>
    </xf>
    <xf numFmtId="165" fontId="7" fillId="0" borderId="6" xfId="1" applyFont="1" applyFill="1" applyBorder="1" applyAlignment="1">
      <alignment horizontal="left" vertical="center" wrapText="1"/>
    </xf>
    <xf numFmtId="165" fontId="2" fillId="0" borderId="8" xfId="1" applyFont="1" applyFill="1" applyBorder="1" applyAlignment="1">
      <alignment horizontal="center" vertical="center" wrapText="1"/>
    </xf>
    <xf numFmtId="165" fontId="2" fillId="0" borderId="7" xfId="1" applyFont="1" applyFill="1" applyBorder="1" applyAlignment="1">
      <alignment horizontal="center" vertical="center" wrapText="1"/>
    </xf>
    <xf numFmtId="165" fontId="2" fillId="0" borderId="2" xfId="1" applyFont="1" applyFill="1" applyBorder="1" applyAlignment="1">
      <alignment horizontal="center" vertical="center" wrapText="1"/>
    </xf>
    <xf numFmtId="0" fontId="2" fillId="0" borderId="8" xfId="0" applyFont="1" applyBorder="1" applyAlignment="1">
      <alignment horizontal="center" vertical="top" wrapText="1"/>
    </xf>
    <xf numFmtId="0" fontId="2" fillId="0" borderId="7" xfId="0" applyFont="1" applyBorder="1" applyAlignment="1">
      <alignment horizontal="center" vertical="top" wrapText="1"/>
    </xf>
    <xf numFmtId="0" fontId="2" fillId="0" borderId="2" xfId="0" applyFont="1" applyBorder="1" applyAlignment="1">
      <alignment horizontal="center" vertical="top" wrapText="1"/>
    </xf>
    <xf numFmtId="165" fontId="7" fillId="2" borderId="8" xfId="1" applyFont="1" applyFill="1" applyBorder="1" applyAlignment="1">
      <alignment horizontal="left" vertical="center" wrapText="1"/>
    </xf>
    <xf numFmtId="165" fontId="7" fillId="2" borderId="7" xfId="1" applyFont="1" applyFill="1" applyBorder="1" applyAlignment="1">
      <alignment horizontal="left" vertical="center" wrapText="1"/>
    </xf>
    <xf numFmtId="165" fontId="2" fillId="0" borderId="8" xfId="1" applyFont="1" applyFill="1" applyBorder="1" applyAlignment="1">
      <alignment horizontal="left" vertical="top"/>
    </xf>
    <xf numFmtId="165" fontId="2" fillId="0" borderId="7" xfId="1" applyFont="1" applyFill="1" applyBorder="1" applyAlignment="1">
      <alignment horizontal="left" vertical="top"/>
    </xf>
    <xf numFmtId="165" fontId="2" fillId="0" borderId="2" xfId="1" applyFont="1" applyFill="1" applyBorder="1" applyAlignment="1">
      <alignment horizontal="left" vertical="top"/>
    </xf>
    <xf numFmtId="165" fontId="2" fillId="0" borderId="8" xfId="1" applyFont="1" applyFill="1" applyBorder="1" applyAlignment="1">
      <alignment horizontal="left" vertical="top" wrapText="1"/>
    </xf>
    <xf numFmtId="165" fontId="2" fillId="0" borderId="7" xfId="1" applyFont="1" applyFill="1" applyBorder="1" applyAlignment="1">
      <alignment horizontal="left" vertical="top" wrapText="1"/>
    </xf>
    <xf numFmtId="165" fontId="2" fillId="0" borderId="2" xfId="1" applyFont="1" applyFill="1" applyBorder="1" applyAlignment="1">
      <alignment horizontal="left" vertical="top" wrapText="1"/>
    </xf>
    <xf numFmtId="165" fontId="2" fillId="2" borderId="8" xfId="1" applyFont="1" applyFill="1" applyBorder="1" applyAlignment="1">
      <alignment horizontal="left" vertical="center" wrapText="1"/>
    </xf>
    <xf numFmtId="165" fontId="2" fillId="2" borderId="7" xfId="1" applyFont="1" applyFill="1" applyBorder="1" applyAlignment="1">
      <alignment horizontal="left" vertical="center" wrapText="1"/>
    </xf>
    <xf numFmtId="0" fontId="2" fillId="2" borderId="8"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2" xfId="0" applyFont="1" applyFill="1" applyBorder="1" applyAlignment="1">
      <alignment horizontal="left" vertical="top" wrapText="1"/>
    </xf>
    <xf numFmtId="0" fontId="7" fillId="0" borderId="8" xfId="0" applyFont="1" applyBorder="1" applyAlignment="1">
      <alignment horizontal="left" vertical="center" wrapText="1"/>
    </xf>
    <xf numFmtId="0" fontId="7" fillId="0" borderId="7" xfId="0" applyFont="1" applyBorder="1" applyAlignment="1">
      <alignment horizontal="left" vertical="center" wrapText="1"/>
    </xf>
    <xf numFmtId="39" fontId="2" fillId="2" borderId="8" xfId="1" applyNumberFormat="1" applyFont="1" applyFill="1" applyBorder="1" applyAlignment="1">
      <alignment horizontal="left" vertical="top"/>
    </xf>
    <xf numFmtId="39" fontId="2" fillId="2" borderId="7" xfId="1" applyNumberFormat="1" applyFont="1" applyFill="1" applyBorder="1" applyAlignment="1">
      <alignment horizontal="left" vertical="top"/>
    </xf>
    <xf numFmtId="39" fontId="2" fillId="2" borderId="2" xfId="1" applyNumberFormat="1" applyFont="1" applyFill="1" applyBorder="1" applyAlignment="1">
      <alignment horizontal="left" vertical="top"/>
    </xf>
    <xf numFmtId="0" fontId="7" fillId="0" borderId="1" xfId="0" applyFont="1" applyBorder="1" applyAlignment="1">
      <alignment horizontal="left" vertical="center" wrapText="1"/>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7" fillId="0" borderId="2" xfId="0" applyFont="1" applyBorder="1" applyAlignment="1">
      <alignment horizontal="left" vertical="center" wrapText="1"/>
    </xf>
    <xf numFmtId="0" fontId="7" fillId="11" borderId="3" xfId="0" applyFont="1" applyFill="1" applyBorder="1" applyAlignment="1">
      <alignment vertical="top"/>
    </xf>
    <xf numFmtId="0" fontId="7" fillId="11" borderId="4" xfId="0" applyFont="1" applyFill="1" applyBorder="1" applyAlignment="1">
      <alignment vertical="top"/>
    </xf>
    <xf numFmtId="0" fontId="7" fillId="13" borderId="3" xfId="0" applyFont="1" applyFill="1" applyBorder="1" applyAlignment="1">
      <alignment vertical="top"/>
    </xf>
    <xf numFmtId="0" fontId="7" fillId="13" borderId="4" xfId="0" applyFont="1" applyFill="1" applyBorder="1" applyAlignment="1">
      <alignment vertical="top"/>
    </xf>
    <xf numFmtId="0" fontId="13" fillId="0" borderId="8" xfId="0" applyFont="1" applyFill="1" applyBorder="1" applyAlignment="1">
      <alignment horizontal="left" vertical="top"/>
    </xf>
    <xf numFmtId="0" fontId="13" fillId="0" borderId="7" xfId="0" applyFont="1" applyFill="1" applyBorder="1" applyAlignment="1">
      <alignment horizontal="left" vertical="top"/>
    </xf>
    <xf numFmtId="0" fontId="13" fillId="0" borderId="2" xfId="0" applyFont="1" applyFill="1" applyBorder="1" applyAlignment="1">
      <alignment horizontal="left" vertical="top"/>
    </xf>
    <xf numFmtId="0" fontId="7" fillId="11" borderId="3" xfId="0" applyFont="1" applyFill="1" applyBorder="1" applyAlignment="1">
      <alignment horizontal="left" vertical="center"/>
    </xf>
    <xf numFmtId="0" fontId="7" fillId="11" borderId="4" xfId="0" applyFont="1" applyFill="1" applyBorder="1" applyAlignment="1">
      <alignment horizontal="left" vertical="center"/>
    </xf>
    <xf numFmtId="0" fontId="7" fillId="11" borderId="5" xfId="0" applyFont="1" applyFill="1" applyBorder="1" applyAlignment="1">
      <alignment horizontal="left" vertical="center"/>
    </xf>
    <xf numFmtId="0" fontId="12" fillId="12" borderId="3" xfId="0" applyFont="1" applyFill="1" applyBorder="1" applyAlignment="1">
      <alignment horizontal="left" vertical="center" wrapText="1"/>
    </xf>
    <xf numFmtId="0" fontId="12" fillId="12" borderId="4" xfId="0" applyFont="1" applyFill="1" applyBorder="1" applyAlignment="1">
      <alignment horizontal="left" vertical="center" wrapText="1"/>
    </xf>
    <xf numFmtId="0" fontId="12" fillId="12" borderId="5"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top" wrapText="1"/>
    </xf>
    <xf numFmtId="0" fontId="2" fillId="0" borderId="7" xfId="0" applyFont="1" applyBorder="1" applyAlignment="1">
      <alignment horizontal="left" vertical="top" wrapText="1"/>
    </xf>
    <xf numFmtId="0" fontId="2" fillId="0" borderId="2" xfId="0" applyFont="1" applyBorder="1" applyAlignment="1">
      <alignment horizontal="left" vertical="top" wrapText="1"/>
    </xf>
    <xf numFmtId="39" fontId="2" fillId="0" borderId="8" xfId="1" applyNumberFormat="1" applyFont="1" applyFill="1" applyBorder="1" applyAlignment="1">
      <alignment horizontal="left" vertical="top" wrapText="1"/>
    </xf>
    <xf numFmtId="39" fontId="2" fillId="0" borderId="7" xfId="1" applyNumberFormat="1" applyFont="1" applyFill="1" applyBorder="1" applyAlignment="1">
      <alignment horizontal="left" vertical="top" wrapText="1"/>
    </xf>
    <xf numFmtId="39" fontId="2" fillId="0" borderId="2" xfId="1" applyNumberFormat="1" applyFont="1" applyFill="1" applyBorder="1" applyAlignment="1">
      <alignment horizontal="left" vertical="top"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2" borderId="8" xfId="0" applyFont="1" applyFill="1" applyBorder="1" applyAlignment="1">
      <alignment horizontal="left" vertical="top"/>
    </xf>
    <xf numFmtId="0" fontId="2" fillId="2" borderId="7" xfId="0" applyFont="1" applyFill="1" applyBorder="1" applyAlignment="1">
      <alignment horizontal="left" vertical="top"/>
    </xf>
    <xf numFmtId="0" fontId="2" fillId="2" borderId="2" xfId="0" applyFont="1" applyFill="1" applyBorder="1" applyAlignment="1">
      <alignment horizontal="left" vertical="top"/>
    </xf>
    <xf numFmtId="0" fontId="7" fillId="2" borderId="1" xfId="0" applyFont="1" applyFill="1" applyBorder="1" applyAlignment="1">
      <alignment horizontal="left" vertical="center" wrapText="1"/>
    </xf>
    <xf numFmtId="39" fontId="2" fillId="2" borderId="8" xfId="1" applyNumberFormat="1" applyFont="1" applyFill="1" applyBorder="1" applyAlignment="1">
      <alignment horizontal="left" vertical="top" wrapText="1"/>
    </xf>
    <xf numFmtId="39" fontId="2" fillId="2" borderId="7" xfId="1" applyNumberFormat="1" applyFont="1" applyFill="1" applyBorder="1" applyAlignment="1">
      <alignment horizontal="left" vertical="top" wrapText="1"/>
    </xf>
    <xf numFmtId="39" fontId="2" fillId="2" borderId="2" xfId="1" applyNumberFormat="1" applyFont="1" applyFill="1" applyBorder="1" applyAlignment="1">
      <alignment horizontal="left" vertical="top" wrapText="1"/>
    </xf>
    <xf numFmtId="0" fontId="12" fillId="4" borderId="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12" fillId="6" borderId="5" xfId="0" applyFont="1" applyFill="1" applyBorder="1" applyAlignment="1">
      <alignment horizontal="left" vertical="top" wrapText="1"/>
    </xf>
    <xf numFmtId="0" fontId="7" fillId="7" borderId="3" xfId="0" applyFont="1" applyFill="1" applyBorder="1" applyAlignment="1">
      <alignment vertical="top" wrapText="1"/>
    </xf>
    <xf numFmtId="0" fontId="7" fillId="7" borderId="4" xfId="0" applyFont="1" applyFill="1" applyBorder="1" applyAlignment="1">
      <alignment vertical="top" wrapText="1"/>
    </xf>
    <xf numFmtId="0" fontId="7" fillId="7" borderId="5" xfId="0" applyFont="1" applyFill="1" applyBorder="1" applyAlignment="1">
      <alignment vertical="top" wrapText="1"/>
    </xf>
    <xf numFmtId="0" fontId="7" fillId="0" borderId="1" xfId="0" applyFont="1" applyBorder="1" applyAlignment="1">
      <alignment vertical="top" wrapText="1"/>
    </xf>
    <xf numFmtId="0" fontId="7" fillId="26" borderId="3" xfId="0" applyFont="1" applyFill="1" applyBorder="1" applyAlignment="1">
      <alignment horizontal="center" vertical="center" wrapText="1"/>
    </xf>
    <xf numFmtId="0" fontId="7" fillId="26" borderId="4" xfId="0" applyFont="1" applyFill="1" applyBorder="1" applyAlignment="1">
      <alignment horizontal="center" vertical="center" wrapText="1"/>
    </xf>
    <xf numFmtId="0" fontId="7" fillId="26" borderId="3" xfId="0" applyFont="1" applyFill="1" applyBorder="1" applyAlignment="1">
      <alignment horizontal="left" vertical="center" wrapText="1"/>
    </xf>
    <xf numFmtId="0" fontId="7" fillId="26" borderId="4" xfId="0" applyFont="1" applyFill="1" applyBorder="1" applyAlignment="1">
      <alignment horizontal="left" vertical="center" wrapText="1"/>
    </xf>
    <xf numFmtId="0" fontId="7" fillId="26" borderId="3" xfId="0" applyFont="1" applyFill="1" applyBorder="1" applyAlignment="1">
      <alignment horizontal="left" vertical="top" wrapText="1"/>
    </xf>
    <xf numFmtId="0" fontId="7" fillId="26" borderId="4" xfId="0" applyFont="1" applyFill="1" applyBorder="1" applyAlignment="1">
      <alignment horizontal="left" vertical="top" wrapText="1"/>
    </xf>
    <xf numFmtId="0" fontId="12" fillId="5" borderId="1" xfId="0" applyFont="1" applyFill="1" applyBorder="1" applyAlignment="1">
      <alignment vertical="top" wrapText="1"/>
    </xf>
    <xf numFmtId="0" fontId="12" fillId="26" borderId="3" xfId="0" applyFont="1" applyFill="1" applyBorder="1" applyAlignment="1">
      <alignment horizontal="center" vertical="top" wrapText="1"/>
    </xf>
    <xf numFmtId="0" fontId="12" fillId="26" borderId="4" xfId="0" applyFont="1" applyFill="1" applyBorder="1" applyAlignment="1">
      <alignment horizontal="center" vertical="top" wrapText="1"/>
    </xf>
    <xf numFmtId="0" fontId="2" fillId="2" borderId="8"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6" fillId="0" borderId="8" xfId="0" applyFont="1" applyBorder="1" applyAlignment="1">
      <alignment horizontal="left" vertical="center" wrapText="1"/>
    </xf>
    <xf numFmtId="0" fontId="16" fillId="0" borderId="7" xfId="0" applyFont="1" applyBorder="1" applyAlignment="1">
      <alignment horizontal="left" vertical="center" wrapText="1"/>
    </xf>
    <xf numFmtId="0" fontId="16"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7" fillId="31" borderId="11" xfId="0" applyFont="1" applyFill="1" applyBorder="1" applyAlignment="1">
      <alignment horizontal="right" vertical="top"/>
    </xf>
    <xf numFmtId="0" fontId="7" fillId="31" borderId="15" xfId="0" applyFont="1" applyFill="1" applyBorder="1" applyAlignment="1">
      <alignment horizontal="right" vertical="top"/>
    </xf>
    <xf numFmtId="0" fontId="7" fillId="31" borderId="6" xfId="0" applyFont="1" applyFill="1" applyBorder="1" applyAlignment="1">
      <alignment horizontal="right" vertical="top"/>
    </xf>
    <xf numFmtId="0" fontId="7" fillId="31" borderId="9" xfId="0" applyFont="1" applyFill="1" applyBorder="1" applyAlignment="1">
      <alignment horizontal="right" vertical="top"/>
    </xf>
    <xf numFmtId="0" fontId="7" fillId="31" borderId="8" xfId="0" applyFont="1" applyFill="1" applyBorder="1" applyAlignment="1">
      <alignment horizontal="left" vertical="top" wrapText="1"/>
    </xf>
    <xf numFmtId="0" fontId="7" fillId="31" borderId="2" xfId="0" applyFont="1" applyFill="1" applyBorder="1" applyAlignment="1">
      <alignment horizontal="left" vertical="top" wrapText="1"/>
    </xf>
    <xf numFmtId="0" fontId="7" fillId="14" borderId="3" xfId="0" applyFont="1" applyFill="1" applyBorder="1" applyAlignment="1">
      <alignment horizontal="right" vertical="top"/>
    </xf>
    <xf numFmtId="0" fontId="7" fillId="14" borderId="4" xfId="0" applyFont="1" applyFill="1" applyBorder="1" applyAlignment="1">
      <alignment horizontal="right" vertical="top"/>
    </xf>
    <xf numFmtId="0" fontId="2" fillId="0" borderId="12" xfId="0" applyFont="1" applyBorder="1" applyAlignment="1">
      <alignment horizontal="left" vertical="top" wrapText="1"/>
    </xf>
    <xf numFmtId="0" fontId="2" fillId="0" borderId="0" xfId="0" applyFont="1" applyBorder="1" applyAlignment="1">
      <alignment horizontal="left" vertical="top" wrapText="1"/>
    </xf>
    <xf numFmtId="0" fontId="2" fillId="0" borderId="13" xfId="0" applyFont="1" applyBorder="1" applyAlignment="1">
      <alignment horizontal="left" vertical="top" wrapText="1"/>
    </xf>
    <xf numFmtId="0" fontId="67" fillId="15" borderId="3" xfId="0" applyFont="1" applyFill="1" applyBorder="1" applyAlignment="1">
      <alignment horizontal="left" vertical="top"/>
    </xf>
    <xf numFmtId="0" fontId="67" fillId="15" borderId="4" xfId="0" applyFont="1" applyFill="1" applyBorder="1" applyAlignment="1">
      <alignment horizontal="left" vertical="top"/>
    </xf>
    <xf numFmtId="0" fontId="67" fillId="15" borderId="4" xfId="0" applyFont="1" applyFill="1" applyBorder="1" applyAlignment="1">
      <alignment horizontal="center" vertical="top"/>
    </xf>
    <xf numFmtId="0" fontId="10" fillId="15" borderId="4" xfId="0" applyFont="1" applyFill="1" applyBorder="1" applyAlignment="1">
      <alignment horizontal="center" vertical="top"/>
    </xf>
    <xf numFmtId="0" fontId="67" fillId="15" borderId="5" xfId="0" applyFont="1" applyFill="1" applyBorder="1" applyAlignment="1">
      <alignment horizontal="left" vertical="top"/>
    </xf>
    <xf numFmtId="0" fontId="88" fillId="0" borderId="1" xfId="0" applyFont="1" applyBorder="1" applyAlignment="1">
      <alignment horizontal="left" vertical="center" wrapText="1"/>
    </xf>
    <xf numFmtId="0" fontId="88" fillId="14" borderId="3" xfId="0" applyFont="1" applyFill="1" applyBorder="1" applyAlignment="1">
      <alignment horizontal="left" vertical="center"/>
    </xf>
    <xf numFmtId="0" fontId="88" fillId="14" borderId="4" xfId="0" applyFont="1" applyFill="1" applyBorder="1" applyAlignment="1">
      <alignment horizontal="left" vertical="center"/>
    </xf>
    <xf numFmtId="0" fontId="67" fillId="11" borderId="3" xfId="0" applyFont="1" applyFill="1" applyBorder="1" applyAlignment="1">
      <alignment horizontal="left" vertical="top"/>
    </xf>
    <xf numFmtId="0" fontId="67" fillId="11" borderId="4" xfId="0" applyFont="1" applyFill="1" applyBorder="1" applyAlignment="1">
      <alignment horizontal="left" vertical="top"/>
    </xf>
    <xf numFmtId="0" fontId="67" fillId="11" borderId="5" xfId="0" applyFont="1" applyFill="1" applyBorder="1" applyAlignment="1">
      <alignment horizontal="left" vertical="top"/>
    </xf>
    <xf numFmtId="0" fontId="58" fillId="4" borderId="3" xfId="0" applyFont="1" applyFill="1" applyBorder="1" applyAlignment="1">
      <alignment horizontal="left" vertical="top" wrapText="1"/>
    </xf>
    <xf numFmtId="0" fontId="58" fillId="4" borderId="4" xfId="0" applyFont="1" applyFill="1" applyBorder="1" applyAlignment="1">
      <alignment horizontal="left" vertical="top" wrapText="1"/>
    </xf>
    <xf numFmtId="0" fontId="67" fillId="15" borderId="3" xfId="0" applyFont="1" applyFill="1" applyBorder="1" applyAlignment="1">
      <alignment horizontal="left" vertical="top" wrapText="1"/>
    </xf>
    <xf numFmtId="0" fontId="67" fillId="15" borderId="4" xfId="0" applyFont="1" applyFill="1" applyBorder="1" applyAlignment="1">
      <alignment horizontal="left" vertical="top" wrapText="1"/>
    </xf>
    <xf numFmtId="0" fontId="7" fillId="15" borderId="3" xfId="0" applyFont="1" applyFill="1" applyBorder="1" applyAlignment="1">
      <alignment horizontal="left" vertical="top"/>
    </xf>
    <xf numFmtId="0" fontId="7" fillId="15" borderId="4" xfId="0" applyFont="1" applyFill="1" applyBorder="1" applyAlignment="1">
      <alignment horizontal="left" vertical="top"/>
    </xf>
    <xf numFmtId="0" fontId="7" fillId="15" borderId="4" xfId="0" applyFont="1" applyFill="1" applyBorder="1" applyAlignment="1">
      <alignment horizontal="center" vertical="top"/>
    </xf>
    <xf numFmtId="0" fontId="9" fillId="15" borderId="4" xfId="0" applyFont="1" applyFill="1" applyBorder="1" applyAlignment="1">
      <alignment horizontal="center" vertical="top"/>
    </xf>
    <xf numFmtId="0" fontId="7" fillId="15" borderId="5" xfId="0" applyFont="1" applyFill="1" applyBorder="1" applyAlignment="1">
      <alignment horizontal="left" vertical="top"/>
    </xf>
    <xf numFmtId="0" fontId="76" fillId="4" borderId="3" xfId="0" applyFont="1" applyFill="1" applyBorder="1" applyAlignment="1">
      <alignment horizontal="left" vertical="top" wrapText="1"/>
    </xf>
    <xf numFmtId="0" fontId="76" fillId="4" borderId="4" xfId="0" applyFont="1" applyFill="1" applyBorder="1" applyAlignment="1">
      <alignment horizontal="left" vertical="top" wrapText="1"/>
    </xf>
    <xf numFmtId="0" fontId="76" fillId="4" borderId="4" xfId="0" applyFont="1" applyFill="1" applyBorder="1" applyAlignment="1">
      <alignment horizontal="center" vertical="top" wrapText="1"/>
    </xf>
    <xf numFmtId="0" fontId="61" fillId="4" borderId="4" xfId="0" applyFont="1" applyFill="1" applyBorder="1" applyAlignment="1">
      <alignment horizontal="center" vertical="top" wrapText="1"/>
    </xf>
    <xf numFmtId="0" fontId="76" fillId="4" borderId="5" xfId="0" applyFont="1" applyFill="1" applyBorder="1" applyAlignment="1">
      <alignment horizontal="left" vertical="top" wrapText="1"/>
    </xf>
    <xf numFmtId="0" fontId="76" fillId="5" borderId="3" xfId="0" applyFont="1" applyFill="1" applyBorder="1" applyAlignment="1">
      <alignment horizontal="left" vertical="top" wrapText="1"/>
    </xf>
    <xf numFmtId="0" fontId="76" fillId="5" borderId="4" xfId="0" applyFont="1" applyFill="1" applyBorder="1" applyAlignment="1">
      <alignment horizontal="left" vertical="top" wrapText="1"/>
    </xf>
    <xf numFmtId="0" fontId="76" fillId="5" borderId="4" xfId="0" applyFont="1" applyFill="1" applyBorder="1" applyAlignment="1">
      <alignment horizontal="center" vertical="top" wrapText="1"/>
    </xf>
    <xf numFmtId="0" fontId="61" fillId="5" borderId="4" xfId="0" applyFont="1" applyFill="1" applyBorder="1" applyAlignment="1">
      <alignment horizontal="center" vertical="top" wrapText="1"/>
    </xf>
    <xf numFmtId="0" fontId="76" fillId="5" borderId="5" xfId="0" applyFont="1" applyFill="1" applyBorder="1" applyAlignment="1">
      <alignment horizontal="left" vertical="top" wrapText="1"/>
    </xf>
    <xf numFmtId="0" fontId="67" fillId="0" borderId="1" xfId="0" applyFont="1" applyBorder="1" applyAlignment="1">
      <alignment horizontal="left" vertical="top" wrapText="1"/>
    </xf>
    <xf numFmtId="0" fontId="3" fillId="14" borderId="3" xfId="0" applyFont="1" applyFill="1" applyBorder="1" applyAlignment="1">
      <alignment horizontal="left" vertical="top"/>
    </xf>
    <xf numFmtId="0" fontId="3" fillId="14" borderId="4" xfId="0" applyFont="1" applyFill="1" applyBorder="1" applyAlignment="1">
      <alignment horizontal="left" vertical="top"/>
    </xf>
    <xf numFmtId="0" fontId="3" fillId="14" borderId="5" xfId="0" applyFont="1" applyFill="1" applyBorder="1" applyAlignment="1">
      <alignment horizontal="left" vertical="top"/>
    </xf>
    <xf numFmtId="0" fontId="88" fillId="5" borderId="3" xfId="0" applyFont="1" applyFill="1" applyBorder="1" applyAlignment="1">
      <alignment horizontal="left" vertical="center" wrapText="1"/>
    </xf>
    <xf numFmtId="0" fontId="88" fillId="5" borderId="4" xfId="0" applyFont="1" applyFill="1" applyBorder="1" applyAlignment="1">
      <alignment horizontal="left" vertical="center" wrapText="1"/>
    </xf>
    <xf numFmtId="0" fontId="88" fillId="5" borderId="4" xfId="0" applyFont="1" applyFill="1" applyBorder="1" applyAlignment="1">
      <alignment horizontal="center" vertical="center" wrapText="1"/>
    </xf>
    <xf numFmtId="0" fontId="89" fillId="5" borderId="4" xfId="0" applyFont="1" applyFill="1" applyBorder="1" applyAlignment="1">
      <alignment horizontal="center" vertical="center" wrapText="1"/>
    </xf>
    <xf numFmtId="0" fontId="88" fillId="5" borderId="5" xfId="0" applyFont="1" applyFill="1" applyBorder="1" applyAlignment="1">
      <alignment horizontal="left" vertical="center" wrapText="1"/>
    </xf>
    <xf numFmtId="0" fontId="88" fillId="0" borderId="8" xfId="0" applyFont="1" applyBorder="1" applyAlignment="1">
      <alignment horizontal="left" vertical="center" wrapText="1"/>
    </xf>
    <xf numFmtId="0" fontId="88" fillId="0" borderId="7" xfId="0" applyFont="1" applyBorder="1" applyAlignment="1">
      <alignment horizontal="left" vertical="center" wrapText="1"/>
    </xf>
    <xf numFmtId="0" fontId="88" fillId="0" borderId="2" xfId="0" applyFont="1" applyBorder="1" applyAlignment="1">
      <alignment horizontal="left" vertical="center" wrapText="1"/>
    </xf>
    <xf numFmtId="0" fontId="19" fillId="0" borderId="8"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 xfId="0" applyFont="1" applyBorder="1" applyAlignment="1">
      <alignment horizontal="left" vertical="center" wrapText="1"/>
    </xf>
    <xf numFmtId="0" fontId="19" fillId="11" borderId="1" xfId="0" applyFont="1" applyFill="1" applyBorder="1" applyAlignment="1">
      <alignment horizontal="left" vertical="center"/>
    </xf>
    <xf numFmtId="0" fontId="49" fillId="4" borderId="1" xfId="0" applyFont="1" applyFill="1" applyBorder="1" applyAlignment="1">
      <alignment horizontal="left" vertical="center" wrapText="1"/>
    </xf>
    <xf numFmtId="0" fontId="19" fillId="15" borderId="3" xfId="0" applyFont="1" applyFill="1" applyBorder="1" applyAlignment="1">
      <alignment horizontal="left" vertical="center" wrapText="1"/>
    </xf>
    <xf numFmtId="0" fontId="19" fillId="15" borderId="5" xfId="0" applyFont="1" applyFill="1" applyBorder="1" applyAlignment="1">
      <alignment horizontal="left" vertical="center" wrapText="1"/>
    </xf>
    <xf numFmtId="0" fontId="48" fillId="3" borderId="6" xfId="0" applyFont="1" applyFill="1" applyBorder="1" applyAlignment="1">
      <alignment horizontal="center" vertical="center" wrapText="1"/>
    </xf>
    <xf numFmtId="0" fontId="48" fillId="3" borderId="9" xfId="0" applyFont="1" applyFill="1" applyBorder="1" applyAlignment="1">
      <alignment horizontal="center" vertical="center" wrapText="1"/>
    </xf>
    <xf numFmtId="0" fontId="49" fillId="5" borderId="1" xfId="0" applyFont="1" applyFill="1" applyBorder="1" applyAlignment="1">
      <alignment horizontal="left" vertical="center" wrapText="1"/>
    </xf>
    <xf numFmtId="0" fontId="19" fillId="0" borderId="8" xfId="0" applyFont="1" applyBorder="1" applyAlignment="1">
      <alignment vertical="top" wrapText="1"/>
    </xf>
    <xf numFmtId="0" fontId="19" fillId="0" borderId="7" xfId="0" applyFont="1" applyBorder="1" applyAlignment="1">
      <alignment vertical="top" wrapText="1"/>
    </xf>
    <xf numFmtId="0" fontId="19" fillId="0" borderId="2" xfId="0" applyFont="1" applyBorder="1" applyAlignment="1">
      <alignment vertical="top" wrapText="1"/>
    </xf>
    <xf numFmtId="0" fontId="19" fillId="0" borderId="1" xfId="0" applyFont="1" applyBorder="1" applyAlignment="1">
      <alignment vertical="top" wrapText="1"/>
    </xf>
    <xf numFmtId="0" fontId="19" fillId="0" borderId="15" xfId="0" applyFont="1" applyBorder="1" applyAlignment="1">
      <alignment vertical="top" wrapText="1"/>
    </xf>
    <xf numFmtId="0" fontId="19" fillId="0" borderId="0" xfId="0" applyFont="1" applyBorder="1" applyAlignment="1">
      <alignment vertical="top" wrapText="1"/>
    </xf>
    <xf numFmtId="0" fontId="19" fillId="0" borderId="9" xfId="0" applyFont="1" applyBorder="1" applyAlignment="1">
      <alignment vertical="top" wrapText="1"/>
    </xf>
    <xf numFmtId="0" fontId="49" fillId="5" borderId="3" xfId="0" applyFont="1" applyFill="1" applyBorder="1" applyAlignment="1">
      <alignment horizontal="center" vertical="center" wrapText="1"/>
    </xf>
    <xf numFmtId="0" fontId="49" fillId="5" borderId="4" xfId="0" applyFont="1" applyFill="1" applyBorder="1" applyAlignment="1">
      <alignment horizontal="center" vertical="center" wrapText="1"/>
    </xf>
    <xf numFmtId="0" fontId="119" fillId="0" borderId="6" xfId="15" applyFont="1" applyBorder="1" applyAlignment="1">
      <alignment horizontal="left" vertical="center" wrapText="1"/>
    </xf>
    <xf numFmtId="0" fontId="119" fillId="0" borderId="9" xfId="15" applyFont="1" applyBorder="1" applyAlignment="1">
      <alignment horizontal="left" vertical="center" wrapText="1"/>
    </xf>
    <xf numFmtId="0" fontId="119" fillId="0" borderId="10" xfId="15" applyFont="1" applyBorder="1" applyAlignment="1">
      <alignment horizontal="left" vertical="center" wrapText="1"/>
    </xf>
    <xf numFmtId="0" fontId="150" fillId="25" borderId="1" xfId="15" applyFont="1" applyFill="1" applyBorder="1" applyAlignment="1">
      <alignment horizontal="center" vertical="center" wrapText="1"/>
    </xf>
    <xf numFmtId="0" fontId="150" fillId="52" borderId="1" xfId="15" applyFont="1" applyFill="1" applyBorder="1" applyAlignment="1">
      <alignment horizontal="center" vertical="center" wrapText="1"/>
    </xf>
    <xf numFmtId="0" fontId="150" fillId="0" borderId="1" xfId="15" applyFont="1" applyFill="1" applyBorder="1" applyAlignment="1">
      <alignment horizontal="center" vertical="center" wrapText="1"/>
    </xf>
    <xf numFmtId="0" fontId="119" fillId="0" borderId="12" xfId="15" applyFont="1" applyBorder="1" applyAlignment="1">
      <alignment horizontal="left" vertical="center" wrapText="1"/>
    </xf>
    <xf numFmtId="0" fontId="119" fillId="0" borderId="0" xfId="15" applyFont="1" applyBorder="1" applyAlignment="1">
      <alignment horizontal="left" vertical="center" wrapText="1"/>
    </xf>
    <xf numFmtId="0" fontId="119" fillId="0" borderId="13" xfId="15" applyFont="1" applyBorder="1" applyAlignment="1">
      <alignment horizontal="left" vertical="center" wrapText="1"/>
    </xf>
    <xf numFmtId="0" fontId="120" fillId="25" borderId="8" xfId="15" applyFont="1" applyFill="1" applyBorder="1" applyAlignment="1">
      <alignment horizontal="center" vertical="center" wrapText="1"/>
    </xf>
    <xf numFmtId="0" fontId="120" fillId="25" borderId="2" xfId="15" applyFont="1" applyFill="1" applyBorder="1" applyAlignment="1">
      <alignment horizontal="center" vertical="center" wrapText="1"/>
    </xf>
    <xf numFmtId="0" fontId="120" fillId="0" borderId="1" xfId="15" applyFont="1" applyFill="1" applyBorder="1" applyAlignment="1">
      <alignment horizontal="center" vertical="center" wrapText="1"/>
    </xf>
    <xf numFmtId="0" fontId="120" fillId="0" borderId="8" xfId="15" applyFont="1" applyFill="1" applyBorder="1" applyAlignment="1">
      <alignment horizontal="center" vertical="center" wrapText="1"/>
    </xf>
    <xf numFmtId="0" fontId="120" fillId="0" borderId="2" xfId="15" applyFont="1" applyFill="1" applyBorder="1" applyAlignment="1">
      <alignment horizontal="center" vertical="center" wrapText="1"/>
    </xf>
    <xf numFmtId="0" fontId="120" fillId="25" borderId="1" xfId="15" applyFont="1" applyFill="1" applyBorder="1" applyAlignment="1">
      <alignment horizontal="center" vertical="center" wrapText="1"/>
    </xf>
    <xf numFmtId="0" fontId="37" fillId="0" borderId="4" xfId="15" applyFont="1" applyFill="1" applyBorder="1" applyAlignment="1">
      <alignment horizontal="center" vertical="center" wrapText="1"/>
    </xf>
    <xf numFmtId="0" fontId="120" fillId="14" borderId="3" xfId="15" applyFont="1" applyFill="1" applyBorder="1" applyAlignment="1">
      <alignment horizontal="right" vertical="center"/>
    </xf>
    <xf numFmtId="0" fontId="120" fillId="14" borderId="4" xfId="15" applyFont="1" applyFill="1" applyBorder="1" applyAlignment="1">
      <alignment horizontal="right" vertical="center"/>
    </xf>
    <xf numFmtId="0" fontId="120" fillId="0" borderId="8" xfId="15" applyFont="1" applyBorder="1" applyAlignment="1">
      <alignment horizontal="center" vertical="center" wrapText="1"/>
    </xf>
    <xf numFmtId="0" fontId="120" fillId="0" borderId="7" xfId="15" applyFont="1" applyBorder="1" applyAlignment="1">
      <alignment horizontal="center" vertical="center" wrapText="1"/>
    </xf>
    <xf numFmtId="0" fontId="120" fillId="0" borderId="2" xfId="15" applyFont="1" applyBorder="1" applyAlignment="1">
      <alignment horizontal="center" vertical="center" wrapText="1"/>
    </xf>
    <xf numFmtId="0" fontId="120" fillId="0" borderId="8" xfId="15" applyFont="1" applyFill="1" applyBorder="1" applyAlignment="1">
      <alignment horizontal="left" vertical="center" wrapText="1"/>
    </xf>
    <xf numFmtId="0" fontId="120" fillId="0" borderId="7" xfId="15" applyFont="1" applyFill="1" applyBorder="1" applyAlignment="1">
      <alignment horizontal="left" vertical="center" wrapText="1"/>
    </xf>
    <xf numFmtId="0" fontId="120" fillId="0" borderId="2" xfId="15" applyFont="1" applyFill="1" applyBorder="1" applyAlignment="1">
      <alignment horizontal="left" vertical="center" wrapText="1"/>
    </xf>
    <xf numFmtId="0" fontId="120" fillId="0" borderId="7" xfId="15" applyFont="1" applyFill="1" applyBorder="1" applyAlignment="1">
      <alignment horizontal="center" vertical="center" wrapText="1"/>
    </xf>
    <xf numFmtId="0" fontId="120" fillId="11" borderId="3" xfId="15" applyFont="1" applyFill="1" applyBorder="1" applyAlignment="1">
      <alignment horizontal="left" vertical="center"/>
    </xf>
    <xf numFmtId="0" fontId="120" fillId="11" borderId="4" xfId="15" applyFont="1" applyFill="1" applyBorder="1" applyAlignment="1">
      <alignment horizontal="left" vertical="center"/>
    </xf>
    <xf numFmtId="0" fontId="120" fillId="11" borderId="5" xfId="15" applyFont="1" applyFill="1" applyBorder="1" applyAlignment="1">
      <alignment horizontal="left" vertical="center"/>
    </xf>
    <xf numFmtId="0" fontId="147" fillId="18" borderId="3" xfId="15" applyFont="1" applyFill="1" applyBorder="1" applyAlignment="1">
      <alignment horizontal="left" vertical="center" wrapText="1"/>
    </xf>
    <xf numFmtId="0" fontId="147" fillId="18" borderId="4" xfId="15" applyFont="1" applyFill="1" applyBorder="1" applyAlignment="1">
      <alignment horizontal="left" vertical="center" wrapText="1"/>
    </xf>
    <xf numFmtId="0" fontId="120" fillId="15" borderId="3" xfId="15" applyFont="1" applyFill="1" applyBorder="1" applyAlignment="1">
      <alignment horizontal="left" vertical="center" wrapText="1"/>
    </xf>
    <xf numFmtId="0" fontId="120" fillId="15" borderId="4" xfId="15" applyFont="1" applyFill="1" applyBorder="1" applyAlignment="1">
      <alignment horizontal="left" vertical="center" wrapText="1"/>
    </xf>
    <xf numFmtId="0" fontId="120" fillId="4" borderId="11" xfId="15" applyFont="1" applyFill="1" applyBorder="1" applyAlignment="1">
      <alignment horizontal="left" vertical="center"/>
    </xf>
    <xf numFmtId="0" fontId="120" fillId="4" borderId="15" xfId="15" applyFont="1" applyFill="1" applyBorder="1" applyAlignment="1">
      <alignment horizontal="left" vertical="center"/>
    </xf>
    <xf numFmtId="0" fontId="120" fillId="4" borderId="14" xfId="15" applyFont="1" applyFill="1" applyBorder="1" applyAlignment="1">
      <alignment horizontal="left" vertical="center"/>
    </xf>
    <xf numFmtId="0" fontId="120" fillId="4" borderId="6" xfId="15" applyFont="1" applyFill="1" applyBorder="1" applyAlignment="1">
      <alignment horizontal="left" vertical="center"/>
    </xf>
    <xf numFmtId="0" fontId="120" fillId="4" borderId="9" xfId="15" applyFont="1" applyFill="1" applyBorder="1" applyAlignment="1">
      <alignment horizontal="left" vertical="center"/>
    </xf>
    <xf numFmtId="0" fontId="120" fillId="4" borderId="10" xfId="15" applyFont="1" applyFill="1" applyBorder="1" applyAlignment="1">
      <alignment horizontal="left" vertical="center"/>
    </xf>
    <xf numFmtId="0" fontId="119" fillId="14" borderId="3" xfId="15" applyFont="1" applyFill="1" applyBorder="1" applyAlignment="1">
      <alignment horizontal="right" vertical="center" wrapText="1"/>
    </xf>
    <xf numFmtId="0" fontId="119" fillId="14" borderId="4" xfId="15" applyFont="1" applyFill="1" applyBorder="1" applyAlignment="1">
      <alignment horizontal="right" vertical="center" wrapText="1"/>
    </xf>
    <xf numFmtId="0" fontId="119" fillId="14" borderId="5" xfId="15" applyFont="1" applyFill="1" applyBorder="1" applyAlignment="1">
      <alignment horizontal="right" vertical="center" wrapText="1"/>
    </xf>
    <xf numFmtId="0" fontId="120" fillId="4" borderId="3" xfId="15" applyFont="1" applyFill="1" applyBorder="1" applyAlignment="1">
      <alignment horizontal="left" vertical="center"/>
    </xf>
    <xf numFmtId="0" fontId="120" fillId="4" borderId="4" xfId="15" applyFont="1" applyFill="1" applyBorder="1" applyAlignment="1">
      <alignment horizontal="left" vertical="center"/>
    </xf>
    <xf numFmtId="0" fontId="120" fillId="4" borderId="5" xfId="15" applyFont="1" applyFill="1" applyBorder="1" applyAlignment="1">
      <alignment horizontal="left" vertical="center"/>
    </xf>
    <xf numFmtId="0" fontId="119" fillId="51" borderId="3" xfId="15" applyFont="1" applyFill="1" applyBorder="1" applyAlignment="1">
      <alignment horizontal="right" vertical="center" wrapText="1"/>
    </xf>
    <xf numFmtId="0" fontId="119" fillId="51" borderId="4" xfId="15" applyFont="1" applyFill="1" applyBorder="1" applyAlignment="1">
      <alignment horizontal="right" vertical="center" wrapText="1"/>
    </xf>
    <xf numFmtId="0" fontId="119" fillId="51" borderId="5" xfId="15" applyFont="1" applyFill="1" applyBorder="1" applyAlignment="1">
      <alignment horizontal="right" vertical="center" wrapText="1"/>
    </xf>
    <xf numFmtId="0" fontId="37" fillId="15" borderId="3" xfId="15" applyFont="1" applyFill="1" applyBorder="1" applyAlignment="1">
      <alignment horizontal="left" vertical="center" wrapText="1"/>
    </xf>
    <xf numFmtId="0" fontId="37" fillId="15" borderId="4" xfId="15" applyFont="1" applyFill="1" applyBorder="1" applyAlignment="1">
      <alignment horizontal="left" vertical="center" wrapText="1"/>
    </xf>
    <xf numFmtId="0" fontId="37" fillId="4" borderId="3" xfId="15" applyFont="1" applyFill="1" applyBorder="1" applyAlignment="1">
      <alignment horizontal="left" vertical="center" wrapText="1"/>
    </xf>
    <xf numFmtId="0" fontId="37" fillId="4" borderId="4" xfId="15" applyFont="1" applyFill="1" applyBorder="1" applyAlignment="1">
      <alignment horizontal="left" vertical="center" wrapText="1"/>
    </xf>
    <xf numFmtId="0" fontId="130" fillId="25" borderId="4" xfId="15" applyFont="1" applyFill="1" applyBorder="1" applyAlignment="1">
      <alignment horizontal="center" vertical="center" wrapText="1"/>
    </xf>
  </cellXfs>
  <cellStyles count="23">
    <cellStyle name="aRow-Detail Line" xfId="9" xr:uid="{00000000-0005-0000-0000-000000000000}"/>
    <cellStyle name="Comma" xfId="1" builtinId="3"/>
    <cellStyle name="Comma 10" xfId="8" xr:uid="{00000000-0005-0000-0000-000002000000}"/>
    <cellStyle name="Comma 2" xfId="11" xr:uid="{00000000-0005-0000-0000-000003000000}"/>
    <cellStyle name="Comma 4" xfId="18" xr:uid="{00000000-0005-0000-0000-000004000000}"/>
    <cellStyle name="Comma 8" xfId="19" xr:uid="{00000000-0005-0000-0000-000005000000}"/>
    <cellStyle name="Comma_Sheet1" xfId="10" xr:uid="{00000000-0005-0000-0000-000006000000}"/>
    <cellStyle name="Currency" xfId="2" builtinId="4"/>
    <cellStyle name="Currency 2" xfId="13" xr:uid="{00000000-0005-0000-0000-000008000000}"/>
    <cellStyle name="Milliers 2" xfId="6" xr:uid="{00000000-0005-0000-0000-000009000000}"/>
    <cellStyle name="Normal" xfId="0" builtinId="0"/>
    <cellStyle name="Normal 2" xfId="4" xr:uid="{00000000-0005-0000-0000-00000B000000}"/>
    <cellStyle name="Normal 2 2" xfId="7" xr:uid="{00000000-0005-0000-0000-00000C000000}"/>
    <cellStyle name="Normal 2 3" xfId="20" xr:uid="{00000000-0005-0000-0000-00000D000000}"/>
    <cellStyle name="Normal 3" xfId="5" xr:uid="{00000000-0005-0000-0000-00000E000000}"/>
    <cellStyle name="Normal 3 2" xfId="16" xr:uid="{00000000-0005-0000-0000-00000F000000}"/>
    <cellStyle name="Normal 4" xfId="15" xr:uid="{00000000-0005-0000-0000-000010000000}"/>
    <cellStyle name="Normal 5" xfId="17" xr:uid="{00000000-0005-0000-0000-000011000000}"/>
    <cellStyle name="Normal 6" xfId="14" xr:uid="{00000000-0005-0000-0000-000012000000}"/>
    <cellStyle name="Percent" xfId="3" builtinId="5"/>
    <cellStyle name="Percent 2" xfId="12" xr:uid="{00000000-0005-0000-0000-000014000000}"/>
    <cellStyle name="Percent 3" xfId="22" xr:uid="{00000000-0005-0000-0000-000015000000}"/>
    <cellStyle name="Percent 4" xfId="21" xr:uid="{00000000-0005-0000-0000-000016000000}"/>
  </cellStyles>
  <dxfs count="6">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HAB/Desktop/BUDGETS%20ACTEURS_SUD%20IRUMU/BUDGET%20CARITAS%20OS%204%20&amp;%20%206_12.04.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NHAB/Downloads/Copie%20de%20OIM_OS%205_12%2004%202017_%20Cesaire%20Approuv&#233;%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NHAB/Downloads/Caritas%20OS6%20R6.2%20ANNEX%207%20SCF%20%20Budget%20Template%20final%208-11%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NHAB/Downloads/SFCG_OS%205_2017_11_04%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ounna/AppData/Local/Microsoft/Windows/INetCache/IE/LCG141GY/Rapport%20Financier%20%20COOPI.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HP%20450%20G4/AppData/Roaming/Skype/My%20Skype%20Received%20Files/Simulation%202018.06.17_Preppy%20STAREC%2069B311_Rev%20ky.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Detaille"/>
      <sheetName val="Budget_Recapitulatif"/>
    </sheetNames>
    <sheetDataSet>
      <sheetData sheetId="0">
        <row r="141">
          <cell r="A141" t="str">
            <v>Personnel et autres employés</v>
          </cell>
        </row>
        <row r="142">
          <cell r="A142" t="str">
            <v>Fournitures, produits de base, materiels</v>
          </cell>
        </row>
        <row r="143">
          <cell r="A143" t="str">
            <v>Equipements et mobilier</v>
          </cell>
        </row>
        <row r="144">
          <cell r="A144" t="str">
            <v xml:space="preserve">Services Contractuels </v>
          </cell>
        </row>
        <row r="145">
          <cell r="A145" t="str">
            <v>Frais de deplacement</v>
          </cell>
        </row>
        <row r="146">
          <cell r="A146" t="str">
            <v xml:space="preserve">Transferts et subventions </v>
          </cell>
        </row>
        <row r="147">
          <cell r="A147" t="str">
            <v>Frais generaux de fonctionnement et autres couts directs</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Detaille"/>
      <sheetName val="Budget_Recapitulatif"/>
      <sheetName val="Analysis"/>
    </sheetNames>
    <sheetDataSet>
      <sheetData sheetId="0">
        <row r="103">
          <cell r="A103" t="str">
            <v xml:space="preserve">Services Contractuels </v>
          </cell>
        </row>
        <row r="104">
          <cell r="A104" t="str">
            <v>Frais de deplacement</v>
          </cell>
        </row>
        <row r="105">
          <cell r="A105" t="str">
            <v xml:space="preserve">Transferts et subventions </v>
          </cell>
        </row>
        <row r="106">
          <cell r="A106" t="str">
            <v>Frais generaux de fonctionnement et autres couts directs</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Detaille"/>
      <sheetName val="Budget_Recapitulatif"/>
      <sheetName val="dEVIS ATELIER ECOLE"/>
      <sheetName val="DEVIS CENTRE DE FORMATION"/>
    </sheetNames>
    <sheetDataSet>
      <sheetData sheetId="0">
        <row r="103">
          <cell r="A103" t="str">
            <v>Personnel et autres employés</v>
          </cell>
        </row>
        <row r="104">
          <cell r="A104" t="str">
            <v>Fournitures, produits de base, materiels</v>
          </cell>
        </row>
        <row r="105">
          <cell r="A105" t="str">
            <v>Equipements et mobilier</v>
          </cell>
        </row>
        <row r="106">
          <cell r="A106" t="str">
            <v xml:space="preserve">Services Contractuels </v>
          </cell>
        </row>
        <row r="107">
          <cell r="A107" t="str">
            <v>Frais de deplacement</v>
          </cell>
        </row>
        <row r="108">
          <cell r="A108" t="str">
            <v xml:space="preserve">Transferts et subventions </v>
          </cell>
        </row>
        <row r="109">
          <cell r="A109" t="str">
            <v>Frais generaux de fonctionnement et autres couts directs</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Detaille"/>
      <sheetName val="Budget_Recapitulatif"/>
      <sheetName val="Analysis"/>
    </sheetNames>
    <sheetDataSet>
      <sheetData sheetId="0">
        <row r="149">
          <cell r="A149" t="str">
            <v xml:space="preserve">Services Contractuels </v>
          </cell>
        </row>
        <row r="150">
          <cell r="A150" t="str">
            <v>Frais de deplacement</v>
          </cell>
        </row>
        <row r="151">
          <cell r="A151" t="str">
            <v xml:space="preserve">Transferts et subventions </v>
          </cell>
        </row>
        <row r="152">
          <cell r="A152" t="str">
            <v>Frais generaux de fonctionnement et autres couts directs</v>
          </cell>
        </row>
      </sheetData>
      <sheetData sheetId="1">
        <row r="6">
          <cell r="C6">
            <v>590400.05249999999</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dégagé (2)"/>
      <sheetName val="Détail Budget solicité"/>
      <sheetName val="BGDJT REVU (4)"/>
      <sheetName val="BGDJT Initial Global"/>
      <sheetName val="BGDJT Revisé Année (1&amp;2)"/>
      <sheetName val="monthly Rub"/>
      <sheetName val="RE"/>
    </sheetNames>
    <sheetDataSet>
      <sheetData sheetId="0"/>
      <sheetData sheetId="1">
        <row r="9">
          <cell r="H9">
            <v>378.38541666666669</v>
          </cell>
          <cell r="K9" t="str">
            <v>Il s'agit d'appuyer 8 structures sanitaires (FOSA) aux activités/depenses suivantes: i) 6PEPx1400$ =8400$, ii) Medicaments et materiels medicaux essentiels (Kits IST, etc.) x 750$ x 8 FOSA= 6000$, iii) Primes services 8FOSA et supervision BCZS  x 125$ x10mois = 10000$, IV) Remb. transport survivants= 150x15,5$ =2325$, V) 1Sup. Medicale x12moisx1000$=12000$</v>
          </cell>
        </row>
      </sheetData>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put1"/>
      <sheetName val="InputBud"/>
      <sheetName val="Funds"/>
      <sheetName val="monthly"/>
      <sheetName val="Monitor"/>
      <sheetName val="Totals"/>
      <sheetName val="Desy"/>
      <sheetName val="Donors"/>
      <sheetName val="Partners"/>
      <sheetName val="PDA STAREC"/>
      <sheetName val="P_Plan"/>
      <sheetName val="FACE"/>
      <sheetName val="FACE 2"/>
      <sheetName val="BGDJT REVU (2)"/>
      <sheetName val="Budget dégagé"/>
      <sheetName val="Budget solicité"/>
      <sheetName val="Revision"/>
      <sheetName val="BGDJT REVU (4)"/>
      <sheetName val="BGDJT Initial"/>
      <sheetName val="PDA 2017-2018 "/>
      <sheetName val="Check"/>
      <sheetName val="monthly Rub"/>
      <sheetName val="RE"/>
      <sheetName val="Feuil1"/>
    </sheetNames>
    <sheetDataSet>
      <sheetData sheetId="0" refreshError="1"/>
      <sheetData sheetId="1" refreshError="1"/>
      <sheetData sheetId="2" refreshError="1"/>
      <sheetData sheetId="3" refreshError="1"/>
      <sheetData sheetId="4" refreshError="1"/>
      <sheetData sheetId="5" refreshError="1"/>
      <sheetData sheetId="6" refreshError="1">
        <row r="49">
          <cell r="H49">
            <v>0</v>
          </cell>
        </row>
        <row r="50">
          <cell r="H50">
            <v>0</v>
          </cell>
        </row>
        <row r="51">
          <cell r="H51">
            <v>153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R293"/>
  <sheetViews>
    <sheetView topLeftCell="L265" zoomScale="110" zoomScaleNormal="110" workbookViewId="0">
      <selection activeCell="Q292" sqref="Q292"/>
    </sheetView>
  </sheetViews>
  <sheetFormatPr defaultColWidth="13.140625" defaultRowHeight="12.75"/>
  <cols>
    <col min="1" max="1" width="38.28515625" style="7" customWidth="1"/>
    <col min="2" max="2" width="59.42578125" style="610" customWidth="1"/>
    <col min="3" max="3" width="49.140625" style="610" customWidth="1"/>
    <col min="4" max="4" width="13.5703125" style="7" customWidth="1"/>
    <col min="5" max="5" width="12.140625" style="7" customWidth="1"/>
    <col min="6" max="6" width="18.85546875" style="8" customWidth="1"/>
    <col min="7" max="7" width="13.42578125" style="7" customWidth="1"/>
    <col min="8" max="8" width="17" style="611" customWidth="1"/>
    <col min="9" max="9" width="12.28515625" style="610" bestFit="1" customWidth="1"/>
    <col min="10" max="10" width="14.42578125" style="610" bestFit="1" customWidth="1"/>
    <col min="11" max="11" width="8.7109375" style="612" bestFit="1" customWidth="1"/>
    <col min="12" max="12" width="12.85546875" style="612" bestFit="1" customWidth="1"/>
    <col min="13" max="13" width="10.7109375" style="612" bestFit="1" customWidth="1"/>
    <col min="14" max="14" width="16.140625" style="612" customWidth="1"/>
    <col min="15" max="15" width="12.42578125" style="612" customWidth="1"/>
    <col min="16" max="16" width="11.42578125" style="612" bestFit="1" customWidth="1"/>
    <col min="17" max="17" width="15.42578125" style="612" bestFit="1" customWidth="1"/>
    <col min="18" max="18" width="21.140625" style="7" bestFit="1" customWidth="1"/>
    <col min="19" max="19" width="19.42578125" style="8" bestFit="1" customWidth="1"/>
    <col min="20" max="20" width="17.85546875" style="8" bestFit="1" customWidth="1"/>
    <col min="21" max="21" width="16.7109375" style="8" bestFit="1" customWidth="1"/>
    <col min="22" max="22" width="71" style="9" customWidth="1"/>
    <col min="23" max="23" width="20.7109375" style="7" customWidth="1"/>
    <col min="24" max="24" width="33.28515625" style="7" customWidth="1"/>
    <col min="25" max="16384" width="13.140625" style="7"/>
  </cols>
  <sheetData>
    <row r="1" spans="1:122" ht="18" customHeight="1">
      <c r="A1" s="1"/>
      <c r="B1" s="2"/>
      <c r="C1" s="2"/>
      <c r="D1" s="3" t="s">
        <v>0</v>
      </c>
      <c r="E1" s="3"/>
      <c r="F1" s="4"/>
      <c r="G1" s="3"/>
      <c r="H1" s="5"/>
      <c r="I1" s="2"/>
      <c r="J1" s="2"/>
      <c r="K1" s="6"/>
      <c r="L1" s="6"/>
      <c r="M1" s="6"/>
      <c r="N1" s="6"/>
      <c r="O1" s="6"/>
      <c r="P1" s="6"/>
      <c r="Q1" s="6"/>
    </row>
    <row r="2" spans="1:122" ht="15">
      <c r="A2" s="10" t="s">
        <v>1</v>
      </c>
      <c r="B2" s="11" t="s">
        <v>2</v>
      </c>
      <c r="C2" s="12"/>
      <c r="D2" s="1"/>
      <c r="E2" s="1"/>
      <c r="F2" s="13"/>
      <c r="G2" s="1"/>
      <c r="H2" s="5"/>
      <c r="I2" s="2"/>
      <c r="J2" s="2"/>
      <c r="K2" s="6"/>
      <c r="L2" s="6"/>
      <c r="M2" s="6"/>
      <c r="N2" s="6"/>
      <c r="O2" s="6"/>
      <c r="P2" s="6"/>
      <c r="Q2" s="6"/>
    </row>
    <row r="3" spans="1:122" ht="18" customHeight="1">
      <c r="A3" s="10" t="s">
        <v>3</v>
      </c>
      <c r="B3" s="14" t="s">
        <v>4</v>
      </c>
      <c r="C3" s="15"/>
      <c r="D3" s="1"/>
      <c r="E3" s="1"/>
      <c r="F3" s="13"/>
      <c r="G3" s="1"/>
      <c r="H3" s="5"/>
      <c r="I3" s="2"/>
      <c r="J3" s="2"/>
      <c r="K3" s="6"/>
      <c r="L3" s="6"/>
      <c r="M3" s="6"/>
      <c r="N3" s="6"/>
      <c r="O3" s="6"/>
      <c r="P3" s="6"/>
      <c r="Q3" s="6"/>
    </row>
    <row r="4" spans="1:122" ht="16.5" customHeight="1">
      <c r="A4" s="10" t="s">
        <v>5</v>
      </c>
      <c r="B4" s="14" t="s">
        <v>6</v>
      </c>
      <c r="C4" s="16"/>
      <c r="D4" s="17"/>
      <c r="E4" s="17"/>
      <c r="F4" s="18"/>
      <c r="G4" s="17"/>
      <c r="H4" s="18"/>
      <c r="I4" s="17"/>
      <c r="J4" s="17"/>
      <c r="K4" s="19"/>
      <c r="L4" s="19"/>
      <c r="M4" s="19"/>
      <c r="N4" s="19"/>
      <c r="O4" s="19"/>
      <c r="P4" s="19"/>
      <c r="Q4" s="19"/>
    </row>
    <row r="5" spans="1:122" ht="12.75" customHeight="1">
      <c r="A5" s="10" t="s">
        <v>7</v>
      </c>
      <c r="B5" s="20">
        <f>Q287</f>
        <v>1042056.1</v>
      </c>
      <c r="C5" s="7"/>
      <c r="D5" s="17"/>
      <c r="E5" s="17"/>
      <c r="F5" s="18"/>
      <c r="G5" s="17"/>
      <c r="H5" s="18"/>
      <c r="I5" s="17"/>
      <c r="J5" s="17"/>
      <c r="K5" s="19"/>
      <c r="L5" s="19"/>
      <c r="M5" s="19"/>
      <c r="N5" s="19"/>
      <c r="O5" s="19"/>
      <c r="P5" s="19"/>
      <c r="Q5" s="19"/>
    </row>
    <row r="6" spans="1:122" ht="12.75" customHeight="1">
      <c r="A6" s="21" t="s">
        <v>8</v>
      </c>
      <c r="B6" s="20">
        <f>Q289</f>
        <v>72943.927000000011</v>
      </c>
      <c r="C6" s="22"/>
      <c r="D6" s="17"/>
      <c r="E6" s="17"/>
      <c r="F6" s="18"/>
      <c r="G6" s="17"/>
      <c r="H6" s="18"/>
      <c r="I6" s="17"/>
      <c r="J6" s="17"/>
      <c r="K6" s="19"/>
      <c r="L6" s="19"/>
      <c r="M6" s="19"/>
      <c r="N6" s="19"/>
      <c r="O6" s="19"/>
      <c r="P6" s="19"/>
      <c r="Q6" s="19"/>
    </row>
    <row r="7" spans="1:122" ht="12.75" customHeight="1">
      <c r="A7" s="21" t="s">
        <v>9</v>
      </c>
      <c r="B7" s="20">
        <f>SUM(B5:B6)</f>
        <v>1115000.027</v>
      </c>
      <c r="C7" s="22"/>
      <c r="D7" s="17"/>
      <c r="E7" s="17"/>
      <c r="F7" s="18"/>
      <c r="G7" s="17"/>
      <c r="H7" s="18"/>
      <c r="I7" s="17"/>
      <c r="J7" s="17"/>
      <c r="K7" s="19"/>
      <c r="L7" s="19"/>
      <c r="M7" s="19"/>
      <c r="N7" s="19"/>
      <c r="O7" s="19"/>
      <c r="P7" s="19"/>
      <c r="Q7" s="19"/>
    </row>
    <row r="8" spans="1:122" ht="13.35" customHeight="1">
      <c r="A8" s="1"/>
      <c r="B8" s="2"/>
      <c r="C8" s="2"/>
      <c r="D8" s="1"/>
      <c r="E8" s="1"/>
      <c r="F8" s="13"/>
      <c r="G8" s="1"/>
      <c r="H8" s="5"/>
      <c r="I8" s="2"/>
      <c r="J8" s="2"/>
      <c r="K8" s="6"/>
      <c r="L8" s="6"/>
      <c r="M8" s="6"/>
      <c r="N8" s="6"/>
      <c r="O8" s="6"/>
      <c r="P8" s="6"/>
      <c r="Q8" s="6"/>
    </row>
    <row r="9" spans="1:122" ht="53.25" customHeight="1">
      <c r="A9" s="23" t="s">
        <v>10</v>
      </c>
      <c r="B9" s="23" t="s">
        <v>11</v>
      </c>
      <c r="C9" s="24" t="s">
        <v>12</v>
      </c>
      <c r="D9" s="23" t="s">
        <v>13</v>
      </c>
      <c r="E9" s="23" t="s">
        <v>14</v>
      </c>
      <c r="F9" s="25" t="s">
        <v>15</v>
      </c>
      <c r="G9" s="23" t="s">
        <v>16</v>
      </c>
      <c r="H9" s="25" t="s">
        <v>17</v>
      </c>
      <c r="I9" s="26" t="s">
        <v>18</v>
      </c>
      <c r="J9" s="26" t="s">
        <v>19</v>
      </c>
      <c r="K9" s="23" t="s">
        <v>14</v>
      </c>
      <c r="L9" s="23" t="s">
        <v>15</v>
      </c>
      <c r="M9" s="23" t="s">
        <v>16</v>
      </c>
      <c r="N9" s="26" t="s">
        <v>20</v>
      </c>
      <c r="O9" s="26" t="s">
        <v>18</v>
      </c>
      <c r="P9" s="26" t="s">
        <v>19</v>
      </c>
      <c r="Q9" s="26" t="s">
        <v>21</v>
      </c>
      <c r="R9" s="26" t="s">
        <v>22</v>
      </c>
      <c r="S9" s="25" t="s">
        <v>23</v>
      </c>
      <c r="T9" s="27" t="s">
        <v>24</v>
      </c>
      <c r="U9" s="27" t="s">
        <v>25</v>
      </c>
      <c r="V9" s="26" t="s">
        <v>26</v>
      </c>
    </row>
    <row r="10" spans="1:122" s="32" customFormat="1" ht="23.25" customHeight="1">
      <c r="A10" s="2540" t="s">
        <v>27</v>
      </c>
      <c r="B10" s="2541"/>
      <c r="C10" s="28"/>
      <c r="D10" s="28"/>
      <c r="E10" s="28"/>
      <c r="F10" s="28"/>
      <c r="G10" s="28"/>
      <c r="H10" s="29"/>
      <c r="I10" s="28"/>
      <c r="J10" s="28"/>
      <c r="K10" s="28"/>
      <c r="L10" s="28"/>
      <c r="M10" s="28"/>
      <c r="N10" s="28"/>
      <c r="O10" s="28"/>
      <c r="P10" s="28"/>
      <c r="Q10" s="28"/>
      <c r="R10" s="28"/>
      <c r="S10" s="28"/>
      <c r="T10" s="28"/>
      <c r="U10" s="28"/>
      <c r="V10" s="30"/>
      <c r="W10" s="31"/>
      <c r="X10" s="31"/>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row>
    <row r="11" spans="1:122" ht="27" customHeight="1">
      <c r="A11" s="2542" t="s">
        <v>28</v>
      </c>
      <c r="B11" s="2543"/>
      <c r="C11" s="2543"/>
      <c r="D11" s="2543"/>
      <c r="E11" s="2543"/>
      <c r="F11" s="2543"/>
      <c r="G11" s="2543"/>
      <c r="H11" s="2543"/>
      <c r="I11" s="2543"/>
      <c r="J11" s="2543"/>
      <c r="K11" s="2543"/>
      <c r="L11" s="2543"/>
      <c r="M11" s="2543"/>
      <c r="N11" s="2543"/>
      <c r="O11" s="2543"/>
      <c r="P11" s="2543"/>
      <c r="Q11" s="2543"/>
      <c r="R11" s="2543"/>
      <c r="S11" s="2543"/>
      <c r="T11" s="2543"/>
      <c r="U11" s="2543"/>
      <c r="V11" s="2544"/>
    </row>
    <row r="12" spans="1:122" ht="28.5" customHeight="1">
      <c r="A12" s="2545" t="s">
        <v>29</v>
      </c>
      <c r="B12" s="2546"/>
      <c r="C12" s="2546"/>
      <c r="D12" s="2546"/>
      <c r="E12" s="2546"/>
      <c r="F12" s="2546"/>
      <c r="G12" s="2546"/>
      <c r="H12" s="2546"/>
      <c r="I12" s="2546"/>
      <c r="J12" s="2546"/>
      <c r="K12" s="2546"/>
      <c r="L12" s="2546"/>
      <c r="M12" s="2546"/>
      <c r="N12" s="2546"/>
      <c r="O12" s="2546"/>
      <c r="P12" s="2546"/>
      <c r="Q12" s="2546"/>
      <c r="R12" s="2546"/>
      <c r="S12" s="2546"/>
      <c r="T12" s="2546"/>
      <c r="U12" s="2546"/>
      <c r="V12" s="2547"/>
    </row>
    <row r="13" spans="1:122">
      <c r="A13" s="2548" t="s">
        <v>30</v>
      </c>
      <c r="B13" s="2549"/>
      <c r="C13" s="2549"/>
      <c r="D13" s="2549"/>
      <c r="E13" s="2549"/>
      <c r="F13" s="2549"/>
      <c r="G13" s="2549"/>
      <c r="H13" s="2549"/>
      <c r="I13" s="2549"/>
      <c r="J13" s="2549"/>
      <c r="K13" s="2549"/>
      <c r="L13" s="2549"/>
      <c r="M13" s="2549"/>
      <c r="N13" s="2549"/>
      <c r="O13" s="2549"/>
      <c r="P13" s="2549"/>
      <c r="Q13" s="2549"/>
      <c r="R13" s="2549"/>
      <c r="S13" s="2549"/>
      <c r="T13" s="2549"/>
      <c r="U13" s="2549"/>
      <c r="V13" s="2550"/>
    </row>
    <row r="14" spans="1:122">
      <c r="A14" s="2467" t="s">
        <v>31</v>
      </c>
      <c r="B14" s="33" t="s">
        <v>32</v>
      </c>
      <c r="C14" s="33" t="s">
        <v>33</v>
      </c>
      <c r="D14" s="34" t="s">
        <v>2</v>
      </c>
      <c r="E14" s="35">
        <v>12</v>
      </c>
      <c r="F14" s="36">
        <v>25</v>
      </c>
      <c r="G14" s="35">
        <v>1</v>
      </c>
      <c r="H14" s="37">
        <f t="shared" ref="H14:H23" si="0">E14*F14*G14</f>
        <v>300</v>
      </c>
      <c r="I14" s="38"/>
      <c r="J14" s="38"/>
      <c r="K14" s="35">
        <v>12</v>
      </c>
      <c r="L14" s="36">
        <v>25</v>
      </c>
      <c r="M14" s="35">
        <v>1</v>
      </c>
      <c r="N14" s="37">
        <f t="shared" ref="N14:N23" si="1">K14*L14*M14</f>
        <v>300</v>
      </c>
      <c r="O14" s="39"/>
      <c r="P14" s="39"/>
      <c r="Q14" s="40">
        <f t="shared" ref="Q14:Q23" si="2">H14+N14</f>
        <v>600</v>
      </c>
      <c r="R14" s="38"/>
      <c r="S14" s="41"/>
      <c r="T14" s="41"/>
      <c r="U14" s="41"/>
      <c r="V14" s="2525" t="s">
        <v>34</v>
      </c>
    </row>
    <row r="15" spans="1:122">
      <c r="A15" s="2467"/>
      <c r="B15" s="33" t="s">
        <v>35</v>
      </c>
      <c r="C15" s="33" t="s">
        <v>33</v>
      </c>
      <c r="D15" s="34" t="s">
        <v>2</v>
      </c>
      <c r="E15" s="35">
        <v>200</v>
      </c>
      <c r="F15" s="36">
        <v>7.5</v>
      </c>
      <c r="G15" s="35">
        <v>12</v>
      </c>
      <c r="H15" s="37">
        <f t="shared" si="0"/>
        <v>18000</v>
      </c>
      <c r="I15" s="38"/>
      <c r="J15" s="38"/>
      <c r="K15" s="35">
        <v>200</v>
      </c>
      <c r="L15" s="36">
        <v>7.5</v>
      </c>
      <c r="M15" s="35">
        <v>12</v>
      </c>
      <c r="N15" s="37">
        <f t="shared" si="1"/>
        <v>18000</v>
      </c>
      <c r="O15" s="39"/>
      <c r="P15" s="39"/>
      <c r="Q15" s="40">
        <f t="shared" si="2"/>
        <v>36000</v>
      </c>
      <c r="R15" s="38"/>
      <c r="S15" s="41"/>
      <c r="T15" s="41"/>
      <c r="U15" s="41"/>
      <c r="V15" s="2526"/>
    </row>
    <row r="16" spans="1:122">
      <c r="A16" s="2467"/>
      <c r="B16" s="33" t="s">
        <v>36</v>
      </c>
      <c r="C16" s="33" t="s">
        <v>33</v>
      </c>
      <c r="D16" s="34" t="s">
        <v>2</v>
      </c>
      <c r="E16" s="35">
        <v>1</v>
      </c>
      <c r="F16" s="36">
        <v>25</v>
      </c>
      <c r="G16" s="35">
        <v>12</v>
      </c>
      <c r="H16" s="37">
        <f t="shared" si="0"/>
        <v>300</v>
      </c>
      <c r="I16" s="38"/>
      <c r="J16" s="38"/>
      <c r="K16" s="35">
        <v>1</v>
      </c>
      <c r="L16" s="36">
        <v>25</v>
      </c>
      <c r="M16" s="35">
        <v>12</v>
      </c>
      <c r="N16" s="37">
        <f t="shared" si="1"/>
        <v>300</v>
      </c>
      <c r="O16" s="39"/>
      <c r="P16" s="39"/>
      <c r="Q16" s="40">
        <f t="shared" si="2"/>
        <v>600</v>
      </c>
      <c r="R16" s="38"/>
      <c r="S16" s="41"/>
      <c r="T16" s="41"/>
      <c r="U16" s="41"/>
      <c r="V16" s="2526"/>
    </row>
    <row r="17" spans="1:22">
      <c r="A17" s="2467"/>
      <c r="B17" s="33" t="s">
        <v>37</v>
      </c>
      <c r="C17" s="33" t="s">
        <v>38</v>
      </c>
      <c r="D17" s="34" t="s">
        <v>2</v>
      </c>
      <c r="E17" s="42">
        <v>200</v>
      </c>
      <c r="F17" s="43">
        <v>1</v>
      </c>
      <c r="G17" s="42">
        <v>12</v>
      </c>
      <c r="H17" s="37">
        <f t="shared" si="0"/>
        <v>2400</v>
      </c>
      <c r="I17" s="38"/>
      <c r="J17" s="38"/>
      <c r="K17" s="42">
        <v>200</v>
      </c>
      <c r="L17" s="43">
        <v>1</v>
      </c>
      <c r="M17" s="42">
        <v>12</v>
      </c>
      <c r="N17" s="37">
        <f t="shared" si="1"/>
        <v>2400</v>
      </c>
      <c r="O17" s="39"/>
      <c r="P17" s="39"/>
      <c r="Q17" s="40">
        <f t="shared" si="2"/>
        <v>4800</v>
      </c>
      <c r="R17" s="38"/>
      <c r="S17" s="41"/>
      <c r="T17" s="41"/>
      <c r="U17" s="41"/>
      <c r="V17" s="2526"/>
    </row>
    <row r="18" spans="1:22">
      <c r="A18" s="2467"/>
      <c r="B18" s="33" t="s">
        <v>39</v>
      </c>
      <c r="C18" s="33" t="s">
        <v>40</v>
      </c>
      <c r="D18" s="34" t="s">
        <v>2</v>
      </c>
      <c r="E18" s="42">
        <v>4</v>
      </c>
      <c r="F18" s="43">
        <v>20</v>
      </c>
      <c r="G18" s="42">
        <v>16</v>
      </c>
      <c r="H18" s="37">
        <f t="shared" si="0"/>
        <v>1280</v>
      </c>
      <c r="I18" s="38"/>
      <c r="J18" s="38"/>
      <c r="K18" s="42">
        <v>4</v>
      </c>
      <c r="L18" s="43">
        <v>20</v>
      </c>
      <c r="M18" s="42">
        <v>16</v>
      </c>
      <c r="N18" s="37">
        <f t="shared" si="1"/>
        <v>1280</v>
      </c>
      <c r="O18" s="39"/>
      <c r="P18" s="39"/>
      <c r="Q18" s="40">
        <f t="shared" si="2"/>
        <v>2560</v>
      </c>
      <c r="R18" s="38"/>
      <c r="S18" s="41"/>
      <c r="T18" s="41"/>
      <c r="U18" s="41"/>
      <c r="V18" s="2526"/>
    </row>
    <row r="19" spans="1:22">
      <c r="A19" s="2467"/>
      <c r="B19" s="33" t="s">
        <v>41</v>
      </c>
      <c r="C19" s="33" t="s">
        <v>42</v>
      </c>
      <c r="D19" s="34" t="s">
        <v>2</v>
      </c>
      <c r="E19" s="42">
        <v>140</v>
      </c>
      <c r="F19" s="43">
        <v>1.2</v>
      </c>
      <c r="G19" s="42">
        <v>1</v>
      </c>
      <c r="H19" s="37">
        <f t="shared" si="0"/>
        <v>168</v>
      </c>
      <c r="I19" s="38"/>
      <c r="J19" s="38"/>
      <c r="K19" s="42">
        <v>140</v>
      </c>
      <c r="L19" s="43">
        <v>1.2</v>
      </c>
      <c r="M19" s="42">
        <v>1</v>
      </c>
      <c r="N19" s="37">
        <f t="shared" si="1"/>
        <v>168</v>
      </c>
      <c r="O19" s="39"/>
      <c r="P19" s="39"/>
      <c r="Q19" s="40">
        <f t="shared" si="2"/>
        <v>336</v>
      </c>
      <c r="R19" s="38"/>
      <c r="S19" s="41"/>
      <c r="T19" s="41"/>
      <c r="U19" s="41"/>
      <c r="V19" s="2526"/>
    </row>
    <row r="20" spans="1:22">
      <c r="A20" s="2467"/>
      <c r="B20" s="33" t="s">
        <v>43</v>
      </c>
      <c r="C20" s="33" t="s">
        <v>42</v>
      </c>
      <c r="D20" s="34" t="s">
        <v>2</v>
      </c>
      <c r="E20" s="42">
        <v>60</v>
      </c>
      <c r="F20" s="43">
        <v>1.2</v>
      </c>
      <c r="G20" s="42">
        <v>2</v>
      </c>
      <c r="H20" s="37">
        <f t="shared" si="0"/>
        <v>144</v>
      </c>
      <c r="I20" s="38"/>
      <c r="J20" s="38"/>
      <c r="K20" s="42">
        <v>60</v>
      </c>
      <c r="L20" s="43">
        <v>1.2</v>
      </c>
      <c r="M20" s="42">
        <v>2</v>
      </c>
      <c r="N20" s="37">
        <f t="shared" si="1"/>
        <v>144</v>
      </c>
      <c r="O20" s="39"/>
      <c r="P20" s="39"/>
      <c r="Q20" s="40">
        <f t="shared" si="2"/>
        <v>288</v>
      </c>
      <c r="R20" s="38"/>
      <c r="S20" s="41"/>
      <c r="T20" s="41"/>
      <c r="U20" s="41"/>
      <c r="V20" s="2526"/>
    </row>
    <row r="21" spans="1:22">
      <c r="A21" s="2467"/>
      <c r="B21" s="33" t="s">
        <v>44</v>
      </c>
      <c r="C21" s="33" t="s">
        <v>40</v>
      </c>
      <c r="D21" s="34" t="s">
        <v>2</v>
      </c>
      <c r="E21" s="42">
        <v>1</v>
      </c>
      <c r="F21" s="43">
        <v>45</v>
      </c>
      <c r="G21" s="42">
        <v>5</v>
      </c>
      <c r="H21" s="37">
        <f t="shared" si="0"/>
        <v>225</v>
      </c>
      <c r="I21" s="38"/>
      <c r="J21" s="38"/>
      <c r="K21" s="42">
        <v>1</v>
      </c>
      <c r="L21" s="43">
        <v>45</v>
      </c>
      <c r="M21" s="42">
        <v>5</v>
      </c>
      <c r="N21" s="37">
        <f t="shared" si="1"/>
        <v>225</v>
      </c>
      <c r="O21" s="39"/>
      <c r="P21" s="39"/>
      <c r="Q21" s="40">
        <f t="shared" si="2"/>
        <v>450</v>
      </c>
      <c r="R21" s="38"/>
      <c r="S21" s="41"/>
      <c r="T21" s="41"/>
      <c r="U21" s="41"/>
      <c r="V21" s="2526"/>
    </row>
    <row r="22" spans="1:22">
      <c r="A22" s="2467"/>
      <c r="B22" s="33" t="s">
        <v>45</v>
      </c>
      <c r="C22" s="33" t="s">
        <v>42</v>
      </c>
      <c r="D22" s="34" t="s">
        <v>2</v>
      </c>
      <c r="E22" s="42">
        <v>5</v>
      </c>
      <c r="F22" s="43">
        <v>20</v>
      </c>
      <c r="G22" s="42">
        <v>1</v>
      </c>
      <c r="H22" s="37">
        <f t="shared" si="0"/>
        <v>100</v>
      </c>
      <c r="I22" s="38"/>
      <c r="J22" s="38"/>
      <c r="K22" s="42">
        <v>5</v>
      </c>
      <c r="L22" s="43">
        <v>20</v>
      </c>
      <c r="M22" s="42">
        <v>1</v>
      </c>
      <c r="N22" s="37">
        <f t="shared" si="1"/>
        <v>100</v>
      </c>
      <c r="O22" s="39"/>
      <c r="P22" s="39"/>
      <c r="Q22" s="40">
        <f t="shared" si="2"/>
        <v>200</v>
      </c>
      <c r="R22" s="38"/>
      <c r="S22" s="41"/>
      <c r="T22" s="41"/>
      <c r="U22" s="41"/>
      <c r="V22" s="2526"/>
    </row>
    <row r="23" spans="1:22">
      <c r="A23" s="2467"/>
      <c r="B23" s="33" t="s">
        <v>46</v>
      </c>
      <c r="C23" s="33" t="s">
        <v>33</v>
      </c>
      <c r="D23" s="34" t="s">
        <v>2</v>
      </c>
      <c r="E23" s="42">
        <v>1</v>
      </c>
      <c r="F23" s="44">
        <v>1000</v>
      </c>
      <c r="G23" s="45">
        <v>12</v>
      </c>
      <c r="H23" s="40">
        <f t="shared" si="0"/>
        <v>12000</v>
      </c>
      <c r="I23" s="38"/>
      <c r="J23" s="38"/>
      <c r="K23" s="42">
        <v>1</v>
      </c>
      <c r="L23" s="44">
        <v>1000</v>
      </c>
      <c r="M23" s="45">
        <v>12</v>
      </c>
      <c r="N23" s="40">
        <f t="shared" si="1"/>
        <v>12000</v>
      </c>
      <c r="O23" s="39"/>
      <c r="P23" s="39"/>
      <c r="Q23" s="40">
        <f t="shared" si="2"/>
        <v>24000</v>
      </c>
      <c r="R23" s="38"/>
      <c r="S23" s="41"/>
      <c r="T23" s="41"/>
      <c r="U23" s="41"/>
      <c r="V23" s="2527"/>
    </row>
    <row r="24" spans="1:22">
      <c r="A24" s="2473"/>
      <c r="B24" s="33"/>
      <c r="C24" s="33"/>
      <c r="D24" s="46" t="s">
        <v>47</v>
      </c>
      <c r="E24" s="46"/>
      <c r="F24" s="46"/>
      <c r="G24" s="46"/>
      <c r="H24" s="47">
        <f>SUM(H14:H23)</f>
        <v>34917</v>
      </c>
      <c r="I24" s="48">
        <v>0.3</v>
      </c>
      <c r="J24" s="48"/>
      <c r="K24" s="48"/>
      <c r="L24" s="48"/>
      <c r="M24" s="48"/>
      <c r="N24" s="47">
        <f>SUM(N14:N23)</f>
        <v>34917</v>
      </c>
      <c r="O24" s="49">
        <v>0.3</v>
      </c>
      <c r="P24" s="49"/>
      <c r="Q24" s="47">
        <f>SUM(Q14:Q23)</f>
        <v>69834</v>
      </c>
      <c r="R24" s="48">
        <v>0.3</v>
      </c>
      <c r="S24" s="47">
        <f>Q24*R24</f>
        <v>20950.2</v>
      </c>
      <c r="T24" s="50">
        <v>24756.400000000001</v>
      </c>
      <c r="U24" s="51">
        <f>+T24/H24</f>
        <v>0.70900707391814877</v>
      </c>
      <c r="V24" s="48"/>
    </row>
    <row r="25" spans="1:22">
      <c r="A25" s="2501" t="s">
        <v>48</v>
      </c>
      <c r="B25" s="33" t="s">
        <v>49</v>
      </c>
      <c r="C25" s="33" t="s">
        <v>50</v>
      </c>
      <c r="D25" s="52" t="s">
        <v>2</v>
      </c>
      <c r="E25" s="52">
        <v>1</v>
      </c>
      <c r="F25" s="53">
        <v>1800</v>
      </c>
      <c r="G25" s="52">
        <v>12</v>
      </c>
      <c r="H25" s="40">
        <f>E25*F25*G25</f>
        <v>21600</v>
      </c>
      <c r="I25" s="54"/>
      <c r="J25" s="54"/>
      <c r="K25" s="55">
        <v>1</v>
      </c>
      <c r="L25" s="56">
        <v>1800</v>
      </c>
      <c r="M25" s="55">
        <v>12</v>
      </c>
      <c r="N25" s="40">
        <f>K25*L25*M25</f>
        <v>21600</v>
      </c>
      <c r="O25" s="57"/>
      <c r="P25" s="57"/>
      <c r="Q25" s="40">
        <f>H25+N25</f>
        <v>43200</v>
      </c>
      <c r="R25" s="54">
        <f>Q25/Q292</f>
        <v>3.8744393680629034E-2</v>
      </c>
      <c r="S25" s="58"/>
      <c r="T25" s="58"/>
      <c r="U25" s="58"/>
      <c r="V25" s="2537" t="s">
        <v>51</v>
      </c>
    </row>
    <row r="26" spans="1:22">
      <c r="A26" s="2502"/>
      <c r="B26" s="33" t="s">
        <v>52</v>
      </c>
      <c r="C26" s="33" t="s">
        <v>33</v>
      </c>
      <c r="D26" s="52" t="s">
        <v>2</v>
      </c>
      <c r="E26" s="52">
        <v>3</v>
      </c>
      <c r="F26" s="53">
        <v>250</v>
      </c>
      <c r="G26" s="52">
        <v>12</v>
      </c>
      <c r="H26" s="40">
        <f t="shared" ref="H26:H35" si="3">E26*F26*G26</f>
        <v>9000</v>
      </c>
      <c r="I26" s="54"/>
      <c r="J26" s="54"/>
      <c r="K26" s="55">
        <v>3</v>
      </c>
      <c r="L26" s="56">
        <v>250</v>
      </c>
      <c r="M26" s="55">
        <v>12</v>
      </c>
      <c r="N26" s="40">
        <f t="shared" ref="N26:N35" si="4">K26*L26*M26</f>
        <v>9000</v>
      </c>
      <c r="O26" s="57"/>
      <c r="P26" s="57"/>
      <c r="Q26" s="40">
        <f t="shared" ref="Q26:Q35" si="5">H26+N26</f>
        <v>18000</v>
      </c>
      <c r="R26" s="54"/>
      <c r="S26" s="58"/>
      <c r="T26" s="58"/>
      <c r="U26" s="58"/>
      <c r="V26" s="2538"/>
    </row>
    <row r="27" spans="1:22">
      <c r="A27" s="2502"/>
      <c r="B27" s="33" t="s">
        <v>53</v>
      </c>
      <c r="C27" s="33" t="s">
        <v>33</v>
      </c>
      <c r="D27" s="55" t="s">
        <v>2</v>
      </c>
      <c r="E27" s="55">
        <v>16</v>
      </c>
      <c r="F27" s="56">
        <v>15</v>
      </c>
      <c r="G27" s="55">
        <v>4</v>
      </c>
      <c r="H27" s="40">
        <f t="shared" si="3"/>
        <v>960</v>
      </c>
      <c r="I27" s="54"/>
      <c r="J27" s="54"/>
      <c r="K27" s="55">
        <v>16</v>
      </c>
      <c r="L27" s="56">
        <v>15</v>
      </c>
      <c r="M27" s="55">
        <v>2</v>
      </c>
      <c r="N27" s="40">
        <f t="shared" si="4"/>
        <v>480</v>
      </c>
      <c r="O27" s="57"/>
      <c r="P27" s="57"/>
      <c r="Q27" s="40">
        <f t="shared" si="5"/>
        <v>1440</v>
      </c>
      <c r="R27" s="54"/>
      <c r="S27" s="58"/>
      <c r="T27" s="58"/>
      <c r="U27" s="59"/>
      <c r="V27" s="2538"/>
    </row>
    <row r="28" spans="1:22">
      <c r="A28" s="2502"/>
      <c r="B28" s="33" t="s">
        <v>54</v>
      </c>
      <c r="C28" s="33" t="s">
        <v>38</v>
      </c>
      <c r="D28" s="55" t="s">
        <v>2</v>
      </c>
      <c r="E28" s="55">
        <v>160</v>
      </c>
      <c r="F28" s="56">
        <v>5</v>
      </c>
      <c r="G28" s="55">
        <v>4</v>
      </c>
      <c r="H28" s="40">
        <f t="shared" si="3"/>
        <v>3200</v>
      </c>
      <c r="I28" s="54"/>
      <c r="J28" s="54"/>
      <c r="K28" s="55">
        <v>160</v>
      </c>
      <c r="L28" s="56">
        <v>5</v>
      </c>
      <c r="M28" s="55">
        <v>2</v>
      </c>
      <c r="N28" s="40">
        <f t="shared" si="4"/>
        <v>1600</v>
      </c>
      <c r="O28" s="57"/>
      <c r="P28" s="57"/>
      <c r="Q28" s="40">
        <f t="shared" si="5"/>
        <v>4800</v>
      </c>
      <c r="R28" s="54"/>
      <c r="S28" s="58"/>
      <c r="T28" s="58"/>
      <c r="U28" s="58"/>
      <c r="V28" s="2538"/>
    </row>
    <row r="29" spans="1:22">
      <c r="A29" s="2502"/>
      <c r="B29" s="33" t="s">
        <v>55</v>
      </c>
      <c r="C29" s="33" t="s">
        <v>38</v>
      </c>
      <c r="D29" s="55" t="s">
        <v>2</v>
      </c>
      <c r="E29" s="55">
        <v>160</v>
      </c>
      <c r="F29" s="56">
        <v>2.5</v>
      </c>
      <c r="G29" s="55">
        <v>2</v>
      </c>
      <c r="H29" s="40">
        <f t="shared" si="3"/>
        <v>800</v>
      </c>
      <c r="I29" s="54"/>
      <c r="J29" s="54"/>
      <c r="K29" s="55">
        <v>160</v>
      </c>
      <c r="L29" s="56">
        <v>2.5</v>
      </c>
      <c r="M29" s="55">
        <v>1</v>
      </c>
      <c r="N29" s="40">
        <f t="shared" si="4"/>
        <v>400</v>
      </c>
      <c r="O29" s="57"/>
      <c r="P29" s="57"/>
      <c r="Q29" s="40">
        <f t="shared" si="5"/>
        <v>1200</v>
      </c>
      <c r="R29" s="54"/>
      <c r="S29" s="58"/>
      <c r="T29" s="58"/>
      <c r="U29" s="58"/>
      <c r="V29" s="2538"/>
    </row>
    <row r="30" spans="1:22">
      <c r="A30" s="2502"/>
      <c r="B30" s="33" t="s">
        <v>56</v>
      </c>
      <c r="C30" s="33" t="s">
        <v>33</v>
      </c>
      <c r="D30" s="55" t="s">
        <v>2</v>
      </c>
      <c r="E30" s="55">
        <v>160</v>
      </c>
      <c r="F30" s="56">
        <v>7.5</v>
      </c>
      <c r="G30" s="55">
        <v>4</v>
      </c>
      <c r="H30" s="40">
        <f t="shared" si="3"/>
        <v>4800</v>
      </c>
      <c r="I30" s="54"/>
      <c r="J30" s="54"/>
      <c r="K30" s="55">
        <v>160</v>
      </c>
      <c r="L30" s="56">
        <v>7.5</v>
      </c>
      <c r="M30" s="55">
        <v>2</v>
      </c>
      <c r="N30" s="40">
        <f t="shared" si="4"/>
        <v>2400</v>
      </c>
      <c r="O30" s="57"/>
      <c r="P30" s="57"/>
      <c r="Q30" s="40">
        <f t="shared" si="5"/>
        <v>7200</v>
      </c>
      <c r="R30" s="54"/>
      <c r="S30" s="58"/>
      <c r="T30" s="58"/>
      <c r="U30" s="58"/>
      <c r="V30" s="2538"/>
    </row>
    <row r="31" spans="1:22">
      <c r="A31" s="2502"/>
      <c r="B31" s="33" t="s">
        <v>57</v>
      </c>
      <c r="C31" s="33" t="s">
        <v>42</v>
      </c>
      <c r="D31" s="55" t="s">
        <v>2</v>
      </c>
      <c r="E31" s="55">
        <v>75</v>
      </c>
      <c r="F31" s="56">
        <v>1.2</v>
      </c>
      <c r="G31" s="55">
        <v>2</v>
      </c>
      <c r="H31" s="40">
        <f t="shared" si="3"/>
        <v>180</v>
      </c>
      <c r="I31" s="54"/>
      <c r="J31" s="54"/>
      <c r="K31" s="55">
        <v>75</v>
      </c>
      <c r="L31" s="56">
        <v>1.2</v>
      </c>
      <c r="M31" s="55">
        <v>1</v>
      </c>
      <c r="N31" s="40">
        <f t="shared" si="4"/>
        <v>90</v>
      </c>
      <c r="O31" s="57"/>
      <c r="P31" s="57"/>
      <c r="Q31" s="40">
        <f t="shared" si="5"/>
        <v>270</v>
      </c>
      <c r="R31" s="54"/>
      <c r="S31" s="58"/>
      <c r="T31" s="58"/>
      <c r="U31" s="58"/>
      <c r="V31" s="2538"/>
    </row>
    <row r="32" spans="1:22">
      <c r="A32" s="2502"/>
      <c r="B32" s="33" t="s">
        <v>58</v>
      </c>
      <c r="C32" s="33" t="s">
        <v>42</v>
      </c>
      <c r="D32" s="55" t="s">
        <v>2</v>
      </c>
      <c r="E32" s="55">
        <v>120</v>
      </c>
      <c r="F32" s="56">
        <v>1.2</v>
      </c>
      <c r="G32" s="55">
        <v>2</v>
      </c>
      <c r="H32" s="40">
        <f t="shared" si="3"/>
        <v>288</v>
      </c>
      <c r="I32" s="54"/>
      <c r="J32" s="54"/>
      <c r="K32" s="55">
        <v>120</v>
      </c>
      <c r="L32" s="56">
        <v>1.2</v>
      </c>
      <c r="M32" s="55">
        <v>1</v>
      </c>
      <c r="N32" s="40">
        <f t="shared" si="4"/>
        <v>144</v>
      </c>
      <c r="O32" s="57"/>
      <c r="P32" s="57"/>
      <c r="Q32" s="40">
        <f t="shared" si="5"/>
        <v>432</v>
      </c>
      <c r="R32" s="54"/>
      <c r="S32" s="58"/>
      <c r="T32" s="58"/>
      <c r="U32" s="58"/>
      <c r="V32" s="2538"/>
    </row>
    <row r="33" spans="1:22">
      <c r="A33" s="2502"/>
      <c r="B33" s="33" t="s">
        <v>59</v>
      </c>
      <c r="C33" s="33" t="s">
        <v>40</v>
      </c>
      <c r="D33" s="55" t="s">
        <v>2</v>
      </c>
      <c r="E33" s="55">
        <v>4</v>
      </c>
      <c r="F33" s="56">
        <v>20</v>
      </c>
      <c r="G33" s="55">
        <v>96</v>
      </c>
      <c r="H33" s="40">
        <f t="shared" si="3"/>
        <v>7680</v>
      </c>
      <c r="I33" s="54"/>
      <c r="J33" s="54"/>
      <c r="K33" s="55">
        <v>4</v>
      </c>
      <c r="L33" s="56">
        <v>20</v>
      </c>
      <c r="M33" s="55">
        <v>48</v>
      </c>
      <c r="N33" s="40">
        <f t="shared" si="4"/>
        <v>3840</v>
      </c>
      <c r="O33" s="57"/>
      <c r="P33" s="57"/>
      <c r="Q33" s="40">
        <f t="shared" si="5"/>
        <v>11520</v>
      </c>
      <c r="R33" s="54"/>
      <c r="S33" s="58"/>
      <c r="T33" s="58"/>
      <c r="U33" s="58"/>
      <c r="V33" s="2538"/>
    </row>
    <row r="34" spans="1:22">
      <c r="A34" s="2502"/>
      <c r="B34" s="33" t="s">
        <v>60</v>
      </c>
      <c r="C34" s="33" t="s">
        <v>40</v>
      </c>
      <c r="D34" s="55" t="s">
        <v>2</v>
      </c>
      <c r="E34" s="55">
        <v>1</v>
      </c>
      <c r="F34" s="56">
        <v>45</v>
      </c>
      <c r="G34" s="55">
        <v>20</v>
      </c>
      <c r="H34" s="40">
        <f t="shared" si="3"/>
        <v>900</v>
      </c>
      <c r="I34" s="54"/>
      <c r="J34" s="54"/>
      <c r="K34" s="55">
        <v>1</v>
      </c>
      <c r="L34" s="56">
        <v>45</v>
      </c>
      <c r="M34" s="55">
        <v>10</v>
      </c>
      <c r="N34" s="40">
        <f t="shared" si="4"/>
        <v>450</v>
      </c>
      <c r="O34" s="57"/>
      <c r="P34" s="57"/>
      <c r="Q34" s="40">
        <f t="shared" si="5"/>
        <v>1350</v>
      </c>
      <c r="R34" s="54"/>
      <c r="S34" s="58"/>
      <c r="T34" s="58"/>
      <c r="U34" s="58"/>
      <c r="V34" s="2538"/>
    </row>
    <row r="35" spans="1:22">
      <c r="A35" s="2502"/>
      <c r="B35" s="33" t="s">
        <v>45</v>
      </c>
      <c r="C35" s="33" t="s">
        <v>42</v>
      </c>
      <c r="D35" s="55" t="s">
        <v>2</v>
      </c>
      <c r="E35" s="55">
        <v>5</v>
      </c>
      <c r="F35" s="56">
        <v>15</v>
      </c>
      <c r="G35" s="55">
        <v>6</v>
      </c>
      <c r="H35" s="40">
        <f t="shared" si="3"/>
        <v>450</v>
      </c>
      <c r="I35" s="54"/>
      <c r="J35" s="54"/>
      <c r="K35" s="55">
        <v>5</v>
      </c>
      <c r="L35" s="56">
        <v>15</v>
      </c>
      <c r="M35" s="55">
        <v>4</v>
      </c>
      <c r="N35" s="40">
        <f t="shared" si="4"/>
        <v>300</v>
      </c>
      <c r="O35" s="57"/>
      <c r="P35" s="57"/>
      <c r="Q35" s="40">
        <f t="shared" si="5"/>
        <v>750</v>
      </c>
      <c r="R35" s="54"/>
      <c r="S35" s="58"/>
      <c r="T35" s="58"/>
      <c r="U35" s="58"/>
      <c r="V35" s="2539"/>
    </row>
    <row r="36" spans="1:22">
      <c r="A36" s="2502"/>
      <c r="B36" s="33"/>
      <c r="C36" s="33"/>
      <c r="D36" s="60" t="s">
        <v>61</v>
      </c>
      <c r="E36" s="60"/>
      <c r="F36" s="61"/>
      <c r="G36" s="60"/>
      <c r="H36" s="62">
        <f>SUM(H25:H35)</f>
        <v>49858</v>
      </c>
      <c r="I36" s="63">
        <v>0.5</v>
      </c>
      <c r="J36" s="63"/>
      <c r="K36" s="63"/>
      <c r="L36" s="63"/>
      <c r="M36" s="63"/>
      <c r="N36" s="62">
        <f>SUM(N25:N35)</f>
        <v>40304</v>
      </c>
      <c r="O36" s="64">
        <v>0.5</v>
      </c>
      <c r="P36" s="64"/>
      <c r="Q36" s="62">
        <f>SUM(Q25:Q35)</f>
        <v>90162</v>
      </c>
      <c r="R36" s="63">
        <v>0.5</v>
      </c>
      <c r="S36" s="65">
        <f>Q36*R36</f>
        <v>45081</v>
      </c>
      <c r="T36" s="50">
        <v>33998.9</v>
      </c>
      <c r="U36" s="66">
        <f>+T36/H36</f>
        <v>0.68191463757070081</v>
      </c>
      <c r="V36" s="63"/>
    </row>
    <row r="37" spans="1:22">
      <c r="A37" s="2501" t="s">
        <v>62</v>
      </c>
      <c r="B37" s="33" t="s">
        <v>63</v>
      </c>
      <c r="C37" s="33" t="s">
        <v>38</v>
      </c>
      <c r="D37" s="55" t="s">
        <v>2</v>
      </c>
      <c r="E37" s="55">
        <v>16</v>
      </c>
      <c r="F37" s="56">
        <v>40</v>
      </c>
      <c r="G37" s="67">
        <v>2</v>
      </c>
      <c r="H37" s="68">
        <f>E37*F37*G37</f>
        <v>1280</v>
      </c>
      <c r="I37" s="69"/>
      <c r="J37" s="69"/>
      <c r="K37" s="67">
        <v>16</v>
      </c>
      <c r="L37" s="70">
        <v>40</v>
      </c>
      <c r="M37" s="67">
        <v>1</v>
      </c>
      <c r="N37" s="68">
        <f>K37*L37*M37</f>
        <v>640</v>
      </c>
      <c r="O37" s="71"/>
      <c r="P37" s="71"/>
      <c r="Q37" s="68">
        <f>H37+N37</f>
        <v>1920</v>
      </c>
      <c r="R37" s="54"/>
      <c r="S37" s="58"/>
      <c r="T37" s="58"/>
      <c r="U37" s="58"/>
      <c r="V37" s="2537" t="s">
        <v>64</v>
      </c>
    </row>
    <row r="38" spans="1:22">
      <c r="A38" s="2502"/>
      <c r="B38" s="33" t="s">
        <v>59</v>
      </c>
      <c r="C38" s="33" t="s">
        <v>40</v>
      </c>
      <c r="D38" s="55" t="s">
        <v>2</v>
      </c>
      <c r="E38" s="55">
        <v>4</v>
      </c>
      <c r="F38" s="56">
        <v>20</v>
      </c>
      <c r="G38" s="67">
        <v>12</v>
      </c>
      <c r="H38" s="68">
        <f t="shared" ref="H38:H42" si="6">E38*F38*G38</f>
        <v>960</v>
      </c>
      <c r="I38" s="69"/>
      <c r="J38" s="69"/>
      <c r="K38" s="67">
        <v>4</v>
      </c>
      <c r="L38" s="70">
        <v>20</v>
      </c>
      <c r="M38" s="67">
        <v>8</v>
      </c>
      <c r="N38" s="68">
        <f t="shared" ref="N38:N42" si="7">K38*L38*M38</f>
        <v>640</v>
      </c>
      <c r="O38" s="71"/>
      <c r="P38" s="71"/>
      <c r="Q38" s="68">
        <f t="shared" ref="Q38:Q42" si="8">H38+N38</f>
        <v>1600</v>
      </c>
      <c r="R38" s="54"/>
      <c r="S38" s="58"/>
      <c r="T38" s="58"/>
      <c r="U38" s="58"/>
      <c r="V38" s="2538"/>
    </row>
    <row r="39" spans="1:22">
      <c r="A39" s="2502"/>
      <c r="B39" s="72" t="s">
        <v>65</v>
      </c>
      <c r="C39" s="72" t="s">
        <v>50</v>
      </c>
      <c r="D39" s="52" t="s">
        <v>2</v>
      </c>
      <c r="E39" s="52">
        <v>1</v>
      </c>
      <c r="F39" s="53">
        <v>17500</v>
      </c>
      <c r="G39" s="67">
        <v>1</v>
      </c>
      <c r="H39" s="68">
        <f t="shared" si="6"/>
        <v>17500</v>
      </c>
      <c r="I39" s="69"/>
      <c r="J39" s="69"/>
      <c r="K39" s="67">
        <v>1</v>
      </c>
      <c r="L39" s="70">
        <v>12500</v>
      </c>
      <c r="M39" s="67">
        <v>1</v>
      </c>
      <c r="N39" s="68">
        <f t="shared" si="7"/>
        <v>12500</v>
      </c>
      <c r="O39" s="71"/>
      <c r="P39" s="71"/>
      <c r="Q39" s="68">
        <f t="shared" si="8"/>
        <v>30000</v>
      </c>
      <c r="R39" s="54"/>
      <c r="S39" s="58"/>
      <c r="T39" s="58"/>
      <c r="U39" s="58"/>
      <c r="V39" s="2538"/>
    </row>
    <row r="40" spans="1:22">
      <c r="A40" s="2502"/>
      <c r="B40" s="33" t="s">
        <v>44</v>
      </c>
      <c r="C40" s="33" t="s">
        <v>40</v>
      </c>
      <c r="D40" s="55" t="s">
        <v>2</v>
      </c>
      <c r="E40" s="55">
        <v>1</v>
      </c>
      <c r="F40" s="56">
        <v>45</v>
      </c>
      <c r="G40" s="67">
        <v>6</v>
      </c>
      <c r="H40" s="68">
        <f t="shared" si="6"/>
        <v>270</v>
      </c>
      <c r="I40" s="69"/>
      <c r="J40" s="69"/>
      <c r="K40" s="67">
        <v>1</v>
      </c>
      <c r="L40" s="70">
        <v>45</v>
      </c>
      <c r="M40" s="67">
        <v>5</v>
      </c>
      <c r="N40" s="68">
        <f t="shared" si="7"/>
        <v>225</v>
      </c>
      <c r="O40" s="71"/>
      <c r="P40" s="71"/>
      <c r="Q40" s="68">
        <f t="shared" si="8"/>
        <v>495</v>
      </c>
      <c r="R40" s="54"/>
      <c r="S40" s="58"/>
      <c r="T40" s="58"/>
      <c r="U40" s="58"/>
      <c r="V40" s="2538"/>
    </row>
    <row r="41" spans="1:22">
      <c r="A41" s="2502"/>
      <c r="B41" s="33" t="s">
        <v>45</v>
      </c>
      <c r="C41" s="33" t="s">
        <v>42</v>
      </c>
      <c r="D41" s="55" t="s">
        <v>2</v>
      </c>
      <c r="E41" s="55">
        <v>5</v>
      </c>
      <c r="F41" s="56">
        <v>20</v>
      </c>
      <c r="G41" s="67">
        <v>2</v>
      </c>
      <c r="H41" s="68">
        <f t="shared" si="6"/>
        <v>200</v>
      </c>
      <c r="I41" s="69"/>
      <c r="J41" s="69"/>
      <c r="K41" s="67">
        <v>5</v>
      </c>
      <c r="L41" s="70">
        <v>20</v>
      </c>
      <c r="M41" s="67">
        <v>1</v>
      </c>
      <c r="N41" s="68">
        <f t="shared" si="7"/>
        <v>100</v>
      </c>
      <c r="O41" s="71"/>
      <c r="P41" s="71"/>
      <c r="Q41" s="68">
        <f t="shared" si="8"/>
        <v>300</v>
      </c>
      <c r="R41" s="54"/>
      <c r="S41" s="58"/>
      <c r="T41" s="58"/>
      <c r="U41" s="58"/>
      <c r="V41" s="2538"/>
    </row>
    <row r="42" spans="1:22">
      <c r="A42" s="2502"/>
      <c r="B42" s="33" t="s">
        <v>66</v>
      </c>
      <c r="C42" s="33" t="s">
        <v>42</v>
      </c>
      <c r="D42" s="55" t="s">
        <v>2</v>
      </c>
      <c r="E42" s="55">
        <v>120</v>
      </c>
      <c r="F42" s="56">
        <v>1.2</v>
      </c>
      <c r="G42" s="67">
        <v>2</v>
      </c>
      <c r="H42" s="68">
        <f t="shared" si="6"/>
        <v>288</v>
      </c>
      <c r="I42" s="69"/>
      <c r="J42" s="69"/>
      <c r="K42" s="67">
        <v>120</v>
      </c>
      <c r="L42" s="70">
        <v>1.2</v>
      </c>
      <c r="M42" s="67">
        <v>1</v>
      </c>
      <c r="N42" s="68">
        <f t="shared" si="7"/>
        <v>144</v>
      </c>
      <c r="O42" s="71"/>
      <c r="P42" s="71"/>
      <c r="Q42" s="68">
        <f t="shared" si="8"/>
        <v>432</v>
      </c>
      <c r="R42" s="54"/>
      <c r="S42" s="58"/>
      <c r="T42" s="58"/>
      <c r="U42" s="58"/>
      <c r="V42" s="2539"/>
    </row>
    <row r="43" spans="1:22">
      <c r="A43" s="2502"/>
      <c r="B43" s="33"/>
      <c r="C43" s="33"/>
      <c r="D43" s="46" t="s">
        <v>61</v>
      </c>
      <c r="E43" s="60"/>
      <c r="F43" s="60"/>
      <c r="G43" s="60"/>
      <c r="H43" s="62">
        <f>SUM(H37:H42)</f>
        <v>20498</v>
      </c>
      <c r="I43" s="48">
        <v>0.15</v>
      </c>
      <c r="J43" s="48"/>
      <c r="K43" s="48"/>
      <c r="L43" s="48"/>
      <c r="M43" s="48"/>
      <c r="N43" s="47">
        <f>SUM(N37:N42)</f>
        <v>14249</v>
      </c>
      <c r="O43" s="49">
        <v>0.15</v>
      </c>
      <c r="P43" s="49"/>
      <c r="Q43" s="47">
        <f>SUM(Q37:Q42)</f>
        <v>34747</v>
      </c>
      <c r="R43" s="48">
        <v>0.15</v>
      </c>
      <c r="S43" s="47">
        <f>Q43*R43</f>
        <v>5212.05</v>
      </c>
      <c r="T43" s="50">
        <v>21677.21</v>
      </c>
      <c r="U43" s="51">
        <f>+T43/H43</f>
        <v>1.0575280515172212</v>
      </c>
      <c r="V43" s="48"/>
    </row>
    <row r="44" spans="1:22">
      <c r="A44" s="2506" t="s">
        <v>67</v>
      </c>
      <c r="B44" s="33" t="s">
        <v>68</v>
      </c>
      <c r="C44" s="33" t="s">
        <v>50</v>
      </c>
      <c r="D44" s="73" t="s">
        <v>2</v>
      </c>
      <c r="E44" s="74">
        <v>1</v>
      </c>
      <c r="F44" s="75">
        <v>1800</v>
      </c>
      <c r="G44" s="76">
        <v>12</v>
      </c>
      <c r="H44" s="68">
        <f>E44*F44*G44</f>
        <v>21600</v>
      </c>
      <c r="I44" s="77"/>
      <c r="J44" s="77"/>
      <c r="K44" s="76">
        <v>1</v>
      </c>
      <c r="L44" s="78">
        <v>1800</v>
      </c>
      <c r="M44" s="76">
        <v>12</v>
      </c>
      <c r="N44" s="68">
        <f>K44*L44*M44</f>
        <v>21600</v>
      </c>
      <c r="O44" s="79"/>
      <c r="P44" s="79"/>
      <c r="Q44" s="68">
        <f>H44+N44</f>
        <v>43200</v>
      </c>
      <c r="R44" s="38"/>
      <c r="S44" s="80"/>
      <c r="T44" s="80"/>
      <c r="U44" s="80"/>
      <c r="V44" s="2525" t="s">
        <v>69</v>
      </c>
    </row>
    <row r="45" spans="1:22">
      <c r="A45" s="2506"/>
      <c r="B45" s="33" t="s">
        <v>70</v>
      </c>
      <c r="C45" s="33" t="s">
        <v>33</v>
      </c>
      <c r="D45" s="73" t="s">
        <v>2</v>
      </c>
      <c r="E45" s="81">
        <v>16</v>
      </c>
      <c r="F45" s="82">
        <v>35</v>
      </c>
      <c r="G45" s="83">
        <v>11</v>
      </c>
      <c r="H45" s="68">
        <f t="shared" ref="H45:H54" si="9">E45*F45*G45</f>
        <v>6160</v>
      </c>
      <c r="I45" s="77"/>
      <c r="J45" s="77"/>
      <c r="K45" s="83">
        <v>16</v>
      </c>
      <c r="L45" s="84">
        <v>35</v>
      </c>
      <c r="M45" s="83">
        <v>11</v>
      </c>
      <c r="N45" s="68">
        <f t="shared" ref="N45:N54" si="10">K45*L45*M45</f>
        <v>6160</v>
      </c>
      <c r="O45" s="79"/>
      <c r="P45" s="79"/>
      <c r="Q45" s="68">
        <f t="shared" ref="Q45:Q54" si="11">H45+N45</f>
        <v>12320</v>
      </c>
      <c r="R45" s="38"/>
      <c r="S45" s="80"/>
      <c r="T45" s="80"/>
      <c r="U45" s="80"/>
      <c r="V45" s="2526"/>
    </row>
    <row r="46" spans="1:22">
      <c r="A46" s="2506"/>
      <c r="B46" s="33" t="s">
        <v>71</v>
      </c>
      <c r="C46" s="33" t="s">
        <v>33</v>
      </c>
      <c r="D46" s="34" t="s">
        <v>2</v>
      </c>
      <c r="E46" s="35">
        <v>5</v>
      </c>
      <c r="F46" s="85">
        <v>25</v>
      </c>
      <c r="G46" s="83">
        <v>6</v>
      </c>
      <c r="H46" s="68">
        <f t="shared" si="9"/>
        <v>750</v>
      </c>
      <c r="I46" s="77"/>
      <c r="J46" s="77"/>
      <c r="K46" s="83">
        <v>5</v>
      </c>
      <c r="L46" s="84">
        <v>25</v>
      </c>
      <c r="M46" s="83">
        <v>6</v>
      </c>
      <c r="N46" s="68">
        <f t="shared" si="10"/>
        <v>750</v>
      </c>
      <c r="O46" s="79"/>
      <c r="P46" s="79"/>
      <c r="Q46" s="68">
        <f t="shared" si="11"/>
        <v>1500</v>
      </c>
      <c r="R46" s="38"/>
      <c r="S46" s="80"/>
      <c r="T46" s="80"/>
      <c r="U46" s="80"/>
      <c r="V46" s="2526"/>
    </row>
    <row r="47" spans="1:22">
      <c r="A47" s="2506"/>
      <c r="B47" s="33" t="s">
        <v>72</v>
      </c>
      <c r="C47" s="33" t="s">
        <v>38</v>
      </c>
      <c r="D47" s="34" t="s">
        <v>2</v>
      </c>
      <c r="E47" s="35">
        <v>70</v>
      </c>
      <c r="F47" s="85">
        <v>7.5</v>
      </c>
      <c r="G47" s="83">
        <v>6</v>
      </c>
      <c r="H47" s="68">
        <f t="shared" si="9"/>
        <v>3150</v>
      </c>
      <c r="I47" s="77"/>
      <c r="J47" s="77"/>
      <c r="K47" s="83">
        <v>70</v>
      </c>
      <c r="L47" s="84">
        <v>7.5</v>
      </c>
      <c r="M47" s="83">
        <v>6</v>
      </c>
      <c r="N47" s="68">
        <f t="shared" si="10"/>
        <v>3150</v>
      </c>
      <c r="O47" s="79"/>
      <c r="P47" s="79"/>
      <c r="Q47" s="68">
        <f t="shared" si="11"/>
        <v>6300</v>
      </c>
      <c r="R47" s="38"/>
      <c r="S47" s="80"/>
      <c r="T47" s="80"/>
      <c r="U47" s="80"/>
      <c r="V47" s="2526"/>
    </row>
    <row r="48" spans="1:22">
      <c r="A48" s="2506"/>
      <c r="B48" s="33" t="s">
        <v>73</v>
      </c>
      <c r="C48" s="33" t="s">
        <v>38</v>
      </c>
      <c r="D48" s="34" t="s">
        <v>2</v>
      </c>
      <c r="E48" s="35">
        <v>70</v>
      </c>
      <c r="F48" s="85">
        <v>10</v>
      </c>
      <c r="G48" s="83">
        <v>6</v>
      </c>
      <c r="H48" s="68">
        <f t="shared" si="9"/>
        <v>4200</v>
      </c>
      <c r="I48" s="77"/>
      <c r="J48" s="77"/>
      <c r="K48" s="83">
        <v>70</v>
      </c>
      <c r="L48" s="84">
        <v>10</v>
      </c>
      <c r="M48" s="83">
        <v>6</v>
      </c>
      <c r="N48" s="68">
        <f t="shared" si="10"/>
        <v>4200</v>
      </c>
      <c r="O48" s="79"/>
      <c r="P48" s="79"/>
      <c r="Q48" s="68">
        <f t="shared" si="11"/>
        <v>8400</v>
      </c>
      <c r="R48" s="38"/>
      <c r="S48" s="80"/>
      <c r="T48" s="80"/>
      <c r="U48" s="80"/>
      <c r="V48" s="2526"/>
    </row>
    <row r="49" spans="1:24">
      <c r="A49" s="2506"/>
      <c r="B49" s="33" t="s">
        <v>74</v>
      </c>
      <c r="C49" s="33" t="s">
        <v>38</v>
      </c>
      <c r="D49" s="34" t="s">
        <v>2</v>
      </c>
      <c r="E49" s="35">
        <v>70</v>
      </c>
      <c r="F49" s="85">
        <v>1.5</v>
      </c>
      <c r="G49" s="83">
        <v>6</v>
      </c>
      <c r="H49" s="68">
        <f t="shared" si="9"/>
        <v>630</v>
      </c>
      <c r="I49" s="77"/>
      <c r="J49" s="77"/>
      <c r="K49" s="83">
        <v>70</v>
      </c>
      <c r="L49" s="84">
        <v>1.5</v>
      </c>
      <c r="M49" s="83">
        <v>6</v>
      </c>
      <c r="N49" s="68">
        <f t="shared" si="10"/>
        <v>630</v>
      </c>
      <c r="O49" s="79"/>
      <c r="P49" s="79"/>
      <c r="Q49" s="68">
        <f t="shared" si="11"/>
        <v>1260</v>
      </c>
      <c r="R49" s="38"/>
      <c r="S49" s="80"/>
      <c r="T49" s="80"/>
      <c r="U49" s="80"/>
      <c r="V49" s="2526"/>
      <c r="W49" s="86"/>
    </row>
    <row r="50" spans="1:24">
      <c r="A50" s="2506"/>
      <c r="B50" s="33" t="s">
        <v>75</v>
      </c>
      <c r="C50" s="33" t="s">
        <v>42</v>
      </c>
      <c r="D50" s="34" t="s">
        <v>2</v>
      </c>
      <c r="E50" s="42">
        <v>110</v>
      </c>
      <c r="F50" s="44">
        <v>1.2</v>
      </c>
      <c r="G50" s="87">
        <v>6</v>
      </c>
      <c r="H50" s="68">
        <f t="shared" si="9"/>
        <v>792</v>
      </c>
      <c r="I50" s="77"/>
      <c r="J50" s="77"/>
      <c r="K50" s="87">
        <v>110</v>
      </c>
      <c r="L50" s="88">
        <v>1.2</v>
      </c>
      <c r="M50" s="87">
        <v>6</v>
      </c>
      <c r="N50" s="68">
        <f t="shared" si="10"/>
        <v>792</v>
      </c>
      <c r="O50" s="79"/>
      <c r="P50" s="79"/>
      <c r="Q50" s="68">
        <f t="shared" si="11"/>
        <v>1584</v>
      </c>
      <c r="R50" s="38"/>
      <c r="S50" s="80"/>
      <c r="T50" s="80"/>
      <c r="U50" s="80"/>
      <c r="V50" s="2526"/>
    </row>
    <row r="51" spans="1:24">
      <c r="A51" s="2506"/>
      <c r="B51" s="33" t="s">
        <v>76</v>
      </c>
      <c r="C51" s="33" t="s">
        <v>40</v>
      </c>
      <c r="D51" s="34" t="s">
        <v>2</v>
      </c>
      <c r="E51" s="42">
        <v>30</v>
      </c>
      <c r="F51" s="44">
        <v>20</v>
      </c>
      <c r="G51" s="87">
        <v>6</v>
      </c>
      <c r="H51" s="68">
        <f t="shared" si="9"/>
        <v>3600</v>
      </c>
      <c r="I51" s="77"/>
      <c r="J51" s="77"/>
      <c r="K51" s="87">
        <v>30</v>
      </c>
      <c r="L51" s="88">
        <v>20</v>
      </c>
      <c r="M51" s="87">
        <v>6</v>
      </c>
      <c r="N51" s="68">
        <f t="shared" si="10"/>
        <v>3600</v>
      </c>
      <c r="O51" s="79"/>
      <c r="P51" s="79"/>
      <c r="Q51" s="68">
        <f t="shared" si="11"/>
        <v>7200</v>
      </c>
      <c r="R51" s="38"/>
      <c r="S51" s="80"/>
      <c r="T51" s="80"/>
      <c r="U51" s="80"/>
      <c r="V51" s="2526"/>
    </row>
    <row r="52" spans="1:24">
      <c r="A52" s="2506"/>
      <c r="B52" s="33" t="s">
        <v>44</v>
      </c>
      <c r="C52" s="33" t="s">
        <v>40</v>
      </c>
      <c r="D52" s="34" t="s">
        <v>2</v>
      </c>
      <c r="E52" s="42">
        <v>10</v>
      </c>
      <c r="F52" s="44">
        <v>45</v>
      </c>
      <c r="G52" s="89">
        <v>2</v>
      </c>
      <c r="H52" s="68">
        <f t="shared" si="9"/>
        <v>900</v>
      </c>
      <c r="I52" s="77"/>
      <c r="J52" s="77"/>
      <c r="K52" s="87">
        <v>10</v>
      </c>
      <c r="L52" s="88">
        <v>45</v>
      </c>
      <c r="M52" s="89">
        <v>2</v>
      </c>
      <c r="N52" s="68">
        <f t="shared" si="10"/>
        <v>900</v>
      </c>
      <c r="O52" s="79"/>
      <c r="P52" s="79"/>
      <c r="Q52" s="68">
        <f t="shared" si="11"/>
        <v>1800</v>
      </c>
      <c r="R52" s="38"/>
      <c r="S52" s="80"/>
      <c r="T52" s="80"/>
      <c r="U52" s="80"/>
      <c r="V52" s="2526"/>
      <c r="X52" s="90"/>
    </row>
    <row r="53" spans="1:24">
      <c r="A53" s="2506"/>
      <c r="B53" s="33" t="s">
        <v>45</v>
      </c>
      <c r="C53" s="33" t="s">
        <v>42</v>
      </c>
      <c r="D53" s="34" t="s">
        <v>2</v>
      </c>
      <c r="E53" s="42">
        <v>5</v>
      </c>
      <c r="F53" s="44">
        <v>10</v>
      </c>
      <c r="G53" s="89">
        <v>6</v>
      </c>
      <c r="H53" s="68">
        <f t="shared" si="9"/>
        <v>300</v>
      </c>
      <c r="I53" s="77"/>
      <c r="J53" s="77"/>
      <c r="K53" s="87">
        <v>5</v>
      </c>
      <c r="L53" s="88">
        <v>10</v>
      </c>
      <c r="M53" s="89">
        <v>6</v>
      </c>
      <c r="N53" s="68">
        <f t="shared" si="10"/>
        <v>300</v>
      </c>
      <c r="O53" s="79"/>
      <c r="P53" s="79"/>
      <c r="Q53" s="68">
        <f t="shared" si="11"/>
        <v>600</v>
      </c>
      <c r="R53" s="38"/>
      <c r="S53" s="80"/>
      <c r="T53" s="80"/>
      <c r="U53" s="80"/>
      <c r="V53" s="2526"/>
    </row>
    <row r="54" spans="1:24">
      <c r="A54" s="2506"/>
      <c r="B54" s="33" t="s">
        <v>46</v>
      </c>
      <c r="C54" s="33" t="s">
        <v>33</v>
      </c>
      <c r="D54" s="34" t="s">
        <v>2</v>
      </c>
      <c r="E54" s="42">
        <v>1</v>
      </c>
      <c r="F54" s="44">
        <v>1000</v>
      </c>
      <c r="G54" s="89">
        <v>12</v>
      </c>
      <c r="H54" s="68">
        <f t="shared" si="9"/>
        <v>12000</v>
      </c>
      <c r="I54" s="77"/>
      <c r="J54" s="77"/>
      <c r="K54" s="87">
        <v>1</v>
      </c>
      <c r="L54" s="88">
        <v>1000</v>
      </c>
      <c r="M54" s="89">
        <v>12</v>
      </c>
      <c r="N54" s="68">
        <f t="shared" si="10"/>
        <v>12000</v>
      </c>
      <c r="O54" s="79"/>
      <c r="P54" s="79"/>
      <c r="Q54" s="68">
        <f t="shared" si="11"/>
        <v>24000</v>
      </c>
      <c r="R54" s="38"/>
      <c r="S54" s="80"/>
      <c r="T54" s="80"/>
      <c r="U54" s="80"/>
      <c r="V54" s="2527"/>
      <c r="X54" s="91"/>
    </row>
    <row r="55" spans="1:24">
      <c r="A55" s="2506"/>
      <c r="B55" s="33"/>
      <c r="C55" s="33"/>
      <c r="D55" s="46" t="s">
        <v>61</v>
      </c>
      <c r="E55" s="46"/>
      <c r="F55" s="46"/>
      <c r="G55" s="92"/>
      <c r="H55" s="47">
        <f>SUM(H44:H54)</f>
        <v>54082</v>
      </c>
      <c r="I55" s="48">
        <v>0.5</v>
      </c>
      <c r="J55" s="48"/>
      <c r="K55" s="48"/>
      <c r="L55" s="48"/>
      <c r="M55" s="48"/>
      <c r="N55" s="47">
        <f>SUM(N44:N54)</f>
        <v>54082</v>
      </c>
      <c r="O55" s="48">
        <v>0.5</v>
      </c>
      <c r="P55" s="48"/>
      <c r="Q55" s="47">
        <f>SUM(Q44:Q54)</f>
        <v>108164</v>
      </c>
      <c r="R55" s="48">
        <v>0.5</v>
      </c>
      <c r="S55" s="47">
        <f>Q55*R55</f>
        <v>54082</v>
      </c>
      <c r="T55" s="50">
        <v>27021.51</v>
      </c>
      <c r="U55" s="93">
        <f>+T55/H55</f>
        <v>0.49963962131577971</v>
      </c>
      <c r="V55" s="94"/>
    </row>
    <row r="56" spans="1:24">
      <c r="A56" s="95" t="s">
        <v>77</v>
      </c>
      <c r="B56" s="96"/>
      <c r="C56" s="96"/>
      <c r="D56" s="97"/>
      <c r="E56" s="97"/>
      <c r="F56" s="97"/>
      <c r="G56" s="97"/>
      <c r="H56" s="98">
        <f>+H24+H36+H43+H55</f>
        <v>159355</v>
      </c>
      <c r="I56" s="99"/>
      <c r="J56" s="99"/>
      <c r="K56" s="99"/>
      <c r="L56" s="99"/>
      <c r="M56" s="99"/>
      <c r="N56" s="98">
        <f>+N24+N36+N43+N55</f>
        <v>143552</v>
      </c>
      <c r="O56" s="99"/>
      <c r="P56" s="99"/>
      <c r="Q56" s="98">
        <f>+Q24+Q36+Q43+Q55</f>
        <v>302907</v>
      </c>
      <c r="R56" s="99"/>
      <c r="S56" s="98">
        <f>SUM(S24:S55)</f>
        <v>125325.25</v>
      </c>
      <c r="T56" s="100">
        <f>+T24+T36+T43+T55</f>
        <v>107454.02</v>
      </c>
      <c r="U56" s="101">
        <f>+T56/H56</f>
        <v>0.67430592074299522</v>
      </c>
      <c r="V56" s="102"/>
    </row>
    <row r="57" spans="1:24" ht="20.100000000000001" customHeight="1">
      <c r="A57" s="103" t="s">
        <v>78</v>
      </c>
      <c r="B57" s="104"/>
      <c r="C57" s="104"/>
      <c r="D57" s="104"/>
      <c r="E57" s="104"/>
      <c r="F57" s="104"/>
      <c r="G57" s="104"/>
      <c r="H57" s="105"/>
      <c r="I57" s="105"/>
      <c r="J57" s="105"/>
      <c r="K57" s="105"/>
      <c r="L57" s="105"/>
      <c r="M57" s="105"/>
      <c r="N57" s="105"/>
      <c r="O57" s="105"/>
      <c r="P57" s="105"/>
      <c r="Q57" s="105"/>
      <c r="R57" s="105"/>
      <c r="S57" s="105"/>
      <c r="T57" s="105"/>
      <c r="U57" s="105"/>
      <c r="V57" s="106"/>
    </row>
    <row r="58" spans="1:24">
      <c r="A58" s="2473" t="s">
        <v>79</v>
      </c>
      <c r="B58" s="107" t="s">
        <v>80</v>
      </c>
      <c r="C58" s="107" t="s">
        <v>33</v>
      </c>
      <c r="D58" s="108" t="s">
        <v>2</v>
      </c>
      <c r="E58" s="108">
        <v>60</v>
      </c>
      <c r="F58" s="109">
        <v>15</v>
      </c>
      <c r="G58" s="110">
        <v>1</v>
      </c>
      <c r="H58" s="111">
        <f>E58*F58*G58</f>
        <v>900</v>
      </c>
      <c r="I58" s="112"/>
      <c r="J58" s="112"/>
      <c r="K58" s="110">
        <v>60</v>
      </c>
      <c r="L58" s="113">
        <v>15</v>
      </c>
      <c r="M58" s="110">
        <v>1</v>
      </c>
      <c r="N58" s="111">
        <f>K58*L58*M58</f>
        <v>900</v>
      </c>
      <c r="O58" s="114"/>
      <c r="P58" s="114"/>
      <c r="Q58" s="115">
        <f>H58+N58</f>
        <v>1800</v>
      </c>
      <c r="R58" s="116"/>
      <c r="S58" s="117"/>
      <c r="T58" s="117"/>
      <c r="U58" s="118"/>
      <c r="V58" s="2525" t="s">
        <v>81</v>
      </c>
    </row>
    <row r="59" spans="1:24">
      <c r="A59" s="2536"/>
      <c r="B59" s="33" t="s">
        <v>82</v>
      </c>
      <c r="C59" s="33" t="s">
        <v>38</v>
      </c>
      <c r="D59" s="108" t="s">
        <v>2</v>
      </c>
      <c r="E59" s="119">
        <v>60</v>
      </c>
      <c r="F59" s="85">
        <v>5</v>
      </c>
      <c r="G59" s="120">
        <v>1</v>
      </c>
      <c r="H59" s="111">
        <f t="shared" ref="H59:H60" si="12">E59*F59*G59</f>
        <v>300</v>
      </c>
      <c r="I59" s="77"/>
      <c r="J59" s="77"/>
      <c r="K59" s="120">
        <v>60</v>
      </c>
      <c r="L59" s="84">
        <v>5</v>
      </c>
      <c r="M59" s="120">
        <v>1</v>
      </c>
      <c r="N59" s="111">
        <f t="shared" ref="N59:N60" si="13">K59*L59*M59</f>
        <v>300</v>
      </c>
      <c r="O59" s="79"/>
      <c r="P59" s="79"/>
      <c r="Q59" s="111">
        <f t="shared" ref="Q59:Q60" si="14">H59+N59</f>
        <v>600</v>
      </c>
      <c r="R59" s="38"/>
      <c r="S59" s="80"/>
      <c r="T59" s="80"/>
      <c r="U59" s="118"/>
      <c r="V59" s="2526"/>
    </row>
    <row r="60" spans="1:24">
      <c r="A60" s="2536"/>
      <c r="B60" s="33" t="s">
        <v>83</v>
      </c>
      <c r="C60" s="33" t="s">
        <v>33</v>
      </c>
      <c r="D60" s="108" t="s">
        <v>2</v>
      </c>
      <c r="E60" s="119">
        <v>1</v>
      </c>
      <c r="F60" s="85">
        <v>300</v>
      </c>
      <c r="G60" s="120">
        <v>1</v>
      </c>
      <c r="H60" s="111">
        <f t="shared" si="12"/>
        <v>300</v>
      </c>
      <c r="I60" s="77"/>
      <c r="J60" s="77"/>
      <c r="K60" s="120">
        <v>1</v>
      </c>
      <c r="L60" s="84">
        <v>300</v>
      </c>
      <c r="M60" s="120">
        <v>1</v>
      </c>
      <c r="N60" s="111">
        <f t="shared" si="13"/>
        <v>300</v>
      </c>
      <c r="O60" s="79"/>
      <c r="P60" s="79"/>
      <c r="Q60" s="115">
        <f t="shared" si="14"/>
        <v>600</v>
      </c>
      <c r="R60" s="38"/>
      <c r="S60" s="80"/>
      <c r="T60" s="80"/>
      <c r="U60" s="118"/>
      <c r="V60" s="2527"/>
    </row>
    <row r="61" spans="1:24">
      <c r="A61" s="2536"/>
      <c r="B61" s="33"/>
      <c r="C61" s="33"/>
      <c r="D61" s="46" t="s">
        <v>47</v>
      </c>
      <c r="E61" s="46"/>
      <c r="F61" s="46"/>
      <c r="G61" s="46"/>
      <c r="H61" s="47">
        <f>SUM(H58:H60)</f>
        <v>1500</v>
      </c>
      <c r="I61" s="48">
        <v>0.15</v>
      </c>
      <c r="J61" s="48"/>
      <c r="K61" s="48"/>
      <c r="L61" s="48"/>
      <c r="M61" s="48"/>
      <c r="N61" s="47">
        <f>SUM(N58:N60)</f>
        <v>1500</v>
      </c>
      <c r="O61" s="49">
        <v>0.15</v>
      </c>
      <c r="P61" s="49"/>
      <c r="Q61" s="47">
        <f>SUM(Q58:Q60)</f>
        <v>3000</v>
      </c>
      <c r="R61" s="48">
        <v>0.15</v>
      </c>
      <c r="S61" s="47">
        <f>Q61*R61</f>
        <v>450</v>
      </c>
      <c r="T61" s="47">
        <v>35</v>
      </c>
      <c r="U61" s="121">
        <f>+T61/H61</f>
        <v>2.3333333333333334E-2</v>
      </c>
      <c r="V61" s="48"/>
    </row>
    <row r="62" spans="1:24">
      <c r="A62" s="2466" t="s">
        <v>84</v>
      </c>
      <c r="B62" s="33" t="s">
        <v>85</v>
      </c>
      <c r="C62" s="33" t="s">
        <v>40</v>
      </c>
      <c r="D62" s="119" t="s">
        <v>2</v>
      </c>
      <c r="E62" s="119"/>
      <c r="F62" s="85"/>
      <c r="G62" s="119"/>
      <c r="H62" s="40"/>
      <c r="I62" s="38"/>
      <c r="J62" s="38"/>
      <c r="K62" s="119">
        <v>4</v>
      </c>
      <c r="L62" s="85">
        <v>750</v>
      </c>
      <c r="M62" s="119">
        <v>1</v>
      </c>
      <c r="N62" s="40">
        <f t="shared" ref="N62:N67" si="15">K62*L62*M62</f>
        <v>3000</v>
      </c>
      <c r="O62" s="122"/>
      <c r="P62" s="122"/>
      <c r="Q62" s="123">
        <f>H62+N62</f>
        <v>3000</v>
      </c>
      <c r="R62" s="124"/>
      <c r="S62" s="125"/>
      <c r="T62" s="125"/>
      <c r="U62" s="125"/>
      <c r="V62" s="2528" t="s">
        <v>86</v>
      </c>
    </row>
    <row r="63" spans="1:24" ht="25.5">
      <c r="A63" s="2467"/>
      <c r="B63" s="33" t="s">
        <v>87</v>
      </c>
      <c r="C63" s="33" t="s">
        <v>38</v>
      </c>
      <c r="D63" s="119" t="s">
        <v>2</v>
      </c>
      <c r="E63" s="119"/>
      <c r="F63" s="85"/>
      <c r="G63" s="119"/>
      <c r="H63" s="40"/>
      <c r="I63" s="38"/>
      <c r="J63" s="38"/>
      <c r="K63" s="119">
        <v>30</v>
      </c>
      <c r="L63" s="85">
        <v>35</v>
      </c>
      <c r="M63" s="119">
        <v>1</v>
      </c>
      <c r="N63" s="126">
        <f t="shared" si="15"/>
        <v>1050</v>
      </c>
      <c r="O63" s="122"/>
      <c r="P63" s="122"/>
      <c r="Q63" s="40">
        <f t="shared" ref="Q63:Q67" si="16">H63+N63</f>
        <v>1050</v>
      </c>
      <c r="R63" s="124"/>
      <c r="S63" s="125"/>
      <c r="T63" s="125"/>
      <c r="U63" s="125"/>
      <c r="V63" s="2529"/>
    </row>
    <row r="64" spans="1:24">
      <c r="A64" s="2467"/>
      <c r="B64" s="33" t="s">
        <v>88</v>
      </c>
      <c r="C64" s="33" t="s">
        <v>40</v>
      </c>
      <c r="D64" s="119" t="s">
        <v>2</v>
      </c>
      <c r="E64" s="119"/>
      <c r="F64" s="85"/>
      <c r="G64" s="119"/>
      <c r="H64" s="40"/>
      <c r="I64" s="38"/>
      <c r="J64" s="38"/>
      <c r="K64" s="119">
        <v>1</v>
      </c>
      <c r="L64" s="85">
        <v>100</v>
      </c>
      <c r="M64" s="119">
        <v>5</v>
      </c>
      <c r="N64" s="40">
        <f t="shared" si="15"/>
        <v>500</v>
      </c>
      <c r="O64" s="122"/>
      <c r="P64" s="122"/>
      <c r="Q64" s="123">
        <f t="shared" si="16"/>
        <v>500</v>
      </c>
      <c r="R64" s="124"/>
      <c r="S64" s="125"/>
      <c r="T64" s="125"/>
      <c r="U64" s="125"/>
      <c r="V64" s="2529"/>
    </row>
    <row r="65" spans="1:26">
      <c r="A65" s="2467"/>
      <c r="B65" s="33" t="s">
        <v>89</v>
      </c>
      <c r="C65" s="33" t="s">
        <v>33</v>
      </c>
      <c r="D65" s="119" t="s">
        <v>2</v>
      </c>
      <c r="E65" s="119"/>
      <c r="F65" s="85"/>
      <c r="G65" s="119"/>
      <c r="H65" s="40"/>
      <c r="I65" s="38"/>
      <c r="J65" s="38"/>
      <c r="K65" s="119">
        <v>1</v>
      </c>
      <c r="L65" s="85">
        <v>3000</v>
      </c>
      <c r="M65" s="119">
        <v>1</v>
      </c>
      <c r="N65" s="40">
        <f t="shared" si="15"/>
        <v>3000</v>
      </c>
      <c r="O65" s="122"/>
      <c r="P65" s="122"/>
      <c r="Q65" s="123">
        <f t="shared" si="16"/>
        <v>3000</v>
      </c>
      <c r="R65" s="124"/>
      <c r="S65" s="125"/>
      <c r="T65" s="125"/>
      <c r="U65" s="125"/>
      <c r="V65" s="2529"/>
    </row>
    <row r="66" spans="1:26">
      <c r="A66" s="2467"/>
      <c r="B66" s="33" t="s">
        <v>90</v>
      </c>
      <c r="C66" s="33" t="s">
        <v>40</v>
      </c>
      <c r="D66" s="119" t="s">
        <v>2</v>
      </c>
      <c r="E66" s="45"/>
      <c r="F66" s="44"/>
      <c r="G66" s="45"/>
      <c r="H66" s="40"/>
      <c r="I66" s="38"/>
      <c r="J66" s="38"/>
      <c r="K66" s="45">
        <v>4</v>
      </c>
      <c r="L66" s="44">
        <v>125</v>
      </c>
      <c r="M66" s="45">
        <v>10</v>
      </c>
      <c r="N66" s="40">
        <f t="shared" si="15"/>
        <v>5000</v>
      </c>
      <c r="O66" s="122"/>
      <c r="P66" s="122"/>
      <c r="Q66" s="123">
        <f t="shared" si="16"/>
        <v>5000</v>
      </c>
      <c r="R66" s="124"/>
      <c r="S66" s="125"/>
      <c r="T66" s="125"/>
      <c r="U66" s="125"/>
      <c r="V66" s="2529"/>
    </row>
    <row r="67" spans="1:26">
      <c r="A67" s="2467"/>
      <c r="B67" s="33" t="s">
        <v>91</v>
      </c>
      <c r="C67" s="33" t="s">
        <v>33</v>
      </c>
      <c r="D67" s="119" t="s">
        <v>2</v>
      </c>
      <c r="E67" s="45"/>
      <c r="F67" s="44"/>
      <c r="G67" s="45"/>
      <c r="H67" s="40"/>
      <c r="I67" s="38"/>
      <c r="J67" s="38"/>
      <c r="K67" s="45">
        <v>1</v>
      </c>
      <c r="L67" s="44">
        <v>700</v>
      </c>
      <c r="M67" s="45">
        <v>1</v>
      </c>
      <c r="N67" s="40">
        <f t="shared" si="15"/>
        <v>700</v>
      </c>
      <c r="O67" s="122"/>
      <c r="P67" s="122"/>
      <c r="Q67" s="123">
        <f t="shared" si="16"/>
        <v>700</v>
      </c>
      <c r="R67" s="124"/>
      <c r="S67" s="125"/>
      <c r="T67" s="125"/>
      <c r="U67" s="125"/>
      <c r="V67" s="2530"/>
      <c r="X67" s="127"/>
    </row>
    <row r="68" spans="1:26">
      <c r="A68" s="2473"/>
      <c r="B68" s="33"/>
      <c r="C68" s="33"/>
      <c r="D68" s="46" t="s">
        <v>47</v>
      </c>
      <c r="E68" s="46"/>
      <c r="F68" s="46"/>
      <c r="G68" s="46"/>
      <c r="H68" s="128">
        <f>SUM(H62:H67)</f>
        <v>0</v>
      </c>
      <c r="I68" s="48"/>
      <c r="J68" s="48"/>
      <c r="K68" s="48"/>
      <c r="L68" s="48"/>
      <c r="M68" s="48"/>
      <c r="N68" s="47">
        <f>SUM(N62:N67)</f>
        <v>13250</v>
      </c>
      <c r="O68" s="49">
        <v>0.15</v>
      </c>
      <c r="P68" s="49"/>
      <c r="Q68" s="47">
        <f>SUM(Q62:Q67)</f>
        <v>13250</v>
      </c>
      <c r="R68" s="48">
        <v>0.15</v>
      </c>
      <c r="S68" s="47">
        <f>Q68*R68</f>
        <v>1987.5</v>
      </c>
      <c r="T68" s="50">
        <v>18469.25</v>
      </c>
      <c r="U68" s="129">
        <v>1.39</v>
      </c>
      <c r="V68" s="48"/>
    </row>
    <row r="69" spans="1:26">
      <c r="A69" s="2506" t="s">
        <v>92</v>
      </c>
      <c r="B69" s="33" t="s">
        <v>73</v>
      </c>
      <c r="C69" s="33" t="s">
        <v>38</v>
      </c>
      <c r="D69" s="34" t="s">
        <v>2</v>
      </c>
      <c r="E69" s="130">
        <v>40</v>
      </c>
      <c r="F69" s="131">
        <v>40</v>
      </c>
      <c r="G69" s="76">
        <v>1</v>
      </c>
      <c r="H69" s="68">
        <f>E69*F69*G69</f>
        <v>1600</v>
      </c>
      <c r="I69" s="77"/>
      <c r="J69" s="77"/>
      <c r="K69" s="76">
        <v>40</v>
      </c>
      <c r="L69" s="132">
        <v>40</v>
      </c>
      <c r="M69" s="76">
        <v>2</v>
      </c>
      <c r="N69" s="68">
        <f>K69*L69*M69</f>
        <v>3200</v>
      </c>
      <c r="O69" s="79"/>
      <c r="P69" s="79"/>
      <c r="Q69" s="68">
        <f>H69+N69</f>
        <v>4800</v>
      </c>
      <c r="R69" s="38"/>
      <c r="S69" s="80"/>
      <c r="T69" s="80"/>
      <c r="U69" s="133"/>
      <c r="V69" s="2525" t="s">
        <v>93</v>
      </c>
    </row>
    <row r="70" spans="1:26">
      <c r="A70" s="2506"/>
      <c r="B70" s="33" t="s">
        <v>94</v>
      </c>
      <c r="C70" s="33" t="s">
        <v>38</v>
      </c>
      <c r="D70" s="34" t="s">
        <v>2</v>
      </c>
      <c r="E70" s="35">
        <v>20</v>
      </c>
      <c r="F70" s="36">
        <v>40</v>
      </c>
      <c r="G70" s="83">
        <v>3</v>
      </c>
      <c r="H70" s="68">
        <f t="shared" ref="H70:H76" si="17">E70*F70*G70</f>
        <v>2400</v>
      </c>
      <c r="I70" s="77"/>
      <c r="J70" s="77"/>
      <c r="K70" s="83">
        <v>20</v>
      </c>
      <c r="L70" s="134">
        <v>40</v>
      </c>
      <c r="M70" s="83">
        <v>6</v>
      </c>
      <c r="N70" s="68">
        <f t="shared" ref="N70:N75" si="18">K70*L70*M70</f>
        <v>4800</v>
      </c>
      <c r="O70" s="79"/>
      <c r="P70" s="79"/>
      <c r="Q70" s="68">
        <f t="shared" ref="Q70:Q76" si="19">H70+N70</f>
        <v>7200</v>
      </c>
      <c r="R70" s="38"/>
      <c r="S70" s="80"/>
      <c r="T70" s="80"/>
      <c r="U70" s="133"/>
      <c r="V70" s="2526"/>
    </row>
    <row r="71" spans="1:26">
      <c r="A71" s="2506"/>
      <c r="B71" s="33" t="s">
        <v>95</v>
      </c>
      <c r="C71" s="33" t="s">
        <v>38</v>
      </c>
      <c r="D71" s="34" t="s">
        <v>2</v>
      </c>
      <c r="E71" s="35">
        <v>40</v>
      </c>
      <c r="F71" s="36">
        <v>20</v>
      </c>
      <c r="G71" s="83">
        <v>2</v>
      </c>
      <c r="H71" s="68">
        <f t="shared" si="17"/>
        <v>1600</v>
      </c>
      <c r="I71" s="77"/>
      <c r="J71" s="77"/>
      <c r="K71" s="83">
        <v>40</v>
      </c>
      <c r="L71" s="134">
        <v>20</v>
      </c>
      <c r="M71" s="83">
        <v>4</v>
      </c>
      <c r="N71" s="68">
        <f t="shared" si="18"/>
        <v>3200</v>
      </c>
      <c r="O71" s="79"/>
      <c r="P71" s="79"/>
      <c r="Q71" s="68">
        <f t="shared" si="19"/>
        <v>4800</v>
      </c>
      <c r="R71" s="38"/>
      <c r="S71" s="80"/>
      <c r="T71" s="80"/>
      <c r="U71" s="133"/>
      <c r="V71" s="2526"/>
    </row>
    <row r="72" spans="1:26">
      <c r="A72" s="2506"/>
      <c r="B72" s="33" t="s">
        <v>96</v>
      </c>
      <c r="C72" s="33" t="s">
        <v>33</v>
      </c>
      <c r="D72" s="34" t="s">
        <v>2</v>
      </c>
      <c r="E72" s="35">
        <v>1</v>
      </c>
      <c r="F72" s="36">
        <v>100</v>
      </c>
      <c r="G72" s="83">
        <v>2</v>
      </c>
      <c r="H72" s="68">
        <f t="shared" si="17"/>
        <v>200</v>
      </c>
      <c r="I72" s="77"/>
      <c r="J72" s="77"/>
      <c r="K72" s="83">
        <v>1</v>
      </c>
      <c r="L72" s="134">
        <v>100</v>
      </c>
      <c r="M72" s="83">
        <v>4</v>
      </c>
      <c r="N72" s="68">
        <f t="shared" si="18"/>
        <v>400</v>
      </c>
      <c r="O72" s="79"/>
      <c r="P72" s="79"/>
      <c r="Q72" s="68">
        <f t="shared" si="19"/>
        <v>600</v>
      </c>
      <c r="R72" s="38"/>
      <c r="S72" s="80"/>
      <c r="T72" s="80"/>
      <c r="U72" s="133"/>
      <c r="V72" s="2526"/>
    </row>
    <row r="73" spans="1:26">
      <c r="A73" s="2506"/>
      <c r="B73" s="33" t="s">
        <v>97</v>
      </c>
      <c r="C73" s="33" t="s">
        <v>40</v>
      </c>
      <c r="D73" s="34" t="s">
        <v>2</v>
      </c>
      <c r="E73" s="35">
        <v>7</v>
      </c>
      <c r="F73" s="36">
        <v>25</v>
      </c>
      <c r="G73" s="83">
        <v>3</v>
      </c>
      <c r="H73" s="68">
        <f t="shared" si="17"/>
        <v>525</v>
      </c>
      <c r="I73" s="77"/>
      <c r="J73" s="77"/>
      <c r="K73" s="83">
        <v>7</v>
      </c>
      <c r="L73" s="134">
        <v>25</v>
      </c>
      <c r="M73" s="83">
        <v>6</v>
      </c>
      <c r="N73" s="68">
        <f t="shared" si="18"/>
        <v>1050</v>
      </c>
      <c r="O73" s="79"/>
      <c r="P73" s="79"/>
      <c r="Q73" s="68">
        <f t="shared" si="19"/>
        <v>1575</v>
      </c>
      <c r="R73" s="38"/>
      <c r="S73" s="80"/>
      <c r="T73" s="80"/>
      <c r="U73" s="133"/>
      <c r="V73" s="2526"/>
    </row>
    <row r="74" spans="1:26">
      <c r="A74" s="2506"/>
      <c r="B74" s="33" t="s">
        <v>98</v>
      </c>
      <c r="C74" s="33" t="s">
        <v>38</v>
      </c>
      <c r="D74" s="34" t="s">
        <v>2</v>
      </c>
      <c r="E74" s="35">
        <v>40</v>
      </c>
      <c r="F74" s="36">
        <v>2.5</v>
      </c>
      <c r="G74" s="83">
        <v>1</v>
      </c>
      <c r="H74" s="68">
        <f t="shared" si="17"/>
        <v>100</v>
      </c>
      <c r="I74" s="77"/>
      <c r="J74" s="77"/>
      <c r="K74" s="83">
        <v>40</v>
      </c>
      <c r="L74" s="134">
        <v>2.5</v>
      </c>
      <c r="M74" s="83">
        <v>2</v>
      </c>
      <c r="N74" s="68">
        <f t="shared" si="18"/>
        <v>200</v>
      </c>
      <c r="O74" s="79"/>
      <c r="P74" s="79"/>
      <c r="Q74" s="68">
        <f t="shared" si="19"/>
        <v>300</v>
      </c>
      <c r="R74" s="38"/>
      <c r="S74" s="80"/>
      <c r="T74" s="80"/>
      <c r="U74" s="133"/>
      <c r="V74" s="2526"/>
      <c r="W74" s="86"/>
    </row>
    <row r="75" spans="1:26">
      <c r="A75" s="2506"/>
      <c r="B75" s="33" t="s">
        <v>99</v>
      </c>
      <c r="C75" s="33" t="s">
        <v>33</v>
      </c>
      <c r="D75" s="34" t="s">
        <v>2</v>
      </c>
      <c r="E75" s="42">
        <v>2</v>
      </c>
      <c r="F75" s="43">
        <v>75</v>
      </c>
      <c r="G75" s="87">
        <v>2</v>
      </c>
      <c r="H75" s="68">
        <f t="shared" si="17"/>
        <v>300</v>
      </c>
      <c r="I75" s="77"/>
      <c r="J75" s="77"/>
      <c r="K75" s="87">
        <v>2</v>
      </c>
      <c r="L75" s="135">
        <v>75</v>
      </c>
      <c r="M75" s="87">
        <v>4</v>
      </c>
      <c r="N75" s="68">
        <f t="shared" si="18"/>
        <v>600</v>
      </c>
      <c r="O75" s="79"/>
      <c r="P75" s="79"/>
      <c r="Q75" s="68">
        <f t="shared" si="19"/>
        <v>900</v>
      </c>
      <c r="R75" s="38"/>
      <c r="S75" s="80"/>
      <c r="T75" s="80"/>
      <c r="U75" s="133"/>
      <c r="V75" s="2526"/>
    </row>
    <row r="76" spans="1:26">
      <c r="A76" s="2506"/>
      <c r="B76" s="33" t="s">
        <v>58</v>
      </c>
      <c r="C76" s="33" t="s">
        <v>42</v>
      </c>
      <c r="D76" s="34" t="s">
        <v>2</v>
      </c>
      <c r="E76" s="42">
        <v>70</v>
      </c>
      <c r="F76" s="43">
        <v>1.2</v>
      </c>
      <c r="G76" s="87">
        <v>1</v>
      </c>
      <c r="H76" s="68">
        <f t="shared" si="17"/>
        <v>84</v>
      </c>
      <c r="I76" s="77"/>
      <c r="J76" s="77"/>
      <c r="K76" s="87">
        <v>70</v>
      </c>
      <c r="L76" s="135">
        <v>1.2</v>
      </c>
      <c r="M76" s="87">
        <v>2</v>
      </c>
      <c r="N76" s="68">
        <f>K76*L76*M76</f>
        <v>168</v>
      </c>
      <c r="O76" s="79"/>
      <c r="P76" s="79"/>
      <c r="Q76" s="68">
        <f t="shared" si="19"/>
        <v>252</v>
      </c>
      <c r="R76" s="38"/>
      <c r="S76" s="80"/>
      <c r="T76" s="80"/>
      <c r="U76" s="133"/>
      <c r="V76" s="2527"/>
    </row>
    <row r="77" spans="1:26">
      <c r="A77" s="2506"/>
      <c r="B77" s="33"/>
      <c r="C77" s="33"/>
      <c r="D77" s="46" t="s">
        <v>61</v>
      </c>
      <c r="E77" s="136"/>
      <c r="F77" s="136"/>
      <c r="G77" s="137"/>
      <c r="H77" s="47">
        <f>SUM(H69:H76)</f>
        <v>6809</v>
      </c>
      <c r="I77" s="48">
        <v>0.15</v>
      </c>
      <c r="J77" s="48"/>
      <c r="K77" s="48"/>
      <c r="L77" s="48"/>
      <c r="M77" s="48"/>
      <c r="N77" s="47">
        <f>SUM(N69:N76)</f>
        <v>13618</v>
      </c>
      <c r="O77" s="48">
        <v>0.15</v>
      </c>
      <c r="P77" s="48"/>
      <c r="Q77" s="47">
        <f>SUM(Q69:Q76)</f>
        <v>20427</v>
      </c>
      <c r="R77" s="48">
        <v>0.15</v>
      </c>
      <c r="S77" s="47">
        <f>Q77*R77</f>
        <v>3064.0499999999997</v>
      </c>
      <c r="T77" s="47">
        <v>5029</v>
      </c>
      <c r="U77" s="51">
        <f>+T77/H77</f>
        <v>0.73858128946981938</v>
      </c>
      <c r="V77" s="48"/>
    </row>
    <row r="78" spans="1:26" ht="25.5">
      <c r="A78" s="138" t="s">
        <v>100</v>
      </c>
      <c r="B78" s="139"/>
      <c r="C78" s="139"/>
      <c r="D78" s="140"/>
      <c r="E78" s="140"/>
      <c r="F78" s="140"/>
      <c r="G78" s="141"/>
      <c r="H78" s="98">
        <f>H61+H68+H77</f>
        <v>8309</v>
      </c>
      <c r="I78" s="99"/>
      <c r="J78" s="99"/>
      <c r="K78" s="99"/>
      <c r="L78" s="99"/>
      <c r="M78" s="99"/>
      <c r="N78" s="98">
        <f>N61+N68+N77</f>
        <v>28368</v>
      </c>
      <c r="O78" s="99"/>
      <c r="P78" s="99"/>
      <c r="Q78" s="99">
        <f>Q61+Q68+Q77</f>
        <v>36677</v>
      </c>
      <c r="R78" s="99"/>
      <c r="S78" s="98">
        <f>S77+S68+S61</f>
        <v>5501.5499999999993</v>
      </c>
      <c r="T78" s="98">
        <f>+T61+T68+T77</f>
        <v>23533.25</v>
      </c>
      <c r="U78" s="142">
        <f>+T78/H78</f>
        <v>2.8322601997833674</v>
      </c>
      <c r="V78" s="143" t="s">
        <v>101</v>
      </c>
    </row>
    <row r="79" spans="1:26" s="151" customFormat="1">
      <c r="A79" s="2518" t="s">
        <v>102</v>
      </c>
      <c r="B79" s="2519"/>
      <c r="C79" s="2520"/>
      <c r="D79" s="144"/>
      <c r="E79" s="144"/>
      <c r="F79" s="144"/>
      <c r="G79" s="145"/>
      <c r="H79" s="146">
        <f>+H56+H78</f>
        <v>167664</v>
      </c>
      <c r="I79" s="147"/>
      <c r="J79" s="148"/>
      <c r="K79" s="147"/>
      <c r="L79" s="147"/>
      <c r="M79" s="147"/>
      <c r="N79" s="146">
        <f>+N56+N78</f>
        <v>171920</v>
      </c>
      <c r="O79" s="149"/>
      <c r="P79" s="149"/>
      <c r="Q79" s="146">
        <f>Q56+Q78</f>
        <v>339584</v>
      </c>
      <c r="R79" s="147">
        <f>S79/Q79*100</f>
        <v>38.525607802487748</v>
      </c>
      <c r="S79" s="147">
        <f>S56+S78</f>
        <v>130826.8</v>
      </c>
      <c r="T79" s="147">
        <f>+T56+T78</f>
        <v>130987.27</v>
      </c>
      <c r="U79" s="150">
        <f>+T79/H79</f>
        <v>0.78124862820879859</v>
      </c>
      <c r="V79" s="149"/>
      <c r="X79" s="152"/>
      <c r="Y79" s="152"/>
      <c r="Z79" s="152"/>
    </row>
    <row r="80" spans="1:26" s="151" customFormat="1" ht="17.100000000000001" customHeight="1">
      <c r="A80" s="153" t="s">
        <v>103</v>
      </c>
      <c r="B80" s="154"/>
      <c r="C80" s="154"/>
      <c r="D80" s="154"/>
      <c r="E80" s="154"/>
      <c r="F80" s="154"/>
      <c r="G80" s="154"/>
      <c r="H80" s="154"/>
      <c r="I80" s="154"/>
      <c r="J80" s="154"/>
      <c r="K80" s="154"/>
      <c r="L80" s="154"/>
      <c r="M80" s="154"/>
      <c r="N80" s="154"/>
      <c r="O80" s="154"/>
      <c r="P80" s="154"/>
      <c r="Q80" s="154"/>
      <c r="R80" s="154"/>
      <c r="S80" s="154"/>
      <c r="T80" s="154"/>
      <c r="U80" s="154"/>
      <c r="V80" s="155"/>
      <c r="X80" s="152"/>
      <c r="Y80" s="152"/>
      <c r="Z80" s="152"/>
    </row>
    <row r="81" spans="1:26" s="151" customFormat="1">
      <c r="A81" s="2521" t="s">
        <v>104</v>
      </c>
      <c r="B81" s="2522"/>
      <c r="C81" s="2522"/>
      <c r="D81" s="2522"/>
      <c r="E81" s="2522"/>
      <c r="F81" s="2522"/>
      <c r="G81" s="2522"/>
      <c r="H81" s="2522"/>
      <c r="I81" s="2522"/>
      <c r="J81" s="2522"/>
      <c r="K81" s="2522"/>
      <c r="L81" s="2522"/>
      <c r="M81" s="2522"/>
      <c r="N81" s="2522"/>
      <c r="O81" s="2522"/>
      <c r="P81" s="2522"/>
      <c r="Q81" s="2522"/>
      <c r="R81" s="2522"/>
      <c r="S81" s="2522"/>
      <c r="T81" s="2522"/>
      <c r="U81" s="2522"/>
      <c r="V81" s="2523"/>
      <c r="X81" s="152"/>
      <c r="Y81" s="152"/>
      <c r="Z81" s="152"/>
    </row>
    <row r="82" spans="1:26" s="151" customFormat="1">
      <c r="A82" s="2524" t="s">
        <v>105</v>
      </c>
      <c r="B82" s="33" t="s">
        <v>106</v>
      </c>
      <c r="C82" s="33" t="s">
        <v>33</v>
      </c>
      <c r="D82" s="34" t="s">
        <v>2</v>
      </c>
      <c r="E82" s="130">
        <v>5</v>
      </c>
      <c r="F82" s="131">
        <v>30</v>
      </c>
      <c r="G82" s="130">
        <v>1</v>
      </c>
      <c r="H82" s="40">
        <f>E82*F82*G82</f>
        <v>150</v>
      </c>
      <c r="I82" s="38"/>
      <c r="J82" s="38"/>
      <c r="K82" s="38"/>
      <c r="L82" s="38"/>
      <c r="M82" s="38"/>
      <c r="N82" s="123">
        <v>0</v>
      </c>
      <c r="O82" s="39"/>
      <c r="P82" s="39"/>
      <c r="Q82" s="40">
        <f>H82+N82</f>
        <v>150</v>
      </c>
      <c r="R82" s="38"/>
      <c r="S82" s="80"/>
      <c r="T82" s="80"/>
      <c r="U82" s="80"/>
      <c r="V82" s="2525" t="s">
        <v>107</v>
      </c>
      <c r="X82" s="152"/>
      <c r="Y82" s="152"/>
      <c r="Z82" s="152"/>
    </row>
    <row r="83" spans="1:26" s="151" customFormat="1">
      <c r="A83" s="2524"/>
      <c r="B83" s="33" t="s">
        <v>95</v>
      </c>
      <c r="C83" s="33" t="s">
        <v>33</v>
      </c>
      <c r="D83" s="34" t="s">
        <v>2</v>
      </c>
      <c r="E83" s="35">
        <v>100</v>
      </c>
      <c r="F83" s="36">
        <v>10</v>
      </c>
      <c r="G83" s="35">
        <v>1</v>
      </c>
      <c r="H83" s="126">
        <f t="shared" ref="H83:H89" si="20">E83*F83*G83</f>
        <v>1000</v>
      </c>
      <c r="I83" s="156"/>
      <c r="J83" s="156"/>
      <c r="K83" s="156"/>
      <c r="L83" s="156"/>
      <c r="M83" s="156"/>
      <c r="N83" s="157">
        <v>0</v>
      </c>
      <c r="O83" s="39"/>
      <c r="P83" s="39"/>
      <c r="Q83" s="126">
        <f t="shared" ref="Q83:Q89" si="21">H83+N83</f>
        <v>1000</v>
      </c>
      <c r="R83" s="38"/>
      <c r="S83" s="80"/>
      <c r="T83" s="80"/>
      <c r="U83" s="80"/>
      <c r="V83" s="2526"/>
      <c r="X83" s="152"/>
      <c r="Y83" s="152"/>
      <c r="Z83" s="152"/>
    </row>
    <row r="84" spans="1:26" s="151" customFormat="1">
      <c r="A84" s="2524"/>
      <c r="B84" s="33" t="s">
        <v>73</v>
      </c>
      <c r="C84" s="33" t="s">
        <v>38</v>
      </c>
      <c r="D84" s="34" t="s">
        <v>2</v>
      </c>
      <c r="E84" s="35">
        <v>100</v>
      </c>
      <c r="F84" s="36">
        <v>10</v>
      </c>
      <c r="G84" s="35">
        <v>1</v>
      </c>
      <c r="H84" s="126">
        <f t="shared" si="20"/>
        <v>1000</v>
      </c>
      <c r="I84" s="38"/>
      <c r="J84" s="38"/>
      <c r="K84" s="38"/>
      <c r="L84" s="38"/>
      <c r="M84" s="38"/>
      <c r="N84" s="123">
        <v>0</v>
      </c>
      <c r="O84" s="39"/>
      <c r="P84" s="39"/>
      <c r="Q84" s="40">
        <f t="shared" si="21"/>
        <v>1000</v>
      </c>
      <c r="R84" s="38"/>
      <c r="S84" s="80"/>
      <c r="T84" s="80"/>
      <c r="U84" s="80"/>
      <c r="V84" s="2526"/>
      <c r="X84" s="152"/>
      <c r="Y84" s="152"/>
      <c r="Z84" s="152"/>
    </row>
    <row r="85" spans="1:26" s="151" customFormat="1">
      <c r="A85" s="2524"/>
      <c r="B85" s="33" t="s">
        <v>108</v>
      </c>
      <c r="C85" s="33" t="s">
        <v>40</v>
      </c>
      <c r="D85" s="34" t="s">
        <v>2</v>
      </c>
      <c r="E85" s="42">
        <v>6</v>
      </c>
      <c r="F85" s="43">
        <v>20</v>
      </c>
      <c r="G85" s="42">
        <v>7</v>
      </c>
      <c r="H85" s="40">
        <f t="shared" si="20"/>
        <v>840</v>
      </c>
      <c r="I85" s="38"/>
      <c r="J85" s="38"/>
      <c r="K85" s="38"/>
      <c r="L85" s="38"/>
      <c r="M85" s="38"/>
      <c r="N85" s="123">
        <v>0</v>
      </c>
      <c r="O85" s="39"/>
      <c r="P85" s="39"/>
      <c r="Q85" s="40">
        <f t="shared" si="21"/>
        <v>840</v>
      </c>
      <c r="R85" s="38"/>
      <c r="S85" s="80"/>
      <c r="T85" s="80"/>
      <c r="U85" s="80"/>
      <c r="V85" s="2526"/>
      <c r="X85" s="152"/>
      <c r="Y85" s="152"/>
      <c r="Z85" s="152"/>
    </row>
    <row r="86" spans="1:26" s="151" customFormat="1">
      <c r="A86" s="2524"/>
      <c r="B86" s="33" t="s">
        <v>44</v>
      </c>
      <c r="C86" s="33" t="s">
        <v>40</v>
      </c>
      <c r="D86" s="34" t="s">
        <v>2</v>
      </c>
      <c r="E86" s="42">
        <v>1</v>
      </c>
      <c r="F86" s="43">
        <v>45</v>
      </c>
      <c r="G86" s="42">
        <v>7</v>
      </c>
      <c r="H86" s="40">
        <f t="shared" si="20"/>
        <v>315</v>
      </c>
      <c r="I86" s="38"/>
      <c r="J86" s="38"/>
      <c r="K86" s="38"/>
      <c r="L86" s="38"/>
      <c r="M86" s="38"/>
      <c r="N86" s="123">
        <v>0</v>
      </c>
      <c r="O86" s="39"/>
      <c r="P86" s="39"/>
      <c r="Q86" s="40">
        <f t="shared" si="21"/>
        <v>315</v>
      </c>
      <c r="R86" s="38"/>
      <c r="S86" s="80"/>
      <c r="T86" s="80"/>
      <c r="U86" s="80"/>
      <c r="V86" s="2526"/>
      <c r="X86" s="152"/>
      <c r="Y86" s="152"/>
      <c r="Z86" s="152"/>
    </row>
    <row r="87" spans="1:26" s="151" customFormat="1">
      <c r="A87" s="2524"/>
      <c r="B87" s="33" t="s">
        <v>45</v>
      </c>
      <c r="C87" s="33" t="s">
        <v>42</v>
      </c>
      <c r="D87" s="34" t="s">
        <v>2</v>
      </c>
      <c r="E87" s="42">
        <v>7</v>
      </c>
      <c r="F87" s="43">
        <v>10</v>
      </c>
      <c r="G87" s="42">
        <v>1</v>
      </c>
      <c r="H87" s="40">
        <f t="shared" si="20"/>
        <v>70</v>
      </c>
      <c r="I87" s="38"/>
      <c r="J87" s="38"/>
      <c r="K87" s="38"/>
      <c r="L87" s="38"/>
      <c r="M87" s="38"/>
      <c r="N87" s="123">
        <v>0</v>
      </c>
      <c r="O87" s="39"/>
      <c r="P87" s="39"/>
      <c r="Q87" s="40">
        <f t="shared" si="21"/>
        <v>70</v>
      </c>
      <c r="R87" s="38"/>
      <c r="S87" s="80"/>
      <c r="T87" s="80"/>
      <c r="U87" s="80"/>
      <c r="V87" s="2526"/>
      <c r="X87" s="152"/>
      <c r="Y87" s="152"/>
      <c r="Z87" s="152"/>
    </row>
    <row r="88" spans="1:26" s="151" customFormat="1">
      <c r="A88" s="2524"/>
      <c r="B88" s="33" t="s">
        <v>109</v>
      </c>
      <c r="C88" s="33" t="s">
        <v>42</v>
      </c>
      <c r="D88" s="34" t="s">
        <v>2</v>
      </c>
      <c r="E88" s="42">
        <v>210</v>
      </c>
      <c r="F88" s="43">
        <v>1.2</v>
      </c>
      <c r="G88" s="42">
        <v>2</v>
      </c>
      <c r="H88" s="40">
        <f t="shared" si="20"/>
        <v>504</v>
      </c>
      <c r="I88" s="38"/>
      <c r="J88" s="38"/>
      <c r="K88" s="38"/>
      <c r="L88" s="38"/>
      <c r="M88" s="38"/>
      <c r="N88" s="123">
        <v>0</v>
      </c>
      <c r="O88" s="39"/>
      <c r="P88" s="39"/>
      <c r="Q88" s="40">
        <f t="shared" si="21"/>
        <v>504</v>
      </c>
      <c r="R88" s="38"/>
      <c r="S88" s="80"/>
      <c r="T88" s="80"/>
      <c r="U88" s="80"/>
      <c r="V88" s="2526"/>
      <c r="X88" s="152"/>
      <c r="Y88" s="152"/>
      <c r="Z88" s="152"/>
    </row>
    <row r="89" spans="1:26" s="151" customFormat="1">
      <c r="A89" s="2524"/>
      <c r="B89" s="33" t="s">
        <v>110</v>
      </c>
      <c r="C89" s="33" t="s">
        <v>38</v>
      </c>
      <c r="D89" s="34" t="s">
        <v>2</v>
      </c>
      <c r="E89" s="42">
        <v>100</v>
      </c>
      <c r="F89" s="43">
        <v>1</v>
      </c>
      <c r="G89" s="42">
        <v>1</v>
      </c>
      <c r="H89" s="40">
        <f t="shared" si="20"/>
        <v>100</v>
      </c>
      <c r="I89" s="38"/>
      <c r="J89" s="38"/>
      <c r="K89" s="38"/>
      <c r="L89" s="38"/>
      <c r="M89" s="38"/>
      <c r="N89" s="123">
        <v>0</v>
      </c>
      <c r="O89" s="39"/>
      <c r="P89" s="39"/>
      <c r="Q89" s="40">
        <f t="shared" si="21"/>
        <v>100</v>
      </c>
      <c r="R89" s="38"/>
      <c r="S89" s="80"/>
      <c r="T89" s="80"/>
      <c r="U89" s="80"/>
      <c r="V89" s="2527"/>
      <c r="X89" s="152"/>
      <c r="Y89" s="152"/>
      <c r="Z89" s="152"/>
    </row>
    <row r="90" spans="1:26" s="151" customFormat="1">
      <c r="A90" s="2524"/>
      <c r="B90" s="33"/>
      <c r="C90" s="33"/>
      <c r="D90" s="46" t="s">
        <v>47</v>
      </c>
      <c r="E90" s="46"/>
      <c r="F90" s="46"/>
      <c r="G90" s="46"/>
      <c r="H90" s="47">
        <f>SUM(H82:H89)</f>
        <v>3979</v>
      </c>
      <c r="I90" s="48">
        <v>0.3</v>
      </c>
      <c r="J90" s="48"/>
      <c r="K90" s="48"/>
      <c r="L90" s="48"/>
      <c r="M90" s="48"/>
      <c r="N90" s="47">
        <f>SUM(N82:N89)</f>
        <v>0</v>
      </c>
      <c r="O90" s="49">
        <v>0.3</v>
      </c>
      <c r="P90" s="49"/>
      <c r="Q90" s="47">
        <f>SUM(Q82:Q89)</f>
        <v>3979</v>
      </c>
      <c r="R90" s="47">
        <v>0.3</v>
      </c>
      <c r="S90" s="47">
        <f>Q90*R90</f>
        <v>1193.7</v>
      </c>
      <c r="T90" s="50">
        <v>4043.38</v>
      </c>
      <c r="U90" s="51">
        <f>+T90/H90</f>
        <v>1.0161799447097262</v>
      </c>
      <c r="V90" s="158"/>
      <c r="X90" s="152"/>
      <c r="Y90" s="152"/>
      <c r="Z90" s="152"/>
    </row>
    <row r="91" spans="1:26" s="151" customFormat="1">
      <c r="A91" s="2524" t="s">
        <v>111</v>
      </c>
      <c r="B91" s="33" t="s">
        <v>112</v>
      </c>
      <c r="C91" s="33" t="s">
        <v>33</v>
      </c>
      <c r="D91" s="159" t="s">
        <v>2</v>
      </c>
      <c r="E91" s="160">
        <v>4</v>
      </c>
      <c r="F91" s="161">
        <v>20</v>
      </c>
      <c r="G91" s="160">
        <v>3</v>
      </c>
      <c r="H91" s="68">
        <f>E91*F91*G91</f>
        <v>240</v>
      </c>
      <c r="I91" s="162"/>
      <c r="J91" s="162"/>
      <c r="K91" s="160">
        <v>4</v>
      </c>
      <c r="L91" s="161">
        <v>20</v>
      </c>
      <c r="M91" s="160">
        <v>3</v>
      </c>
      <c r="N91" s="68">
        <f>K91*L91*M91</f>
        <v>240</v>
      </c>
      <c r="O91" s="163"/>
      <c r="P91" s="163"/>
      <c r="Q91" s="68">
        <f>H91+N91</f>
        <v>480</v>
      </c>
      <c r="R91" s="124"/>
      <c r="S91" s="125"/>
      <c r="T91" s="125"/>
      <c r="U91" s="133"/>
      <c r="V91" s="2528" t="s">
        <v>113</v>
      </c>
      <c r="X91" s="152"/>
      <c r="Y91" s="152"/>
      <c r="Z91" s="152"/>
    </row>
    <row r="92" spans="1:26" s="151" customFormat="1">
      <c r="A92" s="2524"/>
      <c r="B92" s="33" t="s">
        <v>114</v>
      </c>
      <c r="C92" s="33" t="s">
        <v>33</v>
      </c>
      <c r="D92" s="159" t="s">
        <v>2</v>
      </c>
      <c r="E92" s="160">
        <v>80</v>
      </c>
      <c r="F92" s="161">
        <v>7.5</v>
      </c>
      <c r="G92" s="160">
        <v>3</v>
      </c>
      <c r="H92" s="68">
        <f t="shared" ref="H92:H99" si="22">E92*F92*G92</f>
        <v>1800</v>
      </c>
      <c r="I92" s="162"/>
      <c r="J92" s="162"/>
      <c r="K92" s="160">
        <v>80</v>
      </c>
      <c r="L92" s="161">
        <v>7.5</v>
      </c>
      <c r="M92" s="160">
        <v>3</v>
      </c>
      <c r="N92" s="68">
        <f t="shared" ref="N92:N99" si="23">K92*L92*M92</f>
        <v>1800</v>
      </c>
      <c r="O92" s="163"/>
      <c r="P92" s="163"/>
      <c r="Q92" s="68">
        <f t="shared" ref="Q92:Q99" si="24">H92+N92</f>
        <v>3600</v>
      </c>
      <c r="R92" s="124"/>
      <c r="S92" s="125"/>
      <c r="T92" s="125"/>
      <c r="U92" s="133"/>
      <c r="V92" s="2529"/>
      <c r="X92" s="152"/>
      <c r="Y92" s="152"/>
      <c r="Z92" s="152"/>
    </row>
    <row r="93" spans="1:26" s="151" customFormat="1">
      <c r="A93" s="2524"/>
      <c r="B93" s="33" t="s">
        <v>115</v>
      </c>
      <c r="C93" s="33" t="s">
        <v>38</v>
      </c>
      <c r="D93" s="159" t="s">
        <v>2</v>
      </c>
      <c r="E93" s="160">
        <v>30</v>
      </c>
      <c r="F93" s="161">
        <v>10</v>
      </c>
      <c r="G93" s="160">
        <v>3</v>
      </c>
      <c r="H93" s="68">
        <f t="shared" si="22"/>
        <v>900</v>
      </c>
      <c r="I93" s="162"/>
      <c r="J93" s="162"/>
      <c r="K93" s="160">
        <v>30</v>
      </c>
      <c r="L93" s="161">
        <v>10</v>
      </c>
      <c r="M93" s="160">
        <v>3</v>
      </c>
      <c r="N93" s="68">
        <f t="shared" si="23"/>
        <v>900</v>
      </c>
      <c r="O93" s="163"/>
      <c r="P93" s="163"/>
      <c r="Q93" s="68">
        <f t="shared" si="24"/>
        <v>1800</v>
      </c>
      <c r="R93" s="124"/>
      <c r="S93" s="125"/>
      <c r="T93" s="125"/>
      <c r="U93" s="133"/>
      <c r="V93" s="2529"/>
      <c r="X93" s="152"/>
      <c r="Y93" s="152"/>
      <c r="Z93" s="152"/>
    </row>
    <row r="94" spans="1:26" s="151" customFormat="1">
      <c r="A94" s="2524"/>
      <c r="B94" s="33" t="s">
        <v>116</v>
      </c>
      <c r="C94" s="33" t="s">
        <v>38</v>
      </c>
      <c r="D94" s="159" t="s">
        <v>2</v>
      </c>
      <c r="E94" s="160">
        <v>30</v>
      </c>
      <c r="F94" s="161">
        <v>10</v>
      </c>
      <c r="G94" s="160">
        <v>1</v>
      </c>
      <c r="H94" s="68">
        <f t="shared" si="22"/>
        <v>300</v>
      </c>
      <c r="I94" s="162"/>
      <c r="J94" s="162"/>
      <c r="K94" s="160">
        <v>30</v>
      </c>
      <c r="L94" s="161">
        <v>10</v>
      </c>
      <c r="M94" s="160">
        <v>1</v>
      </c>
      <c r="N94" s="68">
        <f t="shared" si="23"/>
        <v>300</v>
      </c>
      <c r="O94" s="163"/>
      <c r="P94" s="163"/>
      <c r="Q94" s="68">
        <f t="shared" si="24"/>
        <v>600</v>
      </c>
      <c r="R94" s="124"/>
      <c r="S94" s="125"/>
      <c r="T94" s="125"/>
      <c r="U94" s="133"/>
      <c r="V94" s="2529"/>
      <c r="X94" s="152"/>
      <c r="Y94" s="152"/>
      <c r="Z94" s="152"/>
    </row>
    <row r="95" spans="1:26" s="151" customFormat="1">
      <c r="A95" s="2524"/>
      <c r="B95" s="33" t="s">
        <v>117</v>
      </c>
      <c r="C95" s="33" t="s">
        <v>38</v>
      </c>
      <c r="D95" s="159" t="s">
        <v>2</v>
      </c>
      <c r="E95" s="160">
        <v>50</v>
      </c>
      <c r="F95" s="161">
        <v>10</v>
      </c>
      <c r="G95" s="160">
        <v>1</v>
      </c>
      <c r="H95" s="68">
        <f t="shared" si="22"/>
        <v>500</v>
      </c>
      <c r="I95" s="162"/>
      <c r="J95" s="162"/>
      <c r="K95" s="160">
        <v>50</v>
      </c>
      <c r="L95" s="161">
        <v>10</v>
      </c>
      <c r="M95" s="160">
        <v>1</v>
      </c>
      <c r="N95" s="68">
        <f t="shared" si="23"/>
        <v>500</v>
      </c>
      <c r="O95" s="163"/>
      <c r="P95" s="163"/>
      <c r="Q95" s="68">
        <f t="shared" si="24"/>
        <v>1000</v>
      </c>
      <c r="R95" s="124"/>
      <c r="S95" s="125"/>
      <c r="T95" s="125"/>
      <c r="U95" s="133"/>
      <c r="V95" s="2529"/>
      <c r="X95" s="152"/>
      <c r="Y95" s="152"/>
      <c r="Z95" s="152"/>
    </row>
    <row r="96" spans="1:26" s="151" customFormat="1">
      <c r="A96" s="2524"/>
      <c r="B96" s="33" t="s">
        <v>110</v>
      </c>
      <c r="C96" s="33" t="s">
        <v>38</v>
      </c>
      <c r="D96" s="159" t="s">
        <v>2</v>
      </c>
      <c r="E96" s="160">
        <v>80</v>
      </c>
      <c r="F96" s="161">
        <v>2</v>
      </c>
      <c r="G96" s="160">
        <v>1</v>
      </c>
      <c r="H96" s="68">
        <f t="shared" si="22"/>
        <v>160</v>
      </c>
      <c r="I96" s="162"/>
      <c r="J96" s="162"/>
      <c r="K96" s="160">
        <v>80</v>
      </c>
      <c r="L96" s="161">
        <v>2</v>
      </c>
      <c r="M96" s="160">
        <v>1</v>
      </c>
      <c r="N96" s="68">
        <f t="shared" si="23"/>
        <v>160</v>
      </c>
      <c r="O96" s="163"/>
      <c r="P96" s="163"/>
      <c r="Q96" s="68">
        <f t="shared" si="24"/>
        <v>320</v>
      </c>
      <c r="R96" s="124"/>
      <c r="S96" s="125"/>
      <c r="T96" s="125"/>
      <c r="U96" s="133"/>
      <c r="V96" s="2529"/>
      <c r="X96" s="152"/>
      <c r="Y96" s="152"/>
      <c r="Z96" s="152"/>
    </row>
    <row r="97" spans="1:26" s="151" customFormat="1">
      <c r="A97" s="2524"/>
      <c r="B97" s="33" t="s">
        <v>109</v>
      </c>
      <c r="C97" s="33" t="s">
        <v>42</v>
      </c>
      <c r="D97" s="159" t="s">
        <v>2</v>
      </c>
      <c r="E97" s="160">
        <v>120</v>
      </c>
      <c r="F97" s="161">
        <v>1.2</v>
      </c>
      <c r="G97" s="160">
        <v>1</v>
      </c>
      <c r="H97" s="68">
        <f t="shared" si="22"/>
        <v>144</v>
      </c>
      <c r="I97" s="162"/>
      <c r="J97" s="162"/>
      <c r="K97" s="160">
        <v>120</v>
      </c>
      <c r="L97" s="161">
        <v>1.2</v>
      </c>
      <c r="M97" s="160">
        <v>1</v>
      </c>
      <c r="N97" s="68">
        <f t="shared" si="23"/>
        <v>144</v>
      </c>
      <c r="O97" s="163"/>
      <c r="P97" s="163"/>
      <c r="Q97" s="68">
        <f t="shared" si="24"/>
        <v>288</v>
      </c>
      <c r="R97" s="124"/>
      <c r="S97" s="125"/>
      <c r="T97" s="125"/>
      <c r="U97" s="133"/>
      <c r="V97" s="2529"/>
      <c r="X97" s="152"/>
      <c r="Y97" s="152"/>
      <c r="Z97" s="152"/>
    </row>
    <row r="98" spans="1:26" s="151" customFormat="1">
      <c r="A98" s="2524"/>
      <c r="B98" s="33" t="s">
        <v>118</v>
      </c>
      <c r="C98" s="33" t="s">
        <v>40</v>
      </c>
      <c r="D98" s="159" t="s">
        <v>2</v>
      </c>
      <c r="E98" s="160">
        <v>4</v>
      </c>
      <c r="F98" s="161">
        <v>20</v>
      </c>
      <c r="G98" s="160">
        <v>16</v>
      </c>
      <c r="H98" s="68">
        <f t="shared" si="22"/>
        <v>1280</v>
      </c>
      <c r="I98" s="162"/>
      <c r="J98" s="162"/>
      <c r="K98" s="160">
        <v>4</v>
      </c>
      <c r="L98" s="161">
        <v>20</v>
      </c>
      <c r="M98" s="160">
        <v>16</v>
      </c>
      <c r="N98" s="68">
        <f t="shared" si="23"/>
        <v>1280</v>
      </c>
      <c r="O98" s="163"/>
      <c r="P98" s="163"/>
      <c r="Q98" s="68">
        <f t="shared" si="24"/>
        <v>2560</v>
      </c>
      <c r="R98" s="124"/>
      <c r="S98" s="125"/>
      <c r="T98" s="125"/>
      <c r="U98" s="133"/>
      <c r="V98" s="2529"/>
      <c r="X98" s="152"/>
      <c r="Y98" s="152"/>
      <c r="Z98" s="152"/>
    </row>
    <row r="99" spans="1:26" s="151" customFormat="1">
      <c r="A99" s="2524"/>
      <c r="B99" s="33" t="s">
        <v>45</v>
      </c>
      <c r="C99" s="33" t="s">
        <v>42</v>
      </c>
      <c r="D99" s="159" t="s">
        <v>2</v>
      </c>
      <c r="E99" s="160">
        <v>4</v>
      </c>
      <c r="F99" s="161">
        <v>15</v>
      </c>
      <c r="G99" s="160">
        <v>1</v>
      </c>
      <c r="H99" s="68">
        <f t="shared" si="22"/>
        <v>60</v>
      </c>
      <c r="I99" s="162"/>
      <c r="J99" s="162"/>
      <c r="K99" s="160">
        <v>4</v>
      </c>
      <c r="L99" s="161">
        <v>15</v>
      </c>
      <c r="M99" s="160">
        <v>1</v>
      </c>
      <c r="N99" s="68">
        <f t="shared" si="23"/>
        <v>60</v>
      </c>
      <c r="O99" s="163"/>
      <c r="P99" s="163"/>
      <c r="Q99" s="68">
        <f t="shared" si="24"/>
        <v>120</v>
      </c>
      <c r="R99" s="124"/>
      <c r="S99" s="125"/>
      <c r="T99" s="125"/>
      <c r="U99" s="133"/>
      <c r="V99" s="2530"/>
      <c r="X99" s="152"/>
      <c r="Y99" s="152"/>
      <c r="Z99" s="152"/>
    </row>
    <row r="100" spans="1:26" s="151" customFormat="1">
      <c r="A100" s="2524"/>
      <c r="B100" s="33"/>
      <c r="C100" s="33"/>
      <c r="D100" s="46" t="s">
        <v>47</v>
      </c>
      <c r="E100" s="46"/>
      <c r="F100" s="46"/>
      <c r="G100" s="46"/>
      <c r="H100" s="164">
        <f>SUM(H91:H99)</f>
        <v>5384</v>
      </c>
      <c r="I100" s="165">
        <v>0.5</v>
      </c>
      <c r="J100" s="165"/>
      <c r="K100" s="165"/>
      <c r="L100" s="165"/>
      <c r="M100" s="165"/>
      <c r="N100" s="164">
        <f>SUM(N91:N99)</f>
        <v>5384</v>
      </c>
      <c r="O100" s="166">
        <v>0.5</v>
      </c>
      <c r="P100" s="166"/>
      <c r="Q100" s="164">
        <f>SUM(Q91:Q99)</f>
        <v>10768</v>
      </c>
      <c r="R100" s="48">
        <v>0.5</v>
      </c>
      <c r="S100" s="47">
        <f>Q100*R100</f>
        <v>5384</v>
      </c>
      <c r="T100" s="47">
        <v>6687.72</v>
      </c>
      <c r="U100" s="51">
        <f>+T100/H100</f>
        <v>1.2421471025260029</v>
      </c>
      <c r="V100" s="48"/>
      <c r="X100" s="152"/>
      <c r="Y100" s="152"/>
      <c r="Z100" s="152"/>
    </row>
    <row r="101" spans="1:26" s="151" customFormat="1">
      <c r="A101" s="2524" t="s">
        <v>119</v>
      </c>
      <c r="B101" s="33" t="s">
        <v>73</v>
      </c>
      <c r="C101" s="33" t="s">
        <v>38</v>
      </c>
      <c r="D101" s="34" t="s">
        <v>2</v>
      </c>
      <c r="E101" s="130">
        <v>60</v>
      </c>
      <c r="F101" s="131">
        <v>40</v>
      </c>
      <c r="G101" s="130">
        <v>1</v>
      </c>
      <c r="H101" s="40">
        <f>E101*F101*G101</f>
        <v>2400</v>
      </c>
      <c r="I101" s="38"/>
      <c r="J101" s="38"/>
      <c r="K101" s="130"/>
      <c r="L101" s="131"/>
      <c r="M101" s="130"/>
      <c r="N101" s="40"/>
      <c r="O101" s="39"/>
      <c r="P101" s="39"/>
      <c r="Q101" s="40">
        <f>H101+N101</f>
        <v>2400</v>
      </c>
      <c r="R101" s="38"/>
      <c r="S101" s="80"/>
      <c r="T101" s="80"/>
      <c r="U101" s="80"/>
      <c r="V101" s="2525" t="s">
        <v>120</v>
      </c>
      <c r="X101" s="152"/>
      <c r="Y101" s="152"/>
      <c r="Z101" s="152"/>
    </row>
    <row r="102" spans="1:26" s="151" customFormat="1">
      <c r="A102" s="2524"/>
      <c r="B102" s="33" t="s">
        <v>121</v>
      </c>
      <c r="C102" s="33" t="s">
        <v>38</v>
      </c>
      <c r="D102" s="34" t="s">
        <v>2</v>
      </c>
      <c r="E102" s="35">
        <v>30</v>
      </c>
      <c r="F102" s="36">
        <v>40</v>
      </c>
      <c r="G102" s="35">
        <v>6</v>
      </c>
      <c r="H102" s="40">
        <f t="shared" ref="H102:H110" si="25">E102*F102*G102</f>
        <v>7200</v>
      </c>
      <c r="I102" s="38"/>
      <c r="J102" s="38"/>
      <c r="K102" s="35"/>
      <c r="L102" s="36"/>
      <c r="M102" s="35"/>
      <c r="N102" s="40"/>
      <c r="O102" s="39"/>
      <c r="P102" s="39"/>
      <c r="Q102" s="40">
        <f t="shared" ref="Q102:Q110" si="26">H102+N102</f>
        <v>7200</v>
      </c>
      <c r="R102" s="38"/>
      <c r="S102" s="80"/>
      <c r="T102" s="80"/>
      <c r="U102" s="80"/>
      <c r="V102" s="2526"/>
      <c r="X102" s="152"/>
      <c r="Y102" s="152"/>
      <c r="Z102" s="152"/>
    </row>
    <row r="103" spans="1:26" s="151" customFormat="1">
      <c r="A103" s="2524"/>
      <c r="B103" s="33" t="s">
        <v>95</v>
      </c>
      <c r="C103" s="33" t="s">
        <v>33</v>
      </c>
      <c r="D103" s="34" t="s">
        <v>2</v>
      </c>
      <c r="E103" s="35">
        <v>60</v>
      </c>
      <c r="F103" s="36">
        <v>15</v>
      </c>
      <c r="G103" s="35">
        <v>6</v>
      </c>
      <c r="H103" s="40">
        <f t="shared" si="25"/>
        <v>5400</v>
      </c>
      <c r="I103" s="38"/>
      <c r="J103" s="38"/>
      <c r="K103" s="35"/>
      <c r="L103" s="36"/>
      <c r="M103" s="35"/>
      <c r="N103" s="40"/>
      <c r="O103" s="39"/>
      <c r="P103" s="39"/>
      <c r="Q103" s="40">
        <f t="shared" si="26"/>
        <v>5400</v>
      </c>
      <c r="R103" s="38"/>
      <c r="S103" s="80"/>
      <c r="T103" s="80"/>
      <c r="U103" s="80"/>
      <c r="V103" s="2526"/>
      <c r="X103" s="152"/>
      <c r="Y103" s="152"/>
      <c r="Z103" s="152"/>
    </row>
    <row r="104" spans="1:26" s="151" customFormat="1">
      <c r="A104" s="2524"/>
      <c r="B104" s="33" t="s">
        <v>96</v>
      </c>
      <c r="C104" s="33" t="s">
        <v>33</v>
      </c>
      <c r="D104" s="34" t="s">
        <v>2</v>
      </c>
      <c r="E104" s="35">
        <v>1</v>
      </c>
      <c r="F104" s="36">
        <v>100</v>
      </c>
      <c r="G104" s="35">
        <v>6</v>
      </c>
      <c r="H104" s="40">
        <f t="shared" si="25"/>
        <v>600</v>
      </c>
      <c r="I104" s="38"/>
      <c r="J104" s="38"/>
      <c r="K104" s="35"/>
      <c r="L104" s="36"/>
      <c r="M104" s="35"/>
      <c r="N104" s="40"/>
      <c r="O104" s="39"/>
      <c r="P104" s="39"/>
      <c r="Q104" s="40">
        <f t="shared" si="26"/>
        <v>600</v>
      </c>
      <c r="R104" s="38"/>
      <c r="S104" s="80"/>
      <c r="T104" s="80"/>
      <c r="U104" s="80"/>
      <c r="V104" s="2526"/>
      <c r="X104" s="152"/>
      <c r="Y104" s="152"/>
      <c r="Z104" s="152"/>
    </row>
    <row r="105" spans="1:26" s="151" customFormat="1">
      <c r="A105" s="2524"/>
      <c r="B105" s="33" t="s">
        <v>122</v>
      </c>
      <c r="C105" s="33" t="s">
        <v>40</v>
      </c>
      <c r="D105" s="34" t="s">
        <v>2</v>
      </c>
      <c r="E105" s="35">
        <v>5</v>
      </c>
      <c r="F105" s="36">
        <v>20</v>
      </c>
      <c r="G105" s="35">
        <v>7</v>
      </c>
      <c r="H105" s="40">
        <f t="shared" si="25"/>
        <v>700</v>
      </c>
      <c r="I105" s="38"/>
      <c r="J105" s="38"/>
      <c r="K105" s="35"/>
      <c r="L105" s="36"/>
      <c r="M105" s="35"/>
      <c r="N105" s="40"/>
      <c r="O105" s="39"/>
      <c r="P105" s="39"/>
      <c r="Q105" s="40">
        <f t="shared" si="26"/>
        <v>700</v>
      </c>
      <c r="R105" s="38"/>
      <c r="S105" s="80"/>
      <c r="T105" s="80"/>
      <c r="U105" s="80"/>
      <c r="V105" s="2526"/>
      <c r="W105" s="167"/>
      <c r="X105" s="168"/>
      <c r="Y105" s="152"/>
      <c r="Z105" s="152"/>
    </row>
    <row r="106" spans="1:26" s="151" customFormat="1">
      <c r="A106" s="2524"/>
      <c r="B106" s="33" t="s">
        <v>98</v>
      </c>
      <c r="C106" s="33" t="s">
        <v>38</v>
      </c>
      <c r="D106" s="34" t="s">
        <v>2</v>
      </c>
      <c r="E106" s="35">
        <v>60</v>
      </c>
      <c r="F106" s="36">
        <v>10</v>
      </c>
      <c r="G106" s="35">
        <v>1</v>
      </c>
      <c r="H106" s="40">
        <f t="shared" si="25"/>
        <v>600</v>
      </c>
      <c r="I106" s="38"/>
      <c r="J106" s="38"/>
      <c r="K106" s="35"/>
      <c r="L106" s="36"/>
      <c r="M106" s="35"/>
      <c r="N106" s="40"/>
      <c r="O106" s="39"/>
      <c r="P106" s="39"/>
      <c r="Q106" s="40">
        <f t="shared" si="26"/>
        <v>600</v>
      </c>
      <c r="R106" s="38"/>
      <c r="S106" s="80"/>
      <c r="T106" s="80"/>
      <c r="U106" s="80"/>
      <c r="V106" s="2526"/>
      <c r="W106" s="167"/>
      <c r="X106" s="152"/>
      <c r="Y106" s="152"/>
      <c r="Z106" s="152"/>
    </row>
    <row r="107" spans="1:26" s="151" customFormat="1">
      <c r="A107" s="2524"/>
      <c r="B107" s="33" t="s">
        <v>123</v>
      </c>
      <c r="C107" s="33" t="s">
        <v>40</v>
      </c>
      <c r="D107" s="34" t="s">
        <v>2</v>
      </c>
      <c r="E107" s="35">
        <v>2</v>
      </c>
      <c r="F107" s="36">
        <v>500</v>
      </c>
      <c r="G107" s="35">
        <v>1</v>
      </c>
      <c r="H107" s="40">
        <f t="shared" si="25"/>
        <v>1000</v>
      </c>
      <c r="I107" s="38"/>
      <c r="J107" s="38"/>
      <c r="K107" s="35"/>
      <c r="L107" s="36"/>
      <c r="M107" s="35"/>
      <c r="N107" s="40"/>
      <c r="O107" s="39"/>
      <c r="P107" s="39"/>
      <c r="Q107" s="40">
        <f t="shared" si="26"/>
        <v>1000</v>
      </c>
      <c r="R107" s="38"/>
      <c r="S107" s="80"/>
      <c r="T107" s="80"/>
      <c r="U107" s="80"/>
      <c r="V107" s="2526"/>
      <c r="X107" s="152"/>
      <c r="Y107" s="152"/>
      <c r="Z107" s="152"/>
    </row>
    <row r="108" spans="1:26" s="151" customFormat="1">
      <c r="A108" s="2524"/>
      <c r="B108" s="33" t="s">
        <v>124</v>
      </c>
      <c r="C108" s="33" t="s">
        <v>33</v>
      </c>
      <c r="D108" s="34" t="s">
        <v>2</v>
      </c>
      <c r="E108" s="42">
        <v>2</v>
      </c>
      <c r="F108" s="43">
        <v>75</v>
      </c>
      <c r="G108" s="42">
        <v>10</v>
      </c>
      <c r="H108" s="40">
        <f t="shared" si="25"/>
        <v>1500</v>
      </c>
      <c r="I108" s="38"/>
      <c r="J108" s="38"/>
      <c r="K108" s="42"/>
      <c r="L108" s="43"/>
      <c r="M108" s="42"/>
      <c r="N108" s="40"/>
      <c r="O108" s="39"/>
      <c r="P108" s="39"/>
      <c r="Q108" s="40">
        <f t="shared" si="26"/>
        <v>1500</v>
      </c>
      <c r="R108" s="38"/>
      <c r="S108" s="80"/>
      <c r="T108" s="80"/>
      <c r="U108" s="80"/>
      <c r="V108" s="2526"/>
      <c r="X108" s="152"/>
      <c r="Y108" s="152"/>
      <c r="Z108" s="152"/>
    </row>
    <row r="109" spans="1:26" s="151" customFormat="1">
      <c r="A109" s="2524"/>
      <c r="B109" s="33" t="s">
        <v>99</v>
      </c>
      <c r="C109" s="33" t="s">
        <v>33</v>
      </c>
      <c r="D109" s="34" t="s">
        <v>2</v>
      </c>
      <c r="E109" s="42">
        <v>2</v>
      </c>
      <c r="F109" s="43">
        <v>75</v>
      </c>
      <c r="G109" s="42">
        <v>7</v>
      </c>
      <c r="H109" s="40">
        <f t="shared" si="25"/>
        <v>1050</v>
      </c>
      <c r="I109" s="38"/>
      <c r="J109" s="38"/>
      <c r="K109" s="42"/>
      <c r="L109" s="43"/>
      <c r="M109" s="42"/>
      <c r="N109" s="40"/>
      <c r="O109" s="39"/>
      <c r="P109" s="39"/>
      <c r="Q109" s="40">
        <f t="shared" si="26"/>
        <v>1050</v>
      </c>
      <c r="R109" s="38"/>
      <c r="S109" s="80"/>
      <c r="T109" s="80"/>
      <c r="U109" s="80"/>
      <c r="V109" s="2526"/>
      <c r="X109" s="152"/>
      <c r="Y109" s="152"/>
      <c r="Z109" s="152"/>
    </row>
    <row r="110" spans="1:26" s="151" customFormat="1">
      <c r="A110" s="2524"/>
      <c r="B110" s="33" t="s">
        <v>58</v>
      </c>
      <c r="C110" s="33" t="s">
        <v>42</v>
      </c>
      <c r="D110" s="34" t="s">
        <v>2</v>
      </c>
      <c r="E110" s="42">
        <v>150</v>
      </c>
      <c r="F110" s="43">
        <v>1.2</v>
      </c>
      <c r="G110" s="42">
        <v>1</v>
      </c>
      <c r="H110" s="40">
        <f t="shared" si="25"/>
        <v>180</v>
      </c>
      <c r="I110" s="38"/>
      <c r="J110" s="38"/>
      <c r="K110" s="42"/>
      <c r="L110" s="43"/>
      <c r="M110" s="42"/>
      <c r="N110" s="40"/>
      <c r="O110" s="39"/>
      <c r="P110" s="39"/>
      <c r="Q110" s="40">
        <f t="shared" si="26"/>
        <v>180</v>
      </c>
      <c r="R110" s="38"/>
      <c r="S110" s="80"/>
      <c r="T110" s="80"/>
      <c r="U110" s="80"/>
      <c r="V110" s="2527"/>
      <c r="X110" s="152"/>
      <c r="Y110" s="152"/>
      <c r="Z110" s="152"/>
    </row>
    <row r="111" spans="1:26" s="151" customFormat="1" ht="30.95" customHeight="1">
      <c r="A111" s="2524"/>
      <c r="B111" s="33"/>
      <c r="C111" s="33"/>
      <c r="D111" s="46" t="s">
        <v>61</v>
      </c>
      <c r="E111" s="136"/>
      <c r="F111" s="136"/>
      <c r="G111" s="136"/>
      <c r="H111" s="164">
        <f>SUM(H101:H110)</f>
        <v>20630</v>
      </c>
      <c r="I111" s="165">
        <v>0.15</v>
      </c>
      <c r="J111" s="165"/>
      <c r="K111" s="165"/>
      <c r="L111" s="165"/>
      <c r="M111" s="165"/>
      <c r="N111" s="164">
        <f>SUM(N101:N110)</f>
        <v>0</v>
      </c>
      <c r="O111" s="166">
        <v>0.15</v>
      </c>
      <c r="P111" s="166"/>
      <c r="Q111" s="164">
        <f>SUM(Q101:Q110)</f>
        <v>20630</v>
      </c>
      <c r="R111" s="48">
        <v>0.15</v>
      </c>
      <c r="S111" s="47">
        <f>Q111*R111</f>
        <v>3094.5</v>
      </c>
      <c r="T111" s="50">
        <v>48064.2</v>
      </c>
      <c r="U111" s="51">
        <f>+T111/H111</f>
        <v>2.3298206495395055</v>
      </c>
      <c r="V111" s="169"/>
      <c r="X111" s="152"/>
      <c r="Y111" s="152"/>
      <c r="Z111" s="152"/>
    </row>
    <row r="112" spans="1:26" s="151" customFormat="1" ht="25.5">
      <c r="A112" s="2531" t="s">
        <v>125</v>
      </c>
      <c r="B112" s="170" t="s">
        <v>126</v>
      </c>
      <c r="C112" s="33" t="s">
        <v>33</v>
      </c>
      <c r="D112" s="34" t="s">
        <v>2</v>
      </c>
      <c r="E112" s="55">
        <v>4</v>
      </c>
      <c r="F112" s="56">
        <v>15000</v>
      </c>
      <c r="G112" s="55">
        <v>1</v>
      </c>
      <c r="H112" s="68">
        <f>E112*F112*G112</f>
        <v>60000</v>
      </c>
      <c r="I112" s="54"/>
      <c r="J112" s="54"/>
      <c r="K112" s="54">
        <v>0</v>
      </c>
      <c r="L112" s="54">
        <v>0</v>
      </c>
      <c r="M112" s="54">
        <v>0</v>
      </c>
      <c r="N112" s="171">
        <v>0</v>
      </c>
      <c r="O112" s="57"/>
      <c r="P112" s="57"/>
      <c r="Q112" s="68">
        <f>H112+N112</f>
        <v>60000</v>
      </c>
      <c r="R112" s="54"/>
      <c r="S112" s="58"/>
      <c r="T112" s="58"/>
      <c r="U112" s="58"/>
      <c r="V112" s="172" t="s">
        <v>127</v>
      </c>
      <c r="X112" s="173"/>
      <c r="Y112" s="152"/>
      <c r="Z112" s="152"/>
    </row>
    <row r="113" spans="1:26" s="151" customFormat="1">
      <c r="A113" s="2532"/>
      <c r="B113" s="174"/>
      <c r="C113" s="174"/>
      <c r="D113" s="46" t="s">
        <v>61</v>
      </c>
      <c r="E113" s="175"/>
      <c r="F113" s="175"/>
      <c r="G113" s="175"/>
      <c r="H113" s="47">
        <f>SUM(H112)</f>
        <v>60000</v>
      </c>
      <c r="I113" s="48">
        <v>0.5</v>
      </c>
      <c r="J113" s="48"/>
      <c r="K113" s="48"/>
      <c r="L113" s="48"/>
      <c r="M113" s="48"/>
      <c r="N113" s="47">
        <f>SUM(N112)</f>
        <v>0</v>
      </c>
      <c r="O113" s="48"/>
      <c r="P113" s="48"/>
      <c r="Q113" s="47">
        <f>SUM(Q112)</f>
        <v>60000</v>
      </c>
      <c r="R113" s="48">
        <v>0.5</v>
      </c>
      <c r="S113" s="47">
        <f>Q113*R113</f>
        <v>30000</v>
      </c>
      <c r="T113" s="50">
        <v>0</v>
      </c>
      <c r="U113" s="50"/>
      <c r="V113" s="94"/>
      <c r="X113" s="152"/>
      <c r="Y113" s="152"/>
      <c r="Z113" s="152"/>
    </row>
    <row r="114" spans="1:26" s="151" customFormat="1">
      <c r="A114" s="138" t="s">
        <v>128</v>
      </c>
      <c r="B114" s="139"/>
      <c r="C114" s="139"/>
      <c r="D114" s="140"/>
      <c r="E114" s="140"/>
      <c r="F114" s="140"/>
      <c r="G114" s="141"/>
      <c r="H114" s="176">
        <f>+H90+H100+H111+H113</f>
        <v>89993</v>
      </c>
      <c r="I114" s="99"/>
      <c r="J114" s="99"/>
      <c r="K114" s="99"/>
      <c r="L114" s="99"/>
      <c r="M114" s="99"/>
      <c r="N114" s="176">
        <f>+N90+N100+N111+N113</f>
        <v>5384</v>
      </c>
      <c r="O114" s="99"/>
      <c r="P114" s="99"/>
      <c r="Q114" s="177">
        <f>+Q90+Q100+Q111+Q113</f>
        <v>95377</v>
      </c>
      <c r="R114" s="99"/>
      <c r="S114" s="98">
        <f>S90+S100+S111+S113</f>
        <v>39672.199999999997</v>
      </c>
      <c r="T114" s="98">
        <f>+T90+T100+T111+T113</f>
        <v>58795.299999999996</v>
      </c>
      <c r="U114" s="142">
        <f>+T114/H114</f>
        <v>0.65333192581645239</v>
      </c>
      <c r="V114" s="99" t="s">
        <v>129</v>
      </c>
      <c r="X114" s="152"/>
      <c r="Y114" s="152"/>
      <c r="Z114" s="178"/>
    </row>
    <row r="115" spans="1:26" s="151" customFormat="1" ht="21" customHeight="1">
      <c r="A115" s="103" t="s">
        <v>130</v>
      </c>
      <c r="B115" s="104"/>
      <c r="C115" s="104"/>
      <c r="D115" s="104"/>
      <c r="E115" s="104"/>
      <c r="F115" s="104"/>
      <c r="G115" s="104"/>
      <c r="H115" s="105"/>
      <c r="I115" s="105"/>
      <c r="J115" s="105"/>
      <c r="K115" s="105"/>
      <c r="L115" s="105"/>
      <c r="M115" s="105"/>
      <c r="N115" s="105"/>
      <c r="O115" s="105"/>
      <c r="P115" s="105"/>
      <c r="Q115" s="105"/>
      <c r="R115" s="105"/>
      <c r="S115" s="105"/>
      <c r="T115" s="105"/>
      <c r="U115" s="179"/>
      <c r="V115" s="106"/>
      <c r="X115" s="152"/>
      <c r="Y115" s="152"/>
      <c r="Z115" s="178"/>
    </row>
    <row r="116" spans="1:26" s="151" customFormat="1">
      <c r="A116" s="2466" t="s">
        <v>131</v>
      </c>
      <c r="B116" s="180" t="s">
        <v>53</v>
      </c>
      <c r="C116" s="180" t="s">
        <v>33</v>
      </c>
      <c r="D116" s="180" t="s">
        <v>2</v>
      </c>
      <c r="E116" s="181">
        <v>7</v>
      </c>
      <c r="F116" s="182">
        <v>20</v>
      </c>
      <c r="G116" s="181">
        <v>1</v>
      </c>
      <c r="H116" s="183">
        <f t="shared" ref="H116:H124" si="27">E116*F116*G116</f>
        <v>140</v>
      </c>
      <c r="I116" s="180"/>
      <c r="J116" s="180"/>
      <c r="K116" s="181">
        <v>7</v>
      </c>
      <c r="L116" s="182">
        <v>20</v>
      </c>
      <c r="M116" s="181">
        <v>1</v>
      </c>
      <c r="N116" s="183">
        <f t="shared" ref="N116:N124" si="28">K116*L116*M116</f>
        <v>140</v>
      </c>
      <c r="O116" s="184"/>
      <c r="P116" s="184"/>
      <c r="Q116" s="185">
        <f>H116+N116</f>
        <v>280</v>
      </c>
      <c r="R116" s="180"/>
      <c r="S116" s="180"/>
      <c r="T116" s="180"/>
      <c r="U116" s="133"/>
      <c r="V116" s="2533" t="s">
        <v>132</v>
      </c>
      <c r="X116" s="152"/>
      <c r="Y116" s="152"/>
      <c r="Z116" s="178"/>
    </row>
    <row r="117" spans="1:26" s="151" customFormat="1">
      <c r="A117" s="2467"/>
      <c r="B117" s="180" t="s">
        <v>133</v>
      </c>
      <c r="C117" s="180" t="s">
        <v>38</v>
      </c>
      <c r="D117" s="180" t="s">
        <v>2</v>
      </c>
      <c r="E117" s="181">
        <v>60</v>
      </c>
      <c r="F117" s="182">
        <v>20</v>
      </c>
      <c r="G117" s="181">
        <v>1</v>
      </c>
      <c r="H117" s="183">
        <f t="shared" si="27"/>
        <v>1200</v>
      </c>
      <c r="I117" s="180"/>
      <c r="J117" s="180"/>
      <c r="K117" s="181">
        <v>60</v>
      </c>
      <c r="L117" s="182">
        <v>20</v>
      </c>
      <c r="M117" s="181">
        <v>1</v>
      </c>
      <c r="N117" s="183">
        <f t="shared" si="28"/>
        <v>1200</v>
      </c>
      <c r="O117" s="184"/>
      <c r="P117" s="184"/>
      <c r="Q117" s="185">
        <f t="shared" ref="Q117:Q124" si="29">H117+N117</f>
        <v>2400</v>
      </c>
      <c r="R117" s="180"/>
      <c r="S117" s="180"/>
      <c r="T117" s="180"/>
      <c r="U117" s="133"/>
      <c r="V117" s="2534"/>
      <c r="X117" s="152"/>
      <c r="Y117" s="152"/>
      <c r="Z117" s="178"/>
    </row>
    <row r="118" spans="1:26" s="151" customFormat="1">
      <c r="A118" s="2467"/>
      <c r="B118" s="180" t="s">
        <v>95</v>
      </c>
      <c r="C118" s="180" t="s">
        <v>33</v>
      </c>
      <c r="D118" s="180" t="s">
        <v>2</v>
      </c>
      <c r="E118" s="181">
        <v>140</v>
      </c>
      <c r="F118" s="182">
        <v>10</v>
      </c>
      <c r="G118" s="181">
        <v>1</v>
      </c>
      <c r="H118" s="183">
        <f t="shared" si="27"/>
        <v>1400</v>
      </c>
      <c r="I118" s="180"/>
      <c r="J118" s="180"/>
      <c r="K118" s="181">
        <v>140</v>
      </c>
      <c r="L118" s="182">
        <v>10</v>
      </c>
      <c r="M118" s="181">
        <v>1</v>
      </c>
      <c r="N118" s="183">
        <f t="shared" si="28"/>
        <v>1400</v>
      </c>
      <c r="O118" s="184"/>
      <c r="P118" s="184"/>
      <c r="Q118" s="185">
        <f t="shared" si="29"/>
        <v>2800</v>
      </c>
      <c r="R118" s="180"/>
      <c r="S118" s="180"/>
      <c r="T118" s="180"/>
      <c r="U118" s="133"/>
      <c r="V118" s="2534"/>
      <c r="X118" s="152"/>
      <c r="Y118" s="152"/>
      <c r="Z118" s="178"/>
    </row>
    <row r="119" spans="1:26" s="151" customFormat="1">
      <c r="A119" s="2467"/>
      <c r="B119" s="180" t="s">
        <v>134</v>
      </c>
      <c r="C119" s="180" t="s">
        <v>38</v>
      </c>
      <c r="D119" s="180" t="s">
        <v>2</v>
      </c>
      <c r="E119" s="181">
        <v>80</v>
      </c>
      <c r="F119" s="182">
        <v>10</v>
      </c>
      <c r="G119" s="181">
        <v>1</v>
      </c>
      <c r="H119" s="183">
        <f t="shared" si="27"/>
        <v>800</v>
      </c>
      <c r="I119" s="180"/>
      <c r="J119" s="180"/>
      <c r="K119" s="181">
        <v>80</v>
      </c>
      <c r="L119" s="182">
        <v>10</v>
      </c>
      <c r="M119" s="181">
        <v>1</v>
      </c>
      <c r="N119" s="183">
        <f t="shared" si="28"/>
        <v>800</v>
      </c>
      <c r="O119" s="184"/>
      <c r="P119" s="184"/>
      <c r="Q119" s="185">
        <f t="shared" si="29"/>
        <v>1600</v>
      </c>
      <c r="R119" s="180"/>
      <c r="S119" s="180"/>
      <c r="T119" s="180"/>
      <c r="U119" s="133"/>
      <c r="V119" s="2534"/>
      <c r="X119" s="152"/>
      <c r="Y119" s="152"/>
      <c r="Z119" s="178"/>
    </row>
    <row r="120" spans="1:26" s="151" customFormat="1">
      <c r="A120" s="2467"/>
      <c r="B120" s="180" t="s">
        <v>135</v>
      </c>
      <c r="C120" s="180" t="s">
        <v>40</v>
      </c>
      <c r="D120" s="180" t="s">
        <v>2</v>
      </c>
      <c r="E120" s="181">
        <v>4</v>
      </c>
      <c r="F120" s="182">
        <v>20</v>
      </c>
      <c r="G120" s="181">
        <v>10</v>
      </c>
      <c r="H120" s="183">
        <f t="shared" si="27"/>
        <v>800</v>
      </c>
      <c r="I120" s="180"/>
      <c r="J120" s="180"/>
      <c r="K120" s="181">
        <v>4</v>
      </c>
      <c r="L120" s="182">
        <v>20</v>
      </c>
      <c r="M120" s="181">
        <v>10</v>
      </c>
      <c r="N120" s="183">
        <f t="shared" si="28"/>
        <v>800</v>
      </c>
      <c r="O120" s="184"/>
      <c r="P120" s="184"/>
      <c r="Q120" s="185">
        <f t="shared" si="29"/>
        <v>1600</v>
      </c>
      <c r="R120" s="180"/>
      <c r="S120" s="180"/>
      <c r="T120" s="180"/>
      <c r="U120" s="133"/>
      <c r="V120" s="2534"/>
      <c r="X120" s="152"/>
      <c r="Y120" s="152"/>
      <c r="Z120" s="178"/>
    </row>
    <row r="121" spans="1:26" s="151" customFormat="1">
      <c r="A121" s="2467"/>
      <c r="B121" s="180" t="s">
        <v>136</v>
      </c>
      <c r="C121" s="180" t="s">
        <v>40</v>
      </c>
      <c r="D121" s="180" t="s">
        <v>2</v>
      </c>
      <c r="E121" s="181">
        <v>3</v>
      </c>
      <c r="F121" s="182">
        <v>45</v>
      </c>
      <c r="G121" s="181">
        <v>1</v>
      </c>
      <c r="H121" s="183">
        <f t="shared" si="27"/>
        <v>135</v>
      </c>
      <c r="I121" s="180"/>
      <c r="J121" s="180"/>
      <c r="K121" s="181">
        <v>3</v>
      </c>
      <c r="L121" s="182">
        <v>45</v>
      </c>
      <c r="M121" s="181">
        <v>1</v>
      </c>
      <c r="N121" s="183">
        <f t="shared" si="28"/>
        <v>135</v>
      </c>
      <c r="O121" s="184"/>
      <c r="P121" s="184"/>
      <c r="Q121" s="185">
        <f t="shared" si="29"/>
        <v>270</v>
      </c>
      <c r="R121" s="180"/>
      <c r="S121" s="180"/>
      <c r="T121" s="180"/>
      <c r="U121" s="133"/>
      <c r="V121" s="2534"/>
      <c r="X121" s="152"/>
      <c r="Y121" s="152"/>
      <c r="Z121" s="178"/>
    </row>
    <row r="122" spans="1:26" s="151" customFormat="1">
      <c r="A122" s="2467"/>
      <c r="B122" s="180" t="s">
        <v>75</v>
      </c>
      <c r="C122" s="180" t="s">
        <v>42</v>
      </c>
      <c r="D122" s="180" t="s">
        <v>2</v>
      </c>
      <c r="E122" s="181">
        <v>150</v>
      </c>
      <c r="F122" s="182">
        <v>1.2</v>
      </c>
      <c r="G122" s="181">
        <v>1</v>
      </c>
      <c r="H122" s="183">
        <f t="shared" si="27"/>
        <v>180</v>
      </c>
      <c r="I122" s="180"/>
      <c r="J122" s="180"/>
      <c r="K122" s="181">
        <v>150</v>
      </c>
      <c r="L122" s="182">
        <v>1.2</v>
      </c>
      <c r="M122" s="181">
        <v>1</v>
      </c>
      <c r="N122" s="183">
        <f t="shared" si="28"/>
        <v>180</v>
      </c>
      <c r="O122" s="184"/>
      <c r="P122" s="184"/>
      <c r="Q122" s="185">
        <f t="shared" si="29"/>
        <v>360</v>
      </c>
      <c r="R122" s="180"/>
      <c r="S122" s="180"/>
      <c r="T122" s="180"/>
      <c r="U122" s="133"/>
      <c r="V122" s="2534"/>
      <c r="X122" s="152"/>
      <c r="Y122" s="152"/>
      <c r="Z122" s="178"/>
    </row>
    <row r="123" spans="1:26" s="151" customFormat="1">
      <c r="A123" s="2467"/>
      <c r="B123" s="180" t="s">
        <v>45</v>
      </c>
      <c r="C123" s="180" t="s">
        <v>42</v>
      </c>
      <c r="D123" s="180" t="s">
        <v>2</v>
      </c>
      <c r="E123" s="181">
        <v>5</v>
      </c>
      <c r="F123" s="182">
        <v>15</v>
      </c>
      <c r="G123" s="181">
        <v>1</v>
      </c>
      <c r="H123" s="183">
        <f t="shared" si="27"/>
        <v>75</v>
      </c>
      <c r="I123" s="180"/>
      <c r="J123" s="180"/>
      <c r="K123" s="181">
        <v>5</v>
      </c>
      <c r="L123" s="182">
        <v>15</v>
      </c>
      <c r="M123" s="181">
        <v>1</v>
      </c>
      <c r="N123" s="183">
        <f t="shared" si="28"/>
        <v>75</v>
      </c>
      <c r="O123" s="184"/>
      <c r="P123" s="184"/>
      <c r="Q123" s="185">
        <f t="shared" si="29"/>
        <v>150</v>
      </c>
      <c r="R123" s="180"/>
      <c r="S123" s="180"/>
      <c r="T123" s="180"/>
      <c r="U123" s="133"/>
      <c r="V123" s="2534"/>
      <c r="X123" s="152"/>
      <c r="Y123" s="152"/>
      <c r="Z123" s="178"/>
    </row>
    <row r="124" spans="1:26" s="151" customFormat="1">
      <c r="A124" s="2467"/>
      <c r="B124" s="180" t="s">
        <v>137</v>
      </c>
      <c r="C124" s="180" t="s">
        <v>38</v>
      </c>
      <c r="D124" s="180" t="s">
        <v>2</v>
      </c>
      <c r="E124" s="181">
        <v>140</v>
      </c>
      <c r="F124" s="182">
        <v>2</v>
      </c>
      <c r="G124" s="181">
        <v>1</v>
      </c>
      <c r="H124" s="183">
        <f t="shared" si="27"/>
        <v>280</v>
      </c>
      <c r="I124" s="180"/>
      <c r="J124" s="180"/>
      <c r="K124" s="181">
        <v>140</v>
      </c>
      <c r="L124" s="182">
        <v>2</v>
      </c>
      <c r="M124" s="181">
        <v>1</v>
      </c>
      <c r="N124" s="183">
        <f t="shared" si="28"/>
        <v>280</v>
      </c>
      <c r="O124" s="184"/>
      <c r="P124" s="184"/>
      <c r="Q124" s="185">
        <f t="shared" si="29"/>
        <v>560</v>
      </c>
      <c r="R124" s="180"/>
      <c r="S124" s="180"/>
      <c r="T124" s="180"/>
      <c r="U124" s="133"/>
      <c r="V124" s="2535"/>
      <c r="X124" s="152"/>
      <c r="Y124" s="152"/>
      <c r="Z124" s="178"/>
    </row>
    <row r="125" spans="1:26" s="151" customFormat="1">
      <c r="A125" s="2473"/>
      <c r="B125" s="186"/>
      <c r="C125" s="180"/>
      <c r="D125" s="46" t="s">
        <v>61</v>
      </c>
      <c r="E125" s="46"/>
      <c r="F125" s="46"/>
      <c r="G125" s="46"/>
      <c r="H125" s="187">
        <f>SUM(H116:H124)</f>
        <v>5010</v>
      </c>
      <c r="I125" s="188">
        <v>0.3</v>
      </c>
      <c r="J125" s="188"/>
      <c r="K125" s="46"/>
      <c r="L125" s="46"/>
      <c r="M125" s="46"/>
      <c r="N125" s="187">
        <f>SUM(N116:N124)</f>
        <v>5010</v>
      </c>
      <c r="O125" s="188">
        <v>0.3</v>
      </c>
      <c r="P125" s="188"/>
      <c r="Q125" s="187">
        <f>SUM(Q116:Q124)</f>
        <v>10020</v>
      </c>
      <c r="R125" s="188">
        <v>0.3</v>
      </c>
      <c r="S125" s="187">
        <f>Q125*R125</f>
        <v>3006</v>
      </c>
      <c r="T125" s="50">
        <v>0</v>
      </c>
      <c r="U125" s="51">
        <f>+T125/H125</f>
        <v>0</v>
      </c>
      <c r="V125" s="46"/>
      <c r="X125" s="152"/>
      <c r="Y125" s="152"/>
      <c r="Z125" s="178"/>
    </row>
    <row r="126" spans="1:26" s="151" customFormat="1">
      <c r="A126" s="2466" t="s">
        <v>138</v>
      </c>
      <c r="B126" s="186" t="s">
        <v>139</v>
      </c>
      <c r="C126" s="180" t="s">
        <v>33</v>
      </c>
      <c r="D126" s="180" t="s">
        <v>2</v>
      </c>
      <c r="E126" s="189">
        <v>5</v>
      </c>
      <c r="F126" s="190">
        <v>20</v>
      </c>
      <c r="G126" s="189">
        <v>1</v>
      </c>
      <c r="H126" s="191">
        <f>E126*F126*G126</f>
        <v>100</v>
      </c>
      <c r="I126" s="192"/>
      <c r="J126" s="192"/>
      <c r="K126" s="189">
        <v>5</v>
      </c>
      <c r="L126" s="190">
        <v>20</v>
      </c>
      <c r="M126" s="189">
        <v>1</v>
      </c>
      <c r="N126" s="191">
        <f>K126*L126*M126</f>
        <v>100</v>
      </c>
      <c r="O126" s="193"/>
      <c r="P126" s="193"/>
      <c r="Q126" s="194">
        <f>H126+N126</f>
        <v>200</v>
      </c>
      <c r="R126" s="192"/>
      <c r="S126" s="192"/>
      <c r="T126" s="192"/>
      <c r="U126" s="133"/>
      <c r="V126" s="2515" t="s">
        <v>140</v>
      </c>
      <c r="X126" s="152"/>
      <c r="Y126" s="152"/>
      <c r="Z126" s="178"/>
    </row>
    <row r="127" spans="1:26" s="151" customFormat="1">
      <c r="A127" s="2467"/>
      <c r="B127" s="180" t="s">
        <v>141</v>
      </c>
      <c r="C127" s="180" t="s">
        <v>38</v>
      </c>
      <c r="D127" s="180" t="s">
        <v>2</v>
      </c>
      <c r="E127" s="189">
        <v>200</v>
      </c>
      <c r="F127" s="190">
        <v>20</v>
      </c>
      <c r="G127" s="189">
        <v>1</v>
      </c>
      <c r="H127" s="191">
        <f t="shared" ref="H127:H133" si="30">E127*F127*G127</f>
        <v>4000</v>
      </c>
      <c r="I127" s="192"/>
      <c r="J127" s="192"/>
      <c r="K127" s="189">
        <v>250</v>
      </c>
      <c r="L127" s="190">
        <v>20</v>
      </c>
      <c r="M127" s="189">
        <v>1</v>
      </c>
      <c r="N127" s="191">
        <f t="shared" ref="N127:N133" si="31">K127*L127*M127</f>
        <v>5000</v>
      </c>
      <c r="O127" s="193"/>
      <c r="P127" s="193"/>
      <c r="Q127" s="194">
        <f t="shared" ref="Q127:Q133" si="32">H127+N127</f>
        <v>9000</v>
      </c>
      <c r="R127" s="192"/>
      <c r="S127" s="192"/>
      <c r="T127" s="192"/>
      <c r="U127" s="133"/>
      <c r="V127" s="2516"/>
      <c r="X127" s="152"/>
      <c r="Y127" s="152"/>
      <c r="Z127" s="178"/>
    </row>
    <row r="128" spans="1:26" s="151" customFormat="1">
      <c r="A128" s="2467"/>
      <c r="B128" s="180" t="s">
        <v>142</v>
      </c>
      <c r="C128" s="180" t="s">
        <v>33</v>
      </c>
      <c r="D128" s="180" t="s">
        <v>2</v>
      </c>
      <c r="E128" s="189">
        <v>200</v>
      </c>
      <c r="F128" s="190">
        <v>10</v>
      </c>
      <c r="G128" s="189">
        <v>1</v>
      </c>
      <c r="H128" s="191">
        <f t="shared" si="30"/>
        <v>2000</v>
      </c>
      <c r="I128" s="192"/>
      <c r="J128" s="192"/>
      <c r="K128" s="189">
        <v>250</v>
      </c>
      <c r="L128" s="190">
        <v>10</v>
      </c>
      <c r="M128" s="189">
        <v>1</v>
      </c>
      <c r="N128" s="191">
        <f t="shared" si="31"/>
        <v>2500</v>
      </c>
      <c r="O128" s="193"/>
      <c r="P128" s="193"/>
      <c r="Q128" s="194">
        <f t="shared" si="32"/>
        <v>4500</v>
      </c>
      <c r="R128" s="192"/>
      <c r="S128" s="192"/>
      <c r="T128" s="192"/>
      <c r="U128" s="133"/>
      <c r="V128" s="2516"/>
      <c r="X128" s="152"/>
      <c r="Y128" s="152"/>
      <c r="Z128" s="178"/>
    </row>
    <row r="129" spans="1:26" s="151" customFormat="1">
      <c r="A129" s="2467"/>
      <c r="B129" s="180" t="s">
        <v>137</v>
      </c>
      <c r="C129" s="180" t="s">
        <v>38</v>
      </c>
      <c r="D129" s="180" t="s">
        <v>2</v>
      </c>
      <c r="E129" s="189">
        <v>200</v>
      </c>
      <c r="F129" s="190">
        <v>2</v>
      </c>
      <c r="G129" s="189">
        <v>2</v>
      </c>
      <c r="H129" s="191">
        <f t="shared" si="30"/>
        <v>800</v>
      </c>
      <c r="I129" s="192"/>
      <c r="J129" s="192"/>
      <c r="K129" s="189">
        <v>250</v>
      </c>
      <c r="L129" s="190">
        <v>2</v>
      </c>
      <c r="M129" s="189">
        <v>2</v>
      </c>
      <c r="N129" s="191">
        <f t="shared" si="31"/>
        <v>1000</v>
      </c>
      <c r="O129" s="193"/>
      <c r="P129" s="193"/>
      <c r="Q129" s="194">
        <f t="shared" si="32"/>
        <v>1800</v>
      </c>
      <c r="R129" s="192"/>
      <c r="S129" s="192"/>
      <c r="T129" s="192"/>
      <c r="U129" s="133"/>
      <c r="V129" s="2516"/>
      <c r="X129" s="152"/>
      <c r="Y129" s="152"/>
      <c r="Z129" s="178"/>
    </row>
    <row r="130" spans="1:26" s="151" customFormat="1">
      <c r="A130" s="2467"/>
      <c r="B130" s="180" t="s">
        <v>135</v>
      </c>
      <c r="C130" s="180" t="s">
        <v>40</v>
      </c>
      <c r="D130" s="180" t="s">
        <v>2</v>
      </c>
      <c r="E130" s="189">
        <v>4</v>
      </c>
      <c r="F130" s="190">
        <v>20</v>
      </c>
      <c r="G130" s="189">
        <v>10</v>
      </c>
      <c r="H130" s="191">
        <f t="shared" si="30"/>
        <v>800</v>
      </c>
      <c r="I130" s="192"/>
      <c r="J130" s="192"/>
      <c r="K130" s="189">
        <v>4</v>
      </c>
      <c r="L130" s="190">
        <v>20</v>
      </c>
      <c r="M130" s="189">
        <v>10</v>
      </c>
      <c r="N130" s="191">
        <f t="shared" si="31"/>
        <v>800</v>
      </c>
      <c r="O130" s="193"/>
      <c r="P130" s="193"/>
      <c r="Q130" s="194">
        <f t="shared" si="32"/>
        <v>1600</v>
      </c>
      <c r="R130" s="192"/>
      <c r="S130" s="192"/>
      <c r="T130" s="192"/>
      <c r="U130" s="133"/>
      <c r="V130" s="2516"/>
      <c r="X130" s="152"/>
      <c r="Y130" s="152"/>
      <c r="Z130" s="178"/>
    </row>
    <row r="131" spans="1:26" s="151" customFormat="1">
      <c r="A131" s="2467"/>
      <c r="B131" s="180" t="s">
        <v>136</v>
      </c>
      <c r="C131" s="180" t="s">
        <v>40</v>
      </c>
      <c r="D131" s="180" t="s">
        <v>2</v>
      </c>
      <c r="E131" s="189">
        <v>1</v>
      </c>
      <c r="F131" s="190">
        <v>45</v>
      </c>
      <c r="G131" s="189">
        <v>4</v>
      </c>
      <c r="H131" s="191">
        <f t="shared" si="30"/>
        <v>180</v>
      </c>
      <c r="I131" s="192"/>
      <c r="J131" s="192"/>
      <c r="K131" s="189">
        <v>1</v>
      </c>
      <c r="L131" s="190">
        <v>50</v>
      </c>
      <c r="M131" s="189">
        <v>4</v>
      </c>
      <c r="N131" s="191">
        <f t="shared" si="31"/>
        <v>200</v>
      </c>
      <c r="O131" s="193"/>
      <c r="P131" s="193"/>
      <c r="Q131" s="194">
        <f t="shared" si="32"/>
        <v>380</v>
      </c>
      <c r="R131" s="192"/>
      <c r="S131" s="192"/>
      <c r="T131" s="192"/>
      <c r="U131" s="133"/>
      <c r="V131" s="2516"/>
      <c r="X131" s="152"/>
      <c r="Y131" s="152"/>
      <c r="Z131" s="178"/>
    </row>
    <row r="132" spans="1:26" s="151" customFormat="1">
      <c r="A132" s="2467"/>
      <c r="B132" s="180" t="s">
        <v>75</v>
      </c>
      <c r="C132" s="180" t="s">
        <v>42</v>
      </c>
      <c r="D132" s="180" t="s">
        <v>2</v>
      </c>
      <c r="E132" s="189">
        <v>80</v>
      </c>
      <c r="F132" s="190">
        <v>1.2</v>
      </c>
      <c r="G132" s="189">
        <v>5</v>
      </c>
      <c r="H132" s="191">
        <f t="shared" si="30"/>
        <v>480</v>
      </c>
      <c r="I132" s="192"/>
      <c r="J132" s="192"/>
      <c r="K132" s="189">
        <v>80</v>
      </c>
      <c r="L132" s="190">
        <v>1.2</v>
      </c>
      <c r="M132" s="189">
        <v>5</v>
      </c>
      <c r="N132" s="191">
        <f t="shared" si="31"/>
        <v>480</v>
      </c>
      <c r="O132" s="193"/>
      <c r="P132" s="193"/>
      <c r="Q132" s="194">
        <f t="shared" si="32"/>
        <v>960</v>
      </c>
      <c r="R132" s="192"/>
      <c r="S132" s="192"/>
      <c r="T132" s="192"/>
      <c r="U132" s="133"/>
      <c r="V132" s="2516"/>
      <c r="X132" s="152"/>
      <c r="Y132" s="152"/>
      <c r="Z132" s="178"/>
    </row>
    <row r="133" spans="1:26" s="151" customFormat="1">
      <c r="A133" s="2467"/>
      <c r="B133" s="180" t="s">
        <v>45</v>
      </c>
      <c r="C133" s="180" t="s">
        <v>42</v>
      </c>
      <c r="D133" s="180" t="s">
        <v>2</v>
      </c>
      <c r="E133" s="189">
        <v>5</v>
      </c>
      <c r="F133" s="190">
        <v>5</v>
      </c>
      <c r="G133" s="189">
        <v>5</v>
      </c>
      <c r="H133" s="191">
        <f t="shared" si="30"/>
        <v>125</v>
      </c>
      <c r="I133" s="192"/>
      <c r="J133" s="192"/>
      <c r="K133" s="189">
        <v>5</v>
      </c>
      <c r="L133" s="190">
        <v>5</v>
      </c>
      <c r="M133" s="189">
        <v>5</v>
      </c>
      <c r="N133" s="191">
        <f t="shared" si="31"/>
        <v>125</v>
      </c>
      <c r="O133" s="193"/>
      <c r="P133" s="193"/>
      <c r="Q133" s="194">
        <f t="shared" si="32"/>
        <v>250</v>
      </c>
      <c r="R133" s="192"/>
      <c r="S133" s="192"/>
      <c r="T133" s="192"/>
      <c r="U133" s="133"/>
      <c r="V133" s="2517"/>
      <c r="X133" s="152"/>
      <c r="Y133" s="152"/>
      <c r="Z133" s="178"/>
    </row>
    <row r="134" spans="1:26" s="151" customFormat="1">
      <c r="A134" s="2473"/>
      <c r="B134" s="195"/>
      <c r="C134" s="195"/>
      <c r="D134" s="46" t="s">
        <v>61</v>
      </c>
      <c r="E134" s="196"/>
      <c r="F134" s="196"/>
      <c r="G134" s="196"/>
      <c r="H134" s="197">
        <f>SUM(H126:H133)</f>
        <v>8485</v>
      </c>
      <c r="I134" s="198">
        <v>0.3</v>
      </c>
      <c r="J134" s="198"/>
      <c r="K134" s="196">
        <f>I131/2</f>
        <v>0</v>
      </c>
      <c r="L134" s="196"/>
      <c r="M134" s="196"/>
      <c r="N134" s="197">
        <f>SUM(N126:N133)</f>
        <v>10205</v>
      </c>
      <c r="O134" s="199">
        <v>0.3</v>
      </c>
      <c r="P134" s="199"/>
      <c r="Q134" s="197">
        <f>SUM(Q126:Q133)</f>
        <v>18690</v>
      </c>
      <c r="R134" s="198">
        <v>0.3</v>
      </c>
      <c r="S134" s="197">
        <f>Q134*R134</f>
        <v>5607</v>
      </c>
      <c r="T134" s="197">
        <v>0</v>
      </c>
      <c r="U134" s="51">
        <f>+T134/H134</f>
        <v>0</v>
      </c>
      <c r="V134" s="196"/>
      <c r="X134" s="152"/>
      <c r="Y134" s="152"/>
      <c r="Z134" s="178"/>
    </row>
    <row r="135" spans="1:26" s="151" customFormat="1">
      <c r="A135" s="2466" t="s">
        <v>143</v>
      </c>
      <c r="B135" s="180" t="s">
        <v>106</v>
      </c>
      <c r="C135" s="180" t="s">
        <v>33</v>
      </c>
      <c r="D135" s="180" t="s">
        <v>2</v>
      </c>
      <c r="E135" s="200">
        <v>3</v>
      </c>
      <c r="F135" s="201">
        <v>100</v>
      </c>
      <c r="G135" s="200">
        <v>1</v>
      </c>
      <c r="H135" s="202">
        <f>E135*F135*G135</f>
        <v>300</v>
      </c>
      <c r="I135" s="180"/>
      <c r="J135" s="180"/>
      <c r="K135" s="200">
        <v>3</v>
      </c>
      <c r="L135" s="201">
        <v>100</v>
      </c>
      <c r="M135" s="200">
        <v>1</v>
      </c>
      <c r="N135" s="202">
        <f>K135*L135*M135</f>
        <v>300</v>
      </c>
      <c r="O135" s="184"/>
      <c r="P135" s="184"/>
      <c r="Q135" s="185">
        <f>H135+N135</f>
        <v>600</v>
      </c>
      <c r="R135" s="180"/>
      <c r="S135" s="180"/>
      <c r="T135" s="180"/>
      <c r="U135" s="133"/>
      <c r="V135" s="2498" t="s">
        <v>144</v>
      </c>
      <c r="X135" s="152"/>
      <c r="Y135" s="152"/>
      <c r="Z135" s="178"/>
    </row>
    <row r="136" spans="1:26" s="151" customFormat="1">
      <c r="A136" s="2467"/>
      <c r="B136" s="186" t="s">
        <v>145</v>
      </c>
      <c r="C136" s="180" t="s">
        <v>33</v>
      </c>
      <c r="D136" s="180" t="s">
        <v>2</v>
      </c>
      <c r="E136" s="200">
        <v>150</v>
      </c>
      <c r="F136" s="201">
        <v>15</v>
      </c>
      <c r="G136" s="200">
        <v>3</v>
      </c>
      <c r="H136" s="202">
        <f t="shared" ref="H136:H147" si="33">E136*F136*G136</f>
        <v>6750</v>
      </c>
      <c r="I136" s="180"/>
      <c r="J136" s="180"/>
      <c r="K136" s="200">
        <v>150</v>
      </c>
      <c r="L136" s="201">
        <v>15</v>
      </c>
      <c r="M136" s="200">
        <v>3</v>
      </c>
      <c r="N136" s="202">
        <f t="shared" ref="N136:N147" si="34">K136*L136*M136</f>
        <v>6750</v>
      </c>
      <c r="O136" s="184"/>
      <c r="P136" s="184"/>
      <c r="Q136" s="185">
        <f t="shared" ref="Q136:Q147" si="35">H136+N136</f>
        <v>13500</v>
      </c>
      <c r="R136" s="180"/>
      <c r="S136" s="180"/>
      <c r="T136" s="180"/>
      <c r="U136" s="133"/>
      <c r="V136" s="2499"/>
      <c r="X136" s="152"/>
      <c r="Y136" s="152"/>
      <c r="Z136" s="178"/>
    </row>
    <row r="137" spans="1:26" s="151" customFormat="1">
      <c r="A137" s="2467"/>
      <c r="B137" s="186" t="s">
        <v>133</v>
      </c>
      <c r="C137" s="180" t="s">
        <v>38</v>
      </c>
      <c r="D137" s="180" t="s">
        <v>2</v>
      </c>
      <c r="E137" s="200">
        <v>75</v>
      </c>
      <c r="F137" s="201">
        <v>30</v>
      </c>
      <c r="G137" s="200">
        <v>1</v>
      </c>
      <c r="H137" s="202">
        <f t="shared" si="33"/>
        <v>2250</v>
      </c>
      <c r="I137" s="180"/>
      <c r="J137" s="180"/>
      <c r="K137" s="200">
        <v>75</v>
      </c>
      <c r="L137" s="201">
        <v>30</v>
      </c>
      <c r="M137" s="200">
        <v>1</v>
      </c>
      <c r="N137" s="202">
        <f t="shared" si="34"/>
        <v>2250</v>
      </c>
      <c r="O137" s="184"/>
      <c r="P137" s="184"/>
      <c r="Q137" s="185">
        <f t="shared" si="35"/>
        <v>4500</v>
      </c>
      <c r="R137" s="180"/>
      <c r="S137" s="180"/>
      <c r="T137" s="180"/>
      <c r="U137" s="133"/>
      <c r="V137" s="2499"/>
      <c r="X137" s="152"/>
      <c r="Y137" s="152"/>
      <c r="Z137" s="178"/>
    </row>
    <row r="138" spans="1:26" s="151" customFormat="1">
      <c r="A138" s="2467"/>
      <c r="B138" s="186" t="s">
        <v>146</v>
      </c>
      <c r="C138" s="180" t="s">
        <v>38</v>
      </c>
      <c r="D138" s="180" t="s">
        <v>2</v>
      </c>
      <c r="E138" s="200">
        <v>75</v>
      </c>
      <c r="F138" s="201">
        <v>20</v>
      </c>
      <c r="G138" s="200">
        <v>3</v>
      </c>
      <c r="H138" s="202">
        <f t="shared" si="33"/>
        <v>4500</v>
      </c>
      <c r="I138" s="180"/>
      <c r="J138" s="180"/>
      <c r="K138" s="200">
        <v>75</v>
      </c>
      <c r="L138" s="201">
        <v>20</v>
      </c>
      <c r="M138" s="200">
        <v>3</v>
      </c>
      <c r="N138" s="202">
        <f t="shared" si="34"/>
        <v>4500</v>
      </c>
      <c r="O138" s="184"/>
      <c r="P138" s="184"/>
      <c r="Q138" s="185">
        <f t="shared" si="35"/>
        <v>9000</v>
      </c>
      <c r="R138" s="180"/>
      <c r="S138" s="180"/>
      <c r="T138" s="180"/>
      <c r="U138" s="133"/>
      <c r="V138" s="2499"/>
      <c r="X138" s="152"/>
      <c r="Y138" s="152"/>
      <c r="Z138" s="178"/>
    </row>
    <row r="139" spans="1:26" s="151" customFormat="1">
      <c r="A139" s="2467"/>
      <c r="B139" s="186" t="s">
        <v>147</v>
      </c>
      <c r="C139" s="180" t="s">
        <v>38</v>
      </c>
      <c r="D139" s="180" t="s">
        <v>2</v>
      </c>
      <c r="E139" s="200">
        <v>25</v>
      </c>
      <c r="F139" s="201">
        <v>40</v>
      </c>
      <c r="G139" s="200">
        <v>1</v>
      </c>
      <c r="H139" s="202">
        <f t="shared" si="33"/>
        <v>1000</v>
      </c>
      <c r="I139" s="180"/>
      <c r="J139" s="180"/>
      <c r="K139" s="200">
        <v>25</v>
      </c>
      <c r="L139" s="201">
        <v>40</v>
      </c>
      <c r="M139" s="200">
        <v>1</v>
      </c>
      <c r="N139" s="202">
        <f t="shared" si="34"/>
        <v>1000</v>
      </c>
      <c r="O139" s="184"/>
      <c r="P139" s="184"/>
      <c r="Q139" s="185">
        <f t="shared" si="35"/>
        <v>2000</v>
      </c>
      <c r="R139" s="180"/>
      <c r="S139" s="180"/>
      <c r="T139" s="180"/>
      <c r="U139" s="133"/>
      <c r="V139" s="2499"/>
      <c r="X139" s="152"/>
      <c r="Y139" s="152"/>
      <c r="Z139" s="178"/>
    </row>
    <row r="140" spans="1:26" s="151" customFormat="1">
      <c r="A140" s="2467"/>
      <c r="B140" s="186" t="s">
        <v>148</v>
      </c>
      <c r="C140" s="180" t="s">
        <v>38</v>
      </c>
      <c r="D140" s="180" t="s">
        <v>2</v>
      </c>
      <c r="E140" s="200">
        <v>25</v>
      </c>
      <c r="F140" s="201">
        <v>25</v>
      </c>
      <c r="G140" s="200">
        <v>3</v>
      </c>
      <c r="H140" s="202">
        <f t="shared" si="33"/>
        <v>1875</v>
      </c>
      <c r="I140" s="180"/>
      <c r="J140" s="180"/>
      <c r="K140" s="200">
        <v>25</v>
      </c>
      <c r="L140" s="201">
        <v>25</v>
      </c>
      <c r="M140" s="200">
        <v>3</v>
      </c>
      <c r="N140" s="202">
        <f t="shared" si="34"/>
        <v>1875</v>
      </c>
      <c r="O140" s="184"/>
      <c r="P140" s="184"/>
      <c r="Q140" s="185">
        <f t="shared" si="35"/>
        <v>3750</v>
      </c>
      <c r="R140" s="180"/>
      <c r="S140" s="180"/>
      <c r="T140" s="180"/>
      <c r="U140" s="133"/>
      <c r="V140" s="2499"/>
      <c r="X140" s="152"/>
      <c r="Y140" s="152"/>
      <c r="Z140" s="178"/>
    </row>
    <row r="141" spans="1:26" s="151" customFormat="1">
      <c r="A141" s="2467"/>
      <c r="B141" s="186" t="s">
        <v>149</v>
      </c>
      <c r="C141" s="180" t="s">
        <v>38</v>
      </c>
      <c r="D141" s="180" t="s">
        <v>2</v>
      </c>
      <c r="E141" s="200">
        <v>50</v>
      </c>
      <c r="F141" s="201">
        <v>10</v>
      </c>
      <c r="G141" s="200">
        <v>1</v>
      </c>
      <c r="H141" s="202">
        <f t="shared" si="33"/>
        <v>500</v>
      </c>
      <c r="I141" s="180"/>
      <c r="J141" s="180"/>
      <c r="K141" s="200">
        <v>50</v>
      </c>
      <c r="L141" s="201">
        <v>10</v>
      </c>
      <c r="M141" s="200">
        <v>1</v>
      </c>
      <c r="N141" s="202">
        <f t="shared" si="34"/>
        <v>500</v>
      </c>
      <c r="O141" s="184"/>
      <c r="P141" s="184"/>
      <c r="Q141" s="185">
        <f t="shared" si="35"/>
        <v>1000</v>
      </c>
      <c r="R141" s="180"/>
      <c r="S141" s="180"/>
      <c r="T141" s="180"/>
      <c r="U141" s="133"/>
      <c r="V141" s="2499"/>
      <c r="X141" s="152"/>
      <c r="Y141" s="152"/>
      <c r="Z141" s="178"/>
    </row>
    <row r="142" spans="1:26" s="151" customFormat="1">
      <c r="A142" s="2467"/>
      <c r="B142" s="186" t="s">
        <v>150</v>
      </c>
      <c r="C142" s="180" t="s">
        <v>38</v>
      </c>
      <c r="D142" s="180" t="s">
        <v>2</v>
      </c>
      <c r="E142" s="200">
        <v>150</v>
      </c>
      <c r="F142" s="201">
        <v>2</v>
      </c>
      <c r="G142" s="200">
        <v>1</v>
      </c>
      <c r="H142" s="202">
        <f t="shared" si="33"/>
        <v>300</v>
      </c>
      <c r="I142" s="180"/>
      <c r="J142" s="180"/>
      <c r="K142" s="200">
        <v>150</v>
      </c>
      <c r="L142" s="201">
        <v>2</v>
      </c>
      <c r="M142" s="200">
        <v>1</v>
      </c>
      <c r="N142" s="202">
        <f t="shared" si="34"/>
        <v>300</v>
      </c>
      <c r="O142" s="184"/>
      <c r="P142" s="184"/>
      <c r="Q142" s="185">
        <f t="shared" si="35"/>
        <v>600</v>
      </c>
      <c r="R142" s="180"/>
      <c r="S142" s="180"/>
      <c r="T142" s="180"/>
      <c r="U142" s="133"/>
      <c r="V142" s="2499"/>
      <c r="W142" s="167"/>
      <c r="X142" s="152"/>
      <c r="Y142" s="152"/>
      <c r="Z142" s="178"/>
    </row>
    <row r="143" spans="1:26" s="151" customFormat="1">
      <c r="A143" s="2467"/>
      <c r="B143" s="186" t="s">
        <v>151</v>
      </c>
      <c r="C143" s="180" t="s">
        <v>40</v>
      </c>
      <c r="D143" s="180" t="s">
        <v>2</v>
      </c>
      <c r="E143" s="200">
        <v>8</v>
      </c>
      <c r="F143" s="201">
        <v>20</v>
      </c>
      <c r="G143" s="200">
        <v>4</v>
      </c>
      <c r="H143" s="202">
        <f t="shared" si="33"/>
        <v>640</v>
      </c>
      <c r="I143" s="180"/>
      <c r="J143" s="180"/>
      <c r="K143" s="200">
        <v>8</v>
      </c>
      <c r="L143" s="201">
        <v>20</v>
      </c>
      <c r="M143" s="200">
        <v>4</v>
      </c>
      <c r="N143" s="202">
        <f t="shared" si="34"/>
        <v>640</v>
      </c>
      <c r="O143" s="184"/>
      <c r="P143" s="184"/>
      <c r="Q143" s="185">
        <f t="shared" si="35"/>
        <v>1280</v>
      </c>
      <c r="R143" s="180"/>
      <c r="S143" s="180"/>
      <c r="T143" s="180"/>
      <c r="U143" s="133"/>
      <c r="V143" s="2499"/>
      <c r="X143" s="152"/>
      <c r="Y143" s="152"/>
      <c r="Z143" s="178"/>
    </row>
    <row r="144" spans="1:26" s="151" customFormat="1">
      <c r="A144" s="2467"/>
      <c r="B144" s="186" t="s">
        <v>152</v>
      </c>
      <c r="C144" s="180" t="s">
        <v>40</v>
      </c>
      <c r="D144" s="180" t="s">
        <v>2</v>
      </c>
      <c r="E144" s="200">
        <v>1</v>
      </c>
      <c r="F144" s="201">
        <v>45</v>
      </c>
      <c r="G144" s="200">
        <v>4</v>
      </c>
      <c r="H144" s="202">
        <f t="shared" si="33"/>
        <v>180</v>
      </c>
      <c r="I144" s="180"/>
      <c r="J144" s="180"/>
      <c r="K144" s="200">
        <v>1</v>
      </c>
      <c r="L144" s="201">
        <v>45</v>
      </c>
      <c r="M144" s="200">
        <v>4</v>
      </c>
      <c r="N144" s="202">
        <f t="shared" si="34"/>
        <v>180</v>
      </c>
      <c r="O144" s="184"/>
      <c r="P144" s="184"/>
      <c r="Q144" s="185">
        <f t="shared" si="35"/>
        <v>360</v>
      </c>
      <c r="R144" s="180"/>
      <c r="S144" s="180"/>
      <c r="T144" s="180"/>
      <c r="U144" s="133"/>
      <c r="V144" s="2499"/>
      <c r="W144" s="203"/>
      <c r="X144" s="204"/>
      <c r="Y144" s="152"/>
      <c r="Z144" s="178"/>
    </row>
    <row r="145" spans="1:26" s="151" customFormat="1">
      <c r="A145" s="2467"/>
      <c r="B145" s="186" t="s">
        <v>153</v>
      </c>
      <c r="C145" s="180" t="s">
        <v>33</v>
      </c>
      <c r="D145" s="180" t="s">
        <v>2</v>
      </c>
      <c r="E145" s="200">
        <v>4</v>
      </c>
      <c r="F145" s="201">
        <v>75</v>
      </c>
      <c r="G145" s="200">
        <v>1</v>
      </c>
      <c r="H145" s="202">
        <f t="shared" si="33"/>
        <v>300</v>
      </c>
      <c r="I145" s="180"/>
      <c r="J145" s="180"/>
      <c r="K145" s="200">
        <v>4</v>
      </c>
      <c r="L145" s="201">
        <v>75</v>
      </c>
      <c r="M145" s="200">
        <v>1</v>
      </c>
      <c r="N145" s="202">
        <f t="shared" si="34"/>
        <v>300</v>
      </c>
      <c r="O145" s="184"/>
      <c r="P145" s="184"/>
      <c r="Q145" s="185">
        <f t="shared" si="35"/>
        <v>600</v>
      </c>
      <c r="R145" s="180"/>
      <c r="S145" s="180"/>
      <c r="T145" s="180"/>
      <c r="U145" s="133"/>
      <c r="V145" s="2499"/>
      <c r="X145" s="152"/>
      <c r="Y145" s="152"/>
      <c r="Z145" s="178"/>
    </row>
    <row r="146" spans="1:26" s="151" customFormat="1">
      <c r="A146" s="2467"/>
      <c r="B146" s="186" t="s">
        <v>45</v>
      </c>
      <c r="C146" s="180" t="s">
        <v>42</v>
      </c>
      <c r="D146" s="180" t="s">
        <v>2</v>
      </c>
      <c r="E146" s="200">
        <v>10</v>
      </c>
      <c r="F146" s="201">
        <v>10</v>
      </c>
      <c r="G146" s="200">
        <v>1</v>
      </c>
      <c r="H146" s="202">
        <f t="shared" si="33"/>
        <v>100</v>
      </c>
      <c r="I146" s="180"/>
      <c r="J146" s="180"/>
      <c r="K146" s="200">
        <v>10</v>
      </c>
      <c r="L146" s="201">
        <v>10</v>
      </c>
      <c r="M146" s="200">
        <v>1</v>
      </c>
      <c r="N146" s="202">
        <f t="shared" si="34"/>
        <v>100</v>
      </c>
      <c r="O146" s="184"/>
      <c r="P146" s="184"/>
      <c r="Q146" s="185">
        <f t="shared" si="35"/>
        <v>200</v>
      </c>
      <c r="R146" s="180"/>
      <c r="S146" s="180"/>
      <c r="T146" s="180"/>
      <c r="U146" s="133"/>
      <c r="V146" s="2499"/>
      <c r="X146" s="152"/>
      <c r="Y146" s="152"/>
      <c r="Z146" s="178"/>
    </row>
    <row r="147" spans="1:26" s="151" customFormat="1">
      <c r="A147" s="2467"/>
      <c r="B147" s="186" t="s">
        <v>75</v>
      </c>
      <c r="C147" s="180" t="s">
        <v>42</v>
      </c>
      <c r="D147" s="180" t="s">
        <v>2</v>
      </c>
      <c r="E147" s="200">
        <v>150</v>
      </c>
      <c r="F147" s="201">
        <v>1.2</v>
      </c>
      <c r="G147" s="200">
        <v>1</v>
      </c>
      <c r="H147" s="202">
        <f t="shared" si="33"/>
        <v>180</v>
      </c>
      <c r="I147" s="180"/>
      <c r="J147" s="180"/>
      <c r="K147" s="200">
        <v>150</v>
      </c>
      <c r="L147" s="201">
        <v>1.2</v>
      </c>
      <c r="M147" s="200">
        <v>1</v>
      </c>
      <c r="N147" s="202">
        <f t="shared" si="34"/>
        <v>180</v>
      </c>
      <c r="O147" s="184"/>
      <c r="P147" s="184"/>
      <c r="Q147" s="185">
        <f t="shared" si="35"/>
        <v>360</v>
      </c>
      <c r="R147" s="180"/>
      <c r="S147" s="180"/>
      <c r="T147" s="180"/>
      <c r="U147" s="133"/>
      <c r="V147" s="2500"/>
      <c r="X147" s="152"/>
      <c r="Y147" s="152"/>
      <c r="Z147" s="178"/>
    </row>
    <row r="148" spans="1:26" s="151" customFormat="1">
      <c r="A148" s="2467"/>
      <c r="B148" s="205"/>
      <c r="C148" s="186"/>
      <c r="D148" s="46" t="s">
        <v>61</v>
      </c>
      <c r="E148" s="206"/>
      <c r="F148" s="206"/>
      <c r="G148" s="206"/>
      <c r="H148" s="207">
        <f>SUM(H135:H147)</f>
        <v>18875</v>
      </c>
      <c r="I148" s="208">
        <v>0.3</v>
      </c>
      <c r="J148" s="208"/>
      <c r="K148" s="206"/>
      <c r="L148" s="206"/>
      <c r="M148" s="206"/>
      <c r="N148" s="187">
        <f>SUM(N135:N147)</f>
        <v>18875</v>
      </c>
      <c r="O148" s="208">
        <v>0.3</v>
      </c>
      <c r="P148" s="208"/>
      <c r="Q148" s="187">
        <f>SUM(Q135:Q147)</f>
        <v>37750</v>
      </c>
      <c r="R148" s="208">
        <v>0.3</v>
      </c>
      <c r="S148" s="207">
        <f>Q148*R148</f>
        <v>11325</v>
      </c>
      <c r="T148" s="207">
        <v>18920.490000000002</v>
      </c>
      <c r="U148" s="51">
        <f>+T148/H148</f>
        <v>1.0024100662251656</v>
      </c>
      <c r="V148" s="206"/>
      <c r="X148" s="152"/>
      <c r="Y148" s="152"/>
      <c r="Z148" s="178"/>
    </row>
    <row r="149" spans="1:26" s="151" customFormat="1" ht="25.5">
      <c r="A149" s="209" t="s">
        <v>154</v>
      </c>
      <c r="B149" s="205" t="s">
        <v>155</v>
      </c>
      <c r="C149" s="180" t="s">
        <v>33</v>
      </c>
      <c r="D149" s="180" t="s">
        <v>2</v>
      </c>
      <c r="E149" s="210"/>
      <c r="F149" s="211"/>
      <c r="G149" s="210"/>
      <c r="H149" s="212"/>
      <c r="I149" s="213"/>
      <c r="J149" s="213"/>
      <c r="K149" s="210">
        <v>1</v>
      </c>
      <c r="L149" s="211">
        <v>57779</v>
      </c>
      <c r="M149" s="210">
        <v>1</v>
      </c>
      <c r="N149" s="202">
        <f>L149*M149</f>
        <v>57779</v>
      </c>
      <c r="O149" s="213"/>
      <c r="P149" s="213"/>
      <c r="Q149" s="202">
        <f>H149+N149</f>
        <v>57779</v>
      </c>
      <c r="R149" s="213"/>
      <c r="S149" s="213"/>
      <c r="T149" s="213"/>
      <c r="U149" s="133"/>
      <c r="V149" s="210" t="s">
        <v>156</v>
      </c>
      <c r="X149" s="168"/>
      <c r="Y149" s="152"/>
      <c r="Z149" s="178"/>
    </row>
    <row r="150" spans="1:26" s="151" customFormat="1">
      <c r="A150" s="205"/>
      <c r="B150" s="205"/>
      <c r="C150" s="180"/>
      <c r="D150" s="46" t="s">
        <v>61</v>
      </c>
      <c r="E150" s="206"/>
      <c r="F150" s="206"/>
      <c r="G150" s="206"/>
      <c r="H150" s="207">
        <f>SUM(H149)</f>
        <v>0</v>
      </c>
      <c r="I150" s="208">
        <v>0</v>
      </c>
      <c r="J150" s="208"/>
      <c r="K150" s="206"/>
      <c r="L150" s="206"/>
      <c r="M150" s="206"/>
      <c r="N150" s="187">
        <f>SUM(N149)</f>
        <v>57779</v>
      </c>
      <c r="O150" s="206"/>
      <c r="P150" s="206"/>
      <c r="Q150" s="214">
        <f>SUM(Q149)</f>
        <v>57779</v>
      </c>
      <c r="R150" s="208">
        <v>0.5</v>
      </c>
      <c r="S150" s="207">
        <f>Q150*R150</f>
        <v>28889.5</v>
      </c>
      <c r="T150" s="207">
        <v>0</v>
      </c>
      <c r="U150" s="51" t="e">
        <f>+T150/H150</f>
        <v>#DIV/0!</v>
      </c>
      <c r="V150" s="206"/>
      <c r="X150" s="152"/>
      <c r="Y150" s="152"/>
      <c r="Z150" s="178"/>
    </row>
    <row r="151" spans="1:26" s="151" customFormat="1">
      <c r="A151" s="138" t="s">
        <v>157</v>
      </c>
      <c r="B151" s="139"/>
      <c r="C151" s="139"/>
      <c r="D151" s="140"/>
      <c r="E151" s="140"/>
      <c r="F151" s="140"/>
      <c r="G151" s="141"/>
      <c r="H151" s="176">
        <f>+H125+H134+H148+H150</f>
        <v>32370</v>
      </c>
      <c r="I151" s="177"/>
      <c r="J151" s="177"/>
      <c r="K151" s="177"/>
      <c r="L151" s="177"/>
      <c r="M151" s="177"/>
      <c r="N151" s="176">
        <f>+N125+N134+N148+N150</f>
        <v>91869</v>
      </c>
      <c r="O151" s="177"/>
      <c r="P151" s="177"/>
      <c r="Q151" s="177">
        <f>+Q125+Q134+Q148+Q150</f>
        <v>124239</v>
      </c>
      <c r="R151" s="99"/>
      <c r="S151" s="98">
        <f>S125+S134+S148+S150</f>
        <v>48827.5</v>
      </c>
      <c r="T151" s="98">
        <f>+T125+T134+T148+T150</f>
        <v>18920.490000000002</v>
      </c>
      <c r="U151" s="142">
        <f>+T151/H151</f>
        <v>0.58450695088044491</v>
      </c>
      <c r="V151" s="99"/>
      <c r="X151" s="152"/>
      <c r="Y151" s="152"/>
      <c r="Z151" s="152"/>
    </row>
    <row r="152" spans="1:26" s="151" customFormat="1" ht="27" customHeight="1">
      <c r="A152" s="215" t="s">
        <v>158</v>
      </c>
      <c r="B152" s="216"/>
      <c r="C152" s="216"/>
      <c r="D152" s="216"/>
      <c r="E152" s="216"/>
      <c r="F152" s="216"/>
      <c r="G152" s="216"/>
      <c r="H152" s="216"/>
      <c r="I152" s="216"/>
      <c r="J152" s="216"/>
      <c r="K152" s="216"/>
      <c r="L152" s="216"/>
      <c r="M152" s="216"/>
      <c r="N152" s="216"/>
      <c r="O152" s="216"/>
      <c r="P152" s="216"/>
      <c r="Q152" s="216"/>
      <c r="R152" s="216"/>
      <c r="S152" s="216"/>
      <c r="T152" s="216"/>
      <c r="U152" s="216"/>
      <c r="V152" s="216"/>
      <c r="X152" s="152"/>
      <c r="Y152" s="152"/>
      <c r="Z152" s="152"/>
    </row>
    <row r="153" spans="1:26" s="151" customFormat="1">
      <c r="A153" s="2501" t="s">
        <v>159</v>
      </c>
      <c r="B153" s="33" t="s">
        <v>160</v>
      </c>
      <c r="C153" s="33" t="s">
        <v>33</v>
      </c>
      <c r="D153" s="55" t="s">
        <v>2</v>
      </c>
      <c r="E153" s="67">
        <v>5</v>
      </c>
      <c r="F153" s="70">
        <v>20</v>
      </c>
      <c r="G153" s="67">
        <v>3</v>
      </c>
      <c r="H153" s="68">
        <f>E153*F153*G153</f>
        <v>300</v>
      </c>
      <c r="I153" s="69"/>
      <c r="J153" s="69"/>
      <c r="K153" s="67">
        <v>5</v>
      </c>
      <c r="L153" s="70">
        <v>20</v>
      </c>
      <c r="M153" s="67">
        <v>3</v>
      </c>
      <c r="N153" s="68">
        <f>K153*L153*M153</f>
        <v>300</v>
      </c>
      <c r="O153" s="71"/>
      <c r="P153" s="71"/>
      <c r="Q153" s="68">
        <f>H153+N153</f>
        <v>600</v>
      </c>
      <c r="R153" s="54"/>
      <c r="S153" s="54"/>
      <c r="T153" s="54"/>
      <c r="U153" s="54"/>
      <c r="V153" s="2503" t="s">
        <v>161</v>
      </c>
      <c r="X153" s="152"/>
      <c r="Y153" s="152"/>
      <c r="Z153" s="152"/>
    </row>
    <row r="154" spans="1:26" s="151" customFormat="1">
      <c r="A154" s="2502"/>
      <c r="B154" s="33" t="s">
        <v>133</v>
      </c>
      <c r="C154" s="33" t="s">
        <v>38</v>
      </c>
      <c r="D154" s="55" t="s">
        <v>2</v>
      </c>
      <c r="E154" s="67">
        <v>65</v>
      </c>
      <c r="F154" s="70">
        <v>15</v>
      </c>
      <c r="G154" s="67">
        <v>1</v>
      </c>
      <c r="H154" s="68">
        <f t="shared" ref="H154:H160" si="36">E154*F154*G154</f>
        <v>975</v>
      </c>
      <c r="I154" s="69"/>
      <c r="J154" s="69"/>
      <c r="K154" s="67">
        <v>65</v>
      </c>
      <c r="L154" s="70">
        <v>15</v>
      </c>
      <c r="M154" s="67">
        <v>1</v>
      </c>
      <c r="N154" s="68">
        <f t="shared" ref="N154:N155" si="37">K154*L154*M154</f>
        <v>975</v>
      </c>
      <c r="O154" s="71"/>
      <c r="P154" s="71"/>
      <c r="Q154" s="68">
        <f t="shared" ref="Q154:Q162" si="38">H154+N154</f>
        <v>1950</v>
      </c>
      <c r="R154" s="54"/>
      <c r="S154" s="54"/>
      <c r="T154" s="54"/>
      <c r="U154" s="54"/>
      <c r="V154" s="2504"/>
      <c r="X154" s="152"/>
      <c r="Y154" s="152"/>
      <c r="Z154" s="152"/>
    </row>
    <row r="155" spans="1:26" s="151" customFormat="1">
      <c r="A155" s="2502"/>
      <c r="B155" s="33" t="s">
        <v>146</v>
      </c>
      <c r="C155" s="33" t="s">
        <v>38</v>
      </c>
      <c r="D155" s="55" t="s">
        <v>2</v>
      </c>
      <c r="E155" s="67">
        <v>65</v>
      </c>
      <c r="F155" s="70">
        <v>10</v>
      </c>
      <c r="G155" s="67">
        <v>3</v>
      </c>
      <c r="H155" s="68">
        <f t="shared" si="36"/>
        <v>1950</v>
      </c>
      <c r="I155" s="69"/>
      <c r="J155" s="69"/>
      <c r="K155" s="67">
        <v>65</v>
      </c>
      <c r="L155" s="70">
        <v>10</v>
      </c>
      <c r="M155" s="67">
        <v>3</v>
      </c>
      <c r="N155" s="68">
        <f t="shared" si="37"/>
        <v>1950</v>
      </c>
      <c r="O155" s="71"/>
      <c r="P155" s="71"/>
      <c r="Q155" s="68">
        <f t="shared" si="38"/>
        <v>3900</v>
      </c>
      <c r="R155" s="54"/>
      <c r="S155" s="54"/>
      <c r="T155" s="54"/>
      <c r="U155" s="54"/>
      <c r="V155" s="2504"/>
      <c r="X155" s="152"/>
      <c r="Y155" s="152"/>
      <c r="Z155" s="152"/>
    </row>
    <row r="156" spans="1:26" s="151" customFormat="1">
      <c r="A156" s="2502"/>
      <c r="B156" s="33" t="s">
        <v>162</v>
      </c>
      <c r="C156" s="33" t="s">
        <v>38</v>
      </c>
      <c r="D156" s="55" t="s">
        <v>2</v>
      </c>
      <c r="E156" s="67">
        <v>60</v>
      </c>
      <c r="F156" s="70">
        <v>10</v>
      </c>
      <c r="G156" s="67">
        <v>1</v>
      </c>
      <c r="H156" s="68">
        <f>E156*F156*G156</f>
        <v>600</v>
      </c>
      <c r="I156" s="69"/>
      <c r="J156" s="69"/>
      <c r="K156" s="67">
        <v>60</v>
      </c>
      <c r="L156" s="70">
        <v>10</v>
      </c>
      <c r="M156" s="67">
        <v>1</v>
      </c>
      <c r="N156" s="68">
        <f>K156*L156*M156</f>
        <v>600</v>
      </c>
      <c r="O156" s="71"/>
      <c r="P156" s="71"/>
      <c r="Q156" s="68">
        <f t="shared" si="38"/>
        <v>1200</v>
      </c>
      <c r="R156" s="54"/>
      <c r="S156" s="54"/>
      <c r="T156" s="54"/>
      <c r="U156" s="54"/>
      <c r="V156" s="2504"/>
      <c r="X156" s="152"/>
      <c r="Y156" s="152"/>
      <c r="Z156" s="152"/>
    </row>
    <row r="157" spans="1:26" s="151" customFormat="1">
      <c r="A157" s="2502"/>
      <c r="B157" s="33" t="s">
        <v>163</v>
      </c>
      <c r="C157" s="33" t="s">
        <v>33</v>
      </c>
      <c r="D157" s="55" t="s">
        <v>2</v>
      </c>
      <c r="E157" s="67">
        <v>125</v>
      </c>
      <c r="F157" s="70">
        <v>10</v>
      </c>
      <c r="G157" s="67">
        <v>3</v>
      </c>
      <c r="H157" s="68">
        <f t="shared" si="36"/>
        <v>3750</v>
      </c>
      <c r="I157" s="69"/>
      <c r="J157" s="69"/>
      <c r="K157" s="67">
        <v>125</v>
      </c>
      <c r="L157" s="70">
        <v>10</v>
      </c>
      <c r="M157" s="67">
        <v>3</v>
      </c>
      <c r="N157" s="68">
        <f t="shared" ref="N157:N160" si="39">K157*L157*M157</f>
        <v>3750</v>
      </c>
      <c r="O157" s="71"/>
      <c r="P157" s="71"/>
      <c r="Q157" s="68">
        <f t="shared" si="38"/>
        <v>7500</v>
      </c>
      <c r="R157" s="54"/>
      <c r="S157" s="54"/>
      <c r="T157" s="54"/>
      <c r="U157" s="54"/>
      <c r="V157" s="2504"/>
      <c r="X157" s="152"/>
      <c r="Y157" s="152"/>
      <c r="Z157" s="152"/>
    </row>
    <row r="158" spans="1:26" s="151" customFormat="1">
      <c r="A158" s="2502"/>
      <c r="B158" s="33" t="s">
        <v>164</v>
      </c>
      <c r="C158" s="33" t="s">
        <v>40</v>
      </c>
      <c r="D158" s="55" t="s">
        <v>2</v>
      </c>
      <c r="E158" s="67">
        <v>4</v>
      </c>
      <c r="F158" s="70">
        <v>20</v>
      </c>
      <c r="G158" s="67">
        <v>20</v>
      </c>
      <c r="H158" s="68">
        <f t="shared" si="36"/>
        <v>1600</v>
      </c>
      <c r="I158" s="69"/>
      <c r="J158" s="69"/>
      <c r="K158" s="67">
        <v>4</v>
      </c>
      <c r="L158" s="70">
        <v>20</v>
      </c>
      <c r="M158" s="67">
        <v>20</v>
      </c>
      <c r="N158" s="68">
        <f t="shared" si="39"/>
        <v>1600</v>
      </c>
      <c r="O158" s="71"/>
      <c r="P158" s="71"/>
      <c r="Q158" s="68">
        <f t="shared" si="38"/>
        <v>3200</v>
      </c>
      <c r="R158" s="54"/>
      <c r="S158" s="54"/>
      <c r="T158" s="54"/>
      <c r="U158" s="54"/>
      <c r="V158" s="2504"/>
      <c r="X158" s="152"/>
      <c r="Y158" s="152"/>
      <c r="Z158" s="152"/>
    </row>
    <row r="159" spans="1:26" s="151" customFormat="1">
      <c r="A159" s="2502"/>
      <c r="B159" s="33" t="s">
        <v>44</v>
      </c>
      <c r="C159" s="33" t="s">
        <v>40</v>
      </c>
      <c r="D159" s="55" t="s">
        <v>2</v>
      </c>
      <c r="E159" s="67">
        <v>1</v>
      </c>
      <c r="F159" s="70">
        <v>45</v>
      </c>
      <c r="G159" s="67">
        <v>5</v>
      </c>
      <c r="H159" s="68">
        <f t="shared" si="36"/>
        <v>225</v>
      </c>
      <c r="I159" s="69"/>
      <c r="J159" s="69"/>
      <c r="K159" s="67">
        <v>1</v>
      </c>
      <c r="L159" s="70">
        <v>45</v>
      </c>
      <c r="M159" s="67">
        <v>5</v>
      </c>
      <c r="N159" s="68">
        <f t="shared" si="39"/>
        <v>225</v>
      </c>
      <c r="O159" s="71"/>
      <c r="P159" s="71"/>
      <c r="Q159" s="68">
        <f t="shared" si="38"/>
        <v>450</v>
      </c>
      <c r="R159" s="54"/>
      <c r="S159" s="54"/>
      <c r="T159" s="54"/>
      <c r="U159" s="54"/>
      <c r="V159" s="2504"/>
      <c r="X159" s="152"/>
      <c r="Y159" s="152"/>
      <c r="Z159" s="152"/>
    </row>
    <row r="160" spans="1:26" s="151" customFormat="1">
      <c r="A160" s="2502"/>
      <c r="B160" s="33" t="s">
        <v>75</v>
      </c>
      <c r="C160" s="33" t="s">
        <v>42</v>
      </c>
      <c r="D160" s="55" t="s">
        <v>2</v>
      </c>
      <c r="E160" s="217">
        <v>120</v>
      </c>
      <c r="F160" s="218">
        <v>1.2</v>
      </c>
      <c r="G160" s="217">
        <v>1</v>
      </c>
      <c r="H160" s="219">
        <f t="shared" si="36"/>
        <v>144</v>
      </c>
      <c r="I160" s="220"/>
      <c r="J160" s="221"/>
      <c r="K160" s="222">
        <v>120</v>
      </c>
      <c r="L160" s="218">
        <v>1.2</v>
      </c>
      <c r="M160" s="222">
        <v>1</v>
      </c>
      <c r="N160" s="223">
        <f t="shared" si="39"/>
        <v>144</v>
      </c>
      <c r="O160" s="71"/>
      <c r="P160" s="71"/>
      <c r="Q160" s="68">
        <f t="shared" si="38"/>
        <v>288</v>
      </c>
      <c r="R160" s="54"/>
      <c r="S160" s="54"/>
      <c r="T160" s="54"/>
      <c r="U160" s="54"/>
      <c r="V160" s="2504"/>
      <c r="X160" s="152"/>
      <c r="Y160" s="152"/>
      <c r="Z160" s="152"/>
    </row>
    <row r="161" spans="1:26" s="151" customFormat="1">
      <c r="A161" s="2502"/>
      <c r="B161" s="33" t="s">
        <v>45</v>
      </c>
      <c r="C161" s="33" t="s">
        <v>42</v>
      </c>
      <c r="D161" s="55" t="s">
        <v>2</v>
      </c>
      <c r="E161" s="67">
        <v>4</v>
      </c>
      <c r="F161" s="70">
        <v>15</v>
      </c>
      <c r="G161" s="67">
        <v>1</v>
      </c>
      <c r="H161" s="68">
        <f>E161*F161*G161</f>
        <v>60</v>
      </c>
      <c r="I161" s="69"/>
      <c r="J161" s="69"/>
      <c r="K161" s="67">
        <v>4</v>
      </c>
      <c r="L161" s="70">
        <v>15</v>
      </c>
      <c r="M161" s="67">
        <v>1</v>
      </c>
      <c r="N161" s="68">
        <f>K161*L161*M161</f>
        <v>60</v>
      </c>
      <c r="O161" s="71"/>
      <c r="P161" s="71"/>
      <c r="Q161" s="68">
        <f t="shared" si="38"/>
        <v>120</v>
      </c>
      <c r="R161" s="54"/>
      <c r="S161" s="54"/>
      <c r="T161" s="54"/>
      <c r="U161" s="54"/>
      <c r="V161" s="2504"/>
      <c r="X161" s="152"/>
      <c r="Y161" s="152"/>
      <c r="Z161" s="152"/>
    </row>
    <row r="162" spans="1:26" s="151" customFormat="1">
      <c r="A162" s="2502"/>
      <c r="B162" s="33" t="s">
        <v>165</v>
      </c>
      <c r="C162" s="33" t="s">
        <v>33</v>
      </c>
      <c r="D162" s="55" t="s">
        <v>2</v>
      </c>
      <c r="E162" s="67">
        <v>2</v>
      </c>
      <c r="F162" s="70">
        <v>100</v>
      </c>
      <c r="G162" s="67">
        <v>15</v>
      </c>
      <c r="H162" s="68">
        <f>E162*F162*G162</f>
        <v>3000</v>
      </c>
      <c r="I162" s="69"/>
      <c r="J162" s="69"/>
      <c r="K162" s="67">
        <v>2</v>
      </c>
      <c r="L162" s="70">
        <v>100</v>
      </c>
      <c r="M162" s="67">
        <v>15</v>
      </c>
      <c r="N162" s="68">
        <f>K162*L162*M162</f>
        <v>3000</v>
      </c>
      <c r="O162" s="71"/>
      <c r="P162" s="71"/>
      <c r="Q162" s="68">
        <f t="shared" si="38"/>
        <v>6000</v>
      </c>
      <c r="R162" s="54"/>
      <c r="S162" s="54"/>
      <c r="T162" s="54"/>
      <c r="U162" s="54"/>
      <c r="V162" s="2505"/>
      <c r="X162" s="152"/>
      <c r="Y162" s="152"/>
      <c r="Z162" s="152"/>
    </row>
    <row r="163" spans="1:26" s="151" customFormat="1">
      <c r="A163" s="2502"/>
      <c r="B163" s="33"/>
      <c r="C163" s="33"/>
      <c r="D163" s="46" t="s">
        <v>61</v>
      </c>
      <c r="E163" s="46"/>
      <c r="F163" s="46"/>
      <c r="G163" s="46"/>
      <c r="H163" s="47">
        <f>SUM(H153:H162)</f>
        <v>12604</v>
      </c>
      <c r="I163" s="48">
        <v>0.5</v>
      </c>
      <c r="J163" s="48"/>
      <c r="K163" s="48"/>
      <c r="L163" s="48"/>
      <c r="M163" s="48"/>
      <c r="N163" s="47">
        <f>SUM(N153:N162)</f>
        <v>12604</v>
      </c>
      <c r="O163" s="49">
        <v>0.5</v>
      </c>
      <c r="P163" s="49"/>
      <c r="Q163" s="47">
        <f>SUM(Q153:Q162)</f>
        <v>25208</v>
      </c>
      <c r="R163" s="48">
        <v>0.5</v>
      </c>
      <c r="S163" s="48">
        <f>Q163*R163</f>
        <v>12604</v>
      </c>
      <c r="T163" s="224">
        <v>0</v>
      </c>
      <c r="U163" s="121">
        <f>+T163/H163</f>
        <v>0</v>
      </c>
      <c r="V163" s="48"/>
      <c r="X163" s="152"/>
      <c r="Y163" s="152"/>
      <c r="Z163" s="152"/>
    </row>
    <row r="164" spans="1:26" s="151" customFormat="1">
      <c r="A164" s="2506" t="s">
        <v>166</v>
      </c>
      <c r="B164" s="186" t="s">
        <v>167</v>
      </c>
      <c r="C164" s="186" t="s">
        <v>40</v>
      </c>
      <c r="D164" s="55" t="s">
        <v>2</v>
      </c>
      <c r="E164" s="225">
        <v>2</v>
      </c>
      <c r="F164" s="226">
        <v>50</v>
      </c>
      <c r="G164" s="225">
        <v>1</v>
      </c>
      <c r="H164" s="227">
        <f>E164*F164*G164</f>
        <v>100</v>
      </c>
      <c r="I164" s="186"/>
      <c r="J164" s="186"/>
      <c r="K164" s="225">
        <v>2</v>
      </c>
      <c r="L164" s="226">
        <v>50</v>
      </c>
      <c r="M164" s="225">
        <v>1</v>
      </c>
      <c r="N164" s="227">
        <f>K164*L164*M164</f>
        <v>100</v>
      </c>
      <c r="O164" s="186"/>
      <c r="P164" s="186"/>
      <c r="Q164" s="228">
        <f>H164+N164</f>
        <v>200</v>
      </c>
      <c r="R164" s="186"/>
      <c r="S164" s="186"/>
      <c r="T164" s="186"/>
      <c r="U164" s="186"/>
      <c r="V164" s="2507" t="s">
        <v>168</v>
      </c>
      <c r="X164" s="152"/>
      <c r="Y164" s="152"/>
      <c r="Z164" s="152"/>
    </row>
    <row r="165" spans="1:26" s="151" customFormat="1">
      <c r="A165" s="2506"/>
      <c r="B165" s="186" t="s">
        <v>58</v>
      </c>
      <c r="C165" s="186" t="s">
        <v>42</v>
      </c>
      <c r="D165" s="55" t="s">
        <v>2</v>
      </c>
      <c r="E165" s="225">
        <v>250</v>
      </c>
      <c r="F165" s="226">
        <v>1.2</v>
      </c>
      <c r="G165" s="225">
        <v>1</v>
      </c>
      <c r="H165" s="227">
        <f t="shared" ref="H165:H170" si="40">E165*F165*G165</f>
        <v>300</v>
      </c>
      <c r="I165" s="186"/>
      <c r="J165" s="186"/>
      <c r="K165" s="225">
        <v>250</v>
      </c>
      <c r="L165" s="226">
        <v>1.2</v>
      </c>
      <c r="M165" s="225">
        <v>1</v>
      </c>
      <c r="N165" s="227">
        <f t="shared" ref="N165:N170" si="41">K165*L165*M165</f>
        <v>300</v>
      </c>
      <c r="O165" s="186"/>
      <c r="P165" s="186"/>
      <c r="Q165" s="228">
        <f t="shared" ref="Q165:Q170" si="42">H165+N165</f>
        <v>600</v>
      </c>
      <c r="R165" s="186"/>
      <c r="S165" s="186"/>
      <c r="T165" s="186"/>
      <c r="U165" s="186"/>
      <c r="V165" s="2508"/>
      <c r="X165" s="152"/>
      <c r="Y165" s="152"/>
      <c r="Z165" s="152"/>
    </row>
    <row r="166" spans="1:26" s="151" customFormat="1">
      <c r="A166" s="2506"/>
      <c r="B166" s="186" t="s">
        <v>169</v>
      </c>
      <c r="C166" s="186" t="s">
        <v>42</v>
      </c>
      <c r="D166" s="55" t="s">
        <v>2</v>
      </c>
      <c r="E166" s="225">
        <v>2</v>
      </c>
      <c r="F166" s="226">
        <v>20</v>
      </c>
      <c r="G166" s="225">
        <v>1</v>
      </c>
      <c r="H166" s="227">
        <f t="shared" si="40"/>
        <v>40</v>
      </c>
      <c r="I166" s="186"/>
      <c r="J166" s="186"/>
      <c r="K166" s="225">
        <v>2</v>
      </c>
      <c r="L166" s="226">
        <v>20</v>
      </c>
      <c r="M166" s="225">
        <v>1</v>
      </c>
      <c r="N166" s="227">
        <f t="shared" si="41"/>
        <v>40</v>
      </c>
      <c r="O166" s="186"/>
      <c r="P166" s="186"/>
      <c r="Q166" s="228">
        <f t="shared" si="42"/>
        <v>80</v>
      </c>
      <c r="R166" s="186"/>
      <c r="S166" s="186"/>
      <c r="T166" s="186"/>
      <c r="U166" s="186"/>
      <c r="V166" s="2508"/>
      <c r="X166" s="152"/>
      <c r="Y166" s="152"/>
      <c r="Z166" s="152"/>
    </row>
    <row r="167" spans="1:26" s="151" customFormat="1">
      <c r="A167" s="2506"/>
      <c r="B167" s="186" t="s">
        <v>170</v>
      </c>
      <c r="C167" s="186" t="s">
        <v>42</v>
      </c>
      <c r="D167" s="55" t="s">
        <v>2</v>
      </c>
      <c r="E167" s="225">
        <v>1</v>
      </c>
      <c r="F167" s="226">
        <v>40</v>
      </c>
      <c r="G167" s="225">
        <v>1</v>
      </c>
      <c r="H167" s="227">
        <f t="shared" si="40"/>
        <v>40</v>
      </c>
      <c r="I167" s="186"/>
      <c r="J167" s="186"/>
      <c r="K167" s="225">
        <v>1</v>
      </c>
      <c r="L167" s="226">
        <v>40</v>
      </c>
      <c r="M167" s="225">
        <v>1</v>
      </c>
      <c r="N167" s="227">
        <f t="shared" si="41"/>
        <v>40</v>
      </c>
      <c r="O167" s="186"/>
      <c r="P167" s="186"/>
      <c r="Q167" s="228">
        <f t="shared" si="42"/>
        <v>80</v>
      </c>
      <c r="R167" s="186"/>
      <c r="S167" s="186"/>
      <c r="T167" s="186"/>
      <c r="U167" s="186"/>
      <c r="V167" s="2508"/>
      <c r="X167" s="152"/>
      <c r="Y167" s="152"/>
      <c r="Z167" s="152"/>
    </row>
    <row r="168" spans="1:26" s="151" customFormat="1">
      <c r="A168" s="2506"/>
      <c r="B168" s="186" t="s">
        <v>171</v>
      </c>
      <c r="C168" s="186" t="s">
        <v>40</v>
      </c>
      <c r="D168" s="55" t="s">
        <v>2</v>
      </c>
      <c r="E168" s="225">
        <v>2</v>
      </c>
      <c r="F168" s="226">
        <v>80</v>
      </c>
      <c r="G168" s="225">
        <v>10</v>
      </c>
      <c r="H168" s="227">
        <f t="shared" si="40"/>
        <v>1600</v>
      </c>
      <c r="I168" s="186"/>
      <c r="J168" s="186"/>
      <c r="K168" s="225">
        <v>2</v>
      </c>
      <c r="L168" s="226">
        <v>80</v>
      </c>
      <c r="M168" s="225">
        <v>10</v>
      </c>
      <c r="N168" s="227">
        <f t="shared" si="41"/>
        <v>1600</v>
      </c>
      <c r="O168" s="186"/>
      <c r="P168" s="186"/>
      <c r="Q168" s="228">
        <f t="shared" si="42"/>
        <v>3200</v>
      </c>
      <c r="R168" s="186"/>
      <c r="S168" s="186"/>
      <c r="T168" s="186"/>
      <c r="U168" s="186"/>
      <c r="V168" s="2508"/>
      <c r="X168" s="168"/>
      <c r="Y168" s="152"/>
      <c r="Z168" s="152"/>
    </row>
    <row r="169" spans="1:26" s="151" customFormat="1">
      <c r="A169" s="2506"/>
      <c r="B169" s="186" t="s">
        <v>172</v>
      </c>
      <c r="C169" s="186" t="s">
        <v>38</v>
      </c>
      <c r="D169" s="55" t="s">
        <v>2</v>
      </c>
      <c r="E169" s="225">
        <v>800</v>
      </c>
      <c r="F169" s="226">
        <v>12</v>
      </c>
      <c r="G169" s="225">
        <v>1</v>
      </c>
      <c r="H169" s="227">
        <f t="shared" si="40"/>
        <v>9600</v>
      </c>
      <c r="I169" s="186"/>
      <c r="J169" s="186"/>
      <c r="K169" s="225">
        <v>800</v>
      </c>
      <c r="L169" s="226">
        <v>12</v>
      </c>
      <c r="M169" s="225">
        <v>1</v>
      </c>
      <c r="N169" s="227">
        <f t="shared" si="41"/>
        <v>9600</v>
      </c>
      <c r="O169" s="186"/>
      <c r="P169" s="186"/>
      <c r="Q169" s="228">
        <f t="shared" si="42"/>
        <v>19200</v>
      </c>
      <c r="R169" s="186"/>
      <c r="S169" s="186"/>
      <c r="T169" s="186"/>
      <c r="U169" s="186"/>
      <c r="V169" s="2508"/>
      <c r="X169" s="152"/>
      <c r="Y169" s="152"/>
      <c r="Z169" s="152"/>
    </row>
    <row r="170" spans="1:26" s="151" customFormat="1">
      <c r="A170" s="2506"/>
      <c r="B170" s="186" t="s">
        <v>173</v>
      </c>
      <c r="C170" s="186" t="s">
        <v>38</v>
      </c>
      <c r="D170" s="55" t="s">
        <v>2</v>
      </c>
      <c r="E170" s="225">
        <v>8000</v>
      </c>
      <c r="F170" s="226">
        <v>0.5</v>
      </c>
      <c r="G170" s="225">
        <v>1</v>
      </c>
      <c r="H170" s="227">
        <f t="shared" si="40"/>
        <v>4000</v>
      </c>
      <c r="I170" s="186"/>
      <c r="J170" s="186"/>
      <c r="K170" s="225">
        <v>8000</v>
      </c>
      <c r="L170" s="226">
        <v>0.5</v>
      </c>
      <c r="M170" s="225">
        <v>1</v>
      </c>
      <c r="N170" s="227">
        <f t="shared" si="41"/>
        <v>4000</v>
      </c>
      <c r="O170" s="186"/>
      <c r="P170" s="186"/>
      <c r="Q170" s="228">
        <f t="shared" si="42"/>
        <v>8000</v>
      </c>
      <c r="R170" s="186"/>
      <c r="S170" s="186"/>
      <c r="T170" s="186"/>
      <c r="U170" s="186"/>
      <c r="V170" s="2509"/>
      <c r="X170" s="152"/>
      <c r="Y170" s="152"/>
      <c r="Z170" s="152"/>
    </row>
    <row r="171" spans="1:26" s="151" customFormat="1">
      <c r="A171" s="2506"/>
      <c r="B171" s="186"/>
      <c r="C171" s="186"/>
      <c r="D171" s="206" t="s">
        <v>61</v>
      </c>
      <c r="E171" s="206"/>
      <c r="F171" s="206"/>
      <c r="G171" s="206"/>
      <c r="H171" s="207">
        <f>SUM(H164:H170)</f>
        <v>15680</v>
      </c>
      <c r="I171" s="208">
        <v>0.3</v>
      </c>
      <c r="J171" s="208"/>
      <c r="K171" s="206"/>
      <c r="L171" s="206"/>
      <c r="M171" s="206"/>
      <c r="N171" s="207">
        <f>SUM(N164:N170)</f>
        <v>15680</v>
      </c>
      <c r="O171" s="208">
        <v>0.3</v>
      </c>
      <c r="P171" s="208"/>
      <c r="Q171" s="207">
        <f>SUM(Q164:Q170)</f>
        <v>31360</v>
      </c>
      <c r="R171" s="208">
        <v>0.3</v>
      </c>
      <c r="S171" s="207">
        <f>Q171*R171</f>
        <v>9408</v>
      </c>
      <c r="T171" s="224">
        <v>0</v>
      </c>
      <c r="U171" s="207"/>
      <c r="V171" s="206"/>
      <c r="X171" s="152"/>
      <c r="Y171" s="152"/>
      <c r="Z171" s="152"/>
    </row>
    <row r="172" spans="1:26" s="151" customFormat="1">
      <c r="A172" s="2501" t="s">
        <v>174</v>
      </c>
      <c r="B172" s="186" t="s">
        <v>175</v>
      </c>
      <c r="C172" s="33" t="s">
        <v>33</v>
      </c>
      <c r="D172" s="55" t="s">
        <v>2</v>
      </c>
      <c r="E172" s="159">
        <v>16</v>
      </c>
      <c r="F172" s="229">
        <v>120</v>
      </c>
      <c r="G172" s="159">
        <v>1</v>
      </c>
      <c r="H172" s="230">
        <f>E172*F172*G172</f>
        <v>1920</v>
      </c>
      <c r="I172" s="231"/>
      <c r="J172" s="231"/>
      <c r="K172" s="159">
        <v>16</v>
      </c>
      <c r="L172" s="229">
        <v>120</v>
      </c>
      <c r="M172" s="159">
        <v>1</v>
      </c>
      <c r="N172" s="232">
        <f>K172*L172*M172</f>
        <v>1920</v>
      </c>
      <c r="O172" s="233"/>
      <c r="P172" s="233"/>
      <c r="Q172" s="232">
        <f>H172+N172</f>
        <v>3840</v>
      </c>
      <c r="R172" s="231"/>
      <c r="S172" s="231"/>
      <c r="T172" s="231"/>
      <c r="U172" s="231"/>
      <c r="V172" s="159" t="s">
        <v>176</v>
      </c>
      <c r="X172" s="168"/>
      <c r="Y172" s="152"/>
      <c r="Z172" s="152"/>
    </row>
    <row r="173" spans="1:26" s="151" customFormat="1">
      <c r="A173" s="2502"/>
      <c r="B173" s="186"/>
      <c r="C173" s="186"/>
      <c r="D173" s="55" t="s">
        <v>2</v>
      </c>
      <c r="E173" s="159"/>
      <c r="F173" s="229"/>
      <c r="G173" s="159"/>
      <c r="H173" s="230"/>
      <c r="I173" s="231"/>
      <c r="J173" s="231"/>
      <c r="K173" s="159"/>
      <c r="L173" s="229"/>
      <c r="M173" s="159"/>
      <c r="N173" s="232"/>
      <c r="O173" s="233"/>
      <c r="P173" s="233"/>
      <c r="Q173" s="234"/>
      <c r="R173" s="231"/>
      <c r="S173" s="231"/>
      <c r="T173" s="231"/>
      <c r="U173" s="231"/>
      <c r="V173" s="231"/>
      <c r="X173" s="152"/>
      <c r="Y173" s="152"/>
      <c r="Z173" s="152"/>
    </row>
    <row r="174" spans="1:26" s="151" customFormat="1">
      <c r="A174" s="2510"/>
      <c r="B174" s="186"/>
      <c r="C174" s="186"/>
      <c r="D174" s="46" t="s">
        <v>61</v>
      </c>
      <c r="E174" s="46"/>
      <c r="F174" s="46"/>
      <c r="G174" s="46"/>
      <c r="H174" s="187">
        <f>SUM(H172:H173)</f>
        <v>1920</v>
      </c>
      <c r="I174" s="188">
        <v>0.5</v>
      </c>
      <c r="J174" s="188"/>
      <c r="K174" s="46"/>
      <c r="L174" s="46"/>
      <c r="M174" s="46"/>
      <c r="N174" s="235">
        <f>SUM(N172:N173)</f>
        <v>1920</v>
      </c>
      <c r="O174" s="236">
        <v>0.5</v>
      </c>
      <c r="P174" s="236"/>
      <c r="Q174" s="235">
        <f>SUM(Q172:Q173)</f>
        <v>3840</v>
      </c>
      <c r="R174" s="188">
        <v>0.5</v>
      </c>
      <c r="S174" s="187">
        <f>Q174*R174</f>
        <v>1920</v>
      </c>
      <c r="T174" s="224">
        <v>0</v>
      </c>
      <c r="U174" s="187"/>
      <c r="V174" s="46"/>
      <c r="X174" s="152"/>
      <c r="Y174" s="152"/>
      <c r="Z174" s="152"/>
    </row>
    <row r="175" spans="1:26" s="151" customFormat="1">
      <c r="A175" s="2501" t="s">
        <v>177</v>
      </c>
      <c r="B175" s="186" t="s">
        <v>178</v>
      </c>
      <c r="C175" s="33" t="s">
        <v>33</v>
      </c>
      <c r="D175" s="55" t="s">
        <v>2</v>
      </c>
      <c r="E175" s="159">
        <v>1</v>
      </c>
      <c r="F175" s="229"/>
      <c r="G175" s="159">
        <v>1</v>
      </c>
      <c r="H175" s="230">
        <f>E175*F175*G175</f>
        <v>0</v>
      </c>
      <c r="I175" s="231"/>
      <c r="J175" s="231"/>
      <c r="K175" s="159"/>
      <c r="L175" s="229"/>
      <c r="M175" s="159"/>
      <c r="N175" s="230"/>
      <c r="O175" s="231"/>
      <c r="P175" s="231"/>
      <c r="Q175" s="237"/>
      <c r="R175" s="231"/>
      <c r="S175" s="231"/>
      <c r="T175" s="231"/>
      <c r="U175" s="231"/>
      <c r="V175" s="231"/>
      <c r="X175" s="152"/>
      <c r="Y175" s="152"/>
      <c r="Z175" s="152"/>
    </row>
    <row r="176" spans="1:26" s="151" customFormat="1">
      <c r="A176" s="2502"/>
      <c r="B176" s="186"/>
      <c r="C176" s="186"/>
      <c r="D176" s="55" t="s">
        <v>2</v>
      </c>
      <c r="E176" s="159"/>
      <c r="F176" s="229"/>
      <c r="G176" s="159"/>
      <c r="H176" s="230"/>
      <c r="I176" s="231"/>
      <c r="J176" s="231"/>
      <c r="K176" s="159"/>
      <c r="L176" s="229"/>
      <c r="M176" s="159"/>
      <c r="N176" s="230"/>
      <c r="O176" s="231"/>
      <c r="P176" s="231"/>
      <c r="Q176" s="237"/>
      <c r="R176" s="231"/>
      <c r="S176" s="231"/>
      <c r="T176" s="231"/>
      <c r="U176" s="231"/>
      <c r="V176" s="231"/>
      <c r="X176" s="152"/>
      <c r="Y176" s="152"/>
      <c r="Z176" s="152"/>
    </row>
    <row r="177" spans="1:26" s="151" customFormat="1">
      <c r="A177" s="2502"/>
      <c r="B177" s="186"/>
      <c r="C177" s="186"/>
      <c r="D177" s="55" t="s">
        <v>2</v>
      </c>
      <c r="E177" s="159"/>
      <c r="F177" s="229"/>
      <c r="G177" s="238"/>
      <c r="H177" s="230"/>
      <c r="I177" s="231"/>
      <c r="J177" s="231"/>
      <c r="K177" s="159"/>
      <c r="L177" s="229"/>
      <c r="M177" s="159"/>
      <c r="N177" s="230"/>
      <c r="O177" s="231"/>
      <c r="P177" s="231"/>
      <c r="Q177" s="237"/>
      <c r="R177" s="231"/>
      <c r="S177" s="231"/>
      <c r="T177" s="231"/>
      <c r="U177" s="231"/>
      <c r="V177" s="231"/>
      <c r="X177" s="152"/>
      <c r="Y177" s="152"/>
      <c r="Z177" s="152"/>
    </row>
    <row r="178" spans="1:26" s="151" customFormat="1">
      <c r="A178" s="2502"/>
      <c r="B178" s="205"/>
      <c r="C178" s="205"/>
      <c r="D178" s="206" t="s">
        <v>61</v>
      </c>
      <c r="E178" s="206"/>
      <c r="F178" s="206"/>
      <c r="G178" s="206"/>
      <c r="H178" s="207">
        <f>SUM(H175:H177)</f>
        <v>0</v>
      </c>
      <c r="I178" s="208">
        <v>0.15</v>
      </c>
      <c r="J178" s="208"/>
      <c r="K178" s="206"/>
      <c r="L178" s="206"/>
      <c r="M178" s="206"/>
      <c r="N178" s="207">
        <f>SUM(N175:N177)</f>
        <v>0</v>
      </c>
      <c r="O178" s="206"/>
      <c r="P178" s="206"/>
      <c r="Q178" s="207">
        <f>SUM(Q175:Q177)</f>
        <v>0</v>
      </c>
      <c r="R178" s="208">
        <v>0.15</v>
      </c>
      <c r="S178" s="207">
        <f>Q178*R178</f>
        <v>0</v>
      </c>
      <c r="T178" s="224">
        <v>0</v>
      </c>
      <c r="U178" s="207"/>
      <c r="V178" s="206"/>
      <c r="X178" s="152"/>
      <c r="Y178" s="152"/>
      <c r="Z178" s="152"/>
    </row>
    <row r="179" spans="1:26" s="151" customFormat="1">
      <c r="A179" s="239" t="s">
        <v>179</v>
      </c>
      <c r="B179" s="240"/>
      <c r="C179" s="240"/>
      <c r="D179" s="240"/>
      <c r="E179" s="240"/>
      <c r="F179" s="240"/>
      <c r="G179" s="241"/>
      <c r="H179" s="242">
        <f>+H163+H171+H174+H178</f>
        <v>30204</v>
      </c>
      <c r="I179" s="243"/>
      <c r="J179" s="243"/>
      <c r="K179" s="240"/>
      <c r="L179" s="240"/>
      <c r="M179" s="240"/>
      <c r="N179" s="242">
        <f>+N163+N171+N174+N178</f>
        <v>30204</v>
      </c>
      <c r="O179" s="240"/>
      <c r="P179" s="244"/>
      <c r="Q179" s="242">
        <f>+Q163+Q171+Q174+Q178</f>
        <v>60408</v>
      </c>
      <c r="R179" s="245"/>
      <c r="S179" s="242">
        <f>S178+S174+S171+S163</f>
        <v>23932</v>
      </c>
      <c r="T179" s="246">
        <f>+T163+T171+T174+T178</f>
        <v>0</v>
      </c>
      <c r="U179" s="246"/>
      <c r="V179" s="247"/>
      <c r="X179" s="152"/>
      <c r="Y179" s="152"/>
      <c r="Z179" s="152"/>
    </row>
    <row r="180" spans="1:26" s="151" customFormat="1">
      <c r="A180" s="2511" t="s">
        <v>180</v>
      </c>
      <c r="B180" s="2512"/>
      <c r="C180" s="248"/>
      <c r="D180" s="144"/>
      <c r="E180" s="144"/>
      <c r="F180" s="144"/>
      <c r="G180" s="144"/>
      <c r="H180" s="249">
        <f>+H114+H151+H179</f>
        <v>152567</v>
      </c>
      <c r="I180" s="250"/>
      <c r="J180" s="249">
        <f>J114+J151+J179</f>
        <v>0</v>
      </c>
      <c r="K180" s="249"/>
      <c r="L180" s="249"/>
      <c r="M180" s="249"/>
      <c r="N180" s="249">
        <f>N114+N151+N179</f>
        <v>127457</v>
      </c>
      <c r="O180" s="251"/>
      <c r="P180" s="252"/>
      <c r="Q180" s="249">
        <f>+Q114+Q151+Q179</f>
        <v>280024</v>
      </c>
      <c r="R180" s="253"/>
      <c r="S180" s="249">
        <f>S114+S151+S179</f>
        <v>112431.7</v>
      </c>
      <c r="T180" s="249">
        <f>+T114+T151+T179</f>
        <v>77715.789999999994</v>
      </c>
      <c r="U180" s="254">
        <f>+T180/H180</f>
        <v>0.50938794103574159</v>
      </c>
      <c r="V180" s="249"/>
      <c r="X180" s="152"/>
      <c r="Y180" s="152"/>
      <c r="Z180" s="152"/>
    </row>
    <row r="181" spans="1:26" s="151" customFormat="1">
      <c r="A181" s="2513" t="s">
        <v>181</v>
      </c>
      <c r="B181" s="2514"/>
      <c r="C181" s="255"/>
      <c r="D181" s="256"/>
      <c r="E181" s="257"/>
      <c r="F181" s="257"/>
      <c r="G181" s="257"/>
      <c r="H181" s="258">
        <f>+H79+H180</f>
        <v>320231</v>
      </c>
      <c r="I181" s="259"/>
      <c r="J181" s="258">
        <f>J79+J180</f>
        <v>0</v>
      </c>
      <c r="K181" s="258"/>
      <c r="L181" s="258"/>
      <c r="M181" s="258"/>
      <c r="N181" s="258">
        <f>+N79+N180</f>
        <v>299377</v>
      </c>
      <c r="O181" s="259"/>
      <c r="P181" s="258"/>
      <c r="Q181" s="258">
        <f>+Q79+Q180</f>
        <v>619608</v>
      </c>
      <c r="R181" s="258"/>
      <c r="S181" s="258">
        <f>S79+S180</f>
        <v>243258.5</v>
      </c>
      <c r="T181" s="258">
        <f>+T79+T180</f>
        <v>208703.06</v>
      </c>
      <c r="U181" s="260">
        <f>+T181/H181</f>
        <v>0.65172659736252891</v>
      </c>
      <c r="V181" s="258"/>
      <c r="X181" s="152"/>
      <c r="Y181" s="152"/>
      <c r="Z181" s="152"/>
    </row>
    <row r="182" spans="1:26" s="151" customFormat="1" ht="30" customHeight="1">
      <c r="A182" s="261" t="s">
        <v>182</v>
      </c>
      <c r="B182" s="262"/>
      <c r="C182" s="262"/>
      <c r="D182" s="262"/>
      <c r="E182" s="262"/>
      <c r="F182" s="262"/>
      <c r="G182" s="262"/>
      <c r="H182" s="262"/>
      <c r="I182" s="262"/>
      <c r="J182" s="262"/>
      <c r="K182" s="262"/>
      <c r="L182" s="262"/>
      <c r="M182" s="262"/>
      <c r="N182" s="262"/>
      <c r="O182" s="262"/>
      <c r="P182" s="262"/>
      <c r="Q182" s="262"/>
      <c r="R182" s="262"/>
      <c r="S182" s="262"/>
      <c r="T182" s="262"/>
      <c r="U182" s="262"/>
      <c r="V182" s="263"/>
      <c r="X182" s="152"/>
      <c r="Y182" s="152"/>
      <c r="Z182" s="152"/>
    </row>
    <row r="183" spans="1:26" s="151" customFormat="1" ht="30" customHeight="1">
      <c r="A183" s="264" t="s">
        <v>183</v>
      </c>
      <c r="B183" s="265"/>
      <c r="C183" s="265"/>
      <c r="D183" s="265"/>
      <c r="E183" s="265"/>
      <c r="F183" s="265"/>
      <c r="G183" s="265"/>
      <c r="H183" s="265"/>
      <c r="I183" s="265"/>
      <c r="J183" s="265"/>
      <c r="K183" s="265"/>
      <c r="L183" s="265"/>
      <c r="M183" s="265"/>
      <c r="N183" s="265"/>
      <c r="O183" s="265"/>
      <c r="P183" s="265"/>
      <c r="Q183" s="265"/>
      <c r="R183" s="265"/>
      <c r="S183" s="265"/>
      <c r="T183" s="265"/>
      <c r="U183" s="265"/>
      <c r="V183" s="266"/>
      <c r="X183" s="152"/>
      <c r="Y183" s="152"/>
      <c r="Z183" s="152"/>
    </row>
    <row r="184" spans="1:26" s="151" customFormat="1" ht="21.95" customHeight="1">
      <c r="A184" s="267" t="s">
        <v>184</v>
      </c>
      <c r="B184" s="268"/>
      <c r="C184" s="268"/>
      <c r="D184" s="268"/>
      <c r="E184" s="268"/>
      <c r="F184" s="268"/>
      <c r="G184" s="268"/>
      <c r="H184" s="268"/>
      <c r="I184" s="268"/>
      <c r="J184" s="268"/>
      <c r="K184" s="268"/>
      <c r="L184" s="268"/>
      <c r="M184" s="268"/>
      <c r="N184" s="268"/>
      <c r="O184" s="268"/>
      <c r="P184" s="268"/>
      <c r="Q184" s="268"/>
      <c r="R184" s="268"/>
      <c r="S184" s="268"/>
      <c r="T184" s="268"/>
      <c r="U184" s="268"/>
      <c r="V184" s="269"/>
      <c r="X184" s="152"/>
      <c r="Y184" s="152"/>
      <c r="Z184" s="152"/>
    </row>
    <row r="185" spans="1:26" s="151" customFormat="1">
      <c r="A185" s="2488" t="s">
        <v>185</v>
      </c>
      <c r="B185" s="270" t="s">
        <v>186</v>
      </c>
      <c r="C185" s="270" t="s">
        <v>33</v>
      </c>
      <c r="D185" s="270"/>
      <c r="E185" s="271">
        <v>16</v>
      </c>
      <c r="F185" s="272">
        <v>15</v>
      </c>
      <c r="G185" s="271">
        <v>1</v>
      </c>
      <c r="H185" s="273">
        <f>E185*F185*G185</f>
        <v>240</v>
      </c>
      <c r="I185" s="274"/>
      <c r="J185" s="274"/>
      <c r="K185" s="274"/>
      <c r="L185" s="274"/>
      <c r="M185" s="274"/>
      <c r="N185" s="275">
        <v>0</v>
      </c>
      <c r="O185" s="274"/>
      <c r="P185" s="274"/>
      <c r="Q185" s="273">
        <f>H185+N185</f>
        <v>240</v>
      </c>
      <c r="R185" s="274"/>
      <c r="S185" s="274"/>
      <c r="T185" s="274"/>
      <c r="U185" s="274"/>
      <c r="V185" s="2482" t="s">
        <v>187</v>
      </c>
      <c r="X185" s="152"/>
      <c r="Y185" s="152"/>
      <c r="Z185" s="152"/>
    </row>
    <row r="186" spans="1:26" s="151" customFormat="1">
      <c r="A186" s="2489"/>
      <c r="B186" s="270" t="s">
        <v>188</v>
      </c>
      <c r="C186" s="270" t="s">
        <v>38</v>
      </c>
      <c r="D186" s="270"/>
      <c r="E186" s="271">
        <v>16</v>
      </c>
      <c r="F186" s="272">
        <v>50</v>
      </c>
      <c r="G186" s="271">
        <v>1</v>
      </c>
      <c r="H186" s="273">
        <f t="shared" ref="H186" si="43">E186*F186*G186</f>
        <v>800</v>
      </c>
      <c r="I186" s="274"/>
      <c r="J186" s="274"/>
      <c r="K186" s="274"/>
      <c r="L186" s="274"/>
      <c r="M186" s="274"/>
      <c r="N186" s="275">
        <v>0</v>
      </c>
      <c r="O186" s="274"/>
      <c r="P186" s="274"/>
      <c r="Q186" s="273">
        <f>H186+N186</f>
        <v>800</v>
      </c>
      <c r="R186" s="274"/>
      <c r="S186" s="274"/>
      <c r="T186" s="274"/>
      <c r="U186" s="274"/>
      <c r="V186" s="2484"/>
      <c r="X186" s="152"/>
      <c r="Y186" s="152"/>
      <c r="Z186" s="152"/>
    </row>
    <row r="187" spans="1:26" s="151" customFormat="1">
      <c r="A187" s="2489"/>
      <c r="B187" s="274"/>
      <c r="C187" s="274"/>
      <c r="D187" s="276" t="s">
        <v>189</v>
      </c>
      <c r="E187" s="277"/>
      <c r="F187" s="278"/>
      <c r="G187" s="277"/>
      <c r="H187" s="279">
        <f>SUM(H185:H186)</f>
        <v>1040</v>
      </c>
      <c r="I187" s="276"/>
      <c r="J187" s="276"/>
      <c r="K187" s="276"/>
      <c r="L187" s="276"/>
      <c r="M187" s="276"/>
      <c r="N187" s="279">
        <f>SUM(N185:N186)</f>
        <v>0</v>
      </c>
      <c r="O187" s="276"/>
      <c r="P187" s="276"/>
      <c r="Q187" s="280">
        <f>SUM(Q185:Q186)</f>
        <v>1040</v>
      </c>
      <c r="R187" s="281">
        <v>0.5</v>
      </c>
      <c r="S187" s="278">
        <f>Q187*R187</f>
        <v>520</v>
      </c>
      <c r="T187" s="224">
        <v>874.15</v>
      </c>
      <c r="U187" s="282">
        <f>+T187/H187</f>
        <v>0.84052884615384615</v>
      </c>
      <c r="V187" s="276"/>
      <c r="X187" s="152"/>
      <c r="Y187" s="152"/>
      <c r="Z187" s="152"/>
    </row>
    <row r="188" spans="1:26" s="151" customFormat="1">
      <c r="A188" s="2488" t="s">
        <v>190</v>
      </c>
      <c r="B188" s="283" t="s">
        <v>191</v>
      </c>
      <c r="C188" s="283" t="s">
        <v>33</v>
      </c>
      <c r="D188" s="284"/>
      <c r="E188" s="285">
        <v>15</v>
      </c>
      <c r="F188" s="286">
        <v>15</v>
      </c>
      <c r="G188" s="285">
        <v>5</v>
      </c>
      <c r="H188" s="273">
        <f>E188*F188*G188</f>
        <v>1125</v>
      </c>
      <c r="I188" s="287"/>
      <c r="J188" s="287"/>
      <c r="K188" s="288">
        <v>15</v>
      </c>
      <c r="L188" s="289">
        <v>15</v>
      </c>
      <c r="M188" s="288">
        <v>2</v>
      </c>
      <c r="N188" s="273">
        <f>K188*L188*M188</f>
        <v>450</v>
      </c>
      <c r="O188" s="274"/>
      <c r="P188" s="274"/>
      <c r="Q188" s="273">
        <f>H188+N188</f>
        <v>1575</v>
      </c>
      <c r="R188" s="274"/>
      <c r="S188" s="290"/>
      <c r="T188" s="290"/>
      <c r="U188" s="291"/>
      <c r="V188" s="2490"/>
      <c r="X188" s="152"/>
      <c r="Y188" s="152"/>
      <c r="Z188" s="152"/>
    </row>
    <row r="189" spans="1:26" s="151" customFormat="1">
      <c r="A189" s="2489"/>
      <c r="B189" s="283" t="s">
        <v>192</v>
      </c>
      <c r="C189" s="283" t="s">
        <v>33</v>
      </c>
      <c r="D189" s="284"/>
      <c r="E189" s="292">
        <v>150</v>
      </c>
      <c r="F189" s="286">
        <v>10</v>
      </c>
      <c r="G189" s="285">
        <v>5</v>
      </c>
      <c r="H189" s="273">
        <f t="shared" ref="H189:H195" si="44">E189*F189*G189</f>
        <v>7500</v>
      </c>
      <c r="I189" s="287"/>
      <c r="J189" s="287"/>
      <c r="K189" s="288">
        <v>150</v>
      </c>
      <c r="L189" s="289">
        <v>10</v>
      </c>
      <c r="M189" s="288">
        <v>2</v>
      </c>
      <c r="N189" s="273">
        <f t="shared" ref="N189:N195" si="45">K189*L189*M189</f>
        <v>3000</v>
      </c>
      <c r="O189" s="274"/>
      <c r="P189" s="274"/>
      <c r="Q189" s="273">
        <f t="shared" ref="Q189:Q195" si="46">H189+N189</f>
        <v>10500</v>
      </c>
      <c r="R189" s="274"/>
      <c r="S189" s="290"/>
      <c r="T189" s="290"/>
      <c r="U189" s="291"/>
      <c r="V189" s="2491"/>
      <c r="X189" s="152"/>
      <c r="Y189" s="152"/>
      <c r="Z189" s="152"/>
    </row>
    <row r="190" spans="1:26" s="151" customFormat="1">
      <c r="A190" s="2489"/>
      <c r="B190" s="283" t="s">
        <v>193</v>
      </c>
      <c r="C190" s="283" t="s">
        <v>38</v>
      </c>
      <c r="D190" s="284"/>
      <c r="E190" s="285">
        <v>150</v>
      </c>
      <c r="F190" s="286">
        <v>2</v>
      </c>
      <c r="G190" s="285">
        <v>2</v>
      </c>
      <c r="H190" s="273">
        <f t="shared" si="44"/>
        <v>600</v>
      </c>
      <c r="I190" s="287"/>
      <c r="J190" s="287"/>
      <c r="K190" s="288">
        <v>150</v>
      </c>
      <c r="L190" s="289">
        <v>2</v>
      </c>
      <c r="M190" s="288">
        <v>1</v>
      </c>
      <c r="N190" s="273">
        <f t="shared" si="45"/>
        <v>300</v>
      </c>
      <c r="O190" s="274"/>
      <c r="P190" s="274"/>
      <c r="Q190" s="273">
        <f t="shared" si="46"/>
        <v>900</v>
      </c>
      <c r="R190" s="274"/>
      <c r="S190" s="290"/>
      <c r="T190" s="290"/>
      <c r="U190" s="291"/>
      <c r="V190" s="2491"/>
      <c r="X190" s="152"/>
      <c r="Y190" s="152"/>
      <c r="Z190" s="152"/>
    </row>
    <row r="191" spans="1:26" s="151" customFormat="1">
      <c r="A191" s="2489"/>
      <c r="B191" s="283" t="s">
        <v>194</v>
      </c>
      <c r="C191" s="283" t="s">
        <v>38</v>
      </c>
      <c r="D191" s="284"/>
      <c r="E191" s="285">
        <v>150</v>
      </c>
      <c r="F191" s="286">
        <v>5</v>
      </c>
      <c r="G191" s="285">
        <v>2</v>
      </c>
      <c r="H191" s="273">
        <f t="shared" si="44"/>
        <v>1500</v>
      </c>
      <c r="I191" s="287"/>
      <c r="J191" s="287"/>
      <c r="K191" s="288">
        <v>150</v>
      </c>
      <c r="L191" s="289">
        <v>5</v>
      </c>
      <c r="M191" s="288">
        <v>1</v>
      </c>
      <c r="N191" s="273">
        <f t="shared" si="45"/>
        <v>750</v>
      </c>
      <c r="O191" s="274"/>
      <c r="P191" s="274"/>
      <c r="Q191" s="273">
        <f t="shared" si="46"/>
        <v>2250</v>
      </c>
      <c r="R191" s="274"/>
      <c r="S191" s="290"/>
      <c r="T191" s="290"/>
      <c r="U191" s="291"/>
      <c r="V191" s="2491"/>
      <c r="X191" s="152"/>
      <c r="Y191" s="152"/>
      <c r="Z191" s="152"/>
    </row>
    <row r="192" spans="1:26" s="151" customFormat="1">
      <c r="A192" s="2489"/>
      <c r="B192" s="283" t="s">
        <v>75</v>
      </c>
      <c r="C192" s="283" t="s">
        <v>42</v>
      </c>
      <c r="D192" s="284"/>
      <c r="E192" s="285">
        <v>160</v>
      </c>
      <c r="F192" s="286">
        <v>1.2</v>
      </c>
      <c r="G192" s="285">
        <v>2</v>
      </c>
      <c r="H192" s="273">
        <f t="shared" si="44"/>
        <v>384</v>
      </c>
      <c r="I192" s="287"/>
      <c r="J192" s="287"/>
      <c r="K192" s="288">
        <v>160</v>
      </c>
      <c r="L192" s="289">
        <v>1.2</v>
      </c>
      <c r="M192" s="288">
        <v>1</v>
      </c>
      <c r="N192" s="273">
        <f t="shared" si="45"/>
        <v>192</v>
      </c>
      <c r="O192" s="274"/>
      <c r="P192" s="274"/>
      <c r="Q192" s="273">
        <f t="shared" si="46"/>
        <v>576</v>
      </c>
      <c r="R192" s="274"/>
      <c r="S192" s="290"/>
      <c r="T192" s="290"/>
      <c r="U192" s="291"/>
      <c r="V192" s="2491"/>
      <c r="X192" s="152"/>
      <c r="Y192" s="152"/>
      <c r="Z192" s="152"/>
    </row>
    <row r="193" spans="1:26" s="151" customFormat="1">
      <c r="A193" s="2489"/>
      <c r="B193" s="283" t="s">
        <v>195</v>
      </c>
      <c r="C193" s="283" t="s">
        <v>40</v>
      </c>
      <c r="D193" s="293"/>
      <c r="E193" s="294">
        <v>4</v>
      </c>
      <c r="F193" s="295">
        <v>20</v>
      </c>
      <c r="G193" s="294">
        <v>35</v>
      </c>
      <c r="H193" s="273">
        <f t="shared" si="44"/>
        <v>2800</v>
      </c>
      <c r="I193" s="287"/>
      <c r="J193" s="287"/>
      <c r="K193" s="296">
        <v>4</v>
      </c>
      <c r="L193" s="297">
        <v>20</v>
      </c>
      <c r="M193" s="296">
        <v>15</v>
      </c>
      <c r="N193" s="273">
        <f t="shared" si="45"/>
        <v>1200</v>
      </c>
      <c r="O193" s="274"/>
      <c r="P193" s="274"/>
      <c r="Q193" s="273">
        <f t="shared" si="46"/>
        <v>4000</v>
      </c>
      <c r="R193" s="274"/>
      <c r="S193" s="290"/>
      <c r="T193" s="290"/>
      <c r="U193" s="291"/>
      <c r="V193" s="2491"/>
      <c r="X193" s="152"/>
      <c r="Y193" s="152"/>
      <c r="Z193" s="152"/>
    </row>
    <row r="194" spans="1:26" s="151" customFormat="1">
      <c r="A194" s="2489"/>
      <c r="B194" s="283" t="s">
        <v>152</v>
      </c>
      <c r="C194" s="283" t="s">
        <v>40</v>
      </c>
      <c r="D194" s="293"/>
      <c r="E194" s="294">
        <v>1</v>
      </c>
      <c r="F194" s="295">
        <v>45</v>
      </c>
      <c r="G194" s="294">
        <v>10</v>
      </c>
      <c r="H194" s="273">
        <f t="shared" si="44"/>
        <v>450</v>
      </c>
      <c r="I194" s="287"/>
      <c r="J194" s="287"/>
      <c r="K194" s="296">
        <v>1</v>
      </c>
      <c r="L194" s="297">
        <v>45</v>
      </c>
      <c r="M194" s="296">
        <v>4</v>
      </c>
      <c r="N194" s="273">
        <f t="shared" si="45"/>
        <v>180</v>
      </c>
      <c r="O194" s="274"/>
      <c r="P194" s="274"/>
      <c r="Q194" s="273">
        <f t="shared" si="46"/>
        <v>630</v>
      </c>
      <c r="R194" s="274"/>
      <c r="S194" s="290"/>
      <c r="T194" s="290"/>
      <c r="U194" s="291"/>
      <c r="V194" s="2491"/>
      <c r="X194" s="152"/>
      <c r="Y194" s="152"/>
      <c r="Z194" s="152"/>
    </row>
    <row r="195" spans="1:26" s="151" customFormat="1">
      <c r="A195" s="2489"/>
      <c r="B195" s="283" t="s">
        <v>45</v>
      </c>
      <c r="C195" s="283" t="s">
        <v>42</v>
      </c>
      <c r="D195" s="293"/>
      <c r="E195" s="294">
        <v>5</v>
      </c>
      <c r="F195" s="295">
        <v>20</v>
      </c>
      <c r="G195" s="294">
        <v>2</v>
      </c>
      <c r="H195" s="273">
        <f t="shared" si="44"/>
        <v>200</v>
      </c>
      <c r="I195" s="287"/>
      <c r="J195" s="287"/>
      <c r="K195" s="296">
        <v>5</v>
      </c>
      <c r="L195" s="297">
        <v>20</v>
      </c>
      <c r="M195" s="296">
        <v>1</v>
      </c>
      <c r="N195" s="273">
        <f t="shared" si="45"/>
        <v>100</v>
      </c>
      <c r="O195" s="274"/>
      <c r="P195" s="274"/>
      <c r="Q195" s="273">
        <f t="shared" si="46"/>
        <v>300</v>
      </c>
      <c r="R195" s="274"/>
      <c r="S195" s="290"/>
      <c r="T195" s="290"/>
      <c r="U195" s="291"/>
      <c r="V195" s="2492"/>
      <c r="X195" s="152"/>
      <c r="Y195" s="152"/>
      <c r="Z195" s="152"/>
    </row>
    <row r="196" spans="1:26" s="151" customFormat="1">
      <c r="A196" s="2489"/>
      <c r="B196" s="283"/>
      <c r="C196" s="283"/>
      <c r="D196" s="298" t="s">
        <v>47</v>
      </c>
      <c r="E196" s="299"/>
      <c r="F196" s="300"/>
      <c r="G196" s="300"/>
      <c r="H196" s="279">
        <f>SUM(H188:H195)</f>
        <v>14559</v>
      </c>
      <c r="I196" s="301"/>
      <c r="J196" s="301"/>
      <c r="K196" s="302"/>
      <c r="L196" s="276"/>
      <c r="M196" s="302"/>
      <c r="N196" s="279">
        <f>SUM(N188:N195)</f>
        <v>6172</v>
      </c>
      <c r="O196" s="276"/>
      <c r="P196" s="276"/>
      <c r="Q196" s="279">
        <f>SUM(Q188:Q195)</f>
        <v>20731</v>
      </c>
      <c r="R196" s="281">
        <v>0.6</v>
      </c>
      <c r="S196" s="278">
        <f>Q196*R196</f>
        <v>12438.6</v>
      </c>
      <c r="T196" s="224">
        <v>11407.25</v>
      </c>
      <c r="U196" s="282">
        <f>+T196/H196</f>
        <v>0.78351878563088129</v>
      </c>
      <c r="V196" s="276"/>
      <c r="X196" s="152"/>
      <c r="Y196" s="152"/>
      <c r="Z196" s="152"/>
    </row>
    <row r="197" spans="1:26" s="151" customFormat="1">
      <c r="A197" s="2488" t="s">
        <v>196</v>
      </c>
      <c r="B197" s="283" t="s">
        <v>197</v>
      </c>
      <c r="C197" s="283" t="s">
        <v>50</v>
      </c>
      <c r="D197" s="303"/>
      <c r="E197" s="304">
        <v>1</v>
      </c>
      <c r="F197" s="305">
        <v>1800</v>
      </c>
      <c r="G197" s="304">
        <v>12</v>
      </c>
      <c r="H197" s="273">
        <f>E197*F197*G197</f>
        <v>21600</v>
      </c>
      <c r="I197" s="287"/>
      <c r="J197" s="287"/>
      <c r="K197" s="306">
        <v>1</v>
      </c>
      <c r="L197" s="307">
        <v>1800</v>
      </c>
      <c r="M197" s="306">
        <v>12</v>
      </c>
      <c r="N197" s="273">
        <f>K197*L197*M197</f>
        <v>21600</v>
      </c>
      <c r="O197" s="274"/>
      <c r="P197" s="274"/>
      <c r="Q197" s="273">
        <f>H197+N197</f>
        <v>43200</v>
      </c>
      <c r="R197" s="274"/>
      <c r="S197" s="290"/>
      <c r="T197" s="290"/>
      <c r="U197" s="290"/>
      <c r="V197" s="2493" t="s">
        <v>198</v>
      </c>
      <c r="X197" s="152"/>
      <c r="Y197" s="152"/>
      <c r="Z197" s="152"/>
    </row>
    <row r="198" spans="1:26" s="151" customFormat="1">
      <c r="A198" s="2489"/>
      <c r="B198" s="283" t="s">
        <v>199</v>
      </c>
      <c r="C198" s="283" t="s">
        <v>33</v>
      </c>
      <c r="D198" s="308"/>
      <c r="E198" s="309">
        <v>5</v>
      </c>
      <c r="F198" s="310">
        <v>15</v>
      </c>
      <c r="G198" s="309">
        <v>6</v>
      </c>
      <c r="H198" s="273">
        <f t="shared" ref="H198:H205" si="47">E198*F198*G198</f>
        <v>450</v>
      </c>
      <c r="I198" s="287"/>
      <c r="J198" s="287"/>
      <c r="K198" s="285">
        <v>5</v>
      </c>
      <c r="L198" s="286">
        <v>15</v>
      </c>
      <c r="M198" s="285">
        <v>6</v>
      </c>
      <c r="N198" s="273">
        <f t="shared" ref="N198:N205" si="48">K198*L198*M198</f>
        <v>450</v>
      </c>
      <c r="O198" s="274"/>
      <c r="P198" s="274"/>
      <c r="Q198" s="273">
        <f t="shared" ref="Q198:Q205" si="49">H198+N198</f>
        <v>900</v>
      </c>
      <c r="R198" s="274"/>
      <c r="S198" s="290"/>
      <c r="T198" s="290"/>
      <c r="U198" s="290"/>
      <c r="V198" s="2494"/>
      <c r="X198" s="152"/>
      <c r="Y198" s="152"/>
      <c r="Z198" s="152"/>
    </row>
    <row r="199" spans="1:26" s="151" customFormat="1">
      <c r="A199" s="2489"/>
      <c r="B199" s="283" t="s">
        <v>200</v>
      </c>
      <c r="C199" s="283" t="s">
        <v>33</v>
      </c>
      <c r="D199" s="308"/>
      <c r="E199" s="309">
        <v>1</v>
      </c>
      <c r="F199" s="310">
        <v>500</v>
      </c>
      <c r="G199" s="309">
        <v>12</v>
      </c>
      <c r="H199" s="273">
        <f t="shared" si="47"/>
        <v>6000</v>
      </c>
      <c r="I199" s="287"/>
      <c r="J199" s="287"/>
      <c r="K199" s="285">
        <v>1</v>
      </c>
      <c r="L199" s="286">
        <v>500</v>
      </c>
      <c r="M199" s="285">
        <v>12</v>
      </c>
      <c r="N199" s="273">
        <f t="shared" si="48"/>
        <v>6000</v>
      </c>
      <c r="O199" s="274"/>
      <c r="P199" s="274"/>
      <c r="Q199" s="273">
        <f t="shared" si="49"/>
        <v>12000</v>
      </c>
      <c r="R199" s="274"/>
      <c r="S199" s="290"/>
      <c r="T199" s="290"/>
      <c r="U199" s="290"/>
      <c r="V199" s="2494"/>
      <c r="X199" s="152"/>
      <c r="Y199" s="152"/>
      <c r="Z199" s="152"/>
    </row>
    <row r="200" spans="1:26" s="151" customFormat="1">
      <c r="A200" s="2489"/>
      <c r="B200" s="283" t="s">
        <v>72</v>
      </c>
      <c r="C200" s="283" t="s">
        <v>38</v>
      </c>
      <c r="D200" s="284"/>
      <c r="E200" s="285">
        <v>150</v>
      </c>
      <c r="F200" s="286">
        <v>10</v>
      </c>
      <c r="G200" s="285">
        <v>6</v>
      </c>
      <c r="H200" s="273">
        <f t="shared" si="47"/>
        <v>9000</v>
      </c>
      <c r="I200" s="287"/>
      <c r="J200" s="287"/>
      <c r="K200" s="285">
        <v>150</v>
      </c>
      <c r="L200" s="286">
        <v>10</v>
      </c>
      <c r="M200" s="285">
        <v>6</v>
      </c>
      <c r="N200" s="273">
        <f t="shared" si="48"/>
        <v>9000</v>
      </c>
      <c r="O200" s="274"/>
      <c r="P200" s="274"/>
      <c r="Q200" s="273">
        <f t="shared" si="49"/>
        <v>18000</v>
      </c>
      <c r="R200" s="274"/>
      <c r="S200" s="290"/>
      <c r="T200" s="290"/>
      <c r="U200" s="290"/>
      <c r="V200" s="2494"/>
      <c r="X200" s="152"/>
      <c r="Y200" s="152"/>
      <c r="Z200" s="152"/>
    </row>
    <row r="201" spans="1:26" s="151" customFormat="1">
      <c r="A201" s="2489"/>
      <c r="B201" s="283" t="s">
        <v>193</v>
      </c>
      <c r="C201" s="283" t="s">
        <v>38</v>
      </c>
      <c r="D201" s="284"/>
      <c r="E201" s="285">
        <v>150</v>
      </c>
      <c r="F201" s="286">
        <v>1</v>
      </c>
      <c r="G201" s="285">
        <v>6</v>
      </c>
      <c r="H201" s="273">
        <f t="shared" si="47"/>
        <v>900</v>
      </c>
      <c r="I201" s="287"/>
      <c r="J201" s="287"/>
      <c r="K201" s="285">
        <v>150</v>
      </c>
      <c r="L201" s="286">
        <v>1</v>
      </c>
      <c r="M201" s="285">
        <v>6</v>
      </c>
      <c r="N201" s="273">
        <f t="shared" si="48"/>
        <v>900</v>
      </c>
      <c r="O201" s="274"/>
      <c r="P201" s="274"/>
      <c r="Q201" s="273">
        <f t="shared" si="49"/>
        <v>1800</v>
      </c>
      <c r="R201" s="274"/>
      <c r="S201" s="290"/>
      <c r="T201" s="290"/>
      <c r="U201" s="290"/>
      <c r="V201" s="2494"/>
      <c r="X201" s="152"/>
      <c r="Y201" s="152"/>
      <c r="Z201" s="152"/>
    </row>
    <row r="202" spans="1:26" s="151" customFormat="1">
      <c r="A202" s="2489"/>
      <c r="B202" s="283" t="s">
        <v>195</v>
      </c>
      <c r="C202" s="283" t="s">
        <v>40</v>
      </c>
      <c r="D202" s="284"/>
      <c r="E202" s="285">
        <v>40</v>
      </c>
      <c r="F202" s="286">
        <v>20</v>
      </c>
      <c r="G202" s="285">
        <v>6</v>
      </c>
      <c r="H202" s="273">
        <f t="shared" si="47"/>
        <v>4800</v>
      </c>
      <c r="I202" s="287"/>
      <c r="J202" s="287"/>
      <c r="K202" s="285">
        <v>40</v>
      </c>
      <c r="L202" s="286">
        <v>20</v>
      </c>
      <c r="M202" s="285">
        <v>6</v>
      </c>
      <c r="N202" s="273">
        <f t="shared" si="48"/>
        <v>4800</v>
      </c>
      <c r="O202" s="274"/>
      <c r="P202" s="274"/>
      <c r="Q202" s="273">
        <f t="shared" si="49"/>
        <v>9600</v>
      </c>
      <c r="R202" s="274"/>
      <c r="S202" s="290"/>
      <c r="T202" s="290"/>
      <c r="U202" s="290"/>
      <c r="V202" s="2494"/>
      <c r="X202" s="152"/>
      <c r="Y202" s="152"/>
      <c r="Z202" s="152"/>
    </row>
    <row r="203" spans="1:26" s="151" customFormat="1">
      <c r="A203" s="2489"/>
      <c r="B203" s="283" t="s">
        <v>58</v>
      </c>
      <c r="C203" s="283" t="s">
        <v>42</v>
      </c>
      <c r="D203" s="293"/>
      <c r="E203" s="294">
        <v>160</v>
      </c>
      <c r="F203" s="295">
        <v>1.2</v>
      </c>
      <c r="G203" s="294">
        <v>6</v>
      </c>
      <c r="H203" s="273">
        <f t="shared" si="47"/>
        <v>1152</v>
      </c>
      <c r="I203" s="287"/>
      <c r="J203" s="287"/>
      <c r="K203" s="294">
        <v>160</v>
      </c>
      <c r="L203" s="295">
        <v>1.2</v>
      </c>
      <c r="M203" s="294">
        <v>6</v>
      </c>
      <c r="N203" s="273">
        <f t="shared" si="48"/>
        <v>1152</v>
      </c>
      <c r="O203" s="274"/>
      <c r="P203" s="274"/>
      <c r="Q203" s="273">
        <f t="shared" si="49"/>
        <v>2304</v>
      </c>
      <c r="R203" s="274"/>
      <c r="S203" s="290"/>
      <c r="T203" s="290"/>
      <c r="U203" s="290"/>
      <c r="V203" s="2494"/>
      <c r="X203" s="152"/>
      <c r="Y203" s="152"/>
      <c r="Z203" s="152"/>
    </row>
    <row r="204" spans="1:26" s="151" customFormat="1">
      <c r="A204" s="2489"/>
      <c r="B204" s="283" t="s">
        <v>44</v>
      </c>
      <c r="C204" s="283" t="s">
        <v>40</v>
      </c>
      <c r="D204" s="293"/>
      <c r="E204" s="294">
        <v>5</v>
      </c>
      <c r="F204" s="295">
        <v>45</v>
      </c>
      <c r="G204" s="294">
        <v>6</v>
      </c>
      <c r="H204" s="273">
        <f t="shared" si="47"/>
        <v>1350</v>
      </c>
      <c r="I204" s="287"/>
      <c r="J204" s="287"/>
      <c r="K204" s="294">
        <v>5</v>
      </c>
      <c r="L204" s="295">
        <v>45</v>
      </c>
      <c r="M204" s="294">
        <v>6</v>
      </c>
      <c r="N204" s="273">
        <f t="shared" si="48"/>
        <v>1350</v>
      </c>
      <c r="O204" s="274"/>
      <c r="P204" s="274"/>
      <c r="Q204" s="273">
        <f t="shared" si="49"/>
        <v>2700</v>
      </c>
      <c r="R204" s="274"/>
      <c r="S204" s="290"/>
      <c r="T204" s="290"/>
      <c r="U204" s="290"/>
      <c r="V204" s="2494"/>
      <c r="X204" s="152"/>
      <c r="Y204" s="152"/>
      <c r="Z204" s="152"/>
    </row>
    <row r="205" spans="1:26" s="151" customFormat="1">
      <c r="A205" s="2489"/>
      <c r="B205" s="283" t="s">
        <v>201</v>
      </c>
      <c r="C205" s="283" t="s">
        <v>42</v>
      </c>
      <c r="D205" s="293"/>
      <c r="E205" s="294">
        <v>5</v>
      </c>
      <c r="F205" s="295">
        <v>15</v>
      </c>
      <c r="G205" s="294">
        <v>6</v>
      </c>
      <c r="H205" s="273">
        <f t="shared" si="47"/>
        <v>450</v>
      </c>
      <c r="I205" s="287"/>
      <c r="J205" s="287"/>
      <c r="K205" s="294">
        <v>5</v>
      </c>
      <c r="L205" s="295">
        <v>15</v>
      </c>
      <c r="M205" s="294">
        <v>6</v>
      </c>
      <c r="N205" s="273">
        <f t="shared" si="48"/>
        <v>450</v>
      </c>
      <c r="O205" s="274"/>
      <c r="P205" s="274"/>
      <c r="Q205" s="273">
        <f t="shared" si="49"/>
        <v>900</v>
      </c>
      <c r="R205" s="274"/>
      <c r="S205" s="290"/>
      <c r="T205" s="290"/>
      <c r="U205" s="290"/>
      <c r="V205" s="2495"/>
      <c r="X205" s="152"/>
      <c r="Y205" s="152"/>
      <c r="Z205" s="152"/>
    </row>
    <row r="206" spans="1:26" s="151" customFormat="1">
      <c r="A206" s="2489"/>
      <c r="B206" s="283"/>
      <c r="C206" s="283"/>
      <c r="D206" s="298" t="s">
        <v>47</v>
      </c>
      <c r="E206" s="299"/>
      <c r="F206" s="300"/>
      <c r="G206" s="299"/>
      <c r="H206" s="279">
        <f>SUM(H197:H205)</f>
        <v>45702</v>
      </c>
      <c r="I206" s="301"/>
      <c r="J206" s="301"/>
      <c r="K206" s="301"/>
      <c r="L206" s="301"/>
      <c r="M206" s="276"/>
      <c r="N206" s="279">
        <f>SUM(N197:N205)</f>
        <v>45702</v>
      </c>
      <c r="O206" s="276"/>
      <c r="P206" s="276"/>
      <c r="Q206" s="279">
        <f>SUM(Q197:Q205)</f>
        <v>91404</v>
      </c>
      <c r="R206" s="281">
        <v>0.6</v>
      </c>
      <c r="S206" s="278">
        <f>Q206*R206</f>
        <v>54842.400000000001</v>
      </c>
      <c r="T206" s="224">
        <v>26084.41</v>
      </c>
      <c r="U206" s="282">
        <f>+T206/H206</f>
        <v>0.57074985777427678</v>
      </c>
      <c r="V206" s="276"/>
      <c r="X206" s="152"/>
      <c r="Y206" s="152"/>
      <c r="Z206" s="152"/>
    </row>
    <row r="207" spans="1:26" s="151" customFormat="1">
      <c r="A207" s="2496" t="s">
        <v>202</v>
      </c>
      <c r="B207" s="283" t="s">
        <v>191</v>
      </c>
      <c r="C207" s="283" t="s">
        <v>33</v>
      </c>
      <c r="D207" s="284"/>
      <c r="E207" s="288">
        <v>5</v>
      </c>
      <c r="F207" s="289">
        <v>15</v>
      </c>
      <c r="G207" s="288">
        <v>2</v>
      </c>
      <c r="H207" s="273">
        <f>E207*F207*G207</f>
        <v>150</v>
      </c>
      <c r="I207" s="287"/>
      <c r="J207" s="287"/>
      <c r="K207" s="274"/>
      <c r="L207" s="274"/>
      <c r="M207" s="274"/>
      <c r="N207" s="273"/>
      <c r="O207" s="274"/>
      <c r="P207" s="274"/>
      <c r="Q207" s="273">
        <f>H207+N207</f>
        <v>150</v>
      </c>
      <c r="R207" s="274"/>
      <c r="S207" s="290"/>
      <c r="T207" s="290"/>
      <c r="U207" s="290"/>
      <c r="V207" s="2482" t="s">
        <v>203</v>
      </c>
      <c r="X207" s="152"/>
      <c r="Y207" s="152"/>
      <c r="Z207" s="152"/>
    </row>
    <row r="208" spans="1:26" s="151" customFormat="1">
      <c r="A208" s="2497"/>
      <c r="B208" s="283" t="s">
        <v>192</v>
      </c>
      <c r="C208" s="283" t="s">
        <v>33</v>
      </c>
      <c r="D208" s="284"/>
      <c r="E208" s="288">
        <v>100</v>
      </c>
      <c r="F208" s="289">
        <v>7.5</v>
      </c>
      <c r="G208" s="288">
        <v>2</v>
      </c>
      <c r="H208" s="273">
        <f t="shared" ref="H208:H214" si="50">E208*F208*G208</f>
        <v>1500</v>
      </c>
      <c r="I208" s="287"/>
      <c r="J208" s="287"/>
      <c r="K208" s="274"/>
      <c r="L208" s="274"/>
      <c r="M208" s="274"/>
      <c r="N208" s="273"/>
      <c r="O208" s="274"/>
      <c r="P208" s="274"/>
      <c r="Q208" s="273">
        <f t="shared" ref="Q208:Q214" si="51">H208+N208</f>
        <v>1500</v>
      </c>
      <c r="R208" s="274"/>
      <c r="S208" s="290"/>
      <c r="T208" s="290"/>
      <c r="U208" s="290"/>
      <c r="V208" s="2483"/>
      <c r="X208" s="152"/>
      <c r="Y208" s="152"/>
      <c r="Z208" s="152"/>
    </row>
    <row r="209" spans="1:26" s="151" customFormat="1">
      <c r="A209" s="2497"/>
      <c r="B209" s="283" t="s">
        <v>193</v>
      </c>
      <c r="C209" s="283" t="s">
        <v>38</v>
      </c>
      <c r="D209" s="284"/>
      <c r="E209" s="288">
        <v>100</v>
      </c>
      <c r="F209" s="289">
        <v>1.5</v>
      </c>
      <c r="G209" s="288">
        <v>1</v>
      </c>
      <c r="H209" s="273">
        <f t="shared" si="50"/>
        <v>150</v>
      </c>
      <c r="I209" s="287"/>
      <c r="J209" s="287"/>
      <c r="K209" s="274"/>
      <c r="L209" s="274"/>
      <c r="M209" s="274"/>
      <c r="N209" s="273"/>
      <c r="O209" s="274"/>
      <c r="P209" s="274"/>
      <c r="Q209" s="273">
        <f t="shared" si="51"/>
        <v>150</v>
      </c>
      <c r="R209" s="274"/>
      <c r="S209" s="290"/>
      <c r="T209" s="290"/>
      <c r="U209" s="290"/>
      <c r="V209" s="2483"/>
      <c r="X209" s="152"/>
      <c r="Y209" s="152"/>
      <c r="Z209" s="152"/>
    </row>
    <row r="210" spans="1:26" s="151" customFormat="1">
      <c r="A210" s="2497"/>
      <c r="B210" s="283" t="s">
        <v>204</v>
      </c>
      <c r="C210" s="283" t="s">
        <v>38</v>
      </c>
      <c r="D210" s="284"/>
      <c r="E210" s="288">
        <v>50</v>
      </c>
      <c r="F210" s="289">
        <v>10</v>
      </c>
      <c r="G210" s="288">
        <v>1</v>
      </c>
      <c r="H210" s="273">
        <f t="shared" si="50"/>
        <v>500</v>
      </c>
      <c r="I210" s="287"/>
      <c r="J210" s="287"/>
      <c r="K210" s="274"/>
      <c r="L210" s="274"/>
      <c r="M210" s="274"/>
      <c r="N210" s="273"/>
      <c r="O210" s="274"/>
      <c r="P210" s="274"/>
      <c r="Q210" s="273">
        <f t="shared" si="51"/>
        <v>500</v>
      </c>
      <c r="R210" s="274"/>
      <c r="S210" s="290"/>
      <c r="T210" s="290"/>
      <c r="U210" s="290"/>
      <c r="V210" s="2483"/>
      <c r="X210" s="152"/>
      <c r="Y210" s="152"/>
      <c r="Z210" s="152"/>
    </row>
    <row r="211" spans="1:26" s="151" customFormat="1">
      <c r="A211" s="2497"/>
      <c r="B211" s="283" t="s">
        <v>75</v>
      </c>
      <c r="C211" s="283" t="s">
        <v>42</v>
      </c>
      <c r="D211" s="284"/>
      <c r="E211" s="288">
        <v>160</v>
      </c>
      <c r="F211" s="289">
        <v>1.2</v>
      </c>
      <c r="G211" s="288">
        <v>1</v>
      </c>
      <c r="H211" s="273">
        <f t="shared" si="50"/>
        <v>192</v>
      </c>
      <c r="I211" s="287"/>
      <c r="J211" s="287"/>
      <c r="K211" s="274"/>
      <c r="L211" s="274"/>
      <c r="M211" s="274"/>
      <c r="N211" s="273"/>
      <c r="O211" s="274"/>
      <c r="P211" s="274"/>
      <c r="Q211" s="273">
        <f t="shared" si="51"/>
        <v>192</v>
      </c>
      <c r="R211" s="274"/>
      <c r="S211" s="290"/>
      <c r="T211" s="290"/>
      <c r="U211" s="290"/>
      <c r="V211" s="2483"/>
      <c r="X211" s="152"/>
      <c r="Y211" s="152"/>
      <c r="Z211" s="152"/>
    </row>
    <row r="212" spans="1:26" s="151" customFormat="1">
      <c r="A212" s="2497"/>
      <c r="B212" s="283" t="s">
        <v>195</v>
      </c>
      <c r="C212" s="283" t="s">
        <v>40</v>
      </c>
      <c r="D212" s="293"/>
      <c r="E212" s="296">
        <v>4</v>
      </c>
      <c r="F212" s="297">
        <v>20</v>
      </c>
      <c r="G212" s="296">
        <v>30</v>
      </c>
      <c r="H212" s="273">
        <f t="shared" si="50"/>
        <v>2400</v>
      </c>
      <c r="I212" s="287"/>
      <c r="J212" s="287"/>
      <c r="K212" s="274"/>
      <c r="L212" s="274"/>
      <c r="M212" s="274"/>
      <c r="N212" s="273"/>
      <c r="O212" s="274"/>
      <c r="P212" s="274"/>
      <c r="Q212" s="273">
        <f t="shared" si="51"/>
        <v>2400</v>
      </c>
      <c r="R212" s="274"/>
      <c r="S212" s="290"/>
      <c r="T212" s="290"/>
      <c r="U212" s="290"/>
      <c r="V212" s="2483"/>
      <c r="X212" s="152"/>
      <c r="Y212" s="152"/>
      <c r="Z212" s="152"/>
    </row>
    <row r="213" spans="1:26" s="151" customFormat="1">
      <c r="A213" s="2497"/>
      <c r="B213" s="283" t="s">
        <v>152</v>
      </c>
      <c r="C213" s="283" t="s">
        <v>40</v>
      </c>
      <c r="D213" s="293"/>
      <c r="E213" s="296">
        <v>1</v>
      </c>
      <c r="F213" s="297">
        <v>45</v>
      </c>
      <c r="G213" s="296">
        <v>10</v>
      </c>
      <c r="H213" s="273">
        <f t="shared" si="50"/>
        <v>450</v>
      </c>
      <c r="I213" s="287"/>
      <c r="J213" s="287"/>
      <c r="K213" s="274"/>
      <c r="L213" s="274"/>
      <c r="M213" s="274"/>
      <c r="N213" s="273"/>
      <c r="O213" s="274"/>
      <c r="P213" s="274"/>
      <c r="Q213" s="273">
        <f t="shared" si="51"/>
        <v>450</v>
      </c>
      <c r="R213" s="274"/>
      <c r="S213" s="290"/>
      <c r="T213" s="290"/>
      <c r="U213" s="290"/>
      <c r="V213" s="2483"/>
      <c r="X213" s="152"/>
      <c r="Y213" s="152"/>
      <c r="Z213" s="152"/>
    </row>
    <row r="214" spans="1:26" s="151" customFormat="1">
      <c r="A214" s="2497"/>
      <c r="B214" s="283" t="s">
        <v>45</v>
      </c>
      <c r="C214" s="283" t="s">
        <v>42</v>
      </c>
      <c r="D214" s="293"/>
      <c r="E214" s="296">
        <v>4</v>
      </c>
      <c r="F214" s="297">
        <v>30</v>
      </c>
      <c r="G214" s="296">
        <v>1</v>
      </c>
      <c r="H214" s="273">
        <f t="shared" si="50"/>
        <v>120</v>
      </c>
      <c r="I214" s="287"/>
      <c r="J214" s="287"/>
      <c r="K214" s="274"/>
      <c r="L214" s="274"/>
      <c r="M214" s="274"/>
      <c r="N214" s="273"/>
      <c r="O214" s="274"/>
      <c r="P214" s="274"/>
      <c r="Q214" s="273">
        <f t="shared" si="51"/>
        <v>120</v>
      </c>
      <c r="R214" s="274"/>
      <c r="S214" s="290"/>
      <c r="T214" s="290"/>
      <c r="U214" s="290"/>
      <c r="V214" s="2484"/>
      <c r="X214" s="152"/>
      <c r="Y214" s="152"/>
      <c r="Z214" s="152"/>
    </row>
    <row r="215" spans="1:26" s="151" customFormat="1">
      <c r="A215" s="2497"/>
      <c r="B215" s="283"/>
      <c r="C215" s="283"/>
      <c r="D215" s="298" t="s">
        <v>47</v>
      </c>
      <c r="E215" s="299"/>
      <c r="F215" s="300"/>
      <c r="G215" s="299"/>
      <c r="H215" s="279">
        <f>SUM(H207:H214)</f>
        <v>5462</v>
      </c>
      <c r="I215" s="301"/>
      <c r="J215" s="301"/>
      <c r="K215" s="276"/>
      <c r="L215" s="276"/>
      <c r="M215" s="276"/>
      <c r="N215" s="279">
        <f>SUM(N207:N214)</f>
        <v>0</v>
      </c>
      <c r="O215" s="276"/>
      <c r="P215" s="276"/>
      <c r="Q215" s="279">
        <f>SUM(Q207:Q214)</f>
        <v>5462</v>
      </c>
      <c r="R215" s="281">
        <v>0.6</v>
      </c>
      <c r="S215" s="278">
        <f>Q215*R215</f>
        <v>3277.2</v>
      </c>
      <c r="T215" s="224">
        <v>0</v>
      </c>
      <c r="U215" s="278"/>
      <c r="V215" s="276"/>
      <c r="X215" s="152"/>
      <c r="Y215" s="152"/>
      <c r="Z215" s="152"/>
    </row>
    <row r="216" spans="1:26" s="151" customFormat="1">
      <c r="A216" s="2475" t="s">
        <v>205</v>
      </c>
      <c r="B216" s="283" t="s">
        <v>206</v>
      </c>
      <c r="C216" s="283" t="s">
        <v>50</v>
      </c>
      <c r="D216" s="303"/>
      <c r="E216" s="304">
        <v>50</v>
      </c>
      <c r="F216" s="307">
        <v>15</v>
      </c>
      <c r="G216" s="306">
        <v>2</v>
      </c>
      <c r="H216" s="273">
        <f>E216*F216*G216</f>
        <v>1500</v>
      </c>
      <c r="I216" s="287"/>
      <c r="J216" s="287"/>
      <c r="K216" s="306">
        <v>50</v>
      </c>
      <c r="L216" s="307">
        <v>15</v>
      </c>
      <c r="M216" s="306">
        <v>2</v>
      </c>
      <c r="N216" s="273">
        <f>K216*L216*M216</f>
        <v>1500</v>
      </c>
      <c r="O216" s="287"/>
      <c r="P216" s="287"/>
      <c r="Q216" s="273">
        <f>H216+N216</f>
        <v>3000</v>
      </c>
      <c r="R216" s="287"/>
      <c r="S216" s="311"/>
      <c r="T216" s="311"/>
      <c r="U216" s="311"/>
      <c r="V216" s="2476" t="s">
        <v>207</v>
      </c>
      <c r="X216" s="152"/>
      <c r="Y216" s="152"/>
      <c r="Z216" s="152"/>
    </row>
    <row r="217" spans="1:26" s="151" customFormat="1">
      <c r="A217" s="2475"/>
      <c r="B217" s="283" t="s">
        <v>208</v>
      </c>
      <c r="C217" s="283" t="s">
        <v>38</v>
      </c>
      <c r="D217" s="303"/>
      <c r="E217" s="304">
        <v>100</v>
      </c>
      <c r="F217" s="307">
        <v>1.2</v>
      </c>
      <c r="G217" s="306">
        <v>2</v>
      </c>
      <c r="H217" s="273">
        <f t="shared" ref="H217:H218" si="52">E217*F217*G217</f>
        <v>240</v>
      </c>
      <c r="I217" s="287"/>
      <c r="J217" s="287"/>
      <c r="K217" s="306">
        <v>100</v>
      </c>
      <c r="L217" s="307">
        <v>1.2</v>
      </c>
      <c r="M217" s="306">
        <v>2</v>
      </c>
      <c r="N217" s="273">
        <f t="shared" ref="N217:N218" si="53">K217*L217*M217</f>
        <v>240</v>
      </c>
      <c r="O217" s="287"/>
      <c r="P217" s="287"/>
      <c r="Q217" s="273">
        <f t="shared" ref="Q217:Q218" si="54">H217+N217</f>
        <v>480</v>
      </c>
      <c r="R217" s="287"/>
      <c r="S217" s="311"/>
      <c r="T217" s="311"/>
      <c r="U217" s="311"/>
      <c r="V217" s="2477"/>
      <c r="X217" s="152"/>
      <c r="Y217" s="152"/>
      <c r="Z217" s="152"/>
    </row>
    <row r="218" spans="1:26" s="151" customFormat="1">
      <c r="A218" s="2475"/>
      <c r="B218" s="283" t="s">
        <v>209</v>
      </c>
      <c r="C218" s="283" t="s">
        <v>40</v>
      </c>
      <c r="D218" s="312"/>
      <c r="E218" s="306">
        <v>50</v>
      </c>
      <c r="F218" s="307">
        <v>20</v>
      </c>
      <c r="G218" s="306">
        <v>2</v>
      </c>
      <c r="H218" s="273">
        <f t="shared" si="52"/>
        <v>2000</v>
      </c>
      <c r="I218" s="287"/>
      <c r="J218" s="287"/>
      <c r="K218" s="306">
        <v>50</v>
      </c>
      <c r="L218" s="307">
        <v>20</v>
      </c>
      <c r="M218" s="306">
        <v>2</v>
      </c>
      <c r="N218" s="273">
        <f t="shared" si="53"/>
        <v>2000</v>
      </c>
      <c r="O218" s="287"/>
      <c r="P218" s="287"/>
      <c r="Q218" s="273">
        <f t="shared" si="54"/>
        <v>4000</v>
      </c>
      <c r="R218" s="287"/>
      <c r="S218" s="311"/>
      <c r="T218" s="311"/>
      <c r="U218" s="311"/>
      <c r="V218" s="2478"/>
      <c r="X218" s="152"/>
      <c r="Y218" s="152"/>
      <c r="Z218" s="152"/>
    </row>
    <row r="219" spans="1:26" s="151" customFormat="1">
      <c r="A219" s="2475"/>
      <c r="B219" s="283"/>
      <c r="C219" s="283"/>
      <c r="D219" s="313" t="s">
        <v>61</v>
      </c>
      <c r="E219" s="313"/>
      <c r="F219" s="313"/>
      <c r="G219" s="314"/>
      <c r="H219" s="279">
        <f>SUM(H216:H218)</f>
        <v>3740</v>
      </c>
      <c r="I219" s="315"/>
      <c r="J219" s="315"/>
      <c r="K219" s="315"/>
      <c r="L219" s="315"/>
      <c r="M219" s="315"/>
      <c r="N219" s="279">
        <f>SUM(N216:N218)</f>
        <v>3740</v>
      </c>
      <c r="O219" s="315"/>
      <c r="P219" s="315"/>
      <c r="Q219" s="279">
        <f>SUM(Q216:Q218)</f>
        <v>7480</v>
      </c>
      <c r="R219" s="281">
        <v>0.5</v>
      </c>
      <c r="S219" s="278">
        <f>Q219*R219</f>
        <v>3740</v>
      </c>
      <c r="T219" s="278">
        <v>0</v>
      </c>
      <c r="U219" s="278"/>
      <c r="V219" s="315"/>
      <c r="X219" s="152"/>
      <c r="Y219" s="152"/>
      <c r="Z219" s="152"/>
    </row>
    <row r="220" spans="1:26" s="151" customFormat="1">
      <c r="A220" s="316" t="s">
        <v>210</v>
      </c>
      <c r="B220" s="317"/>
      <c r="C220" s="317"/>
      <c r="D220" s="317"/>
      <c r="E220" s="317"/>
      <c r="F220" s="317"/>
      <c r="G220" s="317"/>
      <c r="H220" s="318">
        <f>+H187+H196+H206+H215+H219</f>
        <v>70503</v>
      </c>
      <c r="I220" s="319"/>
      <c r="J220" s="319"/>
      <c r="K220" s="319"/>
      <c r="L220" s="319"/>
      <c r="M220" s="319"/>
      <c r="N220" s="318">
        <f>+N187+N196+N206+N215+N219</f>
        <v>55614</v>
      </c>
      <c r="O220" s="319"/>
      <c r="P220" s="319"/>
      <c r="Q220" s="318">
        <f>+Q187+Q196+Q206+Q215+Q219</f>
        <v>126117</v>
      </c>
      <c r="R220" s="319"/>
      <c r="S220" s="320">
        <f>S187+S196+S206+S215+S219</f>
        <v>74818.2</v>
      </c>
      <c r="T220" s="320">
        <f>+T187+T196+T206+T215+T219</f>
        <v>38365.81</v>
      </c>
      <c r="U220" s="321">
        <f>+T220/H220</f>
        <v>0.54417273023842949</v>
      </c>
      <c r="V220" s="319"/>
      <c r="X220" s="152"/>
      <c r="Y220" s="152"/>
      <c r="Z220" s="152"/>
    </row>
    <row r="221" spans="1:26" s="151" customFormat="1" ht="15.95" customHeight="1">
      <c r="A221" s="322" t="s">
        <v>211</v>
      </c>
      <c r="B221" s="323"/>
      <c r="C221" s="323"/>
      <c r="D221" s="323"/>
      <c r="E221" s="323"/>
      <c r="F221" s="323"/>
      <c r="G221" s="323"/>
      <c r="H221" s="324"/>
      <c r="I221" s="325"/>
      <c r="J221" s="325"/>
      <c r="K221" s="325"/>
      <c r="L221" s="325"/>
      <c r="M221" s="325"/>
      <c r="N221" s="325"/>
      <c r="O221" s="325"/>
      <c r="P221" s="325"/>
      <c r="Q221" s="325"/>
      <c r="R221" s="325"/>
      <c r="S221" s="325"/>
      <c r="T221" s="325"/>
      <c r="U221" s="325"/>
      <c r="V221" s="326"/>
      <c r="X221" s="152"/>
      <c r="Y221" s="152"/>
      <c r="Z221" s="152"/>
    </row>
    <row r="222" spans="1:26" s="151" customFormat="1">
      <c r="A222" s="2479" t="s">
        <v>212</v>
      </c>
      <c r="B222" s="270" t="s">
        <v>213</v>
      </c>
      <c r="C222" s="270" t="s">
        <v>33</v>
      </c>
      <c r="D222" s="270"/>
      <c r="E222" s="271">
        <v>5</v>
      </c>
      <c r="F222" s="272">
        <v>30</v>
      </c>
      <c r="G222" s="272">
        <v>1</v>
      </c>
      <c r="H222" s="327">
        <f>E222*F222*G222</f>
        <v>150</v>
      </c>
      <c r="I222" s="274"/>
      <c r="J222" s="274"/>
      <c r="K222" s="274"/>
      <c r="L222" s="274"/>
      <c r="M222" s="274"/>
      <c r="N222" s="328">
        <v>0</v>
      </c>
      <c r="O222" s="274"/>
      <c r="P222" s="274"/>
      <c r="Q222" s="329">
        <f>H222+N222</f>
        <v>150</v>
      </c>
      <c r="R222" s="274"/>
      <c r="S222" s="274"/>
      <c r="T222" s="274"/>
      <c r="U222" s="274"/>
      <c r="V222" s="2482" t="s">
        <v>207</v>
      </c>
      <c r="X222" s="152"/>
      <c r="Y222" s="152"/>
      <c r="Z222" s="152"/>
    </row>
    <row r="223" spans="1:26" s="151" customFormat="1">
      <c r="A223" s="2480"/>
      <c r="B223" s="270" t="s">
        <v>214</v>
      </c>
      <c r="C223" s="270" t="s">
        <v>33</v>
      </c>
      <c r="D223" s="270"/>
      <c r="E223" s="271">
        <v>100</v>
      </c>
      <c r="F223" s="272">
        <v>7.5</v>
      </c>
      <c r="G223" s="272">
        <v>1</v>
      </c>
      <c r="H223" s="327">
        <f t="shared" ref="H223:H224" si="55">E223*F223*G223</f>
        <v>750</v>
      </c>
      <c r="I223" s="274"/>
      <c r="J223" s="274"/>
      <c r="K223" s="274"/>
      <c r="L223" s="274"/>
      <c r="M223" s="274"/>
      <c r="N223" s="328">
        <v>0</v>
      </c>
      <c r="O223" s="274"/>
      <c r="P223" s="274"/>
      <c r="Q223" s="329">
        <f t="shared" ref="Q223:Q224" si="56">H223+N223</f>
        <v>750</v>
      </c>
      <c r="R223" s="274"/>
      <c r="S223" s="274"/>
      <c r="T223" s="274"/>
      <c r="U223" s="274"/>
      <c r="V223" s="2483"/>
      <c r="X223" s="330"/>
      <c r="Y223" s="152"/>
      <c r="Z223" s="152"/>
    </row>
    <row r="224" spans="1:26" s="151" customFormat="1">
      <c r="A224" s="2480"/>
      <c r="B224" s="270" t="s">
        <v>215</v>
      </c>
      <c r="C224" s="270" t="s">
        <v>38</v>
      </c>
      <c r="D224" s="270"/>
      <c r="E224" s="271">
        <v>5</v>
      </c>
      <c r="F224" s="272">
        <v>35</v>
      </c>
      <c r="G224" s="272">
        <v>1</v>
      </c>
      <c r="H224" s="327">
        <f t="shared" si="55"/>
        <v>175</v>
      </c>
      <c r="I224" s="274"/>
      <c r="J224" s="274"/>
      <c r="K224" s="274"/>
      <c r="L224" s="274"/>
      <c r="M224" s="274"/>
      <c r="N224" s="328">
        <v>0</v>
      </c>
      <c r="O224" s="274"/>
      <c r="P224" s="274"/>
      <c r="Q224" s="329">
        <f t="shared" si="56"/>
        <v>175</v>
      </c>
      <c r="R224" s="274"/>
      <c r="S224" s="274"/>
      <c r="T224" s="274"/>
      <c r="U224" s="274"/>
      <c r="V224" s="2484"/>
      <c r="X224" s="152"/>
      <c r="Y224" s="152"/>
      <c r="Z224" s="152"/>
    </row>
    <row r="225" spans="1:26" s="151" customFormat="1">
      <c r="A225" s="2481"/>
      <c r="B225" s="270"/>
      <c r="C225" s="270"/>
      <c r="D225" s="331"/>
      <c r="E225" s="332"/>
      <c r="F225" s="332"/>
      <c r="G225" s="332"/>
      <c r="H225" s="333">
        <f>SUM(H222:H224)</f>
        <v>1075</v>
      </c>
      <c r="I225" s="276"/>
      <c r="J225" s="276"/>
      <c r="K225" s="276"/>
      <c r="L225" s="276"/>
      <c r="M225" s="276"/>
      <c r="N225" s="276">
        <f>SUM(N222:N224)</f>
        <v>0</v>
      </c>
      <c r="O225" s="276"/>
      <c r="P225" s="276"/>
      <c r="Q225" s="334">
        <f>SUM(Q222:Q224)</f>
        <v>1075</v>
      </c>
      <c r="R225" s="281">
        <v>0.6</v>
      </c>
      <c r="S225" s="278">
        <f>Q225*R225</f>
        <v>645</v>
      </c>
      <c r="T225" s="278">
        <v>0</v>
      </c>
      <c r="U225" s="278"/>
      <c r="V225" s="276"/>
      <c r="X225" s="152"/>
      <c r="Y225" s="152"/>
      <c r="Z225" s="152"/>
    </row>
    <row r="226" spans="1:26" s="151" customFormat="1">
      <c r="A226" s="2466" t="s">
        <v>216</v>
      </c>
      <c r="B226" s="33" t="s">
        <v>191</v>
      </c>
      <c r="C226" s="33" t="s">
        <v>33</v>
      </c>
      <c r="D226" s="119"/>
      <c r="E226" s="35"/>
      <c r="F226" s="36"/>
      <c r="G226" s="35"/>
      <c r="H226" s="335"/>
      <c r="I226" s="38"/>
      <c r="J226" s="38"/>
      <c r="K226" s="83">
        <v>5</v>
      </c>
      <c r="L226" s="289">
        <v>20</v>
      </c>
      <c r="M226" s="288">
        <v>3</v>
      </c>
      <c r="N226" s="273">
        <f>K226*L226*M226</f>
        <v>300</v>
      </c>
      <c r="O226" s="39"/>
      <c r="P226" s="39"/>
      <c r="Q226" s="329">
        <f>H226+N226</f>
        <v>300</v>
      </c>
      <c r="R226" s="38"/>
      <c r="S226" s="41"/>
      <c r="T226" s="41"/>
      <c r="U226" s="41"/>
      <c r="V226" s="2485" t="s">
        <v>207</v>
      </c>
      <c r="X226" s="152"/>
      <c r="Y226" s="152"/>
      <c r="Z226" s="152"/>
    </row>
    <row r="227" spans="1:26" s="151" customFormat="1">
      <c r="A227" s="2467"/>
      <c r="B227" s="33" t="s">
        <v>192</v>
      </c>
      <c r="C227" s="33" t="s">
        <v>33</v>
      </c>
      <c r="D227" s="119"/>
      <c r="E227" s="35"/>
      <c r="F227" s="36"/>
      <c r="G227" s="35"/>
      <c r="H227" s="37"/>
      <c r="I227" s="38"/>
      <c r="J227" s="38"/>
      <c r="K227" s="83">
        <v>100</v>
      </c>
      <c r="L227" s="289">
        <v>10</v>
      </c>
      <c r="M227" s="288">
        <v>4</v>
      </c>
      <c r="N227" s="273">
        <f t="shared" ref="N227:N233" si="57">K227*L227*M227</f>
        <v>4000</v>
      </c>
      <c r="O227" s="39"/>
      <c r="P227" s="39"/>
      <c r="Q227" s="329">
        <f t="shared" ref="Q227:Q233" si="58">H227+N227</f>
        <v>4000</v>
      </c>
      <c r="R227" s="38"/>
      <c r="S227" s="41"/>
      <c r="T227" s="41"/>
      <c r="U227" s="41"/>
      <c r="V227" s="2486"/>
      <c r="X227" s="152"/>
      <c r="Y227" s="152"/>
      <c r="Z227" s="152"/>
    </row>
    <row r="228" spans="1:26" s="151" customFormat="1">
      <c r="A228" s="2467"/>
      <c r="B228" s="33" t="s">
        <v>193</v>
      </c>
      <c r="C228" s="33" t="s">
        <v>38</v>
      </c>
      <c r="D228" s="119"/>
      <c r="E228" s="35"/>
      <c r="F228" s="36"/>
      <c r="G228" s="35"/>
      <c r="H228" s="37"/>
      <c r="I228" s="38"/>
      <c r="J228" s="38"/>
      <c r="K228" s="83">
        <v>100</v>
      </c>
      <c r="L228" s="289">
        <v>2.5</v>
      </c>
      <c r="M228" s="288">
        <v>1</v>
      </c>
      <c r="N228" s="273">
        <f t="shared" si="57"/>
        <v>250</v>
      </c>
      <c r="O228" s="39"/>
      <c r="P228" s="39"/>
      <c r="Q228" s="329">
        <f t="shared" si="58"/>
        <v>250</v>
      </c>
      <c r="R228" s="38"/>
      <c r="S228" s="41"/>
      <c r="T228" s="41"/>
      <c r="U228" s="41"/>
      <c r="V228" s="2486"/>
      <c r="X228" s="152"/>
      <c r="Y228" s="152"/>
      <c r="Z228" s="152"/>
    </row>
    <row r="229" spans="1:26" s="151" customFormat="1">
      <c r="A229" s="2467"/>
      <c r="B229" s="33" t="s">
        <v>75</v>
      </c>
      <c r="C229" s="33" t="s">
        <v>42</v>
      </c>
      <c r="D229" s="119"/>
      <c r="E229" s="35"/>
      <c r="F229" s="36"/>
      <c r="G229" s="35"/>
      <c r="H229" s="37"/>
      <c r="I229" s="38"/>
      <c r="J229" s="38"/>
      <c r="K229" s="83">
        <v>160</v>
      </c>
      <c r="L229" s="289">
        <v>1.2</v>
      </c>
      <c r="M229" s="288">
        <v>1</v>
      </c>
      <c r="N229" s="273">
        <f t="shared" si="57"/>
        <v>192</v>
      </c>
      <c r="O229" s="39"/>
      <c r="P229" s="39"/>
      <c r="Q229" s="329">
        <f t="shared" si="58"/>
        <v>192</v>
      </c>
      <c r="R229" s="38"/>
      <c r="S229" s="41"/>
      <c r="T229" s="41"/>
      <c r="U229" s="41"/>
      <c r="V229" s="2486"/>
      <c r="X229" s="152"/>
      <c r="Y229" s="152"/>
      <c r="Z229" s="152"/>
    </row>
    <row r="230" spans="1:26" s="151" customFormat="1">
      <c r="A230" s="2467"/>
      <c r="B230" s="33" t="s">
        <v>217</v>
      </c>
      <c r="C230" s="33" t="s">
        <v>42</v>
      </c>
      <c r="D230" s="119"/>
      <c r="E230" s="35"/>
      <c r="F230" s="36"/>
      <c r="G230" s="35"/>
      <c r="H230" s="37"/>
      <c r="I230" s="38"/>
      <c r="J230" s="38"/>
      <c r="K230" s="83">
        <v>60</v>
      </c>
      <c r="L230" s="289">
        <v>1.2</v>
      </c>
      <c r="M230" s="288">
        <v>1</v>
      </c>
      <c r="N230" s="273">
        <f t="shared" si="57"/>
        <v>72</v>
      </c>
      <c r="O230" s="39"/>
      <c r="P230" s="39"/>
      <c r="Q230" s="329">
        <f t="shared" si="58"/>
        <v>72</v>
      </c>
      <c r="R230" s="38"/>
      <c r="S230" s="41"/>
      <c r="T230" s="41"/>
      <c r="U230" s="41"/>
      <c r="V230" s="2486"/>
      <c r="X230" s="152"/>
      <c r="Y230" s="152"/>
      <c r="Z230" s="152"/>
    </row>
    <row r="231" spans="1:26" s="151" customFormat="1">
      <c r="A231" s="2467"/>
      <c r="B231" s="33" t="s">
        <v>195</v>
      </c>
      <c r="C231" s="33" t="s">
        <v>40</v>
      </c>
      <c r="D231" s="45"/>
      <c r="E231" s="42"/>
      <c r="F231" s="43"/>
      <c r="G231" s="42"/>
      <c r="H231" s="37"/>
      <c r="I231" s="38"/>
      <c r="J231" s="38"/>
      <c r="K231" s="87">
        <v>4</v>
      </c>
      <c r="L231" s="297">
        <v>20</v>
      </c>
      <c r="M231" s="296">
        <v>25</v>
      </c>
      <c r="N231" s="273">
        <f t="shared" si="57"/>
        <v>2000</v>
      </c>
      <c r="O231" s="39"/>
      <c r="P231" s="39"/>
      <c r="Q231" s="329">
        <f t="shared" si="58"/>
        <v>2000</v>
      </c>
      <c r="R231" s="38"/>
      <c r="S231" s="41"/>
      <c r="T231" s="41"/>
      <c r="U231" s="41"/>
      <c r="V231" s="2486"/>
      <c r="X231" s="152"/>
      <c r="Y231" s="152"/>
      <c r="Z231" s="152"/>
    </row>
    <row r="232" spans="1:26" s="151" customFormat="1">
      <c r="A232" s="2467"/>
      <c r="B232" s="33" t="s">
        <v>152</v>
      </c>
      <c r="C232" s="33" t="s">
        <v>40</v>
      </c>
      <c r="D232" s="45"/>
      <c r="E232" s="42"/>
      <c r="F232" s="43"/>
      <c r="G232" s="42"/>
      <c r="H232" s="37"/>
      <c r="I232" s="38"/>
      <c r="J232" s="38"/>
      <c r="K232" s="87">
        <v>1</v>
      </c>
      <c r="L232" s="297">
        <v>45</v>
      </c>
      <c r="M232" s="296">
        <v>10</v>
      </c>
      <c r="N232" s="273">
        <f t="shared" si="57"/>
        <v>450</v>
      </c>
      <c r="O232" s="39"/>
      <c r="P232" s="39"/>
      <c r="Q232" s="329">
        <f t="shared" si="58"/>
        <v>450</v>
      </c>
      <c r="R232" s="38"/>
      <c r="S232" s="41"/>
      <c r="T232" s="41"/>
      <c r="U232" s="41"/>
      <c r="V232" s="2486"/>
      <c r="X232" s="152"/>
      <c r="Y232" s="152"/>
      <c r="Z232" s="152"/>
    </row>
    <row r="233" spans="1:26" s="151" customFormat="1">
      <c r="A233" s="2467"/>
      <c r="B233" s="33" t="s">
        <v>45</v>
      </c>
      <c r="C233" s="33" t="s">
        <v>38</v>
      </c>
      <c r="D233" s="45"/>
      <c r="E233" s="42"/>
      <c r="F233" s="43"/>
      <c r="G233" s="42"/>
      <c r="H233" s="37"/>
      <c r="I233" s="38"/>
      <c r="J233" s="38"/>
      <c r="K233" s="225">
        <v>5</v>
      </c>
      <c r="L233" s="297">
        <v>24</v>
      </c>
      <c r="M233" s="296">
        <v>1</v>
      </c>
      <c r="N233" s="273">
        <f t="shared" si="57"/>
        <v>120</v>
      </c>
      <c r="O233" s="39"/>
      <c r="P233" s="39"/>
      <c r="Q233" s="329">
        <f t="shared" si="58"/>
        <v>120</v>
      </c>
      <c r="R233" s="38"/>
      <c r="S233" s="41"/>
      <c r="T233" s="41"/>
      <c r="U233" s="41"/>
      <c r="V233" s="2487"/>
      <c r="X233" s="152"/>
      <c r="Y233" s="152"/>
      <c r="Z233" s="152"/>
    </row>
    <row r="234" spans="1:26" s="151" customFormat="1">
      <c r="A234" s="2467"/>
      <c r="B234" s="33"/>
      <c r="C234" s="33"/>
      <c r="D234" s="46" t="s">
        <v>47</v>
      </c>
      <c r="E234" s="136"/>
      <c r="F234" s="136"/>
      <c r="G234" s="136"/>
      <c r="H234" s="336">
        <f>SUM(H226:H233)</f>
        <v>0</v>
      </c>
      <c r="I234" s="48"/>
      <c r="J234" s="48"/>
      <c r="K234" s="136"/>
      <c r="L234" s="136"/>
      <c r="M234" s="337"/>
      <c r="N234" s="279">
        <f>SUM(N226:N233)</f>
        <v>7384</v>
      </c>
      <c r="O234" s="49"/>
      <c r="P234" s="49"/>
      <c r="Q234" s="338">
        <f>SUM(Q226:Q233)</f>
        <v>7384</v>
      </c>
      <c r="R234" s="281">
        <v>0.6</v>
      </c>
      <c r="S234" s="278">
        <f>Q234*R234</f>
        <v>4430.3999999999996</v>
      </c>
      <c r="T234" s="278">
        <v>0</v>
      </c>
      <c r="U234" s="278"/>
      <c r="V234" s="48"/>
      <c r="X234" s="152"/>
      <c r="Y234" s="152"/>
      <c r="Z234" s="152"/>
    </row>
    <row r="235" spans="1:26" s="151" customFormat="1">
      <c r="A235" s="2466" t="s">
        <v>218</v>
      </c>
      <c r="B235" s="33" t="s">
        <v>219</v>
      </c>
      <c r="C235" s="33" t="s">
        <v>38</v>
      </c>
      <c r="D235" s="339"/>
      <c r="E235" s="55"/>
      <c r="F235" s="56"/>
      <c r="G235" s="55"/>
      <c r="H235" s="40"/>
      <c r="I235" s="54"/>
      <c r="J235" s="54"/>
      <c r="K235" s="55">
        <v>5</v>
      </c>
      <c r="L235" s="340">
        <v>7000</v>
      </c>
      <c r="M235" s="292">
        <v>1</v>
      </c>
      <c r="N235" s="273">
        <f>K235*L235*M235</f>
        <v>35000</v>
      </c>
      <c r="O235" s="57"/>
      <c r="P235" s="57"/>
      <c r="Q235" s="329">
        <f>H235+N235</f>
        <v>35000</v>
      </c>
      <c r="R235" s="54"/>
      <c r="S235" s="341"/>
      <c r="T235" s="341"/>
      <c r="U235" s="341"/>
      <c r="V235" s="2468" t="s">
        <v>207</v>
      </c>
      <c r="X235" s="152"/>
      <c r="Y235" s="152"/>
      <c r="Z235" s="152"/>
    </row>
    <row r="236" spans="1:26" s="151" customFormat="1">
      <c r="A236" s="2467"/>
      <c r="B236" s="33"/>
      <c r="C236" s="33"/>
      <c r="D236" s="339"/>
      <c r="E236" s="55"/>
      <c r="F236" s="56"/>
      <c r="G236" s="55"/>
      <c r="H236" s="40"/>
      <c r="I236" s="54"/>
      <c r="J236" s="54"/>
      <c r="K236" s="55"/>
      <c r="L236" s="340"/>
      <c r="M236" s="292"/>
      <c r="N236" s="273"/>
      <c r="O236" s="57"/>
      <c r="P236" s="57"/>
      <c r="Q236" s="329"/>
      <c r="R236" s="54"/>
      <c r="S236" s="341"/>
      <c r="T236" s="341"/>
      <c r="U236" s="341"/>
      <c r="V236" s="2469"/>
      <c r="X236" s="152"/>
      <c r="Y236" s="152"/>
      <c r="Z236" s="152"/>
    </row>
    <row r="237" spans="1:26" s="151" customFormat="1">
      <c r="A237" s="2467"/>
      <c r="B237" s="33"/>
      <c r="C237" s="33"/>
      <c r="D237" s="339"/>
      <c r="E237" s="55"/>
      <c r="F237" s="56"/>
      <c r="G237" s="55"/>
      <c r="H237" s="40"/>
      <c r="I237" s="54"/>
      <c r="J237" s="54"/>
      <c r="K237" s="55"/>
      <c r="L237" s="340"/>
      <c r="M237" s="292"/>
      <c r="N237" s="273"/>
      <c r="O237" s="57"/>
      <c r="P237" s="57"/>
      <c r="Q237" s="329"/>
      <c r="R237" s="54"/>
      <c r="S237" s="341"/>
      <c r="T237" s="341"/>
      <c r="U237" s="341"/>
      <c r="V237" s="2469"/>
      <c r="X237" s="152"/>
      <c r="Y237" s="152"/>
      <c r="Z237" s="152"/>
    </row>
    <row r="238" spans="1:26" s="151" customFormat="1">
      <c r="A238" s="2467"/>
      <c r="B238" s="33"/>
      <c r="C238" s="33"/>
      <c r="D238" s="339"/>
      <c r="E238" s="55"/>
      <c r="F238" s="56"/>
      <c r="G238" s="55"/>
      <c r="H238" s="40"/>
      <c r="I238" s="54"/>
      <c r="J238" s="54"/>
      <c r="K238" s="55"/>
      <c r="L238" s="340"/>
      <c r="M238" s="292"/>
      <c r="N238" s="273"/>
      <c r="O238" s="57"/>
      <c r="P238" s="57"/>
      <c r="Q238" s="329"/>
      <c r="R238" s="54"/>
      <c r="S238" s="341"/>
      <c r="T238" s="341"/>
      <c r="U238" s="341"/>
      <c r="V238" s="2470"/>
      <c r="X238" s="152"/>
      <c r="Y238" s="152"/>
      <c r="Z238" s="152"/>
    </row>
    <row r="239" spans="1:26" s="151" customFormat="1">
      <c r="A239" s="2466" t="s">
        <v>220</v>
      </c>
      <c r="B239" s="33"/>
      <c r="C239" s="33"/>
      <c r="D239" s="46" t="s">
        <v>61</v>
      </c>
      <c r="E239" s="60"/>
      <c r="F239" s="60"/>
      <c r="G239" s="60"/>
      <c r="H239" s="62">
        <f>SUM(H235:H238)</f>
        <v>0</v>
      </c>
      <c r="I239" s="48"/>
      <c r="J239" s="48"/>
      <c r="K239" s="60"/>
      <c r="L239" s="342"/>
      <c r="M239" s="343"/>
      <c r="N239" s="333">
        <f>SUM(N235:N238)</f>
        <v>35000</v>
      </c>
      <c r="O239" s="49"/>
      <c r="P239" s="49"/>
      <c r="Q239" s="338">
        <f>SUM(Q235:Q238)</f>
        <v>35000</v>
      </c>
      <c r="R239" s="281">
        <v>0.6</v>
      </c>
      <c r="S239" s="278">
        <f>Q239*R239</f>
        <v>21000</v>
      </c>
      <c r="T239" s="278">
        <v>0</v>
      </c>
      <c r="U239" s="278"/>
      <c r="V239" s="48"/>
      <c r="X239" s="152"/>
      <c r="Y239" s="152"/>
      <c r="Z239" s="152"/>
    </row>
    <row r="240" spans="1:26" s="151" customFormat="1">
      <c r="A240" s="2467"/>
      <c r="B240" s="33" t="s">
        <v>221</v>
      </c>
      <c r="C240" s="33" t="s">
        <v>33</v>
      </c>
      <c r="D240" s="34"/>
      <c r="E240" s="55"/>
      <c r="F240" s="56"/>
      <c r="G240" s="55"/>
      <c r="H240" s="40"/>
      <c r="I240" s="38"/>
      <c r="J240" s="38"/>
      <c r="K240" s="67">
        <v>50</v>
      </c>
      <c r="L240" s="344">
        <v>10</v>
      </c>
      <c r="M240" s="345">
        <v>12</v>
      </c>
      <c r="N240" s="273">
        <f>K240*L240*M240</f>
        <v>6000</v>
      </c>
      <c r="O240" s="39"/>
      <c r="P240" s="39"/>
      <c r="Q240" s="329">
        <f>H240+N240</f>
        <v>6000</v>
      </c>
      <c r="R240" s="38"/>
      <c r="S240" s="346"/>
      <c r="T240" s="346"/>
      <c r="U240" s="346"/>
      <c r="V240" s="2471" t="s">
        <v>207</v>
      </c>
      <c r="X240" s="152"/>
      <c r="Y240" s="152"/>
      <c r="Z240" s="152"/>
    </row>
    <row r="241" spans="1:96" s="151" customFormat="1">
      <c r="A241" s="2467"/>
      <c r="B241" s="33" t="s">
        <v>222</v>
      </c>
      <c r="C241" s="33" t="s">
        <v>38</v>
      </c>
      <c r="D241" s="34"/>
      <c r="E241" s="55"/>
      <c r="F241" s="56"/>
      <c r="G241" s="55"/>
      <c r="H241" s="40"/>
      <c r="I241" s="38"/>
      <c r="J241" s="38"/>
      <c r="K241" s="67">
        <v>50</v>
      </c>
      <c r="L241" s="344">
        <v>1</v>
      </c>
      <c r="M241" s="345">
        <v>12</v>
      </c>
      <c r="N241" s="273">
        <f>K241*L241*M241</f>
        <v>600</v>
      </c>
      <c r="O241" s="39"/>
      <c r="P241" s="39"/>
      <c r="Q241" s="329">
        <f t="shared" ref="Q241" si="59">H241+N241</f>
        <v>600</v>
      </c>
      <c r="R241" s="38"/>
      <c r="S241" s="346"/>
      <c r="T241" s="346"/>
      <c r="U241" s="346"/>
      <c r="V241" s="2472"/>
      <c r="X241" s="152"/>
      <c r="Y241" s="152"/>
      <c r="Z241" s="152"/>
    </row>
    <row r="242" spans="1:96" s="151" customFormat="1">
      <c r="A242" s="2467"/>
      <c r="B242" s="33"/>
      <c r="C242" s="33"/>
      <c r="D242" s="347" t="s">
        <v>61</v>
      </c>
      <c r="E242" s="347"/>
      <c r="F242" s="347"/>
      <c r="G242" s="347"/>
      <c r="H242" s="62">
        <f>SUM(H240:H241)</f>
        <v>0</v>
      </c>
      <c r="I242" s="63"/>
      <c r="J242" s="63"/>
      <c r="K242" s="348"/>
      <c r="L242" s="349"/>
      <c r="M242" s="350"/>
      <c r="N242" s="333">
        <f>SUM(N240:N241)</f>
        <v>6600</v>
      </c>
      <c r="O242" s="64"/>
      <c r="P242" s="64"/>
      <c r="Q242" s="338">
        <f>SUM(Q240:Q241)</f>
        <v>6600</v>
      </c>
      <c r="R242" s="281">
        <v>0.6</v>
      </c>
      <c r="S242" s="278">
        <f>Q242*R242</f>
        <v>3960</v>
      </c>
      <c r="T242" s="278">
        <v>0</v>
      </c>
      <c r="U242" s="278"/>
      <c r="V242" s="351"/>
      <c r="X242" s="152"/>
      <c r="Y242" s="152"/>
      <c r="Z242" s="152"/>
    </row>
    <row r="243" spans="1:96" s="151" customFormat="1">
      <c r="A243" s="2466" t="s">
        <v>223</v>
      </c>
      <c r="B243" s="33" t="s">
        <v>224</v>
      </c>
      <c r="C243" s="33" t="s">
        <v>33</v>
      </c>
      <c r="D243" s="34"/>
      <c r="E243" s="130"/>
      <c r="F243" s="131"/>
      <c r="G243" s="130"/>
      <c r="H243" s="335"/>
      <c r="I243" s="38"/>
      <c r="J243" s="38"/>
      <c r="K243" s="76">
        <v>5</v>
      </c>
      <c r="L243" s="352">
        <v>232</v>
      </c>
      <c r="M243" s="353">
        <v>4</v>
      </c>
      <c r="N243" s="273">
        <f>K243*L243*M243</f>
        <v>4640</v>
      </c>
      <c r="O243" s="39"/>
      <c r="P243" s="39"/>
      <c r="Q243" s="329">
        <f>H243+N243</f>
        <v>4640</v>
      </c>
      <c r="R243" s="38"/>
      <c r="S243" s="41"/>
      <c r="T243" s="41"/>
      <c r="U243" s="41"/>
      <c r="V243" s="2471" t="s">
        <v>207</v>
      </c>
      <c r="X243" s="152"/>
      <c r="Y243" s="152"/>
      <c r="Z243" s="152"/>
    </row>
    <row r="244" spans="1:96" s="151" customFormat="1">
      <c r="A244" s="2467"/>
      <c r="B244" s="33"/>
      <c r="C244" s="33"/>
      <c r="D244" s="119"/>
      <c r="E244" s="35"/>
      <c r="F244" s="36"/>
      <c r="G244" s="35"/>
      <c r="H244" s="37"/>
      <c r="I244" s="38"/>
      <c r="J244" s="38"/>
      <c r="K244" s="83"/>
      <c r="L244" s="289"/>
      <c r="M244" s="289"/>
      <c r="N244" s="273">
        <v>0</v>
      </c>
      <c r="O244" s="39"/>
      <c r="P244" s="39"/>
      <c r="Q244" s="329">
        <f t="shared" ref="Q244:Q245" si="60">H244+N244</f>
        <v>0</v>
      </c>
      <c r="R244" s="38"/>
      <c r="S244" s="41"/>
      <c r="T244" s="41"/>
      <c r="U244" s="41"/>
      <c r="V244" s="2474"/>
      <c r="X244" s="152"/>
      <c r="Y244" s="152"/>
      <c r="Z244" s="152"/>
    </row>
    <row r="245" spans="1:96" s="151" customFormat="1">
      <c r="A245" s="2467"/>
      <c r="B245" s="33"/>
      <c r="C245" s="33"/>
      <c r="D245" s="119"/>
      <c r="E245" s="35"/>
      <c r="F245" s="36"/>
      <c r="G245" s="35"/>
      <c r="H245" s="37"/>
      <c r="I245" s="38"/>
      <c r="J245" s="38"/>
      <c r="K245" s="83"/>
      <c r="L245" s="289"/>
      <c r="M245" s="289"/>
      <c r="N245" s="273">
        <v>0</v>
      </c>
      <c r="O245" s="39"/>
      <c r="P245" s="39"/>
      <c r="Q245" s="329">
        <f t="shared" si="60"/>
        <v>0</v>
      </c>
      <c r="R245" s="38"/>
      <c r="S245" s="41"/>
      <c r="T245" s="41"/>
      <c r="U245" s="41"/>
      <c r="V245" s="2472"/>
      <c r="X245" s="152"/>
      <c r="Y245" s="152"/>
      <c r="Z245" s="152"/>
    </row>
    <row r="246" spans="1:96" s="151" customFormat="1">
      <c r="A246" s="2473"/>
      <c r="B246" s="33"/>
      <c r="C246" s="33"/>
      <c r="D246" s="46" t="s">
        <v>61</v>
      </c>
      <c r="E246" s="136"/>
      <c r="F246" s="137"/>
      <c r="G246" s="136"/>
      <c r="H246" s="336">
        <f>SUM(H243:H245)</f>
        <v>0</v>
      </c>
      <c r="I246" s="48"/>
      <c r="J246" s="48"/>
      <c r="K246" s="136"/>
      <c r="L246" s="136"/>
      <c r="M246" s="136"/>
      <c r="N246" s="333">
        <f>SUM(N243:N245)</f>
        <v>4640</v>
      </c>
      <c r="O246" s="48"/>
      <c r="P246" s="48"/>
      <c r="Q246" s="338">
        <f>SUM(Q243:Q245)</f>
        <v>4640</v>
      </c>
      <c r="R246" s="281">
        <v>0.6</v>
      </c>
      <c r="S246" s="278">
        <f>Q246*R246</f>
        <v>2784</v>
      </c>
      <c r="T246" s="278">
        <v>0</v>
      </c>
      <c r="U246" s="278"/>
      <c r="V246" s="48"/>
      <c r="X246" s="152"/>
      <c r="Y246" s="152"/>
      <c r="Z246" s="152"/>
    </row>
    <row r="247" spans="1:96" s="151" customFormat="1">
      <c r="A247" s="354" t="s">
        <v>225</v>
      </c>
      <c r="B247" s="355"/>
      <c r="C247" s="355"/>
      <c r="D247" s="356"/>
      <c r="E247" s="357"/>
      <c r="F247" s="357"/>
      <c r="G247" s="358"/>
      <c r="H247" s="359">
        <f>+H225+H234+H239+H242+H246</f>
        <v>1075</v>
      </c>
      <c r="I247" s="360"/>
      <c r="J247" s="360"/>
      <c r="K247" s="360"/>
      <c r="L247" s="360"/>
      <c r="M247" s="360"/>
      <c r="N247" s="359">
        <f>+N225+N234+N239+N242+N246</f>
        <v>53624</v>
      </c>
      <c r="O247" s="360"/>
      <c r="P247" s="360"/>
      <c r="Q247" s="361">
        <f>+Q225+Q234+Q239+Q242+Q246</f>
        <v>54699</v>
      </c>
      <c r="R247" s="360"/>
      <c r="S247" s="320">
        <f>S225+S234+S239+S242+S246</f>
        <v>32819.4</v>
      </c>
      <c r="T247" s="320">
        <f>+T225+T234+T239+T242+T246</f>
        <v>0</v>
      </c>
      <c r="U247" s="320"/>
      <c r="V247" s="360"/>
      <c r="X247" s="152"/>
      <c r="Y247" s="152"/>
      <c r="Z247" s="152"/>
    </row>
    <row r="248" spans="1:96" s="151" customFormat="1">
      <c r="A248" s="2458" t="s">
        <v>226</v>
      </c>
      <c r="B248" s="2459"/>
      <c r="C248" s="362"/>
      <c r="D248" s="257"/>
      <c r="E248" s="257"/>
      <c r="F248" s="363"/>
      <c r="G248" s="257"/>
      <c r="H248" s="364">
        <f>+H220+H247</f>
        <v>71578</v>
      </c>
      <c r="I248" s="365"/>
      <c r="J248" s="365"/>
      <c r="K248" s="365"/>
      <c r="L248" s="365"/>
      <c r="M248" s="365"/>
      <c r="N248" s="364">
        <f>+N220+N247</f>
        <v>109238</v>
      </c>
      <c r="O248" s="365"/>
      <c r="P248" s="365"/>
      <c r="Q248" s="366">
        <f>+Q220+Q247</f>
        <v>180816</v>
      </c>
      <c r="R248" s="367">
        <f>S248/Q248</f>
        <v>0.59528802760817634</v>
      </c>
      <c r="S248" s="368">
        <f>S220+S247</f>
        <v>107637.6</v>
      </c>
      <c r="T248" s="368">
        <f>+T220+T247</f>
        <v>38365.81</v>
      </c>
      <c r="U248" s="369">
        <f>+T248/H248</f>
        <v>0.53600002794154622</v>
      </c>
      <c r="V248" s="365">
        <f>Q248/100*7</f>
        <v>12657.12</v>
      </c>
      <c r="X248" s="152"/>
      <c r="Y248" s="152"/>
      <c r="Z248" s="152"/>
    </row>
    <row r="249" spans="1:96" s="151" customFormat="1">
      <c r="A249" s="370" t="s">
        <v>227</v>
      </c>
      <c r="B249" s="371"/>
      <c r="C249" s="372"/>
      <c r="D249" s="373"/>
      <c r="E249" s="373"/>
      <c r="F249" s="374"/>
      <c r="G249" s="373"/>
      <c r="H249" s="375">
        <f>+H181+H248</f>
        <v>391809</v>
      </c>
      <c r="I249" s="376"/>
      <c r="J249" s="377"/>
      <c r="K249" s="377"/>
      <c r="L249" s="377"/>
      <c r="M249" s="377"/>
      <c r="N249" s="375">
        <f>+N181+N248</f>
        <v>408615</v>
      </c>
      <c r="O249" s="377"/>
      <c r="P249" s="377"/>
      <c r="Q249" s="375">
        <f>+Q181+Q248</f>
        <v>800424</v>
      </c>
      <c r="R249" s="378">
        <f>Q249/Q292</f>
        <v>0.7178690409125883</v>
      </c>
      <c r="S249" s="379">
        <f>S181+S248</f>
        <v>350896.1</v>
      </c>
      <c r="T249" s="379">
        <f>+T181+T248</f>
        <v>247068.87</v>
      </c>
      <c r="U249" s="380">
        <f>+T249/H249</f>
        <v>0.63058497890553811</v>
      </c>
      <c r="V249" s="381"/>
      <c r="W249" s="382"/>
      <c r="X249" s="152"/>
      <c r="Y249" s="152"/>
      <c r="Z249" s="152"/>
      <c r="AA249" s="152"/>
      <c r="AB249" s="152"/>
      <c r="AC249" s="152"/>
      <c r="AD249" s="152"/>
      <c r="AE249" s="152"/>
      <c r="AF249" s="152"/>
      <c r="AG249" s="152"/>
      <c r="AH249" s="152"/>
      <c r="AI249" s="152"/>
      <c r="AJ249" s="152"/>
      <c r="AK249" s="152"/>
      <c r="AL249" s="152"/>
      <c r="AM249" s="152"/>
      <c r="AN249" s="152"/>
      <c r="AO249" s="152"/>
      <c r="AP249" s="152"/>
      <c r="AQ249" s="152"/>
      <c r="AR249" s="152"/>
      <c r="AS249" s="152"/>
      <c r="AT249" s="152"/>
      <c r="AU249" s="152"/>
      <c r="AV249" s="152"/>
      <c r="AW249" s="152"/>
      <c r="AX249" s="152"/>
      <c r="AY249" s="152"/>
      <c r="AZ249" s="152"/>
      <c r="BA249" s="152"/>
      <c r="BB249" s="152"/>
      <c r="BC249" s="152"/>
      <c r="BD249" s="152"/>
      <c r="BE249" s="152"/>
      <c r="BF249" s="152"/>
      <c r="BG249" s="152"/>
      <c r="BH249" s="152"/>
      <c r="BI249" s="152"/>
      <c r="BJ249" s="152"/>
      <c r="BK249" s="152"/>
      <c r="BL249" s="152"/>
      <c r="BM249" s="152"/>
      <c r="BN249" s="152"/>
      <c r="BO249" s="152"/>
      <c r="BP249" s="152"/>
      <c r="BQ249" s="152"/>
      <c r="BR249" s="152"/>
      <c r="BS249" s="152"/>
      <c r="BT249" s="152"/>
      <c r="BU249" s="152"/>
      <c r="BV249" s="152"/>
      <c r="BW249" s="152"/>
      <c r="BX249" s="152"/>
      <c r="BY249" s="152"/>
      <c r="BZ249" s="152"/>
      <c r="CA249" s="152"/>
      <c r="CB249" s="152"/>
      <c r="CC249" s="152"/>
      <c r="CD249" s="152"/>
      <c r="CE249" s="152"/>
      <c r="CF249" s="152"/>
      <c r="CG249" s="152"/>
      <c r="CH249" s="152"/>
      <c r="CI249" s="152"/>
      <c r="CJ249" s="152"/>
      <c r="CK249" s="152"/>
      <c r="CL249" s="152"/>
      <c r="CM249" s="152"/>
      <c r="CN249" s="152"/>
      <c r="CO249" s="152"/>
      <c r="CP249" s="152"/>
      <c r="CQ249" s="152"/>
      <c r="CR249" s="152"/>
    </row>
    <row r="250" spans="1:96" s="392" customFormat="1">
      <c r="A250" s="2460" t="s">
        <v>228</v>
      </c>
      <c r="B250" s="2461"/>
      <c r="C250" s="2461"/>
      <c r="D250" s="383"/>
      <c r="E250" s="383"/>
      <c r="F250" s="384"/>
      <c r="G250" s="383"/>
      <c r="H250" s="385"/>
      <c r="I250" s="383"/>
      <c r="J250" s="383"/>
      <c r="K250" s="383"/>
      <c r="L250" s="383"/>
      <c r="M250" s="383"/>
      <c r="N250" s="386"/>
      <c r="O250" s="383"/>
      <c r="P250" s="383"/>
      <c r="Q250" s="387"/>
      <c r="R250" s="388"/>
      <c r="S250" s="384"/>
      <c r="T250" s="384"/>
      <c r="U250" s="384"/>
      <c r="V250" s="389"/>
      <c r="W250" s="390">
        <f>SUM(W249:W249)</f>
        <v>0</v>
      </c>
      <c r="X250" s="391"/>
      <c r="Y250" s="391"/>
      <c r="Z250" s="152"/>
      <c r="AA250" s="152"/>
      <c r="AB250" s="152"/>
      <c r="AC250" s="152"/>
      <c r="AD250" s="152"/>
      <c r="AE250" s="152"/>
      <c r="AF250" s="152"/>
      <c r="AG250" s="152"/>
      <c r="AH250" s="152"/>
      <c r="AI250" s="152"/>
      <c r="AJ250" s="152"/>
      <c r="AK250" s="152"/>
      <c r="AL250" s="152"/>
      <c r="AM250" s="152"/>
      <c r="AN250" s="152"/>
      <c r="AO250" s="152"/>
      <c r="AP250" s="152"/>
      <c r="AQ250" s="152"/>
      <c r="AR250" s="152"/>
      <c r="AS250" s="152"/>
      <c r="AT250" s="152"/>
      <c r="AU250" s="152"/>
      <c r="AV250" s="152"/>
      <c r="AW250" s="152"/>
      <c r="AX250" s="152"/>
      <c r="AY250" s="152"/>
      <c r="AZ250" s="152"/>
      <c r="BA250" s="152"/>
      <c r="BB250" s="152"/>
      <c r="BC250" s="152"/>
      <c r="BD250" s="152"/>
      <c r="BE250" s="152"/>
      <c r="BF250" s="152"/>
      <c r="BG250" s="152"/>
      <c r="BH250" s="152"/>
      <c r="BI250" s="152"/>
      <c r="BJ250" s="152"/>
      <c r="BK250" s="152"/>
      <c r="BL250" s="152"/>
      <c r="BM250" s="152"/>
      <c r="BN250" s="152"/>
      <c r="BO250" s="152"/>
      <c r="BP250" s="152"/>
      <c r="BQ250" s="152"/>
      <c r="BR250" s="152"/>
      <c r="BS250" s="152"/>
      <c r="BT250" s="152"/>
      <c r="BU250" s="152"/>
      <c r="BV250" s="152"/>
      <c r="BW250" s="152"/>
      <c r="BX250" s="152"/>
      <c r="BY250" s="152"/>
      <c r="BZ250" s="152"/>
      <c r="CA250" s="152"/>
      <c r="CB250" s="152"/>
      <c r="CC250" s="152"/>
      <c r="CD250" s="152"/>
      <c r="CE250" s="152"/>
      <c r="CF250" s="152"/>
      <c r="CG250" s="152"/>
      <c r="CH250" s="152"/>
      <c r="CI250" s="152"/>
      <c r="CJ250" s="152"/>
      <c r="CK250" s="152"/>
      <c r="CL250" s="152"/>
      <c r="CM250" s="152"/>
      <c r="CN250" s="152"/>
      <c r="CO250" s="152"/>
      <c r="CP250" s="152"/>
      <c r="CQ250" s="152"/>
      <c r="CR250" s="152"/>
    </row>
    <row r="251" spans="1:96" s="401" customFormat="1">
      <c r="A251" s="393" t="s">
        <v>229</v>
      </c>
      <c r="B251" s="394"/>
      <c r="C251" s="394"/>
      <c r="D251" s="395"/>
      <c r="E251" s="395"/>
      <c r="F251" s="396"/>
      <c r="G251" s="395"/>
      <c r="H251" s="397"/>
      <c r="I251" s="395"/>
      <c r="J251" s="395"/>
      <c r="K251" s="395"/>
      <c r="L251" s="395"/>
      <c r="M251" s="395"/>
      <c r="N251" s="398"/>
      <c r="O251" s="395"/>
      <c r="P251" s="395"/>
      <c r="Q251" s="398"/>
      <c r="R251" s="395"/>
      <c r="S251" s="396"/>
      <c r="T251" s="396"/>
      <c r="U251" s="396"/>
      <c r="V251" s="399"/>
      <c r="W251" s="400"/>
      <c r="X251" s="400"/>
      <c r="Y251" s="400"/>
      <c r="Z251" s="152"/>
      <c r="AA251" s="152"/>
      <c r="AB251" s="152"/>
      <c r="AC251" s="152"/>
      <c r="AD251" s="152"/>
      <c r="AE251" s="152"/>
      <c r="AF251" s="152"/>
      <c r="AG251" s="152"/>
      <c r="AH251" s="152"/>
      <c r="AI251" s="152"/>
      <c r="AJ251" s="152"/>
      <c r="AK251" s="152"/>
      <c r="AL251" s="152"/>
      <c r="AM251" s="152"/>
      <c r="AN251" s="152"/>
      <c r="AO251" s="152"/>
      <c r="AP251" s="152"/>
      <c r="AQ251" s="152"/>
      <c r="AR251" s="152"/>
      <c r="AS251" s="152"/>
      <c r="AT251" s="152"/>
      <c r="AU251" s="152"/>
      <c r="AV251" s="152"/>
      <c r="AW251" s="152"/>
      <c r="AX251" s="152"/>
      <c r="AY251" s="152"/>
      <c r="AZ251" s="152"/>
      <c r="BA251" s="152"/>
      <c r="BB251" s="152"/>
      <c r="BC251" s="152"/>
      <c r="BD251" s="152"/>
      <c r="BE251" s="152"/>
      <c r="BF251" s="152"/>
      <c r="BG251" s="152"/>
      <c r="BH251" s="152"/>
      <c r="BI251" s="152"/>
      <c r="BJ251" s="152"/>
      <c r="BK251" s="152"/>
      <c r="BL251" s="152"/>
      <c r="BM251" s="152"/>
      <c r="BN251" s="152"/>
      <c r="BO251" s="152"/>
      <c r="BP251" s="152"/>
      <c r="BQ251" s="152"/>
      <c r="BR251" s="152"/>
      <c r="BS251" s="152"/>
      <c r="BT251" s="152"/>
      <c r="BU251" s="152"/>
      <c r="BV251" s="152"/>
      <c r="BW251" s="152"/>
      <c r="BX251" s="152"/>
      <c r="BY251" s="152"/>
      <c r="BZ251" s="152"/>
      <c r="CA251" s="152"/>
      <c r="CB251" s="152"/>
      <c r="CC251" s="152"/>
      <c r="CD251" s="152"/>
      <c r="CE251" s="152"/>
      <c r="CF251" s="152"/>
      <c r="CG251" s="152"/>
      <c r="CH251" s="152"/>
      <c r="CI251" s="152"/>
      <c r="CJ251" s="152"/>
      <c r="CK251" s="152"/>
      <c r="CL251" s="152"/>
      <c r="CM251" s="152"/>
      <c r="CN251" s="152"/>
      <c r="CO251" s="152"/>
      <c r="CP251" s="152"/>
      <c r="CQ251" s="152"/>
      <c r="CR251" s="152"/>
    </row>
    <row r="252" spans="1:96" s="400" customFormat="1">
      <c r="A252" s="402" t="s">
        <v>230</v>
      </c>
      <c r="B252" s="403" t="s">
        <v>231</v>
      </c>
      <c r="C252" s="404" t="s">
        <v>231</v>
      </c>
      <c r="D252" s="405" t="s">
        <v>2</v>
      </c>
      <c r="E252" s="406">
        <v>1</v>
      </c>
      <c r="F252" s="407">
        <v>550</v>
      </c>
      <c r="G252" s="406">
        <v>12</v>
      </c>
      <c r="H252" s="408">
        <f>E252*F252*G252</f>
        <v>6600</v>
      </c>
      <c r="I252" s="409"/>
      <c r="J252" s="409"/>
      <c r="K252" s="406">
        <v>1</v>
      </c>
      <c r="L252" s="410">
        <v>550</v>
      </c>
      <c r="M252" s="406">
        <v>12</v>
      </c>
      <c r="N252" s="408">
        <f>K252*L252*M252</f>
        <v>6600</v>
      </c>
      <c r="O252" s="411"/>
      <c r="P252" s="409"/>
      <c r="Q252" s="408">
        <f>H252+N252</f>
        <v>13200</v>
      </c>
      <c r="R252" s="409"/>
      <c r="S252" s="409"/>
      <c r="T252" s="409"/>
      <c r="U252" s="409"/>
      <c r="V252" s="2462" t="s">
        <v>232</v>
      </c>
    </row>
    <row r="253" spans="1:96" s="400" customFormat="1">
      <c r="A253" s="402" t="s">
        <v>233</v>
      </c>
      <c r="B253" s="403" t="s">
        <v>231</v>
      </c>
      <c r="C253" s="404" t="s">
        <v>231</v>
      </c>
      <c r="D253" s="405" t="s">
        <v>2</v>
      </c>
      <c r="E253" s="406">
        <v>1</v>
      </c>
      <c r="F253" s="407">
        <v>600</v>
      </c>
      <c r="G253" s="406">
        <v>12</v>
      </c>
      <c r="H253" s="408">
        <f t="shared" ref="H253:H259" si="61">E253*F253*G253</f>
        <v>7200</v>
      </c>
      <c r="I253" s="409"/>
      <c r="J253" s="409"/>
      <c r="K253" s="406">
        <v>1</v>
      </c>
      <c r="L253" s="410">
        <v>600</v>
      </c>
      <c r="M253" s="406">
        <v>12</v>
      </c>
      <c r="N253" s="408">
        <f>K253*L253*M253</f>
        <v>7200</v>
      </c>
      <c r="O253" s="411"/>
      <c r="P253" s="409"/>
      <c r="Q253" s="408">
        <f t="shared" ref="Q253:Q259" si="62">H253+N253</f>
        <v>14400</v>
      </c>
      <c r="R253" s="409"/>
      <c r="S253" s="409"/>
      <c r="T253" s="409"/>
      <c r="U253" s="409"/>
      <c r="V253" s="2463"/>
    </row>
    <row r="254" spans="1:96" s="400" customFormat="1">
      <c r="A254" s="402" t="s">
        <v>234</v>
      </c>
      <c r="B254" s="403" t="s">
        <v>231</v>
      </c>
      <c r="C254" s="404" t="s">
        <v>231</v>
      </c>
      <c r="D254" s="405" t="s">
        <v>2</v>
      </c>
      <c r="E254" s="406">
        <v>1</v>
      </c>
      <c r="F254" s="407">
        <v>750</v>
      </c>
      <c r="G254" s="406">
        <v>12</v>
      </c>
      <c r="H254" s="408">
        <f t="shared" si="61"/>
        <v>9000</v>
      </c>
      <c r="I254" s="409"/>
      <c r="J254" s="409"/>
      <c r="K254" s="406">
        <v>1</v>
      </c>
      <c r="L254" s="410">
        <v>750</v>
      </c>
      <c r="M254" s="406">
        <v>12</v>
      </c>
      <c r="N254" s="408">
        <f>K254*L254*M254</f>
        <v>9000</v>
      </c>
      <c r="O254" s="411"/>
      <c r="P254" s="409"/>
      <c r="Q254" s="408">
        <f t="shared" si="62"/>
        <v>18000</v>
      </c>
      <c r="R254" s="409"/>
      <c r="S254" s="409"/>
      <c r="T254" s="409"/>
      <c r="U254" s="409"/>
      <c r="V254" s="2463"/>
    </row>
    <row r="255" spans="1:96" s="400" customFormat="1">
      <c r="A255" s="402" t="s">
        <v>235</v>
      </c>
      <c r="B255" s="403" t="s">
        <v>231</v>
      </c>
      <c r="C255" s="404" t="s">
        <v>231</v>
      </c>
      <c r="D255" s="405" t="s">
        <v>2</v>
      </c>
      <c r="E255" s="406">
        <v>1</v>
      </c>
      <c r="F255" s="407">
        <v>750</v>
      </c>
      <c r="G255" s="406">
        <v>12</v>
      </c>
      <c r="H255" s="408">
        <f t="shared" si="61"/>
        <v>9000</v>
      </c>
      <c r="I255" s="409"/>
      <c r="J255" s="409"/>
      <c r="K255" s="406">
        <v>1</v>
      </c>
      <c r="L255" s="410">
        <v>750</v>
      </c>
      <c r="M255" s="406">
        <v>12</v>
      </c>
      <c r="N255" s="408">
        <f t="shared" ref="N255:N259" si="63">K255*L255*M255</f>
        <v>9000</v>
      </c>
      <c r="O255" s="411"/>
      <c r="P255" s="412"/>
      <c r="Q255" s="408">
        <f t="shared" si="62"/>
        <v>18000</v>
      </c>
      <c r="R255" s="409"/>
      <c r="S255" s="409"/>
      <c r="T255" s="409"/>
      <c r="U255" s="409"/>
      <c r="V255" s="2463"/>
      <c r="X255" s="413"/>
    </row>
    <row r="256" spans="1:96" s="400" customFormat="1">
      <c r="A256" s="402" t="s">
        <v>236</v>
      </c>
      <c r="B256" s="403" t="s">
        <v>231</v>
      </c>
      <c r="C256" s="404" t="s">
        <v>231</v>
      </c>
      <c r="D256" s="405" t="s">
        <v>2</v>
      </c>
      <c r="E256" s="406">
        <v>1</v>
      </c>
      <c r="F256" s="407">
        <v>1000</v>
      </c>
      <c r="G256" s="406">
        <v>12</v>
      </c>
      <c r="H256" s="408">
        <f t="shared" si="61"/>
        <v>12000</v>
      </c>
      <c r="I256" s="409"/>
      <c r="J256" s="409"/>
      <c r="K256" s="406">
        <v>1</v>
      </c>
      <c r="L256" s="410">
        <v>1000</v>
      </c>
      <c r="M256" s="406">
        <v>12</v>
      </c>
      <c r="N256" s="408">
        <f t="shared" si="63"/>
        <v>12000</v>
      </c>
      <c r="O256" s="411"/>
      <c r="P256" s="412"/>
      <c r="Q256" s="408">
        <f t="shared" si="62"/>
        <v>24000</v>
      </c>
      <c r="R256" s="409"/>
      <c r="S256" s="409"/>
      <c r="T256" s="409"/>
      <c r="U256" s="409"/>
      <c r="V256" s="2463"/>
    </row>
    <row r="257" spans="1:23" s="400" customFormat="1">
      <c r="A257" s="33" t="s">
        <v>237</v>
      </c>
      <c r="B257" s="33" t="s">
        <v>231</v>
      </c>
      <c r="C257" s="34" t="s">
        <v>231</v>
      </c>
      <c r="D257" s="34" t="s">
        <v>2</v>
      </c>
      <c r="E257" s="414">
        <v>1</v>
      </c>
      <c r="F257" s="407">
        <v>1000</v>
      </c>
      <c r="G257" s="415">
        <v>12</v>
      </c>
      <c r="H257" s="408">
        <f t="shared" si="61"/>
        <v>12000</v>
      </c>
      <c r="I257" s="38"/>
      <c r="J257" s="130"/>
      <c r="K257" s="416">
        <v>1</v>
      </c>
      <c r="L257" s="407">
        <v>1000</v>
      </c>
      <c r="M257" s="417">
        <v>12</v>
      </c>
      <c r="N257" s="418">
        <v>12000</v>
      </c>
      <c r="O257" s="39"/>
      <c r="P257" s="419"/>
      <c r="Q257" s="408">
        <f t="shared" si="62"/>
        <v>24000</v>
      </c>
      <c r="R257" s="41"/>
      <c r="S257" s="41"/>
      <c r="T257" s="41"/>
      <c r="U257" s="41"/>
      <c r="V257" s="2463"/>
    </row>
    <row r="258" spans="1:23" s="400" customFormat="1">
      <c r="A258" s="402" t="s">
        <v>238</v>
      </c>
      <c r="B258" s="403" t="s">
        <v>231</v>
      </c>
      <c r="C258" s="404" t="s">
        <v>231</v>
      </c>
      <c r="D258" s="405" t="s">
        <v>2</v>
      </c>
      <c r="E258" s="406">
        <v>1</v>
      </c>
      <c r="F258" s="407">
        <v>1500</v>
      </c>
      <c r="G258" s="406">
        <v>12</v>
      </c>
      <c r="H258" s="408">
        <f t="shared" si="61"/>
        <v>18000</v>
      </c>
      <c r="I258" s="409"/>
      <c r="J258" s="409"/>
      <c r="K258" s="406">
        <v>1</v>
      </c>
      <c r="L258" s="410">
        <v>1500</v>
      </c>
      <c r="M258" s="406">
        <v>12</v>
      </c>
      <c r="N258" s="408">
        <f t="shared" si="63"/>
        <v>18000</v>
      </c>
      <c r="O258" s="411"/>
      <c r="P258" s="412"/>
      <c r="Q258" s="408">
        <f t="shared" si="62"/>
        <v>36000</v>
      </c>
      <c r="R258" s="409"/>
      <c r="S258" s="409"/>
      <c r="T258" s="409"/>
      <c r="U258" s="409"/>
      <c r="V258" s="2463"/>
    </row>
    <row r="259" spans="1:23" s="400" customFormat="1">
      <c r="A259" s="402" t="s">
        <v>239</v>
      </c>
      <c r="B259" s="403" t="s">
        <v>231</v>
      </c>
      <c r="C259" s="404" t="s">
        <v>231</v>
      </c>
      <c r="D259" s="405" t="s">
        <v>2</v>
      </c>
      <c r="E259" s="406">
        <v>2</v>
      </c>
      <c r="F259" s="407">
        <v>250</v>
      </c>
      <c r="G259" s="406">
        <v>12</v>
      </c>
      <c r="H259" s="408">
        <f t="shared" si="61"/>
        <v>6000</v>
      </c>
      <c r="I259" s="409"/>
      <c r="J259" s="409"/>
      <c r="K259" s="406">
        <v>2</v>
      </c>
      <c r="L259" s="410">
        <v>250</v>
      </c>
      <c r="M259" s="406">
        <v>12</v>
      </c>
      <c r="N259" s="408">
        <f t="shared" si="63"/>
        <v>6000</v>
      </c>
      <c r="O259" s="411"/>
      <c r="P259" s="412"/>
      <c r="Q259" s="408">
        <f t="shared" si="62"/>
        <v>12000</v>
      </c>
      <c r="R259" s="409"/>
      <c r="S259" s="409"/>
      <c r="T259" s="409"/>
      <c r="U259" s="409"/>
      <c r="V259" s="2464"/>
    </row>
    <row r="260" spans="1:23" s="432" customFormat="1">
      <c r="A260" s="420"/>
      <c r="B260" s="421"/>
      <c r="C260" s="422"/>
      <c r="D260" s="423" t="s">
        <v>47</v>
      </c>
      <c r="E260" s="423"/>
      <c r="F260" s="424"/>
      <c r="G260" s="423"/>
      <c r="H260" s="425">
        <f>SUM(H252:H259)</f>
        <v>79800</v>
      </c>
      <c r="I260" s="426"/>
      <c r="J260" s="426"/>
      <c r="K260" s="427"/>
      <c r="L260" s="427"/>
      <c r="M260" s="427"/>
      <c r="N260" s="224">
        <f>SUM(N252:N259)</f>
        <v>79800</v>
      </c>
      <c r="O260" s="428"/>
      <c r="P260" s="428"/>
      <c r="Q260" s="224">
        <f>SUM(Q252:Q259)</f>
        <v>159600</v>
      </c>
      <c r="R260" s="429">
        <f>Q260/Q292</f>
        <v>0.14313900998676837</v>
      </c>
      <c r="S260" s="428"/>
      <c r="T260" s="224">
        <v>64346.9</v>
      </c>
      <c r="U260" s="430">
        <f>+T260/H260</f>
        <v>0.80635213032581454</v>
      </c>
      <c r="V260" s="431"/>
      <c r="W260" s="400"/>
    </row>
    <row r="261" spans="1:23" s="432" customFormat="1">
      <c r="A261" s="393" t="s">
        <v>240</v>
      </c>
      <c r="B261" s="433"/>
      <c r="C261" s="433"/>
      <c r="D261" s="433"/>
      <c r="E261" s="433"/>
      <c r="F261" s="433"/>
      <c r="G261" s="433"/>
      <c r="H261" s="434"/>
      <c r="I261" s="433"/>
      <c r="J261" s="433"/>
      <c r="K261" s="433"/>
      <c r="L261" s="433"/>
      <c r="M261" s="433"/>
      <c r="N261" s="435"/>
      <c r="O261" s="433"/>
      <c r="P261" s="433"/>
      <c r="Q261" s="435"/>
      <c r="R261" s="433"/>
      <c r="S261" s="433"/>
      <c r="T261" s="433"/>
      <c r="U261" s="433"/>
      <c r="V261" s="436"/>
      <c r="W261" s="400"/>
    </row>
    <row r="262" spans="1:23" s="432" customFormat="1">
      <c r="A262" s="437" t="s">
        <v>241</v>
      </c>
      <c r="B262" s="438"/>
      <c r="C262" s="283" t="s">
        <v>38</v>
      </c>
      <c r="D262" s="439" t="s">
        <v>2</v>
      </c>
      <c r="E262" s="440">
        <v>1</v>
      </c>
      <c r="F262" s="441">
        <v>350</v>
      </c>
      <c r="G262" s="441">
        <v>12</v>
      </c>
      <c r="H262" s="442">
        <f>E262*F262*G262</f>
        <v>4200</v>
      </c>
      <c r="I262" s="443"/>
      <c r="J262" s="443"/>
      <c r="K262" s="444">
        <v>1</v>
      </c>
      <c r="L262" s="441">
        <v>350</v>
      </c>
      <c r="M262" s="444">
        <v>12</v>
      </c>
      <c r="N262" s="442">
        <f>K262*L262*M262</f>
        <v>4200</v>
      </c>
      <c r="O262" s="445"/>
      <c r="P262" s="445"/>
      <c r="Q262" s="446">
        <f>H262+N262</f>
        <v>8400</v>
      </c>
      <c r="R262" s="447"/>
      <c r="S262" s="448"/>
      <c r="T262" s="448"/>
      <c r="U262" s="448"/>
      <c r="V262" s="2456" t="s">
        <v>242</v>
      </c>
      <c r="W262" s="400"/>
    </row>
    <row r="263" spans="1:23" s="432" customFormat="1" ht="25.5">
      <c r="A263" s="449" t="s">
        <v>243</v>
      </c>
      <c r="B263" s="450"/>
      <c r="C263" s="283" t="s">
        <v>38</v>
      </c>
      <c r="D263" s="439" t="s">
        <v>2</v>
      </c>
      <c r="E263" s="440">
        <v>1</v>
      </c>
      <c r="F263" s="441">
        <v>150</v>
      </c>
      <c r="G263" s="441">
        <v>12</v>
      </c>
      <c r="H263" s="442">
        <f t="shared" ref="H263" si="64">E263*F263*G263</f>
        <v>1800</v>
      </c>
      <c r="I263" s="443"/>
      <c r="J263" s="443"/>
      <c r="K263" s="444">
        <v>1</v>
      </c>
      <c r="L263" s="441">
        <v>150</v>
      </c>
      <c r="M263" s="444">
        <v>12</v>
      </c>
      <c r="N263" s="442">
        <f t="shared" ref="N263" si="65">K263*L263*M263</f>
        <v>1800</v>
      </c>
      <c r="O263" s="445"/>
      <c r="P263" s="445"/>
      <c r="Q263" s="446">
        <f>H263+N263</f>
        <v>3600</v>
      </c>
      <c r="R263" s="447"/>
      <c r="S263" s="448"/>
      <c r="T263" s="448"/>
      <c r="U263" s="448"/>
      <c r="V263" s="2457"/>
      <c r="W263" s="451"/>
    </row>
    <row r="264" spans="1:23" s="432" customFormat="1">
      <c r="A264" s="420"/>
      <c r="B264" s="421"/>
      <c r="C264" s="422"/>
      <c r="D264" s="423" t="s">
        <v>47</v>
      </c>
      <c r="E264" s="427"/>
      <c r="F264" s="427"/>
      <c r="G264" s="427"/>
      <c r="H264" s="224">
        <f>SUM(H262:H263)</f>
        <v>6000</v>
      </c>
      <c r="I264" s="426"/>
      <c r="J264" s="426"/>
      <c r="K264" s="426"/>
      <c r="L264" s="426"/>
      <c r="M264" s="452"/>
      <c r="N264" s="425">
        <f>SUM(N262:N263)</f>
        <v>6000</v>
      </c>
      <c r="O264" s="428"/>
      <c r="P264" s="428"/>
      <c r="Q264" s="224">
        <f>SUM(Q262:Q263)</f>
        <v>12000</v>
      </c>
      <c r="R264" s="426"/>
      <c r="S264" s="453"/>
      <c r="T264" s="224">
        <v>3016.4</v>
      </c>
      <c r="U264" s="454">
        <f>+T264/H264</f>
        <v>0.50273333333333337</v>
      </c>
      <c r="V264" s="455"/>
      <c r="W264" s="400"/>
    </row>
    <row r="265" spans="1:23" s="432" customFormat="1">
      <c r="A265" s="393" t="s">
        <v>244</v>
      </c>
      <c r="B265" s="433"/>
      <c r="C265" s="433"/>
      <c r="D265" s="433"/>
      <c r="E265" s="433"/>
      <c r="F265" s="433"/>
      <c r="G265" s="433"/>
      <c r="H265" s="434"/>
      <c r="I265" s="433"/>
      <c r="J265" s="433"/>
      <c r="K265" s="433"/>
      <c r="L265" s="433"/>
      <c r="M265" s="456"/>
      <c r="N265" s="435"/>
      <c r="O265" s="433"/>
      <c r="P265" s="433"/>
      <c r="Q265" s="435"/>
      <c r="R265" s="433"/>
      <c r="S265" s="433"/>
      <c r="T265" s="433"/>
      <c r="U265" s="433"/>
      <c r="V265" s="436"/>
      <c r="W265" s="400"/>
    </row>
    <row r="266" spans="1:23" s="432" customFormat="1" ht="25.5">
      <c r="A266" s="449" t="s">
        <v>245</v>
      </c>
      <c r="B266" s="457"/>
      <c r="C266" s="458" t="s">
        <v>246</v>
      </c>
      <c r="D266" s="439" t="s">
        <v>2</v>
      </c>
      <c r="E266" s="439">
        <v>6</v>
      </c>
      <c r="F266" s="459">
        <v>500</v>
      </c>
      <c r="G266" s="439">
        <v>1</v>
      </c>
      <c r="H266" s="460">
        <f>E266*F266</f>
        <v>3000</v>
      </c>
      <c r="I266" s="447"/>
      <c r="J266" s="447"/>
      <c r="K266" s="461"/>
      <c r="L266" s="462"/>
      <c r="M266" s="463"/>
      <c r="N266" s="464"/>
      <c r="O266" s="445"/>
      <c r="P266" s="445"/>
      <c r="Q266" s="446">
        <f t="shared" ref="Q266:Q267" si="66">+H266+N266</f>
        <v>3000</v>
      </c>
      <c r="R266" s="447"/>
      <c r="S266" s="448"/>
      <c r="T266" s="448"/>
      <c r="U266" s="448"/>
      <c r="V266" s="2456" t="s">
        <v>247</v>
      </c>
      <c r="W266" s="400"/>
    </row>
    <row r="267" spans="1:23" s="432" customFormat="1">
      <c r="A267" s="437" t="s">
        <v>248</v>
      </c>
      <c r="B267" s="457"/>
      <c r="C267" s="458" t="s">
        <v>246</v>
      </c>
      <c r="D267" s="439" t="s">
        <v>2</v>
      </c>
      <c r="E267" s="439">
        <v>1</v>
      </c>
      <c r="F267" s="459">
        <v>1000</v>
      </c>
      <c r="G267" s="439">
        <v>1</v>
      </c>
      <c r="H267" s="460">
        <f>E267*F267</f>
        <v>1000</v>
      </c>
      <c r="I267" s="447"/>
      <c r="J267" s="447"/>
      <c r="K267" s="461"/>
      <c r="L267" s="462"/>
      <c r="M267" s="463"/>
      <c r="N267" s="464"/>
      <c r="O267" s="445"/>
      <c r="P267" s="445"/>
      <c r="Q267" s="446">
        <f t="shared" si="66"/>
        <v>1000</v>
      </c>
      <c r="R267" s="447"/>
      <c r="S267" s="448"/>
      <c r="T267" s="448"/>
      <c r="U267" s="448"/>
      <c r="V267" s="2457"/>
      <c r="W267" s="400"/>
    </row>
    <row r="268" spans="1:23" s="432" customFormat="1">
      <c r="A268" s="420"/>
      <c r="B268" s="465"/>
      <c r="C268" s="466"/>
      <c r="D268" s="423" t="s">
        <v>47</v>
      </c>
      <c r="E268" s="423"/>
      <c r="F268" s="424"/>
      <c r="G268" s="423"/>
      <c r="H268" s="224">
        <f>SUM(H266:H267)</f>
        <v>4000</v>
      </c>
      <c r="I268" s="426"/>
      <c r="J268" s="426"/>
      <c r="K268" s="427"/>
      <c r="L268" s="427"/>
      <c r="M268" s="467"/>
      <c r="N268" s="224">
        <f>SUM(N266:N267)</f>
        <v>0</v>
      </c>
      <c r="O268" s="428"/>
      <c r="P268" s="428"/>
      <c r="Q268" s="224">
        <f>SUM(Q266:Q267)</f>
        <v>4000</v>
      </c>
      <c r="R268" s="426"/>
      <c r="S268" s="453"/>
      <c r="T268" s="224">
        <v>7287.77</v>
      </c>
      <c r="U268" s="454">
        <f>+T268/H268</f>
        <v>1.8219425</v>
      </c>
      <c r="V268" s="455"/>
      <c r="W268" s="400"/>
    </row>
    <row r="269" spans="1:23" s="432" customFormat="1">
      <c r="A269" s="393" t="s">
        <v>249</v>
      </c>
      <c r="B269" s="433"/>
      <c r="C269" s="433"/>
      <c r="D269" s="433"/>
      <c r="E269" s="433"/>
      <c r="F269" s="433"/>
      <c r="G269" s="433"/>
      <c r="H269" s="434"/>
      <c r="I269" s="433"/>
      <c r="J269" s="433"/>
      <c r="K269" s="433"/>
      <c r="L269" s="433"/>
      <c r="M269" s="456"/>
      <c r="N269" s="435"/>
      <c r="O269" s="433"/>
      <c r="P269" s="433"/>
      <c r="Q269" s="435"/>
      <c r="R269" s="433"/>
      <c r="S269" s="433"/>
      <c r="T269" s="433"/>
      <c r="U269" s="433"/>
      <c r="V269" s="436"/>
      <c r="W269" s="400"/>
    </row>
    <row r="270" spans="1:23" s="432" customFormat="1">
      <c r="A270" s="468" t="s">
        <v>250</v>
      </c>
      <c r="B270" s="469"/>
      <c r="C270" s="470" t="s">
        <v>33</v>
      </c>
      <c r="D270" s="439" t="s">
        <v>2</v>
      </c>
      <c r="E270" s="440">
        <v>1</v>
      </c>
      <c r="F270" s="471">
        <v>500</v>
      </c>
      <c r="G270" s="471">
        <v>12</v>
      </c>
      <c r="H270" s="472">
        <f>E270*F270*G270</f>
        <v>6000</v>
      </c>
      <c r="I270" s="473"/>
      <c r="J270" s="473"/>
      <c r="K270" s="474">
        <v>1</v>
      </c>
      <c r="L270" s="471">
        <v>500</v>
      </c>
      <c r="M270" s="475">
        <v>12</v>
      </c>
      <c r="N270" s="472">
        <f>K270*L270*M270</f>
        <v>6000</v>
      </c>
      <c r="O270" s="445"/>
      <c r="P270" s="445"/>
      <c r="Q270" s="446">
        <f>+H270+N270</f>
        <v>12000</v>
      </c>
      <c r="R270" s="447"/>
      <c r="S270" s="448"/>
      <c r="T270" s="448"/>
      <c r="U270" s="448"/>
      <c r="V270" s="2456" t="s">
        <v>251</v>
      </c>
      <c r="W270" s="400"/>
    </row>
    <row r="271" spans="1:23" s="432" customFormat="1">
      <c r="A271" s="468" t="s">
        <v>252</v>
      </c>
      <c r="B271" s="469"/>
      <c r="C271" s="470" t="s">
        <v>33</v>
      </c>
      <c r="D271" s="439" t="s">
        <v>2</v>
      </c>
      <c r="E271" s="440">
        <v>1</v>
      </c>
      <c r="F271" s="471">
        <v>150</v>
      </c>
      <c r="G271" s="471">
        <v>12</v>
      </c>
      <c r="H271" s="472">
        <f t="shared" ref="H271:H272" si="67">E271*F271*G271</f>
        <v>1800</v>
      </c>
      <c r="I271" s="473"/>
      <c r="J271" s="473"/>
      <c r="K271" s="474">
        <v>1</v>
      </c>
      <c r="L271" s="471">
        <v>150</v>
      </c>
      <c r="M271" s="475">
        <v>12</v>
      </c>
      <c r="N271" s="472">
        <f t="shared" ref="N271:N272" si="68">K271*L271*M271</f>
        <v>1800</v>
      </c>
      <c r="O271" s="445"/>
      <c r="P271" s="445"/>
      <c r="Q271" s="446">
        <f t="shared" ref="Q271:Q272" si="69">+H271+N271</f>
        <v>3600</v>
      </c>
      <c r="R271" s="447"/>
      <c r="S271" s="448"/>
      <c r="T271" s="448"/>
      <c r="U271" s="448"/>
      <c r="V271" s="2465"/>
      <c r="W271" s="400"/>
    </row>
    <row r="272" spans="1:23" s="432" customFormat="1">
      <c r="A272" s="468" t="s">
        <v>253</v>
      </c>
      <c r="B272" s="469"/>
      <c r="C272" s="470" t="s">
        <v>33</v>
      </c>
      <c r="D272" s="439" t="s">
        <v>2</v>
      </c>
      <c r="E272" s="440">
        <v>1</v>
      </c>
      <c r="F272" s="471">
        <v>300</v>
      </c>
      <c r="G272" s="471">
        <v>12</v>
      </c>
      <c r="H272" s="472">
        <f t="shared" si="67"/>
        <v>3600</v>
      </c>
      <c r="I272" s="473"/>
      <c r="J272" s="473"/>
      <c r="K272" s="474">
        <v>1</v>
      </c>
      <c r="L272" s="471">
        <v>300</v>
      </c>
      <c r="M272" s="475">
        <v>12</v>
      </c>
      <c r="N272" s="472">
        <f t="shared" si="68"/>
        <v>3600</v>
      </c>
      <c r="O272" s="445"/>
      <c r="P272" s="445"/>
      <c r="Q272" s="446">
        <f t="shared" si="69"/>
        <v>7200</v>
      </c>
      <c r="R272" s="447"/>
      <c r="S272" s="448"/>
      <c r="T272" s="448"/>
      <c r="U272" s="448"/>
      <c r="V272" s="2465"/>
      <c r="W272" s="400"/>
    </row>
    <row r="273" spans="1:65" s="432" customFormat="1">
      <c r="A273" s="402" t="s">
        <v>254</v>
      </c>
      <c r="B273" s="403"/>
      <c r="C273" s="404" t="s">
        <v>33</v>
      </c>
      <c r="D273" s="405" t="s">
        <v>2</v>
      </c>
      <c r="E273" s="406">
        <v>1</v>
      </c>
      <c r="F273" s="471">
        <v>450</v>
      </c>
      <c r="G273" s="406">
        <v>12</v>
      </c>
      <c r="H273" s="408">
        <f>E273*F273*G273</f>
        <v>5400</v>
      </c>
      <c r="I273" s="409"/>
      <c r="J273" s="409"/>
      <c r="K273" s="406">
        <v>1</v>
      </c>
      <c r="L273" s="410">
        <v>450</v>
      </c>
      <c r="M273" s="476">
        <v>12</v>
      </c>
      <c r="N273" s="408">
        <f>K273*L273*M273</f>
        <v>5400</v>
      </c>
      <c r="O273" s="411"/>
      <c r="P273" s="412"/>
      <c r="Q273" s="477">
        <f>H273+N273</f>
        <v>10800</v>
      </c>
      <c r="R273" s="409"/>
      <c r="S273" s="409"/>
      <c r="T273" s="409"/>
      <c r="U273" s="409"/>
      <c r="V273" s="2457"/>
      <c r="W273" s="400"/>
      <c r="X273" s="478"/>
    </row>
    <row r="274" spans="1:65" s="432" customFormat="1">
      <c r="A274" s="420"/>
      <c r="B274" s="465"/>
      <c r="C274" s="420"/>
      <c r="D274" s="423" t="s">
        <v>47</v>
      </c>
      <c r="E274" s="423"/>
      <c r="F274" s="424"/>
      <c r="G274" s="423"/>
      <c r="H274" s="425">
        <f>SUM(H270:H273)</f>
        <v>16800</v>
      </c>
      <c r="I274" s="426"/>
      <c r="J274" s="426"/>
      <c r="K274" s="427"/>
      <c r="L274" s="427"/>
      <c r="M274" s="427"/>
      <c r="N274" s="224">
        <f>SUM(N270:N273)</f>
        <v>16800</v>
      </c>
      <c r="O274" s="428"/>
      <c r="P274" s="428"/>
      <c r="Q274" s="224">
        <f>SUM(Q270:Q273)</f>
        <v>33600</v>
      </c>
      <c r="R274" s="426"/>
      <c r="S274" s="453"/>
      <c r="T274" s="479">
        <v>8194.33</v>
      </c>
      <c r="U274" s="454">
        <f>+T274/H274</f>
        <v>0.48775773809523809</v>
      </c>
      <c r="V274" s="455"/>
      <c r="W274" s="400"/>
    </row>
    <row r="275" spans="1:65" s="432" customFormat="1">
      <c r="A275" s="393" t="s">
        <v>255</v>
      </c>
      <c r="B275" s="433"/>
      <c r="C275" s="433"/>
      <c r="D275" s="433"/>
      <c r="E275" s="433"/>
      <c r="F275" s="433"/>
      <c r="G275" s="433"/>
      <c r="H275" s="434"/>
      <c r="I275" s="433"/>
      <c r="J275" s="433"/>
      <c r="K275" s="433"/>
      <c r="L275" s="433"/>
      <c r="M275" s="433"/>
      <c r="N275" s="435"/>
      <c r="O275" s="433"/>
      <c r="P275" s="433"/>
      <c r="Q275" s="435"/>
      <c r="R275" s="433"/>
      <c r="S275" s="433"/>
      <c r="T275" s="433"/>
      <c r="U275" s="433"/>
      <c r="V275" s="436"/>
      <c r="W275" s="400"/>
    </row>
    <row r="276" spans="1:65" s="432" customFormat="1" ht="25.5">
      <c r="A276" s="449" t="s">
        <v>256</v>
      </c>
      <c r="B276" s="480" t="s">
        <v>257</v>
      </c>
      <c r="C276" s="470" t="s">
        <v>40</v>
      </c>
      <c r="D276" s="439" t="s">
        <v>2</v>
      </c>
      <c r="E276" s="481">
        <v>15</v>
      </c>
      <c r="F276" s="482">
        <v>20</v>
      </c>
      <c r="G276" s="482">
        <v>2</v>
      </c>
      <c r="H276" s="483">
        <f>E276*F276*G276</f>
        <v>600</v>
      </c>
      <c r="I276" s="484"/>
      <c r="J276" s="484"/>
      <c r="K276" s="485">
        <v>15</v>
      </c>
      <c r="L276" s="482">
        <v>20</v>
      </c>
      <c r="M276" s="482">
        <v>2</v>
      </c>
      <c r="N276" s="483">
        <f>K276*L276*M276</f>
        <v>600</v>
      </c>
      <c r="O276" s="486"/>
      <c r="P276" s="486"/>
      <c r="Q276" s="446">
        <f t="shared" ref="Q276:Q277" si="70">+H276+N276</f>
        <v>1200</v>
      </c>
      <c r="R276" s="487"/>
      <c r="S276" s="488"/>
      <c r="T276" s="488"/>
      <c r="U276" s="488"/>
      <c r="V276" s="2456" t="s">
        <v>258</v>
      </c>
      <c r="W276" s="400"/>
    </row>
    <row r="277" spans="1:65" s="432" customFormat="1">
      <c r="A277" s="437" t="s">
        <v>259</v>
      </c>
      <c r="B277" s="480"/>
      <c r="C277" s="470" t="s">
        <v>40</v>
      </c>
      <c r="D277" s="439" t="s">
        <v>2</v>
      </c>
      <c r="E277" s="489">
        <v>120</v>
      </c>
      <c r="F277" s="482">
        <v>1.2</v>
      </c>
      <c r="G277" s="482">
        <v>2</v>
      </c>
      <c r="H277" s="483">
        <f>E277*F277*G277</f>
        <v>288</v>
      </c>
      <c r="I277" s="484"/>
      <c r="J277" s="484"/>
      <c r="K277" s="482">
        <v>120</v>
      </c>
      <c r="L277" s="482">
        <v>1.2</v>
      </c>
      <c r="M277" s="482">
        <v>2</v>
      </c>
      <c r="N277" s="483">
        <f>K277*L277*M277</f>
        <v>288</v>
      </c>
      <c r="O277" s="486"/>
      <c r="P277" s="486"/>
      <c r="Q277" s="446">
        <f t="shared" si="70"/>
        <v>576</v>
      </c>
      <c r="R277" s="487"/>
      <c r="S277" s="488"/>
      <c r="T277" s="488"/>
      <c r="U277" s="488"/>
      <c r="V277" s="2457"/>
      <c r="W277" s="400"/>
      <c r="X277" s="490"/>
    </row>
    <row r="278" spans="1:65" s="432" customFormat="1">
      <c r="A278" s="420"/>
      <c r="B278" s="465"/>
      <c r="C278" s="420"/>
      <c r="D278" s="423" t="s">
        <v>47</v>
      </c>
      <c r="E278" s="423"/>
      <c r="F278" s="424"/>
      <c r="G278" s="423"/>
      <c r="H278" s="425">
        <f>SUM(H276:H277)</f>
        <v>888</v>
      </c>
      <c r="I278" s="426"/>
      <c r="J278" s="426"/>
      <c r="K278" s="427"/>
      <c r="L278" s="427"/>
      <c r="M278" s="427"/>
      <c r="N278" s="224">
        <f>SUM(N276:N277)</f>
        <v>888</v>
      </c>
      <c r="O278" s="428"/>
      <c r="P278" s="428"/>
      <c r="Q278" s="224">
        <f>SUM(Q276:Q277)</f>
        <v>1776</v>
      </c>
      <c r="R278" s="426"/>
      <c r="S278" s="453"/>
      <c r="T278" s="224">
        <v>0</v>
      </c>
      <c r="U278" s="453"/>
      <c r="V278" s="455"/>
      <c r="W278" s="400"/>
    </row>
    <row r="279" spans="1:65" s="432" customFormat="1">
      <c r="A279" s="393" t="s">
        <v>260</v>
      </c>
      <c r="B279" s="433"/>
      <c r="C279" s="433"/>
      <c r="D279" s="433"/>
      <c r="E279" s="433"/>
      <c r="F279" s="433"/>
      <c r="G279" s="433"/>
      <c r="H279" s="434"/>
      <c r="I279" s="433"/>
      <c r="J279" s="433"/>
      <c r="K279" s="433"/>
      <c r="L279" s="433"/>
      <c r="M279" s="433"/>
      <c r="N279" s="435"/>
      <c r="O279" s="433"/>
      <c r="P279" s="433"/>
      <c r="Q279" s="435"/>
      <c r="R279" s="433"/>
      <c r="S279" s="433"/>
      <c r="T279" s="433"/>
      <c r="U279" s="433"/>
      <c r="V279" s="436"/>
      <c r="W279" s="400"/>
    </row>
    <row r="280" spans="1:65" s="432" customFormat="1">
      <c r="A280" s="491" t="s">
        <v>261</v>
      </c>
      <c r="B280" s="469"/>
      <c r="C280" s="470" t="s">
        <v>50</v>
      </c>
      <c r="D280" s="439"/>
      <c r="E280" s="492"/>
      <c r="F280" s="493"/>
      <c r="G280" s="492"/>
      <c r="H280" s="494">
        <v>0</v>
      </c>
      <c r="I280" s="447"/>
      <c r="J280" s="447"/>
      <c r="K280" s="495"/>
      <c r="L280" s="495"/>
      <c r="M280" s="495"/>
      <c r="N280" s="496">
        <v>0</v>
      </c>
      <c r="O280" s="445"/>
      <c r="P280" s="445"/>
      <c r="Q280" s="497">
        <v>0</v>
      </c>
      <c r="R280" s="447"/>
      <c r="S280" s="448"/>
      <c r="T280" s="448"/>
      <c r="U280" s="448"/>
      <c r="V280" s="498"/>
      <c r="W280" s="400"/>
    </row>
    <row r="281" spans="1:65" s="432" customFormat="1">
      <c r="A281" s="420"/>
      <c r="B281" s="465"/>
      <c r="C281" s="420"/>
      <c r="D281" s="423" t="s">
        <v>47</v>
      </c>
      <c r="E281" s="423"/>
      <c r="F281" s="424"/>
      <c r="G281" s="423"/>
      <c r="H281" s="425">
        <f>SUM(H280)</f>
        <v>0</v>
      </c>
      <c r="I281" s="426"/>
      <c r="J281" s="426"/>
      <c r="K281" s="427"/>
      <c r="L281" s="427"/>
      <c r="M281" s="427"/>
      <c r="N281" s="224">
        <f>SUM(N280)</f>
        <v>0</v>
      </c>
      <c r="O281" s="428"/>
      <c r="P281" s="428"/>
      <c r="Q281" s="224">
        <f>SUM(Q280)</f>
        <v>0</v>
      </c>
      <c r="R281" s="426"/>
      <c r="S281" s="453"/>
      <c r="T281" s="224">
        <v>0</v>
      </c>
      <c r="U281" s="453"/>
      <c r="V281" s="455"/>
      <c r="W281" s="400"/>
    </row>
    <row r="282" spans="1:65" s="432" customFormat="1">
      <c r="A282" s="393" t="s">
        <v>262</v>
      </c>
      <c r="B282" s="433"/>
      <c r="C282" s="433"/>
      <c r="D282" s="433"/>
      <c r="E282" s="433"/>
      <c r="F282" s="433"/>
      <c r="G282" s="433"/>
      <c r="H282" s="434"/>
      <c r="I282" s="433"/>
      <c r="J282" s="433"/>
      <c r="K282" s="433"/>
      <c r="L282" s="433"/>
      <c r="M282" s="433"/>
      <c r="N282" s="435"/>
      <c r="O282" s="433"/>
      <c r="P282" s="433"/>
      <c r="Q282" s="435"/>
      <c r="R282" s="433"/>
      <c r="S282" s="433"/>
      <c r="T282" s="433"/>
      <c r="U282" s="433"/>
      <c r="V282" s="436"/>
      <c r="W282" s="400"/>
    </row>
    <row r="283" spans="1:65" s="432" customFormat="1" ht="25.5">
      <c r="A283" s="499" t="s">
        <v>263</v>
      </c>
      <c r="C283" s="500" t="s">
        <v>42</v>
      </c>
      <c r="D283" s="439" t="s">
        <v>2</v>
      </c>
      <c r="E283" s="405">
        <v>1</v>
      </c>
      <c r="F283" s="501">
        <v>1300</v>
      </c>
      <c r="G283" s="502">
        <v>12</v>
      </c>
      <c r="H283" s="460">
        <f>E283*F283*G283</f>
        <v>15600</v>
      </c>
      <c r="I283" s="447"/>
      <c r="J283" s="447"/>
      <c r="K283" s="503">
        <v>1</v>
      </c>
      <c r="L283" s="504">
        <v>1254.675</v>
      </c>
      <c r="M283" s="405">
        <v>12</v>
      </c>
      <c r="N283" s="464">
        <f>K283*L283*M283</f>
        <v>15056.099999999999</v>
      </c>
      <c r="O283" s="445"/>
      <c r="P283" s="445"/>
      <c r="Q283" s="446">
        <f t="shared" ref="Q283" si="71">H283+N283</f>
        <v>30656.1</v>
      </c>
      <c r="R283" s="447"/>
      <c r="S283" s="448"/>
      <c r="T283" s="448"/>
      <c r="U283" s="448"/>
      <c r="V283" s="505" t="s">
        <v>264</v>
      </c>
      <c r="W283" s="400"/>
    </row>
    <row r="284" spans="1:65" s="432" customFormat="1">
      <c r="A284" s="420"/>
      <c r="B284" s="421"/>
      <c r="C284" s="506"/>
      <c r="D284" s="423" t="s">
        <v>47</v>
      </c>
      <c r="E284" s="423"/>
      <c r="F284" s="424"/>
      <c r="G284" s="423"/>
      <c r="H284" s="224">
        <f>SUM(H283)</f>
        <v>15600</v>
      </c>
      <c r="I284" s="426"/>
      <c r="J284" s="426"/>
      <c r="K284" s="427"/>
      <c r="L284" s="427"/>
      <c r="M284" s="427"/>
      <c r="N284" s="224">
        <f>SUM(N283)</f>
        <v>15056.099999999999</v>
      </c>
      <c r="O284" s="428"/>
      <c r="P284" s="428"/>
      <c r="Q284" s="224">
        <f>SUM(Q283)</f>
        <v>30656.1</v>
      </c>
      <c r="R284" s="426"/>
      <c r="S284" s="453"/>
      <c r="T284" s="224">
        <v>7755.17</v>
      </c>
      <c r="U284" s="454">
        <f>+T284/H284</f>
        <v>0.49712628205128206</v>
      </c>
      <c r="V284" s="507"/>
      <c r="W284" s="400"/>
    </row>
    <row r="285" spans="1:65" s="520" customFormat="1">
      <c r="A285" s="370" t="s">
        <v>265</v>
      </c>
      <c r="B285" s="508"/>
      <c r="C285" s="509"/>
      <c r="D285" s="510"/>
      <c r="E285" s="510"/>
      <c r="F285" s="511"/>
      <c r="G285" s="512"/>
      <c r="H285" s="513">
        <f>H284+H281+H278+H274+H268+H264+H260</f>
        <v>123088</v>
      </c>
      <c r="I285" s="514"/>
      <c r="J285" s="514"/>
      <c r="K285" s="515"/>
      <c r="L285" s="515"/>
      <c r="M285" s="515"/>
      <c r="N285" s="513">
        <f>N284+N281+N278+N274+N268+N264+N260</f>
        <v>118544.1</v>
      </c>
      <c r="O285" s="515"/>
      <c r="P285" s="515"/>
      <c r="Q285" s="513">
        <f>Q284+Q281+Q278+Q274+Q268+Q264+Q260</f>
        <v>241632.1</v>
      </c>
      <c r="R285" s="516">
        <f>Q285/Q292</f>
        <v>0.2167103983397482</v>
      </c>
      <c r="S285" s="517"/>
      <c r="T285" s="517">
        <f>+T260+T264+T268+T274+T278+T281+T284</f>
        <v>90600.57</v>
      </c>
      <c r="U285" s="518">
        <f>+T285/H285</f>
        <v>0.73606338554530093</v>
      </c>
      <c r="V285" s="519"/>
      <c r="W285" s="400"/>
      <c r="X285" s="432"/>
      <c r="Y285" s="432"/>
      <c r="Z285" s="432"/>
      <c r="AA285" s="432"/>
      <c r="AB285" s="432"/>
      <c r="AC285" s="432"/>
      <c r="AD285" s="432"/>
      <c r="AE285" s="432"/>
      <c r="AF285" s="432"/>
      <c r="AG285" s="432"/>
      <c r="AH285" s="432"/>
      <c r="AI285" s="432"/>
      <c r="AJ285" s="432"/>
      <c r="AK285" s="432"/>
      <c r="AL285" s="432"/>
      <c r="AM285" s="432"/>
      <c r="AN285" s="432"/>
      <c r="AO285" s="432"/>
      <c r="AP285" s="432"/>
      <c r="AQ285" s="432"/>
      <c r="AR285" s="432"/>
      <c r="AS285" s="432"/>
      <c r="AT285" s="432"/>
      <c r="AU285" s="432"/>
      <c r="AV285" s="432"/>
      <c r="AW285" s="432"/>
      <c r="AX285" s="432"/>
      <c r="AY285" s="432"/>
      <c r="AZ285" s="432"/>
      <c r="BA285" s="432"/>
      <c r="BB285" s="432"/>
      <c r="BC285" s="432"/>
      <c r="BD285" s="432"/>
      <c r="BE285" s="432"/>
      <c r="BF285" s="432"/>
      <c r="BG285" s="432"/>
      <c r="BH285" s="432"/>
      <c r="BI285" s="432"/>
      <c r="BJ285" s="432"/>
      <c r="BK285" s="432"/>
      <c r="BL285" s="432"/>
      <c r="BM285" s="432"/>
    </row>
    <row r="286" spans="1:65" s="533" customFormat="1">
      <c r="A286" s="521" t="s">
        <v>266</v>
      </c>
      <c r="B286" s="522"/>
      <c r="C286" s="522"/>
      <c r="D286" s="523"/>
      <c r="E286" s="524"/>
      <c r="F286" s="525"/>
      <c r="G286" s="524"/>
      <c r="H286" s="526" t="s">
        <v>267</v>
      </c>
      <c r="I286" s="527"/>
      <c r="J286" s="527"/>
      <c r="K286" s="527"/>
      <c r="L286" s="527"/>
      <c r="M286" s="527"/>
      <c r="N286" s="528" t="s">
        <v>268</v>
      </c>
      <c r="O286" s="529"/>
      <c r="P286" s="529"/>
      <c r="Q286" s="528"/>
      <c r="R286" s="530"/>
      <c r="S286" s="531"/>
      <c r="T286" s="531"/>
      <c r="U286" s="531"/>
      <c r="V286" s="532"/>
      <c r="W286" s="400"/>
      <c r="X286" s="432"/>
      <c r="Y286" s="432"/>
      <c r="Z286" s="432"/>
      <c r="AA286" s="432"/>
      <c r="AB286" s="432"/>
      <c r="AC286" s="432"/>
      <c r="AD286" s="432"/>
      <c r="AE286" s="432"/>
      <c r="AF286" s="432"/>
      <c r="AG286" s="432"/>
      <c r="AH286" s="432"/>
      <c r="AI286" s="432"/>
      <c r="AJ286" s="432"/>
      <c r="AK286" s="432"/>
      <c r="AL286" s="432"/>
      <c r="AM286" s="432"/>
      <c r="AN286" s="432"/>
      <c r="AO286" s="432"/>
      <c r="AP286" s="432"/>
      <c r="AQ286" s="432"/>
      <c r="AR286" s="432"/>
      <c r="AS286" s="432"/>
      <c r="AT286" s="432"/>
      <c r="AU286" s="432"/>
      <c r="AV286" s="432"/>
      <c r="AW286" s="432"/>
      <c r="AX286" s="432"/>
      <c r="AY286" s="432"/>
      <c r="AZ286" s="432"/>
      <c r="BA286" s="432"/>
      <c r="BB286" s="432"/>
      <c r="BC286" s="432"/>
      <c r="BD286" s="432"/>
      <c r="BE286" s="432"/>
      <c r="BF286" s="432"/>
      <c r="BG286" s="432"/>
      <c r="BH286" s="432"/>
      <c r="BI286" s="432"/>
      <c r="BJ286" s="432"/>
      <c r="BK286" s="432"/>
      <c r="BL286" s="432"/>
      <c r="BM286" s="432"/>
    </row>
    <row r="287" spans="1:65" s="533" customFormat="1">
      <c r="A287" s="534"/>
      <c r="B287" s="535"/>
      <c r="C287" s="535"/>
      <c r="D287" s="536"/>
      <c r="E287" s="524"/>
      <c r="F287" s="525"/>
      <c r="G287" s="537"/>
      <c r="H287" s="538">
        <f>H249+H285</f>
        <v>514897</v>
      </c>
      <c r="I287" s="527"/>
      <c r="J287" s="527"/>
      <c r="K287" s="527"/>
      <c r="L287" s="527"/>
      <c r="M287" s="539"/>
      <c r="N287" s="526">
        <f>N249+N285</f>
        <v>527159.1</v>
      </c>
      <c r="O287" s="540"/>
      <c r="P287" s="529"/>
      <c r="Q287" s="526">
        <f>Q249+Q285</f>
        <v>1042056.1</v>
      </c>
      <c r="R287" s="541"/>
      <c r="S287" s="531">
        <f>S249+S285</f>
        <v>350896.1</v>
      </c>
      <c r="T287" s="531">
        <f>+T249+T285</f>
        <v>337669.44</v>
      </c>
      <c r="U287" s="542">
        <f>+T287/H287</f>
        <v>0.65579997552908642</v>
      </c>
      <c r="V287" s="532"/>
      <c r="W287" s="400"/>
      <c r="X287" s="432"/>
      <c r="Y287" s="432"/>
      <c r="Z287" s="432"/>
      <c r="AA287" s="432"/>
      <c r="AB287" s="432"/>
      <c r="AC287" s="432"/>
      <c r="AD287" s="432"/>
      <c r="AE287" s="432"/>
      <c r="AF287" s="432"/>
      <c r="AG287" s="432"/>
      <c r="AH287" s="432"/>
      <c r="AI287" s="432"/>
      <c r="AJ287" s="432"/>
      <c r="AK287" s="432"/>
      <c r="AL287" s="432"/>
      <c r="AM287" s="432"/>
      <c r="AN287" s="432"/>
      <c r="AO287" s="432"/>
      <c r="AP287" s="432"/>
      <c r="AQ287" s="432"/>
      <c r="AR287" s="432"/>
      <c r="AS287" s="432"/>
      <c r="AT287" s="432"/>
      <c r="AU287" s="432"/>
      <c r="AV287" s="432"/>
      <c r="AW287" s="432"/>
      <c r="AX287" s="432"/>
      <c r="AY287" s="432"/>
      <c r="AZ287" s="432"/>
      <c r="BA287" s="432"/>
      <c r="BB287" s="432"/>
      <c r="BC287" s="432"/>
      <c r="BD287" s="432"/>
      <c r="BE287" s="432"/>
      <c r="BF287" s="432"/>
      <c r="BG287" s="432"/>
      <c r="BH287" s="432"/>
      <c r="BI287" s="432"/>
      <c r="BJ287" s="432"/>
      <c r="BK287" s="432"/>
      <c r="BL287" s="432"/>
      <c r="BM287" s="432"/>
    </row>
    <row r="288" spans="1:65" s="557" customFormat="1">
      <c r="A288" s="543"/>
      <c r="B288" s="544"/>
      <c r="C288" s="545"/>
      <c r="D288" s="546" t="s">
        <v>269</v>
      </c>
      <c r="E288" s="547"/>
      <c r="F288" s="548"/>
      <c r="G288" s="547"/>
      <c r="H288" s="549"/>
      <c r="I288" s="550"/>
      <c r="J288" s="551"/>
      <c r="K288" s="550"/>
      <c r="L288" s="550"/>
      <c r="M288" s="550"/>
      <c r="N288" s="552"/>
      <c r="O288" s="553"/>
      <c r="P288" s="551"/>
      <c r="Q288" s="552"/>
      <c r="R288" s="554"/>
      <c r="S288" s="555"/>
      <c r="T288" s="555"/>
      <c r="U288" s="555"/>
      <c r="V288" s="556"/>
      <c r="W288" s="400"/>
      <c r="X288" s="432"/>
      <c r="Y288" s="432"/>
      <c r="Z288" s="432"/>
      <c r="AA288" s="432"/>
      <c r="AB288" s="432"/>
      <c r="AC288" s="432"/>
      <c r="AD288" s="432"/>
      <c r="AE288" s="432"/>
      <c r="AF288" s="432"/>
      <c r="AG288" s="432"/>
      <c r="AH288" s="432"/>
      <c r="AI288" s="432"/>
      <c r="AJ288" s="432"/>
      <c r="AK288" s="432"/>
      <c r="AL288" s="432"/>
      <c r="AM288" s="432"/>
      <c r="AN288" s="432"/>
      <c r="AO288" s="432"/>
      <c r="AP288" s="432"/>
      <c r="AQ288" s="432"/>
      <c r="AR288" s="432"/>
      <c r="AS288" s="432"/>
      <c r="AT288" s="432"/>
      <c r="AU288" s="432"/>
      <c r="AV288" s="432"/>
      <c r="AW288" s="432"/>
      <c r="AX288" s="432"/>
      <c r="AY288" s="432"/>
      <c r="AZ288" s="432"/>
      <c r="BA288" s="432"/>
      <c r="BB288" s="432"/>
      <c r="BC288" s="432"/>
      <c r="BD288" s="432"/>
      <c r="BE288" s="432"/>
      <c r="BF288" s="432"/>
      <c r="BG288" s="432"/>
      <c r="BH288" s="432"/>
      <c r="BI288" s="432"/>
      <c r="BJ288" s="432"/>
      <c r="BK288" s="432"/>
      <c r="BL288" s="432"/>
      <c r="BM288" s="432"/>
    </row>
    <row r="289" spans="1:65" s="570" customFormat="1" ht="17.25" customHeight="1">
      <c r="A289" s="558" t="s">
        <v>270</v>
      </c>
      <c r="B289" s="559"/>
      <c r="C289" s="559"/>
      <c r="D289" s="560"/>
      <c r="E289" s="561"/>
      <c r="F289" s="562"/>
      <c r="G289" s="563"/>
      <c r="H289" s="564">
        <f>H287*0.07</f>
        <v>36042.79</v>
      </c>
      <c r="I289" s="565"/>
      <c r="J289" s="565"/>
      <c r="K289" s="564"/>
      <c r="L289" s="564"/>
      <c r="M289" s="564"/>
      <c r="N289" s="566">
        <f>N287*0.07</f>
        <v>36901.137000000002</v>
      </c>
      <c r="O289" s="566"/>
      <c r="P289" s="566"/>
      <c r="Q289" s="567">
        <f>Q287*0.07</f>
        <v>72943.927000000011</v>
      </c>
      <c r="R289" s="566"/>
      <c r="S289" s="568"/>
      <c r="T289" s="568">
        <v>26880.45</v>
      </c>
      <c r="U289" s="568"/>
      <c r="V289" s="569"/>
      <c r="W289" s="400"/>
      <c r="X289" s="432"/>
      <c r="Y289" s="432"/>
      <c r="Z289" s="432"/>
      <c r="AA289" s="432"/>
      <c r="AB289" s="432"/>
      <c r="AC289" s="432"/>
      <c r="AD289" s="432"/>
      <c r="AE289" s="432"/>
      <c r="AF289" s="432"/>
      <c r="AG289" s="432"/>
      <c r="AH289" s="432"/>
      <c r="AI289" s="432"/>
      <c r="AJ289" s="432"/>
      <c r="AK289" s="432"/>
      <c r="AL289" s="432"/>
      <c r="AM289" s="432"/>
      <c r="AN289" s="432"/>
      <c r="AO289" s="432"/>
      <c r="AP289" s="432"/>
      <c r="AQ289" s="432"/>
      <c r="AR289" s="432"/>
      <c r="AS289" s="432"/>
      <c r="AT289" s="432"/>
      <c r="AU289" s="432"/>
      <c r="AV289" s="432"/>
      <c r="AW289" s="432"/>
      <c r="AX289" s="432"/>
      <c r="AY289" s="432"/>
      <c r="AZ289" s="432"/>
      <c r="BA289" s="432"/>
      <c r="BB289" s="432"/>
      <c r="BC289" s="432"/>
      <c r="BD289" s="432"/>
      <c r="BE289" s="432"/>
      <c r="BF289" s="432"/>
      <c r="BG289" s="432"/>
      <c r="BH289" s="432"/>
      <c r="BI289" s="432"/>
      <c r="BJ289" s="432"/>
      <c r="BK289" s="432"/>
      <c r="BL289" s="432"/>
      <c r="BM289" s="432"/>
    </row>
    <row r="290" spans="1:65" s="570" customFormat="1" ht="15.75" customHeight="1">
      <c r="A290" s="571" t="s">
        <v>271</v>
      </c>
      <c r="B290" s="572"/>
      <c r="C290" s="572"/>
      <c r="D290" s="573"/>
      <c r="E290" s="574"/>
      <c r="F290" s="575"/>
      <c r="G290" s="576"/>
      <c r="H290" s="577">
        <f>H287+H289</f>
        <v>550939.79</v>
      </c>
      <c r="I290" s="577"/>
      <c r="J290" s="577"/>
      <c r="K290" s="577"/>
      <c r="L290" s="577"/>
      <c r="M290" s="577"/>
      <c r="N290" s="578">
        <f>N287+N289</f>
        <v>564060.23699999996</v>
      </c>
      <c r="O290" s="578"/>
      <c r="P290" s="578"/>
      <c r="Q290" s="579">
        <f>Q287+Q289</f>
        <v>1115000.027</v>
      </c>
      <c r="R290" s="578"/>
      <c r="S290" s="580">
        <f>S287</f>
        <v>350896.1</v>
      </c>
      <c r="T290" s="580">
        <f>+T287+T289</f>
        <v>364549.89</v>
      </c>
      <c r="U290" s="581">
        <f>T290/H290</f>
        <v>0.66168735062682615</v>
      </c>
      <c r="V290" s="582"/>
      <c r="W290" s="400"/>
      <c r="X290" s="432"/>
      <c r="Y290" s="432"/>
      <c r="Z290" s="432"/>
      <c r="AA290" s="432"/>
      <c r="AB290" s="432"/>
      <c r="AC290" s="432"/>
      <c r="AD290" s="432"/>
      <c r="AE290" s="432"/>
      <c r="AF290" s="432"/>
      <c r="AG290" s="432"/>
      <c r="AH290" s="432"/>
      <c r="AI290" s="432"/>
      <c r="AJ290" s="432"/>
      <c r="AK290" s="432"/>
      <c r="AL290" s="432"/>
      <c r="AM290" s="432"/>
      <c r="AN290" s="432"/>
      <c r="AO290" s="432"/>
      <c r="AP290" s="432"/>
      <c r="AQ290" s="432"/>
      <c r="AR290" s="432"/>
      <c r="AS290" s="432"/>
      <c r="AT290" s="432"/>
      <c r="AU290" s="432"/>
      <c r="AV290" s="432"/>
      <c r="AW290" s="432"/>
      <c r="AX290" s="432"/>
      <c r="AY290" s="432"/>
      <c r="AZ290" s="432"/>
      <c r="BA290" s="432"/>
      <c r="BB290" s="432"/>
      <c r="BC290" s="432"/>
      <c r="BD290" s="432"/>
      <c r="BE290" s="432"/>
      <c r="BF290" s="432"/>
      <c r="BG290" s="432"/>
      <c r="BH290" s="432"/>
      <c r="BI290" s="432"/>
      <c r="BJ290" s="432"/>
      <c r="BK290" s="432"/>
      <c r="BL290" s="432"/>
      <c r="BM290" s="432"/>
    </row>
    <row r="291" spans="1:65" s="570" customFormat="1" ht="17.25" customHeight="1">
      <c r="A291" s="583" t="s">
        <v>272</v>
      </c>
      <c r="B291" s="584"/>
      <c r="C291" s="584"/>
      <c r="D291" s="585"/>
      <c r="E291" s="586"/>
      <c r="F291" s="587"/>
      <c r="G291" s="586"/>
      <c r="H291" s="588"/>
      <c r="I291" s="589"/>
      <c r="J291" s="589"/>
      <c r="K291" s="590"/>
      <c r="L291" s="590"/>
      <c r="M291" s="590"/>
      <c r="N291" s="591"/>
      <c r="O291" s="592"/>
      <c r="P291" s="592"/>
      <c r="Q291" s="591"/>
      <c r="R291" s="593"/>
      <c r="S291" s="594"/>
      <c r="T291" s="594"/>
      <c r="U291" s="594"/>
      <c r="V291" s="595"/>
      <c r="W291" s="400"/>
      <c r="X291" s="432"/>
      <c r="Y291" s="432"/>
      <c r="Z291" s="432"/>
      <c r="AA291" s="432"/>
      <c r="AB291" s="432"/>
      <c r="AC291" s="432"/>
      <c r="AD291" s="432"/>
      <c r="AE291" s="432"/>
      <c r="AF291" s="432"/>
      <c r="AG291" s="432"/>
      <c r="AH291" s="432"/>
      <c r="AI291" s="432"/>
      <c r="AJ291" s="432"/>
      <c r="AK291" s="432"/>
      <c r="AL291" s="432"/>
      <c r="AM291" s="432"/>
      <c r="AN291" s="432"/>
      <c r="AO291" s="432"/>
      <c r="AP291" s="432"/>
      <c r="AQ291" s="432"/>
      <c r="AR291" s="432"/>
      <c r="AS291" s="432"/>
      <c r="AT291" s="432"/>
      <c r="AU291" s="432"/>
      <c r="AV291" s="432"/>
      <c r="AW291" s="432"/>
      <c r="AX291" s="432"/>
      <c r="AY291" s="432"/>
      <c r="AZ291" s="432"/>
      <c r="BA291" s="432"/>
      <c r="BB291" s="432"/>
      <c r="BC291" s="432"/>
      <c r="BD291" s="432"/>
      <c r="BE291" s="432"/>
      <c r="BF291" s="432"/>
      <c r="BG291" s="432"/>
      <c r="BH291" s="432"/>
      <c r="BI291" s="432"/>
      <c r="BJ291" s="432"/>
      <c r="BK291" s="432"/>
      <c r="BL291" s="432"/>
      <c r="BM291" s="432"/>
    </row>
    <row r="292" spans="1:65" s="570" customFormat="1" ht="18.75" customHeight="1">
      <c r="A292" s="596"/>
      <c r="B292" s="597"/>
      <c r="C292" s="597"/>
      <c r="D292" s="598" t="s">
        <v>273</v>
      </c>
      <c r="E292" s="599"/>
      <c r="F292" s="600"/>
      <c r="G292" s="599"/>
      <c r="H292" s="601">
        <f>SUM(H290:H291)</f>
        <v>550939.79</v>
      </c>
      <c r="I292" s="602"/>
      <c r="J292" s="565"/>
      <c r="K292" s="565"/>
      <c r="L292" s="565"/>
      <c r="M292" s="565"/>
      <c r="N292" s="601">
        <f>N290</f>
        <v>564060.23699999996</v>
      </c>
      <c r="O292" s="603"/>
      <c r="P292" s="604"/>
      <c r="Q292" s="601">
        <f>Q290</f>
        <v>1115000.027</v>
      </c>
      <c r="R292" s="605"/>
      <c r="S292" s="606">
        <f>S290</f>
        <v>350896.1</v>
      </c>
      <c r="T292" s="606">
        <f>T290</f>
        <v>364549.89</v>
      </c>
      <c r="U292" s="607">
        <f>+T292/H292</f>
        <v>0.66168735062682615</v>
      </c>
      <c r="V292" s="608"/>
      <c r="W292" s="400"/>
      <c r="X292" s="432"/>
      <c r="AG292" s="432"/>
      <c r="AH292" s="432"/>
      <c r="AI292" s="432"/>
      <c r="AJ292" s="432"/>
      <c r="AK292" s="432"/>
      <c r="AL292" s="432"/>
      <c r="AM292" s="432"/>
      <c r="AN292" s="432"/>
      <c r="AO292" s="432"/>
      <c r="AP292" s="432"/>
      <c r="AQ292" s="432"/>
      <c r="AR292" s="432"/>
      <c r="AS292" s="432"/>
      <c r="AT292" s="432"/>
      <c r="AU292" s="432"/>
      <c r="AV292" s="432"/>
      <c r="AW292" s="432"/>
      <c r="AX292" s="432"/>
      <c r="AY292" s="432"/>
      <c r="AZ292" s="432"/>
      <c r="BA292" s="432"/>
      <c r="BB292" s="432"/>
      <c r="BC292" s="432"/>
      <c r="BD292" s="432"/>
      <c r="BE292" s="432"/>
      <c r="BF292" s="432"/>
      <c r="BG292" s="432"/>
      <c r="BH292" s="432"/>
      <c r="BI292" s="432"/>
      <c r="BJ292" s="432"/>
      <c r="BK292" s="432"/>
      <c r="BL292" s="432"/>
      <c r="BM292" s="432"/>
    </row>
    <row r="293" spans="1:65">
      <c r="A293" s="609"/>
      <c r="O293" s="613"/>
      <c r="Q293" s="614"/>
      <c r="V293" s="615"/>
      <c r="W293" s="400"/>
      <c r="X293" s="616"/>
      <c r="Y293" s="617"/>
      <c r="AG293" s="432"/>
      <c r="AH293" s="432"/>
      <c r="AI293" s="432"/>
      <c r="AJ293" s="432"/>
      <c r="AK293" s="432"/>
      <c r="AL293" s="432"/>
      <c r="AM293" s="432"/>
      <c r="AN293" s="432"/>
      <c r="AO293" s="432"/>
      <c r="AP293" s="432"/>
      <c r="AQ293" s="432"/>
      <c r="AR293" s="432"/>
      <c r="AS293" s="432"/>
      <c r="AT293" s="432"/>
      <c r="AU293" s="432"/>
      <c r="AV293" s="432"/>
      <c r="AW293" s="432"/>
      <c r="AX293" s="432"/>
      <c r="AY293" s="432"/>
      <c r="AZ293" s="432"/>
      <c r="BA293" s="432"/>
      <c r="BB293" s="432"/>
      <c r="BC293" s="432"/>
      <c r="BD293" s="432"/>
      <c r="BE293" s="432"/>
      <c r="BF293" s="432"/>
      <c r="BG293" s="432"/>
      <c r="BH293" s="432"/>
      <c r="BI293" s="432"/>
      <c r="BJ293" s="432"/>
      <c r="BK293" s="432"/>
      <c r="BL293" s="432"/>
      <c r="BM293" s="432"/>
    </row>
  </sheetData>
  <mergeCells count="68">
    <mergeCell ref="A10:B10"/>
    <mergeCell ref="A11:V11"/>
    <mergeCell ref="A12:V12"/>
    <mergeCell ref="A13:V13"/>
    <mergeCell ref="A14:A24"/>
    <mergeCell ref="V14:V23"/>
    <mergeCell ref="A25:A36"/>
    <mergeCell ref="V25:V35"/>
    <mergeCell ref="A37:A43"/>
    <mergeCell ref="V37:V42"/>
    <mergeCell ref="A44:A55"/>
    <mergeCell ref="V44:V54"/>
    <mergeCell ref="A58:A61"/>
    <mergeCell ref="V58:V60"/>
    <mergeCell ref="A62:A68"/>
    <mergeCell ref="V62:V67"/>
    <mergeCell ref="A69:A77"/>
    <mergeCell ref="V69:V76"/>
    <mergeCell ref="A126:A134"/>
    <mergeCell ref="V126:V133"/>
    <mergeCell ref="A79:C79"/>
    <mergeCell ref="A81:V81"/>
    <mergeCell ref="A82:A90"/>
    <mergeCell ref="V82:V89"/>
    <mergeCell ref="A91:A100"/>
    <mergeCell ref="V91:V99"/>
    <mergeCell ref="A101:A111"/>
    <mergeCell ref="V101:V110"/>
    <mergeCell ref="A112:A113"/>
    <mergeCell ref="A116:A125"/>
    <mergeCell ref="V116:V124"/>
    <mergeCell ref="V185:V186"/>
    <mergeCell ref="A135:A148"/>
    <mergeCell ref="V135:V147"/>
    <mergeCell ref="A153:A163"/>
    <mergeCell ref="V153:V162"/>
    <mergeCell ref="A164:A171"/>
    <mergeCell ref="V164:V170"/>
    <mergeCell ref="A172:A174"/>
    <mergeCell ref="A175:A178"/>
    <mergeCell ref="A180:B180"/>
    <mergeCell ref="A181:B181"/>
    <mergeCell ref="A185:A187"/>
    <mergeCell ref="A188:A196"/>
    <mergeCell ref="V188:V195"/>
    <mergeCell ref="A197:A206"/>
    <mergeCell ref="V197:V205"/>
    <mergeCell ref="A207:A215"/>
    <mergeCell ref="V207:V214"/>
    <mergeCell ref="A216:A219"/>
    <mergeCell ref="V216:V218"/>
    <mergeCell ref="A222:A225"/>
    <mergeCell ref="V222:V224"/>
    <mergeCell ref="A226:A234"/>
    <mergeCell ref="V226:V233"/>
    <mergeCell ref="A235:A238"/>
    <mergeCell ref="V235:V238"/>
    <mergeCell ref="A239:A242"/>
    <mergeCell ref="V240:V241"/>
    <mergeCell ref="A243:A246"/>
    <mergeCell ref="V243:V245"/>
    <mergeCell ref="V276:V277"/>
    <mergeCell ref="A248:B248"/>
    <mergeCell ref="A250:C250"/>
    <mergeCell ref="V252:V259"/>
    <mergeCell ref="V262:V263"/>
    <mergeCell ref="V266:V267"/>
    <mergeCell ref="V270:V273"/>
  </mergeCells>
  <dataValidations count="1">
    <dataValidation type="list" allowBlank="1" showInputMessage="1" showErrorMessage="1" sqref="C266:C268 C280:C281 C69:C77 C58:C67 C153:C163 C82:C113 C175 C172 C188:C219 C276:C278 C283:C284 C262:C264 C260 B273:C273 C274 C270:C272 B252:C256 B258:C259 B257 C14:C55 C226:C246" xr:uid="{00000000-0002-0000-0000-000000000000}">
      <formula1>categories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111"/>
  <sheetViews>
    <sheetView topLeftCell="F86" workbookViewId="0">
      <selection activeCell="D6" sqref="D6"/>
    </sheetView>
  </sheetViews>
  <sheetFormatPr defaultColWidth="11.42578125" defaultRowHeight="12.75"/>
  <cols>
    <col min="1" max="1" width="34.85546875" style="7" customWidth="1"/>
    <col min="2" max="2" width="40.7109375" style="610" customWidth="1"/>
    <col min="3" max="3" width="21" style="610" bestFit="1" customWidth="1"/>
    <col min="4" max="4" width="30.85546875" style="610" customWidth="1"/>
    <col min="5" max="5" width="22.7109375" style="7" customWidth="1"/>
    <col min="6" max="6" width="10.7109375" style="7" customWidth="1"/>
    <col min="7" max="7" width="16.5703125" style="8" customWidth="1"/>
    <col min="8" max="8" width="15" style="7" customWidth="1"/>
    <col min="9" max="9" width="14.85546875" style="611" customWidth="1"/>
    <col min="10" max="10" width="18" style="610" customWidth="1"/>
    <col min="11" max="11" width="14.5703125" style="610" customWidth="1"/>
    <col min="12" max="12" width="15.7109375" style="610" customWidth="1"/>
    <col min="13" max="13" width="16.140625" style="610" customWidth="1"/>
    <col min="14" max="14" width="28.7109375" style="9" customWidth="1"/>
    <col min="15" max="15" width="14.5703125" style="7" bestFit="1" customWidth="1"/>
    <col min="16" max="18" width="11.42578125" style="7"/>
    <col min="19" max="19" width="19.140625" style="7" customWidth="1"/>
    <col min="20" max="24" width="11.42578125" style="7"/>
    <col min="25" max="25" width="13" style="7" customWidth="1"/>
    <col min="26" max="26" width="12.85546875" style="7" bestFit="1" customWidth="1"/>
    <col min="27" max="16384" width="11.42578125" style="7"/>
  </cols>
  <sheetData>
    <row r="1" spans="1:61" ht="18" customHeight="1">
      <c r="A1" s="1"/>
      <c r="B1" s="2"/>
      <c r="C1" s="2"/>
      <c r="D1" s="2"/>
      <c r="E1" s="3" t="s">
        <v>0</v>
      </c>
      <c r="F1" s="3"/>
      <c r="G1" s="4"/>
      <c r="H1" s="3"/>
      <c r="I1" s="5"/>
      <c r="J1" s="2"/>
      <c r="K1" s="2"/>
      <c r="L1" s="2"/>
      <c r="M1" s="2"/>
    </row>
    <row r="2" spans="1:61">
      <c r="A2" s="10" t="s">
        <v>1</v>
      </c>
      <c r="B2" s="834" t="s">
        <v>507</v>
      </c>
      <c r="C2" s="835"/>
      <c r="D2" s="836"/>
      <c r="E2" s="1"/>
      <c r="F2" s="1"/>
      <c r="G2" s="13"/>
      <c r="H2" s="1"/>
      <c r="I2" s="5"/>
      <c r="J2" s="2"/>
      <c r="K2" s="2"/>
      <c r="L2" s="2"/>
      <c r="M2" s="2"/>
    </row>
    <row r="3" spans="1:61">
      <c r="A3" s="10" t="s">
        <v>3</v>
      </c>
      <c r="B3" s="837" t="s">
        <v>508</v>
      </c>
      <c r="C3" s="838"/>
      <c r="E3" s="1"/>
      <c r="F3" s="1"/>
      <c r="G3" s="13"/>
      <c r="H3" s="1"/>
      <c r="I3" s="5"/>
      <c r="J3" s="2"/>
      <c r="K3" s="2"/>
      <c r="L3" s="2"/>
      <c r="M3" s="2"/>
    </row>
    <row r="4" spans="1:61" ht="12.75" customHeight="1">
      <c r="A4" s="10" t="s">
        <v>5</v>
      </c>
      <c r="B4" s="839" t="s">
        <v>6</v>
      </c>
      <c r="C4" s="840"/>
      <c r="E4" s="17"/>
      <c r="F4" s="17"/>
      <c r="G4" s="18"/>
      <c r="H4" s="17"/>
      <c r="I4" s="18"/>
      <c r="J4" s="17"/>
      <c r="K4" s="17"/>
      <c r="L4" s="17"/>
      <c r="M4" s="17"/>
    </row>
    <row r="5" spans="1:61" ht="29.25" customHeight="1">
      <c r="A5" s="841" t="s">
        <v>509</v>
      </c>
      <c r="B5" s="842" t="e">
        <f>#REF!</f>
        <v>#REF!</v>
      </c>
      <c r="C5" s="843"/>
      <c r="D5" s="844"/>
      <c r="E5" s="17"/>
      <c r="F5" s="17"/>
      <c r="G5" s="18"/>
      <c r="H5" s="17"/>
      <c r="I5" s="18"/>
      <c r="J5" s="17"/>
      <c r="K5" s="17"/>
      <c r="L5" s="17"/>
      <c r="M5" s="17"/>
    </row>
    <row r="6" spans="1:61" ht="24.75" customHeight="1">
      <c r="A6" s="845" t="s">
        <v>510</v>
      </c>
      <c r="B6" s="846" t="e">
        <f>B5*0.07</f>
        <v>#REF!</v>
      </c>
      <c r="C6" s="847"/>
      <c r="D6" s="848"/>
      <c r="E6" s="17"/>
      <c r="F6" s="17"/>
      <c r="G6" s="18"/>
      <c r="H6" s="17"/>
      <c r="I6" s="18"/>
      <c r="J6" s="17"/>
      <c r="K6" s="17"/>
      <c r="L6" s="17"/>
      <c r="M6" s="17"/>
    </row>
    <row r="7" spans="1:61" ht="12.75" customHeight="1">
      <c r="A7" s="21" t="s">
        <v>511</v>
      </c>
      <c r="B7" s="849" t="e">
        <f>B5+B6</f>
        <v>#REF!</v>
      </c>
      <c r="C7" s="850"/>
      <c r="D7" s="848"/>
      <c r="E7" s="17"/>
      <c r="F7" s="17"/>
      <c r="G7" s="18"/>
      <c r="H7" s="17"/>
      <c r="I7" s="18"/>
      <c r="J7" s="17"/>
      <c r="K7" s="17"/>
      <c r="L7" s="17"/>
      <c r="M7" s="17"/>
    </row>
    <row r="8" spans="1:61" ht="13.15" customHeight="1">
      <c r="A8" s="1"/>
      <c r="B8" s="2"/>
      <c r="C8" s="2"/>
      <c r="D8" s="2"/>
      <c r="E8" s="1"/>
      <c r="F8" s="1"/>
      <c r="G8" s="13"/>
      <c r="H8" s="1"/>
      <c r="I8" s="5"/>
      <c r="J8" s="2"/>
      <c r="K8" s="2"/>
      <c r="L8" s="2"/>
      <c r="M8" s="2"/>
    </row>
    <row r="9" spans="1:61" ht="53.25" customHeight="1">
      <c r="A9" s="23" t="s">
        <v>10</v>
      </c>
      <c r="B9" s="23" t="s">
        <v>11</v>
      </c>
      <c r="C9" s="851" t="s">
        <v>512</v>
      </c>
      <c r="D9" s="23" t="s">
        <v>12</v>
      </c>
      <c r="E9" s="23" t="s">
        <v>13</v>
      </c>
      <c r="F9" s="23" t="s">
        <v>14</v>
      </c>
      <c r="G9" s="25" t="s">
        <v>15</v>
      </c>
      <c r="H9" s="23" t="s">
        <v>16</v>
      </c>
      <c r="I9" s="25" t="s">
        <v>17</v>
      </c>
      <c r="J9" s="26" t="s">
        <v>18</v>
      </c>
      <c r="K9" s="26" t="s">
        <v>19</v>
      </c>
      <c r="L9" s="27" t="s">
        <v>24</v>
      </c>
      <c r="M9" s="27" t="s">
        <v>25</v>
      </c>
      <c r="N9" s="26" t="s">
        <v>513</v>
      </c>
    </row>
    <row r="10" spans="1:61" s="32" customFormat="1" ht="23.25" customHeight="1">
      <c r="A10" s="2540" t="s">
        <v>27</v>
      </c>
      <c r="B10" s="2541"/>
      <c r="C10" s="1884"/>
      <c r="D10" s="1884"/>
      <c r="E10" s="1884"/>
      <c r="F10" s="1884"/>
      <c r="G10" s="1884"/>
      <c r="H10" s="1884"/>
      <c r="I10" s="29"/>
      <c r="J10" s="1884"/>
      <c r="K10" s="1884"/>
      <c r="L10" s="1884"/>
      <c r="M10" s="1884"/>
      <c r="N10" s="30"/>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row>
    <row r="11" spans="1:61" ht="27" customHeight="1">
      <c r="A11" s="2542" t="s">
        <v>28</v>
      </c>
      <c r="B11" s="2543"/>
      <c r="C11" s="2543"/>
      <c r="D11" s="2543"/>
      <c r="E11" s="2543"/>
      <c r="F11" s="2543"/>
      <c r="G11" s="2543"/>
      <c r="H11" s="2543"/>
      <c r="I11" s="2543"/>
      <c r="J11" s="2543"/>
      <c r="K11" s="2543"/>
      <c r="L11" s="2543"/>
      <c r="M11" s="2543"/>
      <c r="N11" s="2544"/>
    </row>
    <row r="12" spans="1:61" s="151" customFormat="1" ht="19.5" customHeight="1">
      <c r="A12" s="2545" t="s">
        <v>103</v>
      </c>
      <c r="B12" s="2546"/>
      <c r="C12" s="2546"/>
      <c r="D12" s="2546"/>
      <c r="E12" s="2546"/>
      <c r="F12" s="2546"/>
      <c r="G12" s="2546"/>
      <c r="H12" s="2546"/>
      <c r="I12" s="2546"/>
      <c r="J12" s="2546"/>
      <c r="K12" s="2546"/>
      <c r="L12" s="2546"/>
      <c r="M12" s="2546"/>
      <c r="N12" s="2547"/>
      <c r="O12" s="7"/>
      <c r="P12" s="7"/>
      <c r="Q12" s="7"/>
      <c r="R12" s="7"/>
      <c r="S12" s="7"/>
      <c r="T12" s="7"/>
      <c r="U12" s="7"/>
      <c r="V12" s="7"/>
      <c r="W12" s="7"/>
      <c r="X12" s="7"/>
      <c r="Y12" s="7"/>
      <c r="Z12" s="7"/>
      <c r="AA12" s="7"/>
    </row>
    <row r="13" spans="1:61" s="151" customFormat="1" ht="32.25" customHeight="1">
      <c r="A13" s="2521" t="s">
        <v>514</v>
      </c>
      <c r="B13" s="2522"/>
      <c r="C13" s="852" t="s">
        <v>515</v>
      </c>
      <c r="D13" s="853"/>
      <c r="E13" s="853"/>
      <c r="F13" s="853"/>
      <c r="G13" s="853"/>
      <c r="H13" s="853"/>
      <c r="I13" s="853"/>
      <c r="J13" s="853"/>
      <c r="K13" s="853"/>
      <c r="L13" s="853"/>
      <c r="M13" s="853"/>
      <c r="N13" s="854"/>
      <c r="O13" s="7"/>
      <c r="P13" s="7"/>
      <c r="Q13" s="7"/>
      <c r="R13" s="7"/>
      <c r="S13" s="7"/>
      <c r="T13" s="7"/>
      <c r="U13" s="7"/>
      <c r="V13" s="7"/>
      <c r="W13" s="7"/>
      <c r="X13" s="7"/>
      <c r="Y13" s="7"/>
      <c r="Z13" s="7"/>
      <c r="AA13" s="7"/>
    </row>
    <row r="14" spans="1:61" s="151" customFormat="1" ht="128.25" customHeight="1">
      <c r="A14" s="2551"/>
      <c r="B14" s="52" t="s">
        <v>516</v>
      </c>
      <c r="C14" s="855" t="s">
        <v>517</v>
      </c>
      <c r="D14" s="33" t="s">
        <v>517</v>
      </c>
      <c r="E14" s="159" t="s">
        <v>518</v>
      </c>
      <c r="F14" s="856">
        <v>1</v>
      </c>
      <c r="G14" s="857">
        <v>10000</v>
      </c>
      <c r="H14" s="856">
        <v>1</v>
      </c>
      <c r="I14" s="115">
        <f t="shared" ref="I14:I28" si="0">F14*G14*H14</f>
        <v>10000</v>
      </c>
      <c r="J14" s="858">
        <v>0.3</v>
      </c>
      <c r="K14" s="77">
        <f>I14*J14</f>
        <v>3000</v>
      </c>
      <c r="L14" s="77">
        <v>10000</v>
      </c>
      <c r="M14" s="859">
        <f>L14/I14</f>
        <v>1</v>
      </c>
      <c r="N14" s="222" t="s">
        <v>1027</v>
      </c>
      <c r="O14" s="7"/>
      <c r="P14" s="7"/>
      <c r="Q14" s="7"/>
      <c r="R14" s="7"/>
      <c r="S14" s="7"/>
      <c r="T14" s="7"/>
      <c r="U14" s="7"/>
      <c r="V14" s="7"/>
      <c r="W14" s="7"/>
      <c r="X14" s="7"/>
      <c r="Y14" s="7"/>
      <c r="Z14" s="7"/>
      <c r="AA14" s="7"/>
    </row>
    <row r="15" spans="1:61" s="151" customFormat="1" ht="89.25">
      <c r="A15" s="2551"/>
      <c r="B15" s="52" t="s">
        <v>519</v>
      </c>
      <c r="C15" s="855"/>
      <c r="D15" s="33" t="s">
        <v>38</v>
      </c>
      <c r="E15" s="119" t="s">
        <v>518</v>
      </c>
      <c r="F15" s="120">
        <v>1</v>
      </c>
      <c r="G15" s="860">
        <v>7000</v>
      </c>
      <c r="H15" s="89">
        <v>2</v>
      </c>
      <c r="I15" s="115">
        <f t="shared" si="0"/>
        <v>14000</v>
      </c>
      <c r="J15" s="859">
        <v>0.3</v>
      </c>
      <c r="K15" s="77">
        <f t="shared" ref="K15:K28" si="1">I15*J15</f>
        <v>4200</v>
      </c>
      <c r="L15" s="77">
        <v>14000</v>
      </c>
      <c r="M15" s="859">
        <f t="shared" ref="M15:M24" si="2">L15/I15</f>
        <v>1</v>
      </c>
      <c r="N15" s="222" t="s">
        <v>1027</v>
      </c>
      <c r="O15" s="7"/>
      <c r="P15" s="7"/>
      <c r="Q15" s="7"/>
      <c r="R15" s="7"/>
      <c r="S15" s="7"/>
      <c r="T15" s="7"/>
      <c r="U15" s="7"/>
      <c r="V15" s="7"/>
      <c r="W15" s="7"/>
      <c r="X15" s="7"/>
      <c r="Y15" s="7"/>
      <c r="Z15" s="7"/>
      <c r="AA15" s="7"/>
    </row>
    <row r="16" spans="1:61" s="151" customFormat="1" ht="141" customHeight="1">
      <c r="A16" s="2551"/>
      <c r="B16" s="52" t="s">
        <v>520</v>
      </c>
      <c r="C16" s="52"/>
      <c r="D16" s="52" t="s">
        <v>50</v>
      </c>
      <c r="E16" s="55" t="s">
        <v>518</v>
      </c>
      <c r="F16" s="67">
        <v>5</v>
      </c>
      <c r="G16" s="861">
        <v>15970</v>
      </c>
      <c r="H16" s="862">
        <v>1</v>
      </c>
      <c r="I16" s="115">
        <f t="shared" si="0"/>
        <v>79850</v>
      </c>
      <c r="J16" s="863">
        <v>0.4</v>
      </c>
      <c r="K16" s="864">
        <f t="shared" si="1"/>
        <v>31940</v>
      </c>
      <c r="L16" s="864">
        <f>I16</f>
        <v>79850</v>
      </c>
      <c r="M16" s="859">
        <f t="shared" si="2"/>
        <v>1</v>
      </c>
      <c r="N16" s="222" t="s">
        <v>1027</v>
      </c>
      <c r="O16" s="7"/>
      <c r="P16" s="7"/>
      <c r="Q16" s="7"/>
      <c r="R16" s="7"/>
      <c r="S16" s="7"/>
      <c r="T16" s="7"/>
      <c r="U16" s="7"/>
      <c r="V16" s="7"/>
      <c r="W16" s="7"/>
      <c r="X16" s="7"/>
      <c r="Y16" s="7"/>
      <c r="Z16" s="7"/>
      <c r="AA16" s="7"/>
    </row>
    <row r="17" spans="1:27" s="151" customFormat="1" ht="54" customHeight="1">
      <c r="A17" s="2551"/>
      <c r="B17" s="865" t="s">
        <v>521</v>
      </c>
      <c r="C17" s="865"/>
      <c r="D17" s="52" t="s">
        <v>522</v>
      </c>
      <c r="E17" s="55" t="s">
        <v>518</v>
      </c>
      <c r="F17" s="862">
        <v>0</v>
      </c>
      <c r="G17" s="861">
        <v>3000</v>
      </c>
      <c r="H17" s="862">
        <v>1</v>
      </c>
      <c r="I17" s="115">
        <f t="shared" si="0"/>
        <v>0</v>
      </c>
      <c r="J17" s="863">
        <v>0.4</v>
      </c>
      <c r="K17" s="864">
        <f t="shared" si="1"/>
        <v>0</v>
      </c>
      <c r="L17" s="864">
        <v>0</v>
      </c>
      <c r="M17" s="859">
        <v>0</v>
      </c>
      <c r="N17" s="866"/>
      <c r="O17" s="7"/>
      <c r="P17" s="7"/>
      <c r="Q17" s="7"/>
      <c r="R17" s="7"/>
      <c r="S17" s="7"/>
      <c r="T17" s="7"/>
      <c r="U17" s="7"/>
      <c r="V17" s="7"/>
      <c r="W17" s="7"/>
      <c r="X17" s="7"/>
      <c r="Y17" s="7"/>
      <c r="Z17" s="7"/>
      <c r="AA17" s="7"/>
    </row>
    <row r="18" spans="1:27" s="151" customFormat="1" ht="81.75" customHeight="1">
      <c r="A18" s="2551"/>
      <c r="B18" s="33" t="s">
        <v>523</v>
      </c>
      <c r="C18" s="855"/>
      <c r="D18" s="33" t="s">
        <v>38</v>
      </c>
      <c r="E18" s="867" t="s">
        <v>518</v>
      </c>
      <c r="F18" s="89">
        <v>1</v>
      </c>
      <c r="G18" s="868">
        <v>25000</v>
      </c>
      <c r="H18" s="89">
        <v>1</v>
      </c>
      <c r="I18" s="115">
        <f t="shared" si="0"/>
        <v>25000</v>
      </c>
      <c r="J18" s="859">
        <v>0.5</v>
      </c>
      <c r="K18" s="77">
        <f t="shared" si="1"/>
        <v>12500</v>
      </c>
      <c r="L18" s="869">
        <v>10000</v>
      </c>
      <c r="M18" s="859">
        <f t="shared" si="2"/>
        <v>0.4</v>
      </c>
      <c r="N18" s="89" t="s">
        <v>1028</v>
      </c>
      <c r="O18" s="7"/>
      <c r="P18" s="7"/>
      <c r="Q18" s="7"/>
      <c r="R18" s="7"/>
      <c r="S18" s="7"/>
      <c r="T18" s="7"/>
      <c r="U18" s="7"/>
      <c r="V18" s="7"/>
      <c r="W18" s="7"/>
      <c r="X18" s="7"/>
      <c r="Y18" s="7"/>
      <c r="Z18" s="7"/>
      <c r="AA18" s="7"/>
    </row>
    <row r="19" spans="1:27" s="151" customFormat="1" ht="64.5" customHeight="1">
      <c r="A19" s="2551"/>
      <c r="B19" s="33" t="s">
        <v>524</v>
      </c>
      <c r="C19" s="855"/>
      <c r="D19" s="33" t="s">
        <v>38</v>
      </c>
      <c r="E19" s="867" t="s">
        <v>518</v>
      </c>
      <c r="F19" s="89">
        <v>1</v>
      </c>
      <c r="G19" s="868">
        <v>5000</v>
      </c>
      <c r="H19" s="89">
        <v>2</v>
      </c>
      <c r="I19" s="115">
        <f t="shared" si="0"/>
        <v>10000</v>
      </c>
      <c r="J19" s="859">
        <v>0.4</v>
      </c>
      <c r="K19" s="77">
        <f t="shared" si="1"/>
        <v>4000</v>
      </c>
      <c r="L19" s="864">
        <v>10000</v>
      </c>
      <c r="M19" s="859">
        <f t="shared" si="2"/>
        <v>1</v>
      </c>
      <c r="N19" s="222" t="s">
        <v>1027</v>
      </c>
      <c r="O19" s="7"/>
      <c r="P19" s="7"/>
      <c r="Q19" s="7"/>
      <c r="R19" s="7"/>
      <c r="S19" s="7"/>
      <c r="T19" s="7"/>
      <c r="U19" s="7"/>
      <c r="V19" s="7"/>
      <c r="W19" s="7"/>
      <c r="X19" s="7"/>
      <c r="Y19" s="7"/>
      <c r="Z19" s="7"/>
      <c r="AA19" s="7"/>
    </row>
    <row r="20" spans="1:27" s="151" customFormat="1" ht="137.25" customHeight="1">
      <c r="A20" s="2551"/>
      <c r="B20" s="52" t="s">
        <v>525</v>
      </c>
      <c r="C20" s="855"/>
      <c r="D20" s="33" t="s">
        <v>50</v>
      </c>
      <c r="E20" s="867" t="s">
        <v>518</v>
      </c>
      <c r="F20" s="89">
        <v>1</v>
      </c>
      <c r="G20" s="868">
        <v>3000</v>
      </c>
      <c r="H20" s="862">
        <v>2</v>
      </c>
      <c r="I20" s="115">
        <f t="shared" si="0"/>
        <v>6000</v>
      </c>
      <c r="J20" s="859">
        <v>0.3</v>
      </c>
      <c r="K20" s="77">
        <f t="shared" si="1"/>
        <v>1800</v>
      </c>
      <c r="L20" s="864">
        <v>0</v>
      </c>
      <c r="M20" s="859">
        <f t="shared" si="2"/>
        <v>0</v>
      </c>
      <c r="N20" s="1910" t="s">
        <v>1029</v>
      </c>
      <c r="O20" s="7"/>
      <c r="P20" s="7"/>
      <c r="Q20" s="7"/>
      <c r="R20" s="7"/>
      <c r="S20" s="7"/>
      <c r="T20" s="7"/>
      <c r="U20" s="7"/>
      <c r="V20" s="7"/>
      <c r="W20" s="7"/>
      <c r="X20" s="7"/>
      <c r="Y20" s="7"/>
      <c r="Z20" s="7"/>
      <c r="AA20" s="7"/>
    </row>
    <row r="21" spans="1:27" s="151" customFormat="1" ht="59.25" customHeight="1">
      <c r="A21" s="2551"/>
      <c r="B21" s="52" t="s">
        <v>526</v>
      </c>
      <c r="C21" s="855"/>
      <c r="D21" s="33" t="s">
        <v>38</v>
      </c>
      <c r="E21" s="867" t="s">
        <v>518</v>
      </c>
      <c r="F21" s="89">
        <v>1</v>
      </c>
      <c r="G21" s="1911">
        <v>6000</v>
      </c>
      <c r="H21" s="89">
        <v>2</v>
      </c>
      <c r="I21" s="115">
        <f t="shared" si="0"/>
        <v>12000</v>
      </c>
      <c r="J21" s="859">
        <v>0.5</v>
      </c>
      <c r="K21" s="77">
        <f t="shared" si="1"/>
        <v>6000</v>
      </c>
      <c r="L21" s="864">
        <v>0</v>
      </c>
      <c r="M21" s="859">
        <f t="shared" si="2"/>
        <v>0</v>
      </c>
      <c r="N21" s="1912"/>
      <c r="O21" s="7"/>
      <c r="P21" s="7"/>
      <c r="Q21" s="7"/>
      <c r="R21" s="7"/>
      <c r="S21" s="7"/>
      <c r="T21" s="7"/>
      <c r="U21" s="7"/>
      <c r="V21" s="7"/>
      <c r="W21" s="7"/>
      <c r="X21" s="7"/>
      <c r="Y21" s="7"/>
      <c r="Z21" s="7"/>
      <c r="AA21" s="7"/>
    </row>
    <row r="22" spans="1:27" s="151" customFormat="1" ht="49.5" customHeight="1">
      <c r="A22" s="2551"/>
      <c r="B22" s="52" t="s">
        <v>527</v>
      </c>
      <c r="C22" s="855"/>
      <c r="D22" s="33" t="s">
        <v>38</v>
      </c>
      <c r="E22" s="867" t="s">
        <v>518</v>
      </c>
      <c r="F22" s="89">
        <v>1</v>
      </c>
      <c r="G22" s="868">
        <v>3000</v>
      </c>
      <c r="H22" s="89">
        <v>1</v>
      </c>
      <c r="I22" s="115">
        <f t="shared" si="0"/>
        <v>3000</v>
      </c>
      <c r="J22" s="859">
        <v>0.5</v>
      </c>
      <c r="K22" s="77">
        <f t="shared" si="1"/>
        <v>1500</v>
      </c>
      <c r="L22" s="864">
        <v>0</v>
      </c>
      <c r="M22" s="859">
        <f t="shared" si="2"/>
        <v>0</v>
      </c>
      <c r="N22" s="1912"/>
      <c r="O22" s="7"/>
      <c r="P22" s="7"/>
      <c r="Q22" s="7"/>
      <c r="R22" s="7"/>
      <c r="S22" s="7"/>
      <c r="T22" s="7"/>
      <c r="U22" s="7"/>
      <c r="V22" s="7"/>
      <c r="W22" s="7"/>
      <c r="X22" s="7"/>
      <c r="Y22" s="7"/>
      <c r="Z22" s="7"/>
      <c r="AA22" s="7"/>
    </row>
    <row r="23" spans="1:27" s="151" customFormat="1" ht="133.5" customHeight="1">
      <c r="A23" s="2551"/>
      <c r="B23" s="52" t="s">
        <v>528</v>
      </c>
      <c r="C23" s="52"/>
      <c r="D23" s="52" t="s">
        <v>50</v>
      </c>
      <c r="E23" s="52" t="s">
        <v>518</v>
      </c>
      <c r="F23" s="862">
        <v>1</v>
      </c>
      <c r="G23" s="861">
        <v>17600</v>
      </c>
      <c r="H23" s="862">
        <v>1</v>
      </c>
      <c r="I23" s="115">
        <f t="shared" si="0"/>
        <v>17600</v>
      </c>
      <c r="J23" s="863">
        <v>0.4</v>
      </c>
      <c r="K23" s="864">
        <f>I23*J23</f>
        <v>7040</v>
      </c>
      <c r="L23" s="864">
        <v>0</v>
      </c>
      <c r="M23" s="863">
        <f t="shared" si="2"/>
        <v>0</v>
      </c>
      <c r="N23" s="1913" t="s">
        <v>1030</v>
      </c>
      <c r="O23" s="7"/>
      <c r="P23" s="7"/>
      <c r="Q23" s="7"/>
      <c r="R23" s="7"/>
      <c r="S23" s="7"/>
      <c r="T23" s="7"/>
      <c r="U23" s="7"/>
      <c r="V23" s="7"/>
      <c r="W23" s="7"/>
      <c r="X23" s="7"/>
      <c r="Y23" s="7"/>
      <c r="Z23" s="7"/>
      <c r="AA23" s="7"/>
    </row>
    <row r="24" spans="1:27" s="151" customFormat="1" ht="144.75" customHeight="1">
      <c r="A24" s="2551"/>
      <c r="B24" s="52" t="s">
        <v>529</v>
      </c>
      <c r="C24" s="52"/>
      <c r="D24" s="52" t="s">
        <v>50</v>
      </c>
      <c r="E24" s="52" t="s">
        <v>518</v>
      </c>
      <c r="F24" s="862">
        <v>1</v>
      </c>
      <c r="G24" s="870">
        <v>10000</v>
      </c>
      <c r="H24" s="862">
        <v>5</v>
      </c>
      <c r="I24" s="115">
        <f t="shared" si="0"/>
        <v>50000</v>
      </c>
      <c r="J24" s="863">
        <v>0.4</v>
      </c>
      <c r="K24" s="864">
        <f>I24*J24</f>
        <v>20000</v>
      </c>
      <c r="L24" s="864">
        <v>50000</v>
      </c>
      <c r="M24" s="863">
        <f t="shared" si="2"/>
        <v>1</v>
      </c>
      <c r="N24" s="222" t="s">
        <v>1027</v>
      </c>
      <c r="O24" s="7"/>
      <c r="P24" s="7"/>
      <c r="Q24" s="7"/>
      <c r="R24" s="7"/>
      <c r="S24" s="7"/>
      <c r="T24" s="7"/>
      <c r="U24" s="7"/>
      <c r="V24" s="7"/>
      <c r="W24" s="7"/>
      <c r="X24" s="7"/>
      <c r="Y24" s="7"/>
      <c r="Z24" s="7"/>
      <c r="AA24" s="7"/>
    </row>
    <row r="25" spans="1:27" s="151" customFormat="1" ht="18.75" customHeight="1">
      <c r="A25" s="1885"/>
      <c r="B25" s="52"/>
      <c r="C25" s="855"/>
      <c r="D25" s="33"/>
      <c r="E25" s="46" t="s">
        <v>61</v>
      </c>
      <c r="F25" s="175"/>
      <c r="G25" s="175"/>
      <c r="H25" s="175"/>
      <c r="I25" s="47">
        <f>SUM(I14:I24)</f>
        <v>227450</v>
      </c>
      <c r="J25" s="48">
        <v>0.5</v>
      </c>
      <c r="K25" s="48">
        <f>SUM(K14:K24)</f>
        <v>91980</v>
      </c>
      <c r="L25" s="94">
        <f>SUM(L14:L24)</f>
        <v>173850</v>
      </c>
      <c r="M25" s="93">
        <f>L25/I25</f>
        <v>0.76434381182677513</v>
      </c>
      <c r="N25" s="94"/>
      <c r="O25" s="7"/>
      <c r="P25" s="7"/>
      <c r="Q25" s="7"/>
      <c r="R25" s="7"/>
      <c r="S25" s="7"/>
      <c r="T25" s="7"/>
      <c r="U25" s="7"/>
      <c r="V25" s="7"/>
      <c r="W25" s="7"/>
      <c r="X25" s="7"/>
      <c r="Y25" s="7"/>
      <c r="Z25" s="7"/>
      <c r="AA25" s="7"/>
    </row>
    <row r="26" spans="1:27" s="151" customFormat="1" ht="18.75" customHeight="1">
      <c r="A26" s="138" t="s">
        <v>128</v>
      </c>
      <c r="B26" s="139"/>
      <c r="C26" s="139"/>
      <c r="D26" s="139"/>
      <c r="E26" s="140"/>
      <c r="F26" s="140"/>
      <c r="G26" s="140"/>
      <c r="H26" s="141"/>
      <c r="I26" s="176">
        <f>SUM(I25)</f>
        <v>227450</v>
      </c>
      <c r="J26" s="99"/>
      <c r="K26" s="99">
        <f>K25</f>
        <v>91980</v>
      </c>
      <c r="L26" s="99">
        <f>L25</f>
        <v>173850</v>
      </c>
      <c r="M26" s="142">
        <f ca="1">SUM(M25:M26)</f>
        <v>0</v>
      </c>
      <c r="N26" s="99"/>
      <c r="O26" s="7"/>
      <c r="P26" s="7"/>
      <c r="Q26" s="7"/>
      <c r="R26" s="7"/>
      <c r="S26" s="7"/>
      <c r="T26" s="7"/>
      <c r="U26" s="7"/>
      <c r="V26" s="7"/>
      <c r="W26" s="7"/>
      <c r="X26" s="7"/>
      <c r="Y26" s="7"/>
      <c r="Z26" s="7"/>
      <c r="AA26" s="7"/>
    </row>
    <row r="27" spans="1:27" s="151" customFormat="1" ht="21.75" customHeight="1">
      <c r="A27" s="2556" t="s">
        <v>530</v>
      </c>
      <c r="B27" s="2557"/>
      <c r="C27" s="852" t="s">
        <v>531</v>
      </c>
      <c r="D27" s="871"/>
      <c r="E27" s="871"/>
      <c r="F27" s="871"/>
      <c r="G27" s="871"/>
      <c r="H27" s="871"/>
      <c r="I27" s="871"/>
      <c r="J27" s="871"/>
      <c r="K27" s="871"/>
      <c r="L27" s="871"/>
      <c r="M27" s="871"/>
      <c r="N27" s="872"/>
      <c r="O27" s="7"/>
      <c r="P27" s="7"/>
      <c r="Q27" s="7"/>
      <c r="R27" s="7"/>
      <c r="S27" s="7"/>
      <c r="T27" s="7"/>
      <c r="U27" s="7"/>
      <c r="V27" s="7"/>
      <c r="W27" s="7"/>
      <c r="X27" s="7"/>
      <c r="Y27" s="7"/>
      <c r="Z27" s="7"/>
      <c r="AA27" s="7"/>
    </row>
    <row r="28" spans="1:27" s="151" customFormat="1" ht="84" customHeight="1">
      <c r="A28" s="873"/>
      <c r="B28" s="33" t="s">
        <v>532</v>
      </c>
      <c r="C28" s="855"/>
      <c r="D28" s="33" t="s">
        <v>38</v>
      </c>
      <c r="E28" s="159" t="s">
        <v>518</v>
      </c>
      <c r="F28" s="160">
        <v>1</v>
      </c>
      <c r="G28" s="874">
        <v>7000</v>
      </c>
      <c r="H28" s="160">
        <v>1</v>
      </c>
      <c r="I28" s="875">
        <f t="shared" si="0"/>
        <v>7000</v>
      </c>
      <c r="J28" s="859">
        <v>0.4</v>
      </c>
      <c r="K28" s="77">
        <f t="shared" si="1"/>
        <v>2800</v>
      </c>
      <c r="L28" s="77">
        <v>0</v>
      </c>
      <c r="M28" s="859">
        <f>L28/I28</f>
        <v>0</v>
      </c>
      <c r="N28" s="1914"/>
      <c r="O28" s="1915"/>
      <c r="P28" s="7"/>
      <c r="Q28" s="7"/>
      <c r="R28" s="7"/>
      <c r="S28" s="7"/>
      <c r="T28" s="7"/>
      <c r="U28" s="7"/>
      <c r="V28" s="7"/>
      <c r="W28" s="7"/>
      <c r="X28" s="7"/>
      <c r="Y28" s="7"/>
      <c r="Z28" s="7"/>
      <c r="AA28" s="7"/>
    </row>
    <row r="29" spans="1:27" s="151" customFormat="1" ht="18.75" customHeight="1">
      <c r="A29" s="876"/>
      <c r="B29" s="33"/>
      <c r="C29" s="855"/>
      <c r="D29" s="33"/>
      <c r="E29" s="46" t="s">
        <v>47</v>
      </c>
      <c r="F29" s="46"/>
      <c r="G29" s="46"/>
      <c r="H29" s="46"/>
      <c r="I29" s="877">
        <f>SUM(I28:I28)</f>
        <v>7000</v>
      </c>
      <c r="J29" s="877"/>
      <c r="K29" s="877">
        <f>SUM(K28:K28)</f>
        <v>2800</v>
      </c>
      <c r="L29" s="877">
        <f>SUM(L28)</f>
        <v>0</v>
      </c>
      <c r="M29" s="878">
        <f>L29/I29</f>
        <v>0</v>
      </c>
      <c r="N29" s="877"/>
      <c r="O29" s="7"/>
      <c r="P29" s="7"/>
      <c r="Q29" s="7"/>
      <c r="R29" s="7"/>
      <c r="S29" s="7"/>
      <c r="T29" s="7"/>
      <c r="U29" s="7"/>
      <c r="V29" s="7"/>
      <c r="W29" s="7"/>
      <c r="X29" s="7"/>
      <c r="Y29" s="7"/>
      <c r="Z29" s="7"/>
      <c r="AA29" s="7"/>
    </row>
    <row r="30" spans="1:27" s="151" customFormat="1" ht="16.5" customHeight="1">
      <c r="A30" s="138" t="s">
        <v>157</v>
      </c>
      <c r="B30" s="139"/>
      <c r="C30" s="139"/>
      <c r="D30" s="139"/>
      <c r="E30" s="140"/>
      <c r="F30" s="140"/>
      <c r="G30" s="140"/>
      <c r="H30" s="141"/>
      <c r="I30" s="176">
        <f>I29</f>
        <v>7000</v>
      </c>
      <c r="J30" s="177"/>
      <c r="K30" s="177">
        <f>SUM(K29)</f>
        <v>2800</v>
      </c>
      <c r="L30" s="177">
        <f>L29</f>
        <v>0</v>
      </c>
      <c r="M30" s="177">
        <f ca="1">SUM(M29:M30)</f>
        <v>0</v>
      </c>
      <c r="N30" s="99"/>
      <c r="O30" s="7"/>
      <c r="P30" s="7"/>
      <c r="Q30" s="7"/>
      <c r="R30" s="7"/>
      <c r="S30" s="7"/>
      <c r="T30" s="7"/>
      <c r="U30" s="7"/>
      <c r="V30" s="7"/>
      <c r="W30" s="7"/>
      <c r="X30" s="7"/>
      <c r="Y30" s="7"/>
      <c r="Z30" s="7"/>
      <c r="AA30" s="7"/>
    </row>
    <row r="31" spans="1:27" s="151" customFormat="1">
      <c r="A31" s="2511" t="s">
        <v>180</v>
      </c>
      <c r="B31" s="2512"/>
      <c r="C31" s="1883"/>
      <c r="D31" s="1883"/>
      <c r="E31" s="144"/>
      <c r="F31" s="144"/>
      <c r="G31" s="144"/>
      <c r="H31" s="144"/>
      <c r="I31" s="249">
        <f>I26+I30</f>
        <v>234450</v>
      </c>
      <c r="J31" s="250"/>
      <c r="K31" s="249">
        <f>K26+K30</f>
        <v>94780</v>
      </c>
      <c r="L31" s="249">
        <f>L26+L30</f>
        <v>173850</v>
      </c>
      <c r="M31" s="254">
        <f>L31/I31</f>
        <v>0.74152271273192583</v>
      </c>
      <c r="N31" s="249"/>
      <c r="O31" s="7"/>
      <c r="P31" s="7"/>
      <c r="Q31" s="7"/>
      <c r="R31" s="7"/>
      <c r="S31" s="7"/>
      <c r="T31" s="7"/>
      <c r="U31" s="7"/>
      <c r="V31" s="7"/>
      <c r="W31" s="7"/>
      <c r="X31" s="7"/>
      <c r="Y31" s="7"/>
      <c r="Z31" s="7"/>
      <c r="AA31" s="7"/>
    </row>
    <row r="32" spans="1:27" s="151" customFormat="1">
      <c r="A32" s="2511" t="s">
        <v>181</v>
      </c>
      <c r="B32" s="2512"/>
      <c r="C32" s="1883"/>
      <c r="D32" s="1883"/>
      <c r="E32" s="879"/>
      <c r="F32" s="144"/>
      <c r="G32" s="144"/>
      <c r="H32" s="144"/>
      <c r="I32" s="249">
        <f>I31</f>
        <v>234450</v>
      </c>
      <c r="J32" s="250"/>
      <c r="K32" s="249">
        <f>K31</f>
        <v>94780</v>
      </c>
      <c r="L32" s="249">
        <f>L31</f>
        <v>173850</v>
      </c>
      <c r="M32" s="254">
        <f>L32/I32</f>
        <v>0.74152271273192583</v>
      </c>
      <c r="N32" s="249"/>
      <c r="O32" s="7"/>
      <c r="P32" s="7"/>
      <c r="Q32" s="7"/>
      <c r="R32" s="7"/>
      <c r="S32" s="7"/>
      <c r="T32" s="7"/>
      <c r="U32" s="7"/>
      <c r="V32" s="7"/>
      <c r="W32" s="7"/>
      <c r="X32" s="7"/>
      <c r="Y32" s="7"/>
      <c r="Z32" s="7"/>
      <c r="AA32" s="7"/>
    </row>
    <row r="33" spans="1:27" s="151" customFormat="1" ht="24" customHeight="1">
      <c r="A33" s="2558" t="s">
        <v>533</v>
      </c>
      <c r="B33" s="2558"/>
      <c r="C33" s="2558"/>
      <c r="D33" s="2558"/>
      <c r="E33" s="2558"/>
      <c r="F33" s="2558"/>
      <c r="G33" s="2558"/>
      <c r="H33" s="2558"/>
      <c r="I33" s="2558"/>
      <c r="J33" s="2558"/>
      <c r="K33" s="2558"/>
      <c r="L33" s="2558"/>
      <c r="M33" s="2558"/>
      <c r="N33" s="2558"/>
      <c r="O33" s="7"/>
      <c r="P33" s="7"/>
      <c r="Q33" s="7"/>
      <c r="R33" s="7"/>
      <c r="S33" s="7"/>
      <c r="T33" s="7"/>
      <c r="U33" s="7"/>
      <c r="V33" s="7"/>
      <c r="W33" s="7"/>
      <c r="X33" s="7"/>
      <c r="Y33" s="7"/>
      <c r="Z33" s="7"/>
      <c r="AA33" s="7"/>
    </row>
    <row r="34" spans="1:27" s="151" customFormat="1" ht="33.75" customHeight="1">
      <c r="A34" s="2559" t="s">
        <v>534</v>
      </c>
      <c r="B34" s="2560"/>
      <c r="C34" s="852" t="s">
        <v>535</v>
      </c>
      <c r="D34" s="880"/>
      <c r="E34" s="880"/>
      <c r="F34" s="880"/>
      <c r="G34" s="880"/>
      <c r="H34" s="880"/>
      <c r="I34" s="880"/>
      <c r="J34" s="880"/>
      <c r="K34" s="880"/>
      <c r="L34" s="880"/>
      <c r="M34" s="880"/>
      <c r="N34" s="881"/>
      <c r="O34" s="7"/>
      <c r="P34" s="7"/>
      <c r="Q34" s="7"/>
      <c r="R34" s="7"/>
      <c r="S34" s="7"/>
      <c r="T34" s="7"/>
      <c r="U34" s="7"/>
      <c r="V34" s="7"/>
      <c r="W34" s="7"/>
      <c r="X34" s="7"/>
      <c r="Y34" s="7"/>
      <c r="Z34" s="7"/>
      <c r="AA34" s="7"/>
    </row>
    <row r="35" spans="1:27" s="151" customFormat="1" ht="124.5" customHeight="1">
      <c r="A35" s="2551"/>
      <c r="B35" s="52" t="s">
        <v>536</v>
      </c>
      <c r="C35" s="855"/>
      <c r="D35" s="33" t="s">
        <v>517</v>
      </c>
      <c r="E35" s="159" t="s">
        <v>518</v>
      </c>
      <c r="F35" s="160">
        <v>1</v>
      </c>
      <c r="G35" s="874">
        <v>10000</v>
      </c>
      <c r="H35" s="874">
        <v>1</v>
      </c>
      <c r="I35" s="875">
        <f t="shared" ref="I35:I42" si="3">F35*G35*H35</f>
        <v>10000</v>
      </c>
      <c r="J35" s="859">
        <v>0.2</v>
      </c>
      <c r="K35" s="77">
        <v>2000</v>
      </c>
      <c r="L35" s="77">
        <f>9744.48</f>
        <v>9744.48</v>
      </c>
      <c r="M35" s="859">
        <f>L35/I35</f>
        <v>0.97444799999999998</v>
      </c>
      <c r="N35" s="222" t="s">
        <v>1031</v>
      </c>
      <c r="O35" s="882"/>
      <c r="P35" s="7"/>
      <c r="Q35" s="7"/>
      <c r="R35" s="7"/>
      <c r="S35" s="7"/>
      <c r="T35" s="7"/>
      <c r="U35" s="7"/>
      <c r="V35" s="7"/>
      <c r="W35" s="7"/>
      <c r="X35" s="7"/>
      <c r="Y35" s="7"/>
      <c r="Z35" s="7"/>
      <c r="AA35" s="7"/>
    </row>
    <row r="36" spans="1:27" s="151" customFormat="1" ht="81" customHeight="1">
      <c r="A36" s="2551"/>
      <c r="B36" s="33" t="s">
        <v>537</v>
      </c>
      <c r="C36" s="855"/>
      <c r="D36" s="33" t="s">
        <v>38</v>
      </c>
      <c r="E36" s="119" t="s">
        <v>518</v>
      </c>
      <c r="F36" s="860">
        <v>1</v>
      </c>
      <c r="G36" s="860">
        <v>30000</v>
      </c>
      <c r="H36" s="120">
        <v>1</v>
      </c>
      <c r="I36" s="875">
        <f t="shared" si="3"/>
        <v>30000</v>
      </c>
      <c r="J36" s="859">
        <v>0.3</v>
      </c>
      <c r="K36" s="77">
        <f>I36*J36</f>
        <v>9000</v>
      </c>
      <c r="L36" s="77">
        <v>0</v>
      </c>
      <c r="M36" s="859">
        <f t="shared" ref="M36:M42" si="4">L36/I36</f>
        <v>0</v>
      </c>
      <c r="N36" s="1916" t="s">
        <v>1032</v>
      </c>
      <c r="O36" s="7"/>
      <c r="P36" s="7"/>
      <c r="Q36" s="7"/>
      <c r="R36" s="7"/>
      <c r="S36" s="7"/>
      <c r="T36" s="7"/>
      <c r="U36" s="7"/>
      <c r="V36" s="7"/>
      <c r="W36" s="7"/>
      <c r="X36" s="7"/>
      <c r="Y36" s="7"/>
      <c r="Z36" s="7"/>
      <c r="AA36" s="7"/>
    </row>
    <row r="37" spans="1:27" s="151" customFormat="1" ht="57" customHeight="1">
      <c r="A37" s="2551"/>
      <c r="B37" s="52" t="s">
        <v>538</v>
      </c>
      <c r="C37" s="855"/>
      <c r="D37" s="33" t="s">
        <v>38</v>
      </c>
      <c r="E37" s="119" t="s">
        <v>518</v>
      </c>
      <c r="F37" s="120">
        <v>1</v>
      </c>
      <c r="G37" s="860">
        <v>10000</v>
      </c>
      <c r="H37" s="120">
        <v>1</v>
      </c>
      <c r="I37" s="875">
        <f t="shared" si="3"/>
        <v>10000</v>
      </c>
      <c r="J37" s="859">
        <v>0.05</v>
      </c>
      <c r="K37" s="77">
        <f t="shared" ref="K37:K41" si="5">I37*J37</f>
        <v>500</v>
      </c>
      <c r="L37" s="864">
        <v>10000</v>
      </c>
      <c r="M37" s="859">
        <f t="shared" si="4"/>
        <v>1</v>
      </c>
      <c r="N37" s="222" t="s">
        <v>1027</v>
      </c>
      <c r="O37" s="7"/>
      <c r="P37" s="7"/>
      <c r="Q37" s="7"/>
      <c r="R37" s="7"/>
      <c r="S37" s="7"/>
      <c r="T37" s="7"/>
      <c r="U37" s="7"/>
      <c r="V37" s="7"/>
      <c r="W37" s="7"/>
      <c r="X37" s="7"/>
      <c r="Y37" s="7"/>
      <c r="Z37" s="7"/>
      <c r="AA37" s="7"/>
    </row>
    <row r="38" spans="1:27" s="151" customFormat="1" ht="42.75" customHeight="1">
      <c r="A38" s="2551"/>
      <c r="B38" s="52" t="s">
        <v>539</v>
      </c>
      <c r="C38" s="855"/>
      <c r="D38" s="33" t="s">
        <v>38</v>
      </c>
      <c r="E38" s="55" t="s">
        <v>518</v>
      </c>
      <c r="F38" s="67">
        <v>1</v>
      </c>
      <c r="G38" s="883">
        <v>10000</v>
      </c>
      <c r="H38" s="67">
        <v>1</v>
      </c>
      <c r="I38" s="875">
        <f t="shared" si="3"/>
        <v>10000</v>
      </c>
      <c r="J38" s="863">
        <v>0.3</v>
      </c>
      <c r="K38" s="77">
        <f t="shared" si="5"/>
        <v>3000</v>
      </c>
      <c r="L38" s="864">
        <v>10000</v>
      </c>
      <c r="M38" s="859">
        <f t="shared" si="4"/>
        <v>1</v>
      </c>
      <c r="N38" s="222" t="s">
        <v>1027</v>
      </c>
      <c r="O38" s="7"/>
      <c r="P38" s="7"/>
      <c r="Q38" s="7"/>
      <c r="R38" s="7"/>
      <c r="S38" s="7"/>
      <c r="T38" s="7"/>
      <c r="U38" s="7"/>
      <c r="V38" s="7"/>
      <c r="W38" s="7"/>
      <c r="X38" s="7"/>
      <c r="Y38" s="7"/>
      <c r="Z38" s="7"/>
      <c r="AA38" s="7"/>
    </row>
    <row r="39" spans="1:27" s="151" customFormat="1" ht="62.25" customHeight="1">
      <c r="A39" s="2551"/>
      <c r="B39" s="33" t="s">
        <v>540</v>
      </c>
      <c r="C39" s="855"/>
      <c r="D39" s="33" t="s">
        <v>38</v>
      </c>
      <c r="E39" s="119" t="s">
        <v>518</v>
      </c>
      <c r="F39" s="120">
        <v>1</v>
      </c>
      <c r="G39" s="860">
        <v>7500</v>
      </c>
      <c r="H39" s="120">
        <v>2</v>
      </c>
      <c r="I39" s="875">
        <f t="shared" si="3"/>
        <v>15000</v>
      </c>
      <c r="J39" s="859">
        <v>0.3</v>
      </c>
      <c r="K39" s="77">
        <f t="shared" si="5"/>
        <v>4500</v>
      </c>
      <c r="L39" s="77">
        <v>0</v>
      </c>
      <c r="M39" s="859">
        <f t="shared" si="4"/>
        <v>0</v>
      </c>
      <c r="N39" s="89" t="s">
        <v>1033</v>
      </c>
      <c r="O39" s="7"/>
      <c r="P39" s="7"/>
      <c r="Q39" s="7"/>
      <c r="R39" s="7"/>
      <c r="S39" s="7"/>
      <c r="T39" s="7"/>
      <c r="U39" s="7"/>
      <c r="V39" s="7"/>
      <c r="W39" s="7"/>
      <c r="X39" s="7"/>
      <c r="Y39" s="7"/>
      <c r="Z39" s="7"/>
      <c r="AA39" s="7"/>
    </row>
    <row r="40" spans="1:27" s="151" customFormat="1" ht="49.5" customHeight="1">
      <c r="A40" s="2551"/>
      <c r="B40" s="33" t="s">
        <v>541</v>
      </c>
      <c r="C40" s="855"/>
      <c r="D40" s="33" t="s">
        <v>38</v>
      </c>
      <c r="E40" s="119" t="s">
        <v>518</v>
      </c>
      <c r="F40" s="120">
        <v>1</v>
      </c>
      <c r="G40" s="860">
        <v>10000</v>
      </c>
      <c r="H40" s="120">
        <v>1</v>
      </c>
      <c r="I40" s="875">
        <f t="shared" si="3"/>
        <v>10000</v>
      </c>
      <c r="J40" s="859">
        <v>0.3</v>
      </c>
      <c r="K40" s="77">
        <f t="shared" si="5"/>
        <v>3000</v>
      </c>
      <c r="L40" s="77">
        <v>0</v>
      </c>
      <c r="M40" s="859">
        <f t="shared" si="4"/>
        <v>0</v>
      </c>
      <c r="N40" s="89" t="s">
        <v>1033</v>
      </c>
      <c r="O40" s="7"/>
      <c r="P40" s="7"/>
      <c r="Q40" s="7"/>
      <c r="R40" s="7"/>
      <c r="S40" s="7"/>
      <c r="T40" s="7"/>
      <c r="U40" s="7"/>
      <c r="V40" s="7"/>
      <c r="W40" s="7"/>
      <c r="X40" s="7"/>
      <c r="Y40" s="7"/>
      <c r="Z40" s="7"/>
      <c r="AA40" s="7"/>
    </row>
    <row r="41" spans="1:27" s="151" customFormat="1" ht="99" customHeight="1">
      <c r="A41" s="2551"/>
      <c r="B41" s="52" t="s">
        <v>542</v>
      </c>
      <c r="C41" s="855"/>
      <c r="D41" s="33" t="s">
        <v>50</v>
      </c>
      <c r="E41" s="867" t="s">
        <v>518</v>
      </c>
      <c r="F41" s="89">
        <v>1</v>
      </c>
      <c r="G41" s="861">
        <v>3000</v>
      </c>
      <c r="H41" s="862">
        <v>2</v>
      </c>
      <c r="I41" s="875">
        <f t="shared" si="3"/>
        <v>6000</v>
      </c>
      <c r="J41" s="863">
        <v>0.3</v>
      </c>
      <c r="K41" s="77">
        <f t="shared" si="5"/>
        <v>1800</v>
      </c>
      <c r="L41" s="77">
        <v>0</v>
      </c>
      <c r="M41" s="859">
        <f t="shared" si="4"/>
        <v>0</v>
      </c>
      <c r="N41" s="1910" t="s">
        <v>1034</v>
      </c>
      <c r="O41" s="7"/>
      <c r="P41" s="7"/>
      <c r="Q41" s="7"/>
      <c r="R41" s="7"/>
      <c r="S41" s="7"/>
      <c r="T41" s="7"/>
      <c r="U41" s="7"/>
      <c r="V41" s="7"/>
      <c r="W41" s="7"/>
      <c r="X41" s="7"/>
      <c r="Y41" s="7"/>
      <c r="Z41" s="7"/>
      <c r="AA41" s="7"/>
    </row>
    <row r="42" spans="1:27" s="151" customFormat="1" ht="150.75" customHeight="1">
      <c r="A42" s="2551"/>
      <c r="B42" s="52" t="s">
        <v>543</v>
      </c>
      <c r="C42" s="855"/>
      <c r="D42" s="33" t="s">
        <v>517</v>
      </c>
      <c r="E42" s="867" t="s">
        <v>518</v>
      </c>
      <c r="F42" s="89">
        <v>1</v>
      </c>
      <c r="G42" s="861">
        <v>35000</v>
      </c>
      <c r="H42" s="862">
        <v>1</v>
      </c>
      <c r="I42" s="875">
        <f t="shared" si="3"/>
        <v>35000</v>
      </c>
      <c r="J42" s="863">
        <v>0.3</v>
      </c>
      <c r="K42" s="77">
        <f>I42*J42</f>
        <v>10500</v>
      </c>
      <c r="L42" s="77">
        <v>0</v>
      </c>
      <c r="M42" s="859">
        <f t="shared" si="4"/>
        <v>0</v>
      </c>
      <c r="N42" s="1910" t="s">
        <v>1035</v>
      </c>
      <c r="O42" s="7"/>
      <c r="P42" s="7"/>
      <c r="Q42" s="7"/>
      <c r="R42" s="7"/>
      <c r="S42" s="7"/>
      <c r="T42" s="7"/>
      <c r="U42" s="7"/>
      <c r="V42" s="7"/>
      <c r="W42" s="7"/>
      <c r="X42" s="7"/>
      <c r="Y42" s="7"/>
      <c r="Z42" s="7"/>
      <c r="AA42" s="7"/>
    </row>
    <row r="43" spans="1:27" s="151" customFormat="1" ht="16.5" customHeight="1">
      <c r="A43" s="2551"/>
      <c r="B43" s="52"/>
      <c r="C43" s="855"/>
      <c r="D43" s="33"/>
      <c r="E43" s="46" t="s">
        <v>47</v>
      </c>
      <c r="F43" s="46"/>
      <c r="G43" s="46"/>
      <c r="H43" s="46"/>
      <c r="I43" s="165">
        <f>SUM(I35:I42)</f>
        <v>126000</v>
      </c>
      <c r="J43" s="877"/>
      <c r="K43" s="877">
        <f>SUM(K35:K42)</f>
        <v>34300</v>
      </c>
      <c r="L43" s="877">
        <f>SUM(L35:L42)</f>
        <v>29744.48</v>
      </c>
      <c r="M43" s="878">
        <f>L43/I43</f>
        <v>0.23606730158730158</v>
      </c>
      <c r="N43" s="877"/>
      <c r="O43" s="7"/>
      <c r="P43" s="7"/>
      <c r="Q43" s="7"/>
      <c r="R43" s="7"/>
      <c r="S43" s="7"/>
      <c r="T43" s="7"/>
      <c r="U43" s="7"/>
      <c r="V43" s="7"/>
      <c r="W43" s="7"/>
      <c r="X43" s="7"/>
      <c r="Y43" s="7"/>
      <c r="Z43" s="7"/>
      <c r="AA43" s="7"/>
    </row>
    <row r="44" spans="1:27" s="151" customFormat="1" ht="37.5" customHeight="1">
      <c r="A44" s="2554" t="s">
        <v>544</v>
      </c>
      <c r="B44" s="2555"/>
      <c r="C44" s="852" t="s">
        <v>545</v>
      </c>
      <c r="D44" s="872"/>
      <c r="E44" s="884"/>
      <c r="F44" s="884"/>
      <c r="G44" s="884"/>
      <c r="H44" s="884"/>
      <c r="I44" s="885"/>
      <c r="J44" s="886"/>
      <c r="K44" s="886"/>
      <c r="L44" s="886"/>
      <c r="M44" s="886"/>
      <c r="N44" s="886"/>
      <c r="O44" s="7"/>
      <c r="P44" s="7"/>
      <c r="Q44" s="7"/>
      <c r="R44" s="7"/>
      <c r="S44" s="7"/>
      <c r="T44" s="7"/>
      <c r="U44" s="7"/>
      <c r="V44" s="7"/>
      <c r="W44" s="7"/>
      <c r="X44" s="7"/>
      <c r="Y44" s="7"/>
      <c r="Z44" s="7"/>
      <c r="AA44" s="7"/>
    </row>
    <row r="45" spans="1:27" s="151" customFormat="1" ht="102.75" customHeight="1">
      <c r="A45" s="2551"/>
      <c r="B45" s="52" t="s">
        <v>546</v>
      </c>
      <c r="C45" s="855"/>
      <c r="D45" s="33" t="s">
        <v>50</v>
      </c>
      <c r="E45" s="159" t="s">
        <v>518</v>
      </c>
      <c r="F45" s="160">
        <v>1</v>
      </c>
      <c r="G45" s="883">
        <v>1500</v>
      </c>
      <c r="H45" s="67">
        <v>7</v>
      </c>
      <c r="I45" s="875">
        <f>F45*G45*H45</f>
        <v>10500</v>
      </c>
      <c r="J45" s="863">
        <v>0.3</v>
      </c>
      <c r="K45" s="864">
        <f>I45*J45</f>
        <v>3150</v>
      </c>
      <c r="L45" s="864">
        <f>10472</f>
        <v>10472</v>
      </c>
      <c r="M45" s="863">
        <f>L45/I45</f>
        <v>0.99733333333333329</v>
      </c>
      <c r="N45" s="222" t="s">
        <v>1027</v>
      </c>
      <c r="O45" s="887"/>
      <c r="P45" s="7"/>
      <c r="Q45" s="887"/>
      <c r="R45" s="7"/>
      <c r="S45" s="7"/>
      <c r="T45" s="7"/>
      <c r="U45" s="7"/>
      <c r="V45" s="7"/>
      <c r="W45" s="7"/>
      <c r="X45" s="7"/>
      <c r="Y45" s="7"/>
      <c r="Z45" s="7"/>
      <c r="AA45" s="7"/>
    </row>
    <row r="46" spans="1:27" s="151" customFormat="1" ht="59.25" customHeight="1">
      <c r="A46" s="2551"/>
      <c r="B46" s="52" t="s">
        <v>547</v>
      </c>
      <c r="C46" s="855"/>
      <c r="D46" s="33" t="s">
        <v>38</v>
      </c>
      <c r="E46" s="119" t="s">
        <v>518</v>
      </c>
      <c r="F46" s="120">
        <v>1</v>
      </c>
      <c r="G46" s="860">
        <v>7500</v>
      </c>
      <c r="H46" s="120">
        <v>1</v>
      </c>
      <c r="I46" s="875">
        <f t="shared" ref="I46:I47" si="6">F46*G46*H46</f>
        <v>7500</v>
      </c>
      <c r="J46" s="859">
        <v>0.3</v>
      </c>
      <c r="K46" s="77">
        <f>I46*J46</f>
        <v>2250</v>
      </c>
      <c r="L46" s="864">
        <v>7500</v>
      </c>
      <c r="M46" s="863">
        <f t="shared" ref="M46:M47" si="7">L46/I46</f>
        <v>1</v>
      </c>
      <c r="N46" s="222" t="s">
        <v>1027</v>
      </c>
      <c r="O46" s="7"/>
      <c r="P46" s="7"/>
      <c r="Q46" s="7"/>
      <c r="R46" s="7"/>
      <c r="S46" s="7"/>
      <c r="T46" s="7"/>
      <c r="U46" s="7"/>
      <c r="V46" s="7"/>
      <c r="W46" s="7"/>
      <c r="X46" s="7"/>
      <c r="Y46" s="7"/>
      <c r="Z46" s="7"/>
      <c r="AA46" s="7"/>
    </row>
    <row r="47" spans="1:27" s="151" customFormat="1" ht="60.75" customHeight="1">
      <c r="A47" s="2551"/>
      <c r="B47" s="33" t="s">
        <v>548</v>
      </c>
      <c r="C47" s="855"/>
      <c r="D47" s="33" t="s">
        <v>38</v>
      </c>
      <c r="E47" s="119" t="s">
        <v>518</v>
      </c>
      <c r="F47" s="120">
        <v>1</v>
      </c>
      <c r="G47" s="860">
        <v>7500</v>
      </c>
      <c r="H47" s="120">
        <v>1</v>
      </c>
      <c r="I47" s="875">
        <f t="shared" si="6"/>
        <v>7500</v>
      </c>
      <c r="J47" s="859">
        <v>1.3</v>
      </c>
      <c r="K47" s="77">
        <f>I47*J47</f>
        <v>9750</v>
      </c>
      <c r="L47" s="864">
        <v>7500</v>
      </c>
      <c r="M47" s="863">
        <f t="shared" si="7"/>
        <v>1</v>
      </c>
      <c r="N47" s="222" t="s">
        <v>1027</v>
      </c>
      <c r="O47" s="7"/>
      <c r="P47" s="8"/>
      <c r="Q47" s="7"/>
      <c r="R47" s="7"/>
      <c r="S47" s="7"/>
      <c r="T47" s="7"/>
      <c r="U47" s="7"/>
      <c r="V47" s="7"/>
      <c r="W47" s="7"/>
      <c r="X47" s="7"/>
      <c r="Y47" s="7"/>
      <c r="Z47" s="7"/>
      <c r="AA47" s="7"/>
    </row>
    <row r="48" spans="1:27" s="151" customFormat="1" ht="17.25" customHeight="1">
      <c r="A48" s="2551"/>
      <c r="B48" s="33"/>
      <c r="C48" s="855"/>
      <c r="D48" s="33"/>
      <c r="E48" s="888" t="s">
        <v>47</v>
      </c>
      <c r="F48" s="888"/>
      <c r="G48" s="888"/>
      <c r="H48" s="888"/>
      <c r="I48" s="165">
        <f>SUM(I45:I47)</f>
        <v>25500</v>
      </c>
      <c r="J48" s="165"/>
      <c r="K48" s="165">
        <f>SUM(K45:K47)</f>
        <v>15150</v>
      </c>
      <c r="L48" s="165">
        <f>SUM(L45:L47)</f>
        <v>25472</v>
      </c>
      <c r="M48" s="889">
        <f>L48/I48</f>
        <v>0.9989019607843137</v>
      </c>
      <c r="N48" s="877"/>
      <c r="O48" s="7"/>
      <c r="P48" s="8"/>
      <c r="Q48" s="7"/>
      <c r="R48" s="7"/>
      <c r="S48" s="7"/>
      <c r="T48" s="7"/>
      <c r="U48" s="7"/>
      <c r="V48" s="7"/>
      <c r="W48" s="7"/>
      <c r="X48" s="7"/>
      <c r="Y48" s="7"/>
      <c r="Z48" s="7"/>
      <c r="AA48" s="7"/>
    </row>
    <row r="49" spans="1:35" s="151" customFormat="1" ht="28.5" customHeight="1">
      <c r="A49" s="2552" t="s">
        <v>549</v>
      </c>
      <c r="B49" s="2553"/>
      <c r="C49" s="852" t="s">
        <v>550</v>
      </c>
      <c r="D49" s="890"/>
      <c r="E49" s="884"/>
      <c r="F49" s="884"/>
      <c r="G49" s="884"/>
      <c r="H49" s="884"/>
      <c r="I49" s="886"/>
      <c r="J49" s="886"/>
      <c r="K49" s="886"/>
      <c r="L49" s="886">
        <f>L48-65522.36</f>
        <v>-40050.36</v>
      </c>
      <c r="M49" s="886"/>
      <c r="N49" s="886"/>
      <c r="O49" s="7"/>
      <c r="P49" s="891"/>
      <c r="Q49" s="8"/>
      <c r="R49" s="882"/>
      <c r="S49" s="7"/>
      <c r="T49" s="7"/>
      <c r="U49" s="7"/>
      <c r="V49" s="7"/>
      <c r="W49" s="7"/>
      <c r="X49" s="7"/>
      <c r="Y49" s="7"/>
      <c r="Z49" s="7"/>
      <c r="AA49" s="7"/>
    </row>
    <row r="50" spans="1:35" s="151" customFormat="1" ht="75" customHeight="1">
      <c r="A50" s="2551"/>
      <c r="B50" s="52" t="s">
        <v>551</v>
      </c>
      <c r="C50" s="855"/>
      <c r="D50" s="33" t="s">
        <v>38</v>
      </c>
      <c r="E50" s="159" t="s">
        <v>518</v>
      </c>
      <c r="F50" s="874">
        <v>0</v>
      </c>
      <c r="G50" s="874">
        <v>0</v>
      </c>
      <c r="H50" s="874">
        <v>0</v>
      </c>
      <c r="I50" s="892">
        <f>F50*G50*H50</f>
        <v>0</v>
      </c>
      <c r="J50" s="893">
        <v>0</v>
      </c>
      <c r="K50" s="893">
        <v>0</v>
      </c>
      <c r="L50" s="893">
        <v>0</v>
      </c>
      <c r="M50" s="893"/>
      <c r="N50" s="222" t="s">
        <v>552</v>
      </c>
      <c r="O50" s="7"/>
      <c r="P50" s="7"/>
      <c r="Q50" s="7"/>
      <c r="R50" s="882"/>
      <c r="S50" s="7"/>
      <c r="T50" s="7"/>
      <c r="U50" s="7"/>
      <c r="V50" s="7"/>
      <c r="W50" s="7"/>
      <c r="X50" s="7"/>
      <c r="Y50" s="7"/>
      <c r="Z50" s="7"/>
      <c r="AA50" s="7"/>
    </row>
    <row r="51" spans="1:35" s="151" customFormat="1" ht="96" customHeight="1">
      <c r="A51" s="2551"/>
      <c r="B51" s="52" t="s">
        <v>553</v>
      </c>
      <c r="C51" s="855"/>
      <c r="D51" s="33" t="s">
        <v>50</v>
      </c>
      <c r="E51" s="119" t="s">
        <v>518</v>
      </c>
      <c r="F51" s="860">
        <v>0</v>
      </c>
      <c r="G51" s="860">
        <v>0</v>
      </c>
      <c r="H51" s="860">
        <v>0</v>
      </c>
      <c r="I51" s="892">
        <v>0</v>
      </c>
      <c r="J51" s="893">
        <v>0</v>
      </c>
      <c r="K51" s="893">
        <v>0</v>
      </c>
      <c r="L51" s="893">
        <v>0</v>
      </c>
      <c r="M51" s="893"/>
      <c r="N51" s="222" t="s">
        <v>552</v>
      </c>
      <c r="O51" s="7"/>
      <c r="P51" s="7"/>
      <c r="Q51" s="7"/>
      <c r="R51" s="7"/>
      <c r="S51" s="7"/>
      <c r="T51" s="7"/>
      <c r="U51" s="7"/>
      <c r="V51" s="7"/>
      <c r="W51" s="7"/>
      <c r="X51" s="7"/>
      <c r="Y51" s="7"/>
      <c r="Z51" s="7"/>
      <c r="AA51" s="7"/>
    </row>
    <row r="52" spans="1:35" s="151" customFormat="1" ht="37.5" customHeight="1">
      <c r="A52" s="2551"/>
      <c r="B52" s="33" t="s">
        <v>554</v>
      </c>
      <c r="C52" s="855"/>
      <c r="D52" s="33" t="s">
        <v>38</v>
      </c>
      <c r="E52" s="119" t="s">
        <v>518</v>
      </c>
      <c r="F52" s="860">
        <v>0</v>
      </c>
      <c r="G52" s="860">
        <v>0</v>
      </c>
      <c r="H52" s="860">
        <v>0</v>
      </c>
      <c r="I52" s="892">
        <v>0</v>
      </c>
      <c r="J52" s="893">
        <v>0</v>
      </c>
      <c r="K52" s="893">
        <v>0</v>
      </c>
      <c r="L52" s="893">
        <v>0</v>
      </c>
      <c r="M52" s="893"/>
      <c r="N52" s="222" t="s">
        <v>552</v>
      </c>
      <c r="O52" s="7"/>
      <c r="P52" s="7"/>
      <c r="Q52" s="7"/>
      <c r="R52" s="7"/>
      <c r="S52" s="7"/>
      <c r="T52" s="7"/>
      <c r="U52" s="7"/>
      <c r="V52" s="7"/>
      <c r="W52" s="7"/>
      <c r="X52" s="7"/>
      <c r="Y52" s="7"/>
      <c r="Z52" s="7"/>
      <c r="AA52" s="7"/>
    </row>
    <row r="53" spans="1:35" s="151" customFormat="1" ht="69" customHeight="1">
      <c r="A53" s="2551"/>
      <c r="B53" s="33" t="s">
        <v>555</v>
      </c>
      <c r="C53" s="855"/>
      <c r="D53" s="33" t="s">
        <v>38</v>
      </c>
      <c r="E53" s="119" t="s">
        <v>518</v>
      </c>
      <c r="F53" s="860">
        <v>0</v>
      </c>
      <c r="G53" s="860">
        <v>0</v>
      </c>
      <c r="H53" s="860">
        <v>0</v>
      </c>
      <c r="I53" s="892">
        <v>0</v>
      </c>
      <c r="J53" s="893">
        <v>0</v>
      </c>
      <c r="K53" s="893">
        <v>0</v>
      </c>
      <c r="L53" s="893">
        <v>0</v>
      </c>
      <c r="M53" s="893"/>
      <c r="N53" s="222" t="s">
        <v>552</v>
      </c>
      <c r="O53" s="7"/>
      <c r="P53" s="7"/>
      <c r="Q53" s="7"/>
      <c r="R53" s="7"/>
      <c r="S53" s="7"/>
      <c r="T53" s="7"/>
      <c r="U53" s="7"/>
      <c r="V53" s="7"/>
      <c r="W53" s="7"/>
      <c r="X53" s="7"/>
      <c r="Y53" s="7"/>
      <c r="Z53" s="7"/>
      <c r="AA53" s="7"/>
    </row>
    <row r="54" spans="1:35" s="151" customFormat="1" ht="16.5" customHeight="1">
      <c r="A54" s="2551"/>
      <c r="B54" s="33"/>
      <c r="C54" s="855"/>
      <c r="D54" s="33"/>
      <c r="E54" s="46" t="s">
        <v>47</v>
      </c>
      <c r="F54" s="46"/>
      <c r="G54" s="46"/>
      <c r="H54" s="46"/>
      <c r="I54" s="877">
        <f>SUM(I50:I53)</f>
        <v>0</v>
      </c>
      <c r="J54" s="877"/>
      <c r="K54" s="877">
        <f>SUM(K50:K53)</f>
        <v>0</v>
      </c>
      <c r="L54" s="877">
        <f>SUM(L50:L53)</f>
        <v>0</v>
      </c>
      <c r="M54" s="878">
        <v>0</v>
      </c>
      <c r="N54" s="877"/>
      <c r="O54" s="7"/>
      <c r="P54" s="7"/>
      <c r="Q54" s="7"/>
      <c r="R54" s="7"/>
      <c r="S54" s="7"/>
      <c r="T54" s="7"/>
      <c r="U54" s="7"/>
      <c r="V54" s="7"/>
      <c r="W54" s="7"/>
      <c r="X54" s="7"/>
      <c r="Y54" s="7"/>
      <c r="Z54" s="7"/>
      <c r="AA54" s="7"/>
      <c r="AB54" s="152"/>
      <c r="AC54" s="152"/>
      <c r="AD54" s="152"/>
      <c r="AE54" s="152"/>
      <c r="AF54" s="152"/>
      <c r="AG54" s="152"/>
      <c r="AH54" s="152"/>
      <c r="AI54" s="152"/>
    </row>
    <row r="55" spans="1:35" s="151" customFormat="1" ht="18.75" customHeight="1">
      <c r="A55" s="2511" t="s">
        <v>556</v>
      </c>
      <c r="B55" s="2512"/>
      <c r="C55" s="1883"/>
      <c r="D55" s="1883"/>
      <c r="E55" s="144"/>
      <c r="F55" s="144"/>
      <c r="G55" s="144"/>
      <c r="H55" s="144"/>
      <c r="I55" s="147">
        <f>I43+I48+I54</f>
        <v>151500</v>
      </c>
      <c r="J55" s="147"/>
      <c r="K55" s="147">
        <f>K43+K48+K54</f>
        <v>49450</v>
      </c>
      <c r="L55" s="147">
        <f>L43+L48+L54</f>
        <v>55216.479999999996</v>
      </c>
      <c r="M55" s="150">
        <f>L55/I55</f>
        <v>0.36446521452145214</v>
      </c>
      <c r="N55" s="249"/>
      <c r="O55" s="7"/>
      <c r="P55" s="7"/>
      <c r="Q55" s="7"/>
      <c r="R55" s="7"/>
      <c r="S55" s="7"/>
      <c r="T55" s="7"/>
      <c r="U55" s="7"/>
      <c r="V55" s="7"/>
      <c r="W55" s="7"/>
      <c r="X55" s="7"/>
      <c r="Y55" s="7"/>
      <c r="Z55" s="7"/>
      <c r="AA55" s="7"/>
      <c r="AB55" s="152"/>
      <c r="AC55" s="152"/>
      <c r="AD55" s="152"/>
      <c r="AE55" s="152"/>
      <c r="AF55" s="152"/>
      <c r="AG55" s="152"/>
      <c r="AH55" s="152"/>
      <c r="AI55" s="152"/>
    </row>
    <row r="56" spans="1:35" s="151" customFormat="1" ht="18.75" customHeight="1">
      <c r="A56" s="2542" t="s">
        <v>557</v>
      </c>
      <c r="B56" s="2543"/>
      <c r="C56" s="894" t="s">
        <v>558</v>
      </c>
      <c r="D56" s="895"/>
      <c r="E56" s="895"/>
      <c r="F56" s="895"/>
      <c r="G56" s="895"/>
      <c r="H56" s="895"/>
      <c r="I56" s="895"/>
      <c r="J56" s="895"/>
      <c r="K56" s="895"/>
      <c r="L56" s="895"/>
      <c r="M56" s="895"/>
      <c r="N56" s="896"/>
      <c r="O56" s="7"/>
      <c r="P56" s="7"/>
      <c r="Q56" s="7"/>
      <c r="R56" s="7"/>
      <c r="S56" s="7"/>
      <c r="T56" s="7"/>
      <c r="U56" s="7"/>
      <c r="V56" s="7"/>
      <c r="W56" s="7"/>
      <c r="X56" s="7"/>
      <c r="Y56" s="7"/>
      <c r="Z56" s="7"/>
      <c r="AA56" s="7"/>
      <c r="AB56" s="152"/>
      <c r="AC56" s="152"/>
      <c r="AD56" s="152"/>
      <c r="AE56" s="152"/>
      <c r="AF56" s="152"/>
      <c r="AG56" s="152"/>
      <c r="AH56" s="152"/>
      <c r="AI56" s="152"/>
    </row>
    <row r="57" spans="1:35" s="151" customFormat="1" ht="70.5" customHeight="1">
      <c r="A57" s="897"/>
      <c r="B57" s="898" t="s">
        <v>559</v>
      </c>
      <c r="C57" s="899"/>
      <c r="D57" s="900" t="s">
        <v>517</v>
      </c>
      <c r="E57" s="119" t="s">
        <v>518</v>
      </c>
      <c r="F57" s="862">
        <v>1</v>
      </c>
      <c r="G57" s="861">
        <v>30000</v>
      </c>
      <c r="H57" s="862">
        <v>1</v>
      </c>
      <c r="I57" s="901">
        <f>F57*G57*H57</f>
        <v>30000</v>
      </c>
      <c r="J57" s="69"/>
      <c r="K57" s="69"/>
      <c r="L57" s="864">
        <f>28108.1+1610</f>
        <v>29718.1</v>
      </c>
      <c r="M57" s="863">
        <f>L57/I57</f>
        <v>0.99060333333333328</v>
      </c>
      <c r="N57" s="222" t="s">
        <v>1036</v>
      </c>
      <c r="O57" s="7"/>
      <c r="P57" s="7"/>
      <c r="Q57" s="7"/>
      <c r="R57" s="7"/>
      <c r="S57" s="7"/>
      <c r="T57" s="7"/>
      <c r="U57" s="7"/>
      <c r="V57" s="7"/>
      <c r="W57" s="7"/>
      <c r="X57" s="7"/>
      <c r="Y57" s="7"/>
      <c r="Z57" s="7"/>
      <c r="AA57" s="7"/>
      <c r="AB57" s="152"/>
      <c r="AC57" s="152"/>
      <c r="AD57" s="152"/>
      <c r="AE57" s="152"/>
      <c r="AF57" s="152"/>
      <c r="AG57" s="152"/>
      <c r="AH57" s="152"/>
      <c r="AI57" s="152"/>
    </row>
    <row r="58" spans="1:35" s="151" customFormat="1" ht="57.75" customHeight="1">
      <c r="A58" s="897"/>
      <c r="B58" s="897" t="s">
        <v>560</v>
      </c>
      <c r="C58" s="899"/>
      <c r="D58" s="900" t="s">
        <v>38</v>
      </c>
      <c r="E58" s="55" t="s">
        <v>518</v>
      </c>
      <c r="F58" s="862">
        <v>1</v>
      </c>
      <c r="G58" s="861">
        <v>15000</v>
      </c>
      <c r="H58" s="862">
        <v>1</v>
      </c>
      <c r="I58" s="901">
        <f t="shared" ref="I58:I67" si="8">F58*G58*H58</f>
        <v>15000</v>
      </c>
      <c r="J58" s="69"/>
      <c r="K58" s="69"/>
      <c r="L58" s="864">
        <v>14870</v>
      </c>
      <c r="M58" s="863">
        <f t="shared" ref="M58:M65" si="9">L58/I58</f>
        <v>0.99133333333333329</v>
      </c>
      <c r="N58" s="222" t="s">
        <v>1036</v>
      </c>
      <c r="O58" s="7"/>
      <c r="P58" s="7"/>
      <c r="Q58" s="7"/>
      <c r="R58" s="7"/>
      <c r="S58" s="7"/>
      <c r="T58" s="7"/>
      <c r="U58" s="7"/>
      <c r="V58" s="7"/>
      <c r="W58" s="7"/>
      <c r="X58" s="7"/>
      <c r="Y58" s="7"/>
      <c r="Z58" s="7"/>
      <c r="AA58" s="7"/>
      <c r="AB58" s="152"/>
      <c r="AC58" s="152"/>
      <c r="AD58" s="152"/>
      <c r="AE58" s="152"/>
      <c r="AF58" s="152"/>
      <c r="AG58" s="152"/>
      <c r="AH58" s="152"/>
      <c r="AI58" s="152"/>
    </row>
    <row r="59" spans="1:35" s="151" customFormat="1" ht="84.75" customHeight="1">
      <c r="A59" s="897"/>
      <c r="B59" s="898" t="s">
        <v>561</v>
      </c>
      <c r="C59" s="899"/>
      <c r="D59" s="900" t="s">
        <v>231</v>
      </c>
      <c r="E59" s="119" t="s">
        <v>518</v>
      </c>
      <c r="F59" s="862">
        <v>1</v>
      </c>
      <c r="G59" s="861">
        <v>4942.3100000000004</v>
      </c>
      <c r="H59" s="862">
        <v>12</v>
      </c>
      <c r="I59" s="901">
        <f t="shared" si="8"/>
        <v>59307.72</v>
      </c>
      <c r="J59" s="69"/>
      <c r="K59" s="69"/>
      <c r="L59" s="864">
        <f>4321.15*12</f>
        <v>51853.799999999996</v>
      </c>
      <c r="M59" s="863">
        <f t="shared" si="9"/>
        <v>0.87431787969593155</v>
      </c>
      <c r="N59" s="89" t="s">
        <v>1037</v>
      </c>
      <c r="O59" s="902"/>
      <c r="P59" s="7"/>
      <c r="Q59" s="7"/>
      <c r="R59" s="7"/>
      <c r="S59" s="7"/>
      <c r="T59" s="7"/>
      <c r="U59" s="7"/>
      <c r="V59" s="7"/>
      <c r="W59" s="7"/>
      <c r="X59" s="7"/>
      <c r="Y59" s="7"/>
      <c r="Z59" s="7"/>
      <c r="AA59" s="7"/>
      <c r="AB59" s="152"/>
      <c r="AC59" s="152"/>
      <c r="AD59" s="152"/>
      <c r="AE59" s="152"/>
      <c r="AF59" s="152"/>
      <c r="AG59" s="152"/>
      <c r="AH59" s="152"/>
      <c r="AI59" s="152"/>
    </row>
    <row r="60" spans="1:35" s="151" customFormat="1" ht="58.5" customHeight="1">
      <c r="A60" s="897"/>
      <c r="B60" s="898" t="s">
        <v>562</v>
      </c>
      <c r="C60" s="899"/>
      <c r="D60" s="900" t="s">
        <v>563</v>
      </c>
      <c r="E60" s="119" t="s">
        <v>518</v>
      </c>
      <c r="F60" s="862">
        <v>1</v>
      </c>
      <c r="G60" s="861">
        <v>8333.33</v>
      </c>
      <c r="H60" s="862">
        <v>3</v>
      </c>
      <c r="I60" s="901">
        <f t="shared" si="8"/>
        <v>24999.989999999998</v>
      </c>
      <c r="J60" s="69"/>
      <c r="K60" s="69"/>
      <c r="L60" s="864">
        <f>21326+1610</f>
        <v>22936</v>
      </c>
      <c r="M60" s="863">
        <f t="shared" si="9"/>
        <v>0.91744036697614684</v>
      </c>
      <c r="N60" s="89" t="s">
        <v>1038</v>
      </c>
      <c r="O60" s="7"/>
      <c r="P60" s="7"/>
      <c r="Q60" s="7"/>
      <c r="R60" s="7"/>
      <c r="S60" s="7"/>
      <c r="T60" s="7"/>
      <c r="U60" s="7"/>
      <c r="V60" s="7"/>
      <c r="W60" s="7"/>
      <c r="X60" s="7"/>
      <c r="Y60" s="7"/>
      <c r="Z60" s="7"/>
      <c r="AA60" s="7"/>
      <c r="AB60" s="152"/>
      <c r="AC60" s="152"/>
      <c r="AD60" s="152"/>
      <c r="AE60" s="152"/>
      <c r="AF60" s="152"/>
      <c r="AG60" s="152"/>
      <c r="AH60" s="152"/>
      <c r="AI60" s="152"/>
    </row>
    <row r="61" spans="1:35" s="151" customFormat="1" ht="26.25" customHeight="1">
      <c r="A61" s="897"/>
      <c r="B61" s="897" t="s">
        <v>564</v>
      </c>
      <c r="C61" s="899"/>
      <c r="D61" s="900" t="s">
        <v>38</v>
      </c>
      <c r="E61" s="55" t="s">
        <v>518</v>
      </c>
      <c r="F61" s="862">
        <v>1</v>
      </c>
      <c r="G61" s="861">
        <v>1500</v>
      </c>
      <c r="H61" s="862">
        <v>3</v>
      </c>
      <c r="I61" s="901">
        <f t="shared" si="8"/>
        <v>4500</v>
      </c>
      <c r="J61" s="69"/>
      <c r="K61" s="69"/>
      <c r="L61" s="864">
        <v>1022</v>
      </c>
      <c r="M61" s="863">
        <f t="shared" si="9"/>
        <v>0.22711111111111112</v>
      </c>
      <c r="N61" s="1917" t="s">
        <v>1039</v>
      </c>
      <c r="O61" s="7"/>
      <c r="P61" s="7"/>
      <c r="Q61" s="7"/>
      <c r="R61" s="7"/>
      <c r="S61" s="7"/>
      <c r="T61" s="7"/>
      <c r="U61" s="7"/>
      <c r="V61" s="7"/>
      <c r="W61" s="7"/>
      <c r="X61" s="7"/>
      <c r="Y61" s="7"/>
      <c r="Z61" s="7"/>
      <c r="AA61" s="7"/>
      <c r="AB61" s="152"/>
      <c r="AC61" s="152"/>
      <c r="AD61" s="152"/>
      <c r="AE61" s="152"/>
      <c r="AF61" s="152"/>
      <c r="AG61" s="152"/>
      <c r="AH61" s="152"/>
      <c r="AI61" s="152"/>
    </row>
    <row r="62" spans="1:35" s="151" customFormat="1" ht="27" customHeight="1">
      <c r="A62" s="897"/>
      <c r="B62" s="897" t="s">
        <v>565</v>
      </c>
      <c r="C62" s="899"/>
      <c r="D62" s="900" t="s">
        <v>38</v>
      </c>
      <c r="E62" s="55" t="s">
        <v>518</v>
      </c>
      <c r="F62" s="862">
        <v>1</v>
      </c>
      <c r="G62" s="861">
        <v>10000</v>
      </c>
      <c r="H62" s="862">
        <v>1</v>
      </c>
      <c r="I62" s="901">
        <f t="shared" si="8"/>
        <v>10000</v>
      </c>
      <c r="J62" s="69"/>
      <c r="K62" s="69"/>
      <c r="L62" s="864">
        <v>0</v>
      </c>
      <c r="M62" s="863">
        <f t="shared" si="9"/>
        <v>0</v>
      </c>
      <c r="N62" s="1918" t="s">
        <v>1040</v>
      </c>
      <c r="O62" s="7"/>
      <c r="P62" s="7"/>
      <c r="Q62" s="7"/>
      <c r="R62" s="7"/>
      <c r="S62" s="7"/>
      <c r="T62" s="7"/>
      <c r="U62" s="7"/>
      <c r="V62" s="7"/>
      <c r="W62" s="7"/>
      <c r="X62" s="7"/>
      <c r="Y62" s="7"/>
      <c r="Z62" s="7"/>
      <c r="AA62" s="7"/>
      <c r="AB62" s="152"/>
      <c r="AC62" s="152"/>
      <c r="AD62" s="152"/>
      <c r="AE62" s="152"/>
      <c r="AF62" s="152"/>
      <c r="AG62" s="152"/>
      <c r="AH62" s="152"/>
      <c r="AI62" s="152"/>
    </row>
    <row r="63" spans="1:35" s="151" customFormat="1" ht="54" customHeight="1">
      <c r="A63" s="897"/>
      <c r="B63" s="898" t="s">
        <v>566</v>
      </c>
      <c r="C63" s="899"/>
      <c r="D63" s="52" t="s">
        <v>263</v>
      </c>
      <c r="E63" s="119" t="s">
        <v>518</v>
      </c>
      <c r="F63" s="862">
        <v>1</v>
      </c>
      <c r="G63" s="861">
        <v>500</v>
      </c>
      <c r="H63" s="862">
        <v>12</v>
      </c>
      <c r="I63" s="901">
        <f t="shared" si="8"/>
        <v>6000</v>
      </c>
      <c r="J63" s="69"/>
      <c r="K63" s="69"/>
      <c r="L63" s="864">
        <v>0</v>
      </c>
      <c r="M63" s="863">
        <f t="shared" si="9"/>
        <v>0</v>
      </c>
      <c r="N63" s="903" t="s">
        <v>567</v>
      </c>
      <c r="O63" s="7"/>
      <c r="P63" s="7"/>
      <c r="Q63" s="7"/>
      <c r="R63" s="7"/>
      <c r="S63" s="7"/>
      <c r="T63" s="7"/>
      <c r="U63" s="7"/>
      <c r="V63" s="7"/>
      <c r="W63" s="7"/>
      <c r="X63" s="7"/>
      <c r="Y63" s="7"/>
      <c r="Z63" s="7"/>
      <c r="AA63" s="7"/>
      <c r="AB63" s="152"/>
      <c r="AC63" s="152"/>
      <c r="AD63" s="152"/>
      <c r="AE63" s="152"/>
      <c r="AF63" s="152"/>
      <c r="AG63" s="152"/>
      <c r="AH63" s="152"/>
      <c r="AI63" s="152"/>
    </row>
    <row r="64" spans="1:35" s="151" customFormat="1" ht="44.25" customHeight="1">
      <c r="A64" s="897"/>
      <c r="B64" s="898" t="s">
        <v>568</v>
      </c>
      <c r="C64" s="899"/>
      <c r="D64" s="52" t="s">
        <v>263</v>
      </c>
      <c r="E64" s="119" t="s">
        <v>518</v>
      </c>
      <c r="F64" s="862">
        <v>1</v>
      </c>
      <c r="G64" s="861">
        <v>7500</v>
      </c>
      <c r="H64" s="862">
        <v>1</v>
      </c>
      <c r="I64" s="901">
        <f t="shared" si="8"/>
        <v>7500</v>
      </c>
      <c r="J64" s="69"/>
      <c r="K64" s="69"/>
      <c r="L64" s="864">
        <v>0</v>
      </c>
      <c r="M64" s="863">
        <f t="shared" si="9"/>
        <v>0</v>
      </c>
      <c r="N64" s="1919" t="s">
        <v>1041</v>
      </c>
      <c r="O64" s="7"/>
      <c r="P64" s="7"/>
      <c r="Q64" s="7"/>
      <c r="R64" s="7"/>
      <c r="S64" s="7"/>
      <c r="T64" s="7"/>
      <c r="U64" s="7"/>
      <c r="V64" s="7"/>
      <c r="W64" s="7"/>
      <c r="X64" s="7"/>
      <c r="Y64" s="7"/>
      <c r="Z64" s="7"/>
      <c r="AA64" s="7"/>
      <c r="AB64" s="152"/>
      <c r="AC64" s="152"/>
      <c r="AD64" s="152"/>
      <c r="AE64" s="152"/>
      <c r="AF64" s="152"/>
      <c r="AG64" s="152"/>
      <c r="AH64" s="152"/>
      <c r="AI64" s="152"/>
    </row>
    <row r="65" spans="1:35" s="151" customFormat="1" ht="47.25">
      <c r="A65" s="897"/>
      <c r="B65" s="904" t="s">
        <v>569</v>
      </c>
      <c r="C65" s="905"/>
      <c r="D65" s="906" t="s">
        <v>38</v>
      </c>
      <c r="E65" s="865" t="s">
        <v>518</v>
      </c>
      <c r="F65" s="862">
        <v>1</v>
      </c>
      <c r="G65" s="861">
        <v>1750</v>
      </c>
      <c r="H65" s="862">
        <v>3</v>
      </c>
      <c r="I65" s="907">
        <f t="shared" si="8"/>
        <v>5250</v>
      </c>
      <c r="J65" s="69"/>
      <c r="K65" s="69"/>
      <c r="L65" s="864">
        <f>4710</f>
        <v>4710</v>
      </c>
      <c r="M65" s="863">
        <f t="shared" si="9"/>
        <v>0.89714285714285713</v>
      </c>
      <c r="N65" s="903"/>
      <c r="O65" s="7"/>
      <c r="P65" s="7"/>
      <c r="Q65" s="7"/>
      <c r="R65" s="7"/>
      <c r="S65" s="7"/>
      <c r="T65" s="7"/>
      <c r="U65" s="7"/>
      <c r="V65" s="7"/>
      <c r="W65" s="7"/>
      <c r="X65" s="7"/>
      <c r="Y65" s="7"/>
      <c r="Z65" s="7"/>
      <c r="AA65" s="7"/>
      <c r="AB65" s="152"/>
      <c r="AC65" s="152"/>
      <c r="AD65" s="152"/>
      <c r="AE65" s="152"/>
      <c r="AF65" s="152"/>
      <c r="AG65" s="152"/>
      <c r="AH65" s="152"/>
      <c r="AI65" s="152"/>
    </row>
    <row r="66" spans="1:35" s="151" customFormat="1" ht="18.75" customHeight="1">
      <c r="A66" s="897"/>
      <c r="B66" s="897" t="s">
        <v>570</v>
      </c>
      <c r="C66" s="899"/>
      <c r="D66" s="900" t="s">
        <v>38</v>
      </c>
      <c r="E66" s="55" t="s">
        <v>518</v>
      </c>
      <c r="F66" s="862"/>
      <c r="G66" s="861"/>
      <c r="H66" s="862"/>
      <c r="I66" s="901">
        <f t="shared" si="8"/>
        <v>0</v>
      </c>
      <c r="J66" s="69"/>
      <c r="K66" s="69"/>
      <c r="L66" s="864">
        <v>0</v>
      </c>
      <c r="M66" s="863">
        <v>0</v>
      </c>
      <c r="N66" s="222" t="s">
        <v>552</v>
      </c>
      <c r="O66" s="7"/>
      <c r="P66" s="7"/>
      <c r="Q66" s="7"/>
      <c r="R66" s="7"/>
      <c r="S66" s="7"/>
      <c r="T66" s="7"/>
      <c r="U66" s="7"/>
      <c r="V66" s="7"/>
      <c r="W66" s="7"/>
      <c r="X66" s="7"/>
      <c r="Y66" s="7"/>
      <c r="Z66" s="7"/>
      <c r="AA66" s="7"/>
      <c r="AB66" s="152"/>
      <c r="AC66" s="152"/>
      <c r="AD66" s="152"/>
      <c r="AE66" s="152"/>
      <c r="AF66" s="152"/>
      <c r="AG66" s="152"/>
      <c r="AH66" s="152"/>
      <c r="AI66" s="152"/>
    </row>
    <row r="67" spans="1:35" s="151" customFormat="1" ht="60.75" customHeight="1">
      <c r="A67" s="897"/>
      <c r="B67" s="898" t="s">
        <v>571</v>
      </c>
      <c r="C67" s="899"/>
      <c r="D67" s="900" t="s">
        <v>517</v>
      </c>
      <c r="E67" s="119" t="s">
        <v>518</v>
      </c>
      <c r="F67" s="862"/>
      <c r="G67" s="861"/>
      <c r="H67" s="862"/>
      <c r="I67" s="901">
        <f t="shared" si="8"/>
        <v>0</v>
      </c>
      <c r="J67" s="69"/>
      <c r="K67" s="69"/>
      <c r="L67" s="864">
        <v>0</v>
      </c>
      <c r="M67" s="863">
        <v>0</v>
      </c>
      <c r="N67" s="222" t="s">
        <v>552</v>
      </c>
      <c r="O67" s="7"/>
      <c r="P67" s="7"/>
      <c r="Q67" s="7"/>
      <c r="R67" s="7"/>
      <c r="S67" s="7"/>
      <c r="T67" s="7"/>
      <c r="U67" s="7"/>
      <c r="V67" s="7"/>
      <c r="W67" s="7"/>
      <c r="X67" s="7"/>
      <c r="Y67" s="7"/>
      <c r="Z67" s="7"/>
      <c r="AA67" s="7"/>
      <c r="AB67" s="152"/>
      <c r="AC67" s="152"/>
      <c r="AD67" s="152"/>
      <c r="AE67" s="152"/>
      <c r="AF67" s="152"/>
      <c r="AG67" s="152"/>
      <c r="AH67" s="152"/>
      <c r="AI67" s="152"/>
    </row>
    <row r="68" spans="1:35" s="151" customFormat="1" ht="18.75" customHeight="1">
      <c r="A68" s="908" t="s">
        <v>572</v>
      </c>
      <c r="B68" s="1883"/>
      <c r="C68" s="1883"/>
      <c r="D68" s="1883"/>
      <c r="E68" s="144"/>
      <c r="F68" s="144"/>
      <c r="G68" s="144"/>
      <c r="H68" s="144"/>
      <c r="I68" s="909">
        <f>SUM(I57:I67)</f>
        <v>162557.71</v>
      </c>
      <c r="J68" s="909"/>
      <c r="K68" s="909"/>
      <c r="L68" s="909">
        <f>SUM(L57:L67)</f>
        <v>125109.9</v>
      </c>
      <c r="M68" s="910">
        <f>L68/I68</f>
        <v>0.76963375037701998</v>
      </c>
      <c r="N68" s="249"/>
      <c r="O68" s="7"/>
      <c r="P68" s="7"/>
      <c r="Q68" s="7"/>
      <c r="R68" s="7"/>
      <c r="S68" s="7"/>
      <c r="T68" s="7"/>
      <c r="U68" s="7"/>
      <c r="V68" s="7"/>
      <c r="W68" s="7"/>
      <c r="X68" s="7"/>
      <c r="Y68" s="7"/>
      <c r="Z68" s="7"/>
      <c r="AA68" s="7"/>
      <c r="AB68" s="152"/>
      <c r="AC68" s="152"/>
      <c r="AD68" s="152"/>
      <c r="AE68" s="152"/>
      <c r="AF68" s="152"/>
      <c r="AG68" s="152"/>
      <c r="AH68" s="152"/>
      <c r="AI68" s="152"/>
    </row>
    <row r="69" spans="1:35" s="151" customFormat="1" ht="22.5" customHeight="1">
      <c r="A69" s="370" t="s">
        <v>227</v>
      </c>
      <c r="B69" s="371"/>
      <c r="C69" s="371"/>
      <c r="D69" s="372"/>
      <c r="E69" s="373"/>
      <c r="F69" s="373"/>
      <c r="G69" s="374"/>
      <c r="H69" s="373"/>
      <c r="I69" s="911">
        <f>I32+I55+I68</f>
        <v>548507.71</v>
      </c>
      <c r="J69" s="912"/>
      <c r="K69" s="913">
        <f>K32+K55</f>
        <v>144230</v>
      </c>
      <c r="L69" s="911">
        <f>L32+L55+L68</f>
        <v>354176.38</v>
      </c>
      <c r="M69" s="912">
        <f>L69/I69</f>
        <v>0.64570902749935821</v>
      </c>
      <c r="N69" s="381"/>
      <c r="O69" s="7"/>
      <c r="P69" s="7"/>
      <c r="Q69" s="7"/>
      <c r="R69" s="7"/>
      <c r="S69" s="7"/>
      <c r="T69" s="7"/>
      <c r="U69" s="7"/>
      <c r="V69" s="7"/>
      <c r="W69" s="7"/>
      <c r="X69" s="7"/>
      <c r="Y69" s="7"/>
      <c r="Z69" s="7"/>
      <c r="AA69" s="7"/>
      <c r="AB69" s="152"/>
      <c r="AC69" s="152"/>
      <c r="AD69" s="152"/>
      <c r="AE69" s="152"/>
      <c r="AF69" s="152"/>
      <c r="AG69" s="152"/>
      <c r="AH69" s="152"/>
      <c r="AI69" s="152"/>
    </row>
    <row r="70" spans="1:35" s="392" customFormat="1" ht="15.75">
      <c r="A70" s="914" t="s">
        <v>228</v>
      </c>
      <c r="B70" s="915"/>
      <c r="C70" s="916" t="s">
        <v>573</v>
      </c>
      <c r="D70" s="915"/>
      <c r="E70" s="383"/>
      <c r="F70" s="383"/>
      <c r="G70" s="384"/>
      <c r="H70" s="383"/>
      <c r="I70" s="384"/>
      <c r="J70" s="383"/>
      <c r="K70" s="383"/>
      <c r="L70" s="917"/>
      <c r="M70" s="383"/>
      <c r="N70" s="918"/>
      <c r="O70" s="7"/>
      <c r="P70" s="7"/>
      <c r="Q70" s="7"/>
      <c r="R70" s="7"/>
      <c r="S70" s="7"/>
      <c r="T70" s="7"/>
      <c r="U70" s="7"/>
      <c r="V70" s="7"/>
      <c r="W70" s="7"/>
      <c r="X70" s="7"/>
      <c r="Y70" s="7"/>
      <c r="Z70" s="7"/>
      <c r="AA70" s="7"/>
      <c r="AB70" s="152"/>
      <c r="AC70" s="152"/>
      <c r="AD70" s="152"/>
      <c r="AE70" s="152"/>
      <c r="AF70" s="152"/>
      <c r="AG70" s="152"/>
      <c r="AH70" s="152"/>
      <c r="AI70" s="152"/>
    </row>
    <row r="71" spans="1:35" s="401" customFormat="1" ht="17.25" customHeight="1">
      <c r="A71" s="393" t="s">
        <v>229</v>
      </c>
      <c r="B71" s="394"/>
      <c r="C71" s="919" t="s">
        <v>574</v>
      </c>
      <c r="D71" s="394"/>
      <c r="E71" s="395"/>
      <c r="F71" s="395"/>
      <c r="G71" s="396"/>
      <c r="H71" s="395"/>
      <c r="I71" s="396"/>
      <c r="J71" s="395"/>
      <c r="K71" s="395"/>
      <c r="L71" s="395"/>
      <c r="M71" s="395"/>
      <c r="N71" s="399"/>
      <c r="O71" s="7"/>
      <c r="P71" s="7"/>
      <c r="Q71" s="7"/>
      <c r="R71" s="7"/>
      <c r="S71" s="7"/>
      <c r="T71" s="7"/>
      <c r="U71" s="7"/>
      <c r="V71" s="7"/>
      <c r="W71" s="7"/>
      <c r="X71" s="7"/>
      <c r="Y71" s="7"/>
      <c r="Z71" s="7"/>
      <c r="AA71" s="7"/>
      <c r="AB71" s="152"/>
      <c r="AC71" s="152"/>
      <c r="AD71" s="152"/>
      <c r="AE71" s="152"/>
      <c r="AF71" s="152"/>
      <c r="AG71" s="152"/>
      <c r="AH71" s="152"/>
      <c r="AI71" s="152"/>
    </row>
    <row r="72" spans="1:35" s="400" customFormat="1" ht="27" customHeight="1">
      <c r="A72" s="920" t="s">
        <v>575</v>
      </c>
      <c r="B72" s="921" t="s">
        <v>576</v>
      </c>
      <c r="C72" s="922"/>
      <c r="D72" s="470" t="s">
        <v>231</v>
      </c>
      <c r="E72" s="439" t="s">
        <v>507</v>
      </c>
      <c r="F72" s="439">
        <v>1</v>
      </c>
      <c r="G72" s="923">
        <v>3660</v>
      </c>
      <c r="H72" s="439">
        <v>12</v>
      </c>
      <c r="I72" s="924">
        <f>+F72*G72*H72</f>
        <v>43920</v>
      </c>
      <c r="J72" s="925"/>
      <c r="K72" s="926"/>
      <c r="L72" s="927">
        <f>12*3500</f>
        <v>42000</v>
      </c>
      <c r="M72" s="928">
        <f>L72/I72</f>
        <v>0.95628415300546443</v>
      </c>
      <c r="N72" s="903" t="s">
        <v>1042</v>
      </c>
      <c r="O72" s="7"/>
      <c r="P72" s="7"/>
      <c r="Q72" s="7"/>
      <c r="R72" s="7"/>
      <c r="S72" s="7"/>
      <c r="T72" s="7"/>
      <c r="U72" s="7"/>
      <c r="V72" s="7"/>
      <c r="W72" s="7"/>
      <c r="X72" s="7"/>
      <c r="Y72" s="7"/>
      <c r="Z72" s="7"/>
      <c r="AA72" s="7"/>
      <c r="AB72" s="152"/>
      <c r="AC72" s="152"/>
      <c r="AD72" s="152"/>
      <c r="AE72" s="152"/>
      <c r="AF72" s="152"/>
      <c r="AG72" s="152"/>
      <c r="AH72" s="152"/>
      <c r="AI72" s="152"/>
    </row>
    <row r="73" spans="1:35" s="400" customFormat="1" ht="27" customHeight="1">
      <c r="A73" s="920" t="s">
        <v>577</v>
      </c>
      <c r="B73" s="921" t="s">
        <v>576</v>
      </c>
      <c r="C73" s="922"/>
      <c r="D73" s="470" t="s">
        <v>231</v>
      </c>
      <c r="E73" s="439" t="s">
        <v>507</v>
      </c>
      <c r="F73" s="439">
        <v>1</v>
      </c>
      <c r="G73" s="923">
        <v>2714</v>
      </c>
      <c r="H73" s="439">
        <v>12</v>
      </c>
      <c r="I73" s="924">
        <f t="shared" ref="I73:I74" si="10">+F73*G73*H73</f>
        <v>32568</v>
      </c>
      <c r="J73" s="925"/>
      <c r="K73" s="926"/>
      <c r="L73" s="927">
        <v>22485.57</v>
      </c>
      <c r="M73" s="928">
        <f t="shared" ref="M73:M76" si="11">L73/I73</f>
        <v>0.69041912306558584</v>
      </c>
      <c r="N73" s="903" t="s">
        <v>1042</v>
      </c>
      <c r="O73" s="7"/>
      <c r="P73" s="7"/>
      <c r="Q73" s="7"/>
      <c r="R73" s="7"/>
      <c r="S73" s="7"/>
      <c r="T73" s="7"/>
      <c r="U73" s="7"/>
      <c r="V73" s="7"/>
      <c r="W73" s="7"/>
      <c r="X73" s="7"/>
      <c r="Y73" s="7"/>
      <c r="Z73" s="7"/>
      <c r="AA73" s="7"/>
      <c r="AB73" s="152"/>
      <c r="AC73" s="152"/>
      <c r="AD73" s="152"/>
      <c r="AE73" s="152"/>
      <c r="AF73" s="152"/>
      <c r="AG73" s="152"/>
      <c r="AH73" s="152"/>
      <c r="AI73" s="152"/>
    </row>
    <row r="74" spans="1:35" s="400" customFormat="1" ht="26.25" customHeight="1">
      <c r="A74" s="920" t="s">
        <v>578</v>
      </c>
      <c r="B74" s="921" t="s">
        <v>576</v>
      </c>
      <c r="C74" s="922"/>
      <c r="D74" s="470" t="s">
        <v>231</v>
      </c>
      <c r="E74" s="439" t="s">
        <v>507</v>
      </c>
      <c r="F74" s="439">
        <v>1</v>
      </c>
      <c r="G74" s="923">
        <v>2714</v>
      </c>
      <c r="H74" s="439">
        <v>12</v>
      </c>
      <c r="I74" s="924">
        <f t="shared" si="10"/>
        <v>32568</v>
      </c>
      <c r="J74" s="925"/>
      <c r="K74" s="926"/>
      <c r="L74" s="927">
        <f>12*2392</f>
        <v>28704</v>
      </c>
      <c r="M74" s="928">
        <f t="shared" si="11"/>
        <v>0.88135593220338981</v>
      </c>
      <c r="N74" s="903" t="s">
        <v>1042</v>
      </c>
      <c r="O74" s="7"/>
      <c r="P74" s="7"/>
      <c r="Q74" s="7"/>
      <c r="R74" s="7"/>
      <c r="S74" s="7"/>
      <c r="T74" s="7"/>
      <c r="U74" s="7"/>
      <c r="V74" s="7"/>
      <c r="W74" s="7"/>
      <c r="X74" s="7"/>
      <c r="Y74" s="7"/>
      <c r="Z74" s="7"/>
      <c r="AA74" s="7"/>
      <c r="AB74" s="152"/>
      <c r="AC74" s="152"/>
      <c r="AD74" s="152"/>
      <c r="AE74" s="152"/>
      <c r="AF74" s="152"/>
      <c r="AG74" s="152"/>
      <c r="AH74" s="152"/>
      <c r="AI74" s="152"/>
    </row>
    <row r="75" spans="1:35" s="400" customFormat="1" ht="35.25" customHeight="1">
      <c r="A75" s="920" t="s">
        <v>579</v>
      </c>
      <c r="B75" s="921" t="s">
        <v>576</v>
      </c>
      <c r="C75" s="922"/>
      <c r="D75" s="470" t="s">
        <v>231</v>
      </c>
      <c r="E75" s="439" t="s">
        <v>507</v>
      </c>
      <c r="F75" s="439">
        <v>1</v>
      </c>
      <c r="G75" s="923">
        <v>1600</v>
      </c>
      <c r="H75" s="439">
        <v>12</v>
      </c>
      <c r="I75" s="924">
        <f>+F75*G75*H75</f>
        <v>19200</v>
      </c>
      <c r="J75" s="925"/>
      <c r="K75" s="926"/>
      <c r="L75" s="927">
        <f>11*1720</f>
        <v>18920</v>
      </c>
      <c r="M75" s="928">
        <f t="shared" si="11"/>
        <v>0.98541666666666672</v>
      </c>
      <c r="N75" s="903" t="s">
        <v>1042</v>
      </c>
      <c r="O75" s="7"/>
      <c r="P75" s="7"/>
      <c r="Q75" s="7"/>
      <c r="R75" s="7"/>
      <c r="S75" s="7"/>
      <c r="T75" s="7"/>
      <c r="U75" s="7"/>
      <c r="V75" s="7"/>
      <c r="W75" s="7"/>
      <c r="X75" s="7"/>
      <c r="Y75" s="7"/>
      <c r="Z75" s="7"/>
      <c r="AA75" s="7"/>
    </row>
    <row r="76" spans="1:35" s="400" customFormat="1" ht="22.5" customHeight="1">
      <c r="A76" s="929" t="s">
        <v>580</v>
      </c>
      <c r="B76" s="930" t="s">
        <v>576</v>
      </c>
      <c r="C76" s="922"/>
      <c r="D76" s="404" t="s">
        <v>231</v>
      </c>
      <c r="E76" s="439" t="s">
        <v>507</v>
      </c>
      <c r="F76" s="931">
        <v>0.1</v>
      </c>
      <c r="G76" s="923">
        <v>2714</v>
      </c>
      <c r="H76" s="439">
        <v>12</v>
      </c>
      <c r="I76" s="924">
        <f>+F76*G76*H76</f>
        <v>3256.8</v>
      </c>
      <c r="J76" s="932"/>
      <c r="K76" s="925"/>
      <c r="L76" s="927">
        <f>I76</f>
        <v>3256.8</v>
      </c>
      <c r="M76" s="928">
        <f t="shared" si="11"/>
        <v>1</v>
      </c>
      <c r="N76" s="903"/>
      <c r="O76" s="7"/>
      <c r="P76" s="7"/>
      <c r="Q76" s="7"/>
      <c r="R76" s="7"/>
      <c r="S76" s="7"/>
      <c r="T76" s="7"/>
      <c r="U76" s="7"/>
      <c r="V76" s="7"/>
      <c r="W76" s="7"/>
      <c r="X76" s="7"/>
      <c r="Y76" s="7"/>
      <c r="Z76" s="7"/>
      <c r="AA76" s="7"/>
    </row>
    <row r="77" spans="1:35" s="432" customFormat="1">
      <c r="A77" s="420"/>
      <c r="B77" s="421"/>
      <c r="C77" s="421"/>
      <c r="D77" s="422"/>
      <c r="E77" s="423" t="s">
        <v>47</v>
      </c>
      <c r="F77" s="423"/>
      <c r="G77" s="424"/>
      <c r="H77" s="423"/>
      <c r="I77" s="933">
        <f>SUM(I72:I76)</f>
        <v>131512.79999999999</v>
      </c>
      <c r="J77" s="426"/>
      <c r="K77" s="426"/>
      <c r="L77" s="426">
        <f>SUM(L72:L76)</f>
        <v>115366.37000000001</v>
      </c>
      <c r="M77" s="454">
        <f>L77/I77</f>
        <v>0.87722541075849669</v>
      </c>
      <c r="N77" s="431"/>
      <c r="O77" s="7"/>
      <c r="P77" s="7"/>
      <c r="Q77" s="7"/>
      <c r="R77" s="7"/>
      <c r="S77" s="7"/>
      <c r="T77" s="7"/>
      <c r="U77" s="7"/>
      <c r="V77" s="7"/>
      <c r="W77" s="7"/>
      <c r="X77" s="7"/>
      <c r="Y77" s="7"/>
      <c r="Z77" s="7"/>
      <c r="AA77" s="7"/>
    </row>
    <row r="78" spans="1:35" s="432" customFormat="1" ht="19.5" customHeight="1">
      <c r="A78" s="393" t="s">
        <v>240</v>
      </c>
      <c r="B78" s="433"/>
      <c r="C78" s="934" t="s">
        <v>581</v>
      </c>
      <c r="D78" s="433"/>
      <c r="E78" s="433"/>
      <c r="F78" s="433"/>
      <c r="G78" s="433"/>
      <c r="H78" s="433"/>
      <c r="I78" s="935"/>
      <c r="J78" s="433"/>
      <c r="K78" s="433"/>
      <c r="L78" s="433"/>
      <c r="M78" s="433"/>
      <c r="N78" s="436"/>
      <c r="O78" s="7"/>
      <c r="P78" s="7"/>
      <c r="Q78" s="7"/>
      <c r="R78" s="7"/>
      <c r="S78" s="7"/>
      <c r="T78" s="7"/>
      <c r="U78" s="7"/>
      <c r="V78" s="7"/>
      <c r="W78" s="7"/>
      <c r="X78" s="7"/>
      <c r="Y78" s="7"/>
      <c r="Z78" s="7"/>
      <c r="AA78" s="7"/>
    </row>
    <row r="79" spans="1:35" s="432" customFormat="1" ht="58.5" customHeight="1">
      <c r="A79" s="936" t="s">
        <v>582</v>
      </c>
      <c r="B79" s="450"/>
      <c r="C79" s="937"/>
      <c r="D79" s="470" t="s">
        <v>38</v>
      </c>
      <c r="E79" s="439" t="s">
        <v>507</v>
      </c>
      <c r="F79" s="439">
        <v>1</v>
      </c>
      <c r="G79" s="938">
        <v>20000.5</v>
      </c>
      <c r="H79" s="939">
        <v>1</v>
      </c>
      <c r="I79" s="940">
        <f t="shared" ref="I79" si="12">+F79*G79*H79</f>
        <v>20000.5</v>
      </c>
      <c r="J79" s="447"/>
      <c r="K79" s="447"/>
      <c r="L79" s="495">
        <v>21806.41</v>
      </c>
      <c r="M79" s="941">
        <f>L79/I79</f>
        <v>1.0902932426689333</v>
      </c>
      <c r="N79" s="1919" t="s">
        <v>1043</v>
      </c>
      <c r="O79" s="7"/>
      <c r="P79" s="7"/>
      <c r="Q79" s="7"/>
      <c r="R79" s="7"/>
      <c r="S79" s="7"/>
      <c r="T79" s="7"/>
      <c r="U79" s="7"/>
      <c r="V79" s="7"/>
      <c r="W79" s="7"/>
      <c r="X79" s="7"/>
      <c r="Y79" s="7"/>
      <c r="Z79" s="7"/>
      <c r="AA79" s="7"/>
    </row>
    <row r="80" spans="1:35" s="432" customFormat="1">
      <c r="A80" s="420"/>
      <c r="B80" s="421"/>
      <c r="C80" s="421"/>
      <c r="D80" s="422"/>
      <c r="E80" s="423" t="s">
        <v>47</v>
      </c>
      <c r="F80" s="427"/>
      <c r="G80" s="427"/>
      <c r="H80" s="427"/>
      <c r="I80" s="427">
        <f>SUM(I79:I79)</f>
        <v>20000.5</v>
      </c>
      <c r="J80" s="426"/>
      <c r="K80" s="426"/>
      <c r="L80" s="426">
        <f>SUM(L79)</f>
        <v>21806.41</v>
      </c>
      <c r="M80" s="454">
        <f>M79</f>
        <v>1.0902932426689333</v>
      </c>
      <c r="N80" s="455"/>
      <c r="O80" s="7"/>
      <c r="P80" s="7"/>
      <c r="Q80" s="7"/>
      <c r="R80" s="7"/>
      <c r="S80" s="7"/>
      <c r="T80" s="7"/>
      <c r="U80" s="7"/>
      <c r="V80" s="7"/>
      <c r="W80" s="7"/>
      <c r="X80" s="7"/>
      <c r="Y80" s="7"/>
      <c r="Z80" s="7"/>
      <c r="AA80" s="7"/>
    </row>
    <row r="81" spans="1:27" s="432" customFormat="1" ht="15.75">
      <c r="A81" s="393" t="s">
        <v>244</v>
      </c>
      <c r="B81" s="433"/>
      <c r="C81" s="934" t="s">
        <v>583</v>
      </c>
      <c r="D81" s="433"/>
      <c r="E81" s="433"/>
      <c r="F81" s="433"/>
      <c r="G81" s="433"/>
      <c r="H81" s="433"/>
      <c r="I81" s="935"/>
      <c r="J81" s="433"/>
      <c r="K81" s="433"/>
      <c r="L81" s="433"/>
      <c r="M81" s="433"/>
      <c r="N81" s="436"/>
      <c r="O81" s="7"/>
      <c r="P81" s="7"/>
      <c r="Q81" s="7"/>
      <c r="R81" s="7"/>
      <c r="S81" s="7"/>
      <c r="T81" s="7"/>
      <c r="U81" s="7"/>
      <c r="V81" s="7"/>
      <c r="W81" s="7"/>
      <c r="X81" s="7"/>
      <c r="Y81" s="7"/>
      <c r="Z81" s="7"/>
      <c r="AA81" s="7"/>
    </row>
    <row r="82" spans="1:27" s="432" customFormat="1" ht="41.25" customHeight="1">
      <c r="A82" s="942" t="s">
        <v>584</v>
      </c>
      <c r="B82" s="943"/>
      <c r="C82" s="944"/>
      <c r="D82" s="945" t="s">
        <v>246</v>
      </c>
      <c r="E82" s="439" t="s">
        <v>507</v>
      </c>
      <c r="F82" s="943"/>
      <c r="G82" s="943"/>
      <c r="H82" s="943"/>
      <c r="I82" s="946">
        <v>0</v>
      </c>
      <c r="J82" s="943"/>
      <c r="K82" s="943"/>
      <c r="L82" s="495">
        <v>2265</v>
      </c>
      <c r="M82" s="947"/>
      <c r="N82" s="1919" t="s">
        <v>1044</v>
      </c>
      <c r="O82" s="7"/>
      <c r="P82" s="7"/>
      <c r="Q82" s="7"/>
      <c r="R82" s="7"/>
      <c r="S82" s="7"/>
      <c r="T82" s="7"/>
      <c r="U82" s="7"/>
      <c r="V82" s="7"/>
      <c r="W82" s="7"/>
      <c r="X82" s="7"/>
      <c r="Y82" s="7"/>
      <c r="Z82" s="7"/>
      <c r="AA82" s="7"/>
    </row>
    <row r="83" spans="1:27" s="432" customFormat="1" ht="21" customHeight="1">
      <c r="A83" s="948"/>
      <c r="B83" s="943"/>
      <c r="C83" s="944"/>
      <c r="D83" s="943"/>
      <c r="E83" s="949"/>
      <c r="F83" s="943"/>
      <c r="G83" s="943"/>
      <c r="H83" s="943"/>
      <c r="I83" s="946">
        <v>0</v>
      </c>
      <c r="J83" s="943"/>
      <c r="K83" s="943"/>
      <c r="L83" s="495"/>
      <c r="M83" s="947"/>
      <c r="N83" s="950"/>
      <c r="O83" s="7"/>
      <c r="P83" s="7"/>
      <c r="Q83" s="7"/>
      <c r="R83" s="7"/>
      <c r="S83" s="7"/>
      <c r="T83" s="7"/>
      <c r="U83" s="7"/>
      <c r="V83" s="7"/>
      <c r="W83" s="7"/>
      <c r="X83" s="7"/>
      <c r="Y83" s="7"/>
      <c r="Z83" s="7"/>
      <c r="AA83" s="7"/>
    </row>
    <row r="84" spans="1:27" s="432" customFormat="1">
      <c r="A84" s="420"/>
      <c r="B84" s="465"/>
      <c r="C84" s="465"/>
      <c r="D84" s="466"/>
      <c r="E84" s="423" t="s">
        <v>47</v>
      </c>
      <c r="F84" s="423"/>
      <c r="G84" s="424"/>
      <c r="H84" s="423"/>
      <c r="I84" s="951">
        <v>0</v>
      </c>
      <c r="J84" s="426"/>
      <c r="K84" s="426"/>
      <c r="L84" s="426">
        <f>SUM(L82:L83)</f>
        <v>2265</v>
      </c>
      <c r="M84" s="426"/>
      <c r="N84" s="455"/>
      <c r="O84" s="7"/>
      <c r="P84" s="7"/>
      <c r="Q84" s="7"/>
      <c r="R84" s="7"/>
      <c r="S84" s="7"/>
      <c r="T84" s="7"/>
      <c r="U84" s="7"/>
      <c r="V84" s="7"/>
      <c r="W84" s="7"/>
      <c r="X84" s="7"/>
      <c r="Y84" s="7"/>
      <c r="Z84" s="7"/>
      <c r="AA84" s="7"/>
    </row>
    <row r="85" spans="1:27" s="432" customFormat="1" ht="14.25" customHeight="1">
      <c r="A85" s="393" t="s">
        <v>249</v>
      </c>
      <c r="B85" s="433"/>
      <c r="C85" s="433"/>
      <c r="D85" s="433"/>
      <c r="E85" s="433"/>
      <c r="F85" s="433"/>
      <c r="G85" s="433"/>
      <c r="H85" s="433"/>
      <c r="I85" s="935"/>
      <c r="J85" s="433"/>
      <c r="K85" s="433"/>
      <c r="L85" s="433"/>
      <c r="M85" s="433"/>
      <c r="N85" s="436"/>
      <c r="O85" s="7"/>
      <c r="P85" s="7"/>
      <c r="Q85" s="7"/>
      <c r="R85" s="7"/>
      <c r="S85" s="7"/>
      <c r="T85" s="7"/>
      <c r="U85" s="7"/>
      <c r="V85" s="7"/>
      <c r="W85" s="7"/>
      <c r="X85" s="7"/>
      <c r="Y85" s="7"/>
      <c r="Z85" s="7"/>
      <c r="AA85" s="7"/>
    </row>
    <row r="86" spans="1:27" s="432" customFormat="1" ht="14.25" customHeight="1">
      <c r="A86" s="420"/>
      <c r="B86" s="465"/>
      <c r="C86" s="465"/>
      <c r="D86" s="420"/>
      <c r="E86" s="423" t="s">
        <v>47</v>
      </c>
      <c r="F86" s="423"/>
      <c r="G86" s="424"/>
      <c r="H86" s="423"/>
      <c r="I86" s="453">
        <v>0</v>
      </c>
      <c r="J86" s="426"/>
      <c r="K86" s="426"/>
      <c r="L86" s="426"/>
      <c r="M86" s="426"/>
      <c r="N86" s="455"/>
      <c r="O86" s="7"/>
      <c r="P86" s="7"/>
      <c r="Q86" s="7"/>
      <c r="R86" s="7"/>
      <c r="S86" s="7"/>
      <c r="T86" s="7"/>
      <c r="U86" s="7"/>
      <c r="V86" s="7"/>
      <c r="W86" s="7"/>
      <c r="X86" s="7"/>
      <c r="Y86" s="7"/>
      <c r="Z86" s="7"/>
      <c r="AA86" s="7"/>
    </row>
    <row r="87" spans="1:27" s="432" customFormat="1" ht="14.25" customHeight="1">
      <c r="A87" s="393" t="s">
        <v>255</v>
      </c>
      <c r="B87" s="433"/>
      <c r="C87" s="934" t="s">
        <v>585</v>
      </c>
      <c r="D87" s="433"/>
      <c r="E87" s="433"/>
      <c r="F87" s="433"/>
      <c r="G87" s="433"/>
      <c r="H87" s="433"/>
      <c r="I87" s="935"/>
      <c r="J87" s="433"/>
      <c r="K87" s="433"/>
      <c r="L87" s="433"/>
      <c r="M87" s="433"/>
      <c r="N87" s="436"/>
      <c r="O87" s="7"/>
      <c r="P87" s="7"/>
      <c r="Q87" s="7"/>
      <c r="R87" s="7"/>
      <c r="S87" s="7"/>
      <c r="T87" s="7"/>
      <c r="U87" s="7"/>
      <c r="V87" s="7"/>
      <c r="W87" s="7"/>
      <c r="X87" s="7"/>
      <c r="Y87" s="7"/>
      <c r="Z87" s="7"/>
      <c r="AA87" s="7"/>
    </row>
    <row r="88" spans="1:27" s="432" customFormat="1" ht="45" customHeight="1">
      <c r="A88" s="491" t="s">
        <v>586</v>
      </c>
      <c r="B88" s="480" t="s">
        <v>587</v>
      </c>
      <c r="C88" s="952"/>
      <c r="D88" s="470" t="s">
        <v>40</v>
      </c>
      <c r="E88" s="439" t="s">
        <v>507</v>
      </c>
      <c r="F88" s="953">
        <v>1</v>
      </c>
      <c r="G88" s="954">
        <v>2408</v>
      </c>
      <c r="H88" s="405">
        <v>12</v>
      </c>
      <c r="I88" s="940">
        <f t="shared" ref="I88" si="13">+F88*G88*H88</f>
        <v>28896</v>
      </c>
      <c r="J88" s="487"/>
      <c r="K88" s="487"/>
      <c r="L88" s="955">
        <v>30130.73</v>
      </c>
      <c r="M88" s="956">
        <f>L88/I88</f>
        <v>1.0427301356589147</v>
      </c>
      <c r="N88" s="1919" t="s">
        <v>1045</v>
      </c>
      <c r="O88" s="7"/>
      <c r="P88" s="7"/>
      <c r="Q88" s="7"/>
      <c r="R88" s="7"/>
      <c r="S88" s="7"/>
      <c r="T88" s="7"/>
      <c r="U88" s="7"/>
      <c r="V88" s="7"/>
      <c r="W88" s="7"/>
      <c r="X88" s="7"/>
      <c r="Y88" s="7"/>
      <c r="Z88" s="7"/>
      <c r="AA88" s="7"/>
    </row>
    <row r="89" spans="1:27" s="432" customFormat="1" ht="14.25" customHeight="1">
      <c r="A89" s="420"/>
      <c r="B89" s="465"/>
      <c r="C89" s="465"/>
      <c r="D89" s="420"/>
      <c r="E89" s="423" t="s">
        <v>47</v>
      </c>
      <c r="F89" s="423"/>
      <c r="G89" s="424"/>
      <c r="H89" s="423"/>
      <c r="I89" s="453">
        <f>SUM(I88:I88)</f>
        <v>28896</v>
      </c>
      <c r="J89" s="426">
        <f>164*141</f>
        <v>23124</v>
      </c>
      <c r="K89" s="426"/>
      <c r="L89" s="426">
        <f>SUM(L88)</f>
        <v>30130.73</v>
      </c>
      <c r="M89" s="957">
        <f>L89/I89</f>
        <v>1.0427301356589147</v>
      </c>
      <c r="N89" s="455"/>
      <c r="O89" s="7"/>
      <c r="P89" s="7"/>
      <c r="Q89" s="7"/>
      <c r="R89" s="7"/>
      <c r="S89" s="7"/>
      <c r="T89" s="7"/>
      <c r="U89" s="7"/>
      <c r="V89" s="7"/>
      <c r="W89" s="7"/>
      <c r="X89" s="7"/>
      <c r="Y89" s="7"/>
      <c r="Z89" s="7"/>
      <c r="AA89" s="7"/>
    </row>
    <row r="90" spans="1:27" s="432" customFormat="1" ht="14.25" customHeight="1">
      <c r="A90" s="393" t="s">
        <v>260</v>
      </c>
      <c r="B90" s="433"/>
      <c r="C90" s="433"/>
      <c r="D90" s="433"/>
      <c r="E90" s="433"/>
      <c r="F90" s="433"/>
      <c r="G90" s="433"/>
      <c r="H90" s="433"/>
      <c r="I90" s="935"/>
      <c r="J90" s="433"/>
      <c r="K90" s="433"/>
      <c r="L90" s="433"/>
      <c r="M90" s="433"/>
      <c r="N90" s="436"/>
      <c r="O90" s="7"/>
      <c r="P90" s="7"/>
      <c r="Q90" s="7"/>
      <c r="R90" s="7"/>
      <c r="S90" s="7"/>
      <c r="T90" s="7"/>
      <c r="U90" s="7"/>
      <c r="V90" s="7"/>
      <c r="W90" s="7"/>
      <c r="X90" s="7"/>
      <c r="Y90" s="7"/>
      <c r="Z90" s="7"/>
      <c r="AA90" s="7"/>
    </row>
    <row r="91" spans="1:27" s="432" customFormat="1" ht="14.25" customHeight="1">
      <c r="A91" s="491" t="s">
        <v>261</v>
      </c>
      <c r="B91" s="469"/>
      <c r="C91" s="958"/>
      <c r="D91" s="470" t="s">
        <v>50</v>
      </c>
      <c r="E91" s="439"/>
      <c r="F91" s="492"/>
      <c r="G91" s="493"/>
      <c r="H91" s="492"/>
      <c r="I91" s="959">
        <v>0</v>
      </c>
      <c r="J91" s="447"/>
      <c r="K91" s="447"/>
      <c r="L91" s="447"/>
      <c r="M91" s="447"/>
      <c r="N91" s="498"/>
      <c r="O91" s="7"/>
      <c r="P91" s="7"/>
      <c r="Q91" s="7"/>
      <c r="R91" s="7"/>
      <c r="S91" s="7"/>
      <c r="T91" s="7"/>
      <c r="U91" s="7"/>
      <c r="V91" s="7"/>
      <c r="W91" s="7"/>
      <c r="X91" s="7"/>
      <c r="Y91" s="7"/>
      <c r="Z91" s="7"/>
      <c r="AA91" s="7"/>
    </row>
    <row r="92" spans="1:27" s="432" customFormat="1" ht="14.25" customHeight="1">
      <c r="A92" s="420"/>
      <c r="B92" s="465"/>
      <c r="C92" s="465"/>
      <c r="D92" s="420"/>
      <c r="E92" s="423" t="s">
        <v>47</v>
      </c>
      <c r="F92" s="423"/>
      <c r="G92" s="424"/>
      <c r="H92" s="423"/>
      <c r="I92" s="453">
        <f>SUM(I91)</f>
        <v>0</v>
      </c>
      <c r="J92" s="426"/>
      <c r="K92" s="426"/>
      <c r="L92" s="426"/>
      <c r="M92" s="426"/>
      <c r="N92" s="455"/>
      <c r="O92" s="7"/>
      <c r="P92" s="7"/>
      <c r="Q92" s="7"/>
      <c r="R92" s="7"/>
      <c r="S92" s="7"/>
      <c r="T92" s="7"/>
      <c r="U92" s="7"/>
      <c r="V92" s="7"/>
      <c r="W92" s="7"/>
      <c r="X92" s="7"/>
      <c r="Y92" s="7"/>
      <c r="Z92" s="7"/>
      <c r="AA92" s="7"/>
    </row>
    <row r="93" spans="1:27" s="432" customFormat="1" ht="14.25" customHeight="1">
      <c r="A93" s="393" t="s">
        <v>262</v>
      </c>
      <c r="B93" s="433"/>
      <c r="C93" s="934" t="s">
        <v>588</v>
      </c>
      <c r="D93" s="433"/>
      <c r="E93" s="433"/>
      <c r="F93" s="433"/>
      <c r="G93" s="433"/>
      <c r="H93" s="433"/>
      <c r="I93" s="935"/>
      <c r="J93" s="433"/>
      <c r="K93" s="433"/>
      <c r="L93" s="433"/>
      <c r="M93" s="433"/>
      <c r="N93" s="436"/>
      <c r="O93" s="7"/>
      <c r="P93" s="7"/>
      <c r="Q93" s="7"/>
      <c r="R93" s="7"/>
      <c r="S93" s="7"/>
      <c r="T93" s="7"/>
      <c r="U93" s="7"/>
      <c r="V93" s="7"/>
      <c r="W93" s="7"/>
      <c r="X93" s="7"/>
      <c r="Y93" s="7"/>
      <c r="Z93" s="7"/>
      <c r="AA93" s="7"/>
    </row>
    <row r="94" spans="1:27" s="432" customFormat="1" ht="39.75" customHeight="1">
      <c r="A94" s="960" t="s">
        <v>589</v>
      </c>
      <c r="B94" s="960" t="s">
        <v>589</v>
      </c>
      <c r="C94" s="961"/>
      <c r="D94" s="500" t="s">
        <v>263</v>
      </c>
      <c r="E94" s="439" t="s">
        <v>507</v>
      </c>
      <c r="F94" s="405">
        <v>1</v>
      </c>
      <c r="G94" s="462">
        <v>735</v>
      </c>
      <c r="H94" s="502">
        <v>3</v>
      </c>
      <c r="I94" s="940">
        <f t="shared" ref="I94:I95" si="14">+F94*G94*H94</f>
        <v>2205</v>
      </c>
      <c r="J94" s="962"/>
      <c r="K94" s="447"/>
      <c r="L94" s="495">
        <v>2205</v>
      </c>
      <c r="M94" s="963">
        <f>L94/I94</f>
        <v>1</v>
      </c>
      <c r="N94" s="1920"/>
      <c r="O94" s="7"/>
      <c r="P94" s="7"/>
      <c r="Q94" s="7"/>
      <c r="R94" s="7"/>
      <c r="S94" s="7"/>
      <c r="T94" s="7"/>
      <c r="U94" s="7"/>
      <c r="V94" s="7"/>
      <c r="W94" s="7"/>
      <c r="X94" s="7"/>
      <c r="Y94" s="7"/>
      <c r="Z94" s="7"/>
      <c r="AA94" s="7"/>
    </row>
    <row r="95" spans="1:27" s="432" customFormat="1" ht="45.75" customHeight="1">
      <c r="A95" s="499" t="s">
        <v>590</v>
      </c>
      <c r="B95" s="962"/>
      <c r="C95" s="964"/>
      <c r="D95" s="405" t="s">
        <v>263</v>
      </c>
      <c r="E95" s="439" t="s">
        <v>507</v>
      </c>
      <c r="F95" s="405">
        <v>1</v>
      </c>
      <c r="G95" s="965">
        <f>1665-250+5.65</f>
        <v>1420.65</v>
      </c>
      <c r="H95" s="502">
        <v>12</v>
      </c>
      <c r="I95" s="940">
        <f t="shared" si="14"/>
        <v>17047.800000000003</v>
      </c>
      <c r="J95" s="447"/>
      <c r="K95" s="505"/>
      <c r="L95" s="966">
        <f>10000+4700+16813.9</f>
        <v>31513.9</v>
      </c>
      <c r="M95" s="963">
        <f>L95/I95</f>
        <v>1.8485611046586654</v>
      </c>
      <c r="N95" s="1919" t="s">
        <v>1046</v>
      </c>
      <c r="O95" s="7"/>
      <c r="P95" s="7"/>
      <c r="Q95" s="7"/>
      <c r="R95" s="7"/>
      <c r="S95" s="7"/>
      <c r="T95" s="7"/>
      <c r="U95" s="7"/>
      <c r="V95" s="7"/>
      <c r="W95" s="7"/>
      <c r="X95" s="7"/>
      <c r="Y95" s="7"/>
      <c r="Z95" s="7"/>
      <c r="AA95" s="7"/>
    </row>
    <row r="96" spans="1:27" s="432" customFormat="1" ht="22.5" customHeight="1">
      <c r="A96" s="420"/>
      <c r="B96" s="421"/>
      <c r="C96" s="421"/>
      <c r="D96" s="506"/>
      <c r="E96" s="423" t="s">
        <v>47</v>
      </c>
      <c r="F96" s="423"/>
      <c r="G96" s="424"/>
      <c r="H96" s="423"/>
      <c r="I96" s="967">
        <f>SUM(I94:I95)</f>
        <v>19252.800000000003</v>
      </c>
      <c r="J96" s="426"/>
      <c r="K96" s="426"/>
      <c r="L96" s="427">
        <f>SUM(L94:L95)</f>
        <v>33718.9</v>
      </c>
      <c r="M96" s="957">
        <f>L96/I96</f>
        <v>1.7513764231696167</v>
      </c>
      <c r="N96" s="507"/>
      <c r="O96" s="7"/>
      <c r="P96" s="7"/>
      <c r="Q96" s="7"/>
      <c r="R96" s="7"/>
      <c r="S96" s="7"/>
      <c r="T96" s="7"/>
      <c r="U96" s="7"/>
      <c r="V96" s="7"/>
      <c r="W96" s="7"/>
      <c r="X96" s="7"/>
      <c r="Y96" s="7"/>
      <c r="Z96" s="7"/>
      <c r="AA96" s="7"/>
    </row>
    <row r="97" spans="1:61" s="520" customFormat="1" ht="18" customHeight="1">
      <c r="A97" s="370" t="s">
        <v>265</v>
      </c>
      <c r="B97" s="508"/>
      <c r="C97" s="508"/>
      <c r="D97" s="509"/>
      <c r="E97" s="510"/>
      <c r="F97" s="510"/>
      <c r="G97" s="511"/>
      <c r="H97" s="512"/>
      <c r="I97" s="968">
        <f>I77+I80+I84+I86+I89+I92+I96</f>
        <v>199662.09999999998</v>
      </c>
      <c r="J97" s="514"/>
      <c r="K97" s="514"/>
      <c r="L97" s="968">
        <f>L77+L80+L84+L86+L89+L92+L96</f>
        <v>203287.41</v>
      </c>
      <c r="M97" s="969">
        <f>L97/I97</f>
        <v>1.018157226634399</v>
      </c>
      <c r="N97" s="519"/>
      <c r="O97" s="7"/>
      <c r="P97" s="7"/>
      <c r="Q97" s="7"/>
      <c r="R97" s="7"/>
      <c r="S97" s="7"/>
      <c r="T97" s="7"/>
      <c r="U97" s="7"/>
      <c r="V97" s="7"/>
      <c r="W97" s="7"/>
      <c r="X97" s="7"/>
      <c r="Y97" s="7"/>
      <c r="Z97" s="7"/>
      <c r="AA97" s="7"/>
      <c r="AB97" s="432"/>
      <c r="AC97" s="432"/>
      <c r="AD97" s="432"/>
    </row>
    <row r="98" spans="1:61" s="533" customFormat="1" ht="21" customHeight="1">
      <c r="A98" s="521" t="s">
        <v>266</v>
      </c>
      <c r="B98" s="522"/>
      <c r="C98" s="522"/>
      <c r="D98" s="522"/>
      <c r="E98" s="523"/>
      <c r="F98" s="524"/>
      <c r="G98" s="525"/>
      <c r="H98" s="524"/>
      <c r="I98" s="970" t="s">
        <v>267</v>
      </c>
      <c r="J98" s="527"/>
      <c r="K98" s="527"/>
      <c r="L98" s="527"/>
      <c r="M98" s="527"/>
      <c r="N98" s="532"/>
      <c r="O98" s="7"/>
      <c r="P98" s="7"/>
      <c r="Q98" s="7"/>
      <c r="R98" s="7"/>
      <c r="S98" s="7"/>
      <c r="T98" s="7"/>
      <c r="U98" s="7"/>
      <c r="V98" s="7"/>
      <c r="W98" s="7"/>
      <c r="X98" s="7"/>
      <c r="Y98" s="7"/>
      <c r="Z98" s="7"/>
      <c r="AA98" s="7"/>
      <c r="AB98" s="432"/>
      <c r="AC98" s="432"/>
      <c r="AD98" s="432"/>
    </row>
    <row r="99" spans="1:61" s="533" customFormat="1" ht="21" customHeight="1">
      <c r="A99" s="534"/>
      <c r="B99" s="535"/>
      <c r="C99" s="535"/>
      <c r="D99" s="535"/>
      <c r="E99" s="536"/>
      <c r="F99" s="524"/>
      <c r="G99" s="525"/>
      <c r="H99" s="537"/>
      <c r="I99" s="970">
        <f>I69+I97</f>
        <v>748169.80999999994</v>
      </c>
      <c r="J99" s="527"/>
      <c r="K99" s="527"/>
      <c r="L99" s="970">
        <f>L69+L97</f>
        <v>557463.79</v>
      </c>
      <c r="M99" s="527"/>
      <c r="N99" s="532"/>
      <c r="O99" s="7"/>
      <c r="P99" s="7"/>
      <c r="Q99" s="7"/>
      <c r="R99" s="7"/>
      <c r="S99" s="7"/>
      <c r="T99" s="7"/>
      <c r="U99" s="7"/>
      <c r="V99" s="7"/>
      <c r="W99" s="7"/>
      <c r="X99" s="7"/>
      <c r="Y99" s="7"/>
      <c r="Z99" s="7"/>
      <c r="AA99" s="7"/>
      <c r="AB99" s="432"/>
      <c r="AC99" s="432"/>
      <c r="AD99" s="432"/>
    </row>
    <row r="100" spans="1:61" s="557" customFormat="1">
      <c r="A100" s="543"/>
      <c r="B100" s="544"/>
      <c r="C100" s="544"/>
      <c r="D100" s="545"/>
      <c r="E100" s="546" t="s">
        <v>269</v>
      </c>
      <c r="F100" s="547"/>
      <c r="G100" s="548"/>
      <c r="H100" s="547"/>
      <c r="I100" s="971"/>
      <c r="J100" s="550"/>
      <c r="K100" s="551"/>
      <c r="L100" s="551"/>
      <c r="M100" s="551"/>
      <c r="N100" s="556"/>
      <c r="O100" s="7"/>
      <c r="P100" s="7"/>
      <c r="Q100" s="7"/>
      <c r="R100" s="7"/>
      <c r="S100" s="7"/>
      <c r="T100" s="7"/>
      <c r="U100" s="7"/>
      <c r="V100" s="7"/>
      <c r="W100" s="7"/>
      <c r="X100" s="7"/>
      <c r="Y100" s="7"/>
      <c r="Z100" s="7"/>
      <c r="AA100" s="7"/>
      <c r="AB100" s="432"/>
      <c r="AC100" s="432"/>
      <c r="AD100" s="432"/>
    </row>
    <row r="101" spans="1:61" s="570" customFormat="1">
      <c r="A101" s="558" t="s">
        <v>270</v>
      </c>
      <c r="B101" s="559"/>
      <c r="C101" s="559"/>
      <c r="D101" s="559"/>
      <c r="E101" s="560"/>
      <c r="F101" s="561"/>
      <c r="G101" s="562"/>
      <c r="H101" s="563"/>
      <c r="I101" s="565">
        <f>I99*0.07</f>
        <v>52371.886700000003</v>
      </c>
      <c r="J101" s="564"/>
      <c r="K101" s="564"/>
      <c r="L101" s="564">
        <f>39214.54+2743.92</f>
        <v>41958.46</v>
      </c>
      <c r="M101" s="564"/>
      <c r="N101" s="569"/>
      <c r="O101" s="7"/>
      <c r="P101" s="7"/>
      <c r="Q101" s="7"/>
      <c r="R101" s="7"/>
      <c r="S101" s="7"/>
      <c r="T101" s="7"/>
      <c r="U101" s="7"/>
      <c r="V101" s="7"/>
      <c r="W101" s="7"/>
      <c r="X101" s="7"/>
      <c r="Y101" s="7"/>
      <c r="Z101" s="7"/>
      <c r="AA101" s="7"/>
      <c r="AB101" s="432"/>
      <c r="AC101" s="432"/>
      <c r="AD101" s="432"/>
    </row>
    <row r="102" spans="1:61" s="570" customFormat="1" ht="18" customHeight="1">
      <c r="A102" s="571" t="s">
        <v>271</v>
      </c>
      <c r="B102" s="572"/>
      <c r="C102" s="572"/>
      <c r="D102" s="572"/>
      <c r="E102" s="573"/>
      <c r="F102" s="574"/>
      <c r="G102" s="575"/>
      <c r="H102" s="576"/>
      <c r="I102" s="972">
        <f>I99+I101</f>
        <v>800541.69669999997</v>
      </c>
      <c r="J102" s="577"/>
      <c r="K102" s="577"/>
      <c r="L102" s="577"/>
      <c r="M102" s="577"/>
      <c r="N102" s="582"/>
      <c r="O102" s="7"/>
      <c r="P102" s="7"/>
      <c r="Q102" s="7"/>
      <c r="R102" s="7"/>
      <c r="S102" s="7"/>
      <c r="T102" s="7"/>
      <c r="U102" s="7"/>
      <c r="V102" s="7"/>
      <c r="W102" s="7"/>
      <c r="X102" s="7"/>
      <c r="Y102" s="7"/>
      <c r="Z102" s="7"/>
      <c r="AA102" s="7"/>
      <c r="AB102" s="432"/>
      <c r="AC102" s="432"/>
      <c r="AD102" s="432"/>
    </row>
    <row r="103" spans="1:61" s="570" customFormat="1">
      <c r="A103" s="583" t="s">
        <v>272</v>
      </c>
      <c r="B103" s="584"/>
      <c r="C103" s="584"/>
      <c r="D103" s="584"/>
      <c r="E103" s="585"/>
      <c r="F103" s="586"/>
      <c r="G103" s="587"/>
      <c r="H103" s="586"/>
      <c r="I103" s="973"/>
      <c r="J103" s="589"/>
      <c r="K103" s="589"/>
      <c r="L103" s="589"/>
      <c r="M103" s="589"/>
      <c r="N103" s="595"/>
      <c r="O103" s="7"/>
      <c r="P103" s="7"/>
      <c r="Q103" s="7"/>
      <c r="R103" s="7"/>
      <c r="S103" s="7"/>
      <c r="T103" s="7"/>
      <c r="U103" s="7"/>
      <c r="V103" s="7"/>
      <c r="W103" s="7"/>
      <c r="X103" s="7"/>
      <c r="Y103" s="7"/>
      <c r="Z103" s="7"/>
      <c r="AA103" s="7"/>
      <c r="AB103" s="432"/>
      <c r="AC103" s="432"/>
      <c r="AD103" s="432"/>
    </row>
    <row r="104" spans="1:61" s="570" customFormat="1">
      <c r="A104" s="596"/>
      <c r="B104" s="597"/>
      <c r="C104" s="597"/>
      <c r="D104" s="597"/>
      <c r="E104" s="598" t="s">
        <v>273</v>
      </c>
      <c r="F104" s="599"/>
      <c r="G104" s="600"/>
      <c r="H104" s="599"/>
      <c r="I104" s="974">
        <f>SUM(I102:I103)</f>
        <v>800541.69669999997</v>
      </c>
      <c r="J104" s="975"/>
      <c r="K104" s="975"/>
      <c r="L104" s="975">
        <f>L99+L101</f>
        <v>599422.25</v>
      </c>
      <c r="M104" s="975"/>
      <c r="N104" s="976"/>
      <c r="O104" s="7"/>
      <c r="P104" s="7"/>
      <c r="Q104" s="7"/>
      <c r="R104" s="7"/>
      <c r="S104" s="7"/>
      <c r="T104" s="7"/>
      <c r="U104" s="7"/>
      <c r="V104" s="7"/>
      <c r="W104" s="7"/>
      <c r="X104" s="7"/>
      <c r="Y104" s="7"/>
      <c r="Z104" s="7"/>
      <c r="AA104" s="7"/>
      <c r="AB104" s="432"/>
      <c r="AC104" s="432"/>
      <c r="AD104" s="432"/>
    </row>
    <row r="105" spans="1:61">
      <c r="A105" s="609"/>
      <c r="N105" s="615"/>
      <c r="AB105" s="432"/>
      <c r="AC105" s="432"/>
      <c r="AD105" s="432"/>
    </row>
    <row r="108" spans="1:61" s="8" customFormat="1" ht="32.25" customHeight="1">
      <c r="A108" s="7"/>
      <c r="B108" s="610"/>
      <c r="C108" s="610"/>
      <c r="D108" s="610"/>
      <c r="E108" s="7"/>
      <c r="F108" s="7"/>
      <c r="H108" s="977" t="s">
        <v>591</v>
      </c>
      <c r="I108" s="977">
        <v>748000</v>
      </c>
      <c r="J108" s="978"/>
      <c r="K108" s="978"/>
      <c r="L108" s="979">
        <f>L104</f>
        <v>599422.25</v>
      </c>
      <c r="M108" s="980">
        <f>L108/I108</f>
        <v>0.80136664438502669</v>
      </c>
      <c r="N108" s="9"/>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row>
    <row r="110" spans="1:61">
      <c r="K110" s="981"/>
      <c r="L110" s="981"/>
      <c r="M110" s="981"/>
    </row>
    <row r="111" spans="1:61">
      <c r="K111" s="981"/>
      <c r="L111" s="981"/>
    </row>
  </sheetData>
  <mergeCells count="17">
    <mergeCell ref="A44:B44"/>
    <mergeCell ref="A10:B10"/>
    <mergeCell ref="A11:N11"/>
    <mergeCell ref="A12:N12"/>
    <mergeCell ref="A13:B13"/>
    <mergeCell ref="A14:A24"/>
    <mergeCell ref="A27:B27"/>
    <mergeCell ref="A31:B31"/>
    <mergeCell ref="A32:B32"/>
    <mergeCell ref="A33:N33"/>
    <mergeCell ref="A34:B34"/>
    <mergeCell ref="A35:A43"/>
    <mergeCell ref="A45:A48"/>
    <mergeCell ref="A49:B49"/>
    <mergeCell ref="A50:A54"/>
    <mergeCell ref="A55:B55"/>
    <mergeCell ref="A56:B56"/>
  </mergeCells>
  <dataValidations count="2">
    <dataValidation type="list" allowBlank="1" showInputMessage="1" showErrorMessage="1" sqref="D91:D92 D25 D72:D77 D79:D80 D84 D86 D88:D89 D21:D22 D35:D43 D94:D96 D28:D29 D45:D54" xr:uid="{00000000-0002-0000-0100-000000000000}">
      <formula1>categories</formula1>
    </dataValidation>
    <dataValidation type="list" allowBlank="1" showInputMessage="1" showErrorMessage="1" sqref="D57" xr:uid="{00000000-0002-0000-0100-000001000000}">
      <formula1>categorie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10"/>
  <sheetViews>
    <sheetView tabSelected="1" topLeftCell="H178" workbookViewId="0">
      <selection activeCell="C14" sqref="C14"/>
    </sheetView>
  </sheetViews>
  <sheetFormatPr defaultColWidth="11.42578125" defaultRowHeight="12.75"/>
  <cols>
    <col min="1" max="1" width="21.140625" style="7" hidden="1" customWidth="1"/>
    <col min="2" max="2" width="36.42578125" style="7" customWidth="1"/>
    <col min="3" max="3" width="50.42578125" style="610" customWidth="1"/>
    <col min="4" max="4" width="23.7109375" style="610" customWidth="1"/>
    <col min="5" max="5" width="14.7109375" style="7" customWidth="1"/>
    <col min="6" max="6" width="6.42578125" style="7" customWidth="1"/>
    <col min="7" max="7" width="12.85546875" style="7" customWidth="1"/>
    <col min="8" max="8" width="9.5703125" style="7" customWidth="1"/>
    <col min="9" max="9" width="15.5703125" style="610" customWidth="1"/>
    <col min="10" max="10" width="8.85546875" style="610" customWidth="1"/>
    <col min="11" max="11" width="12.7109375" style="610" customWidth="1"/>
    <col min="12" max="12" width="11.42578125" style="610" customWidth="1"/>
    <col min="13" max="13" width="12.5703125" style="610" customWidth="1"/>
    <col min="14" max="14" width="11.28515625" style="610" customWidth="1"/>
    <col min="15" max="15" width="14.28515625" style="610" customWidth="1"/>
    <col min="16" max="17" width="17" style="610" customWidth="1"/>
    <col min="18" max="18" width="13.7109375" style="610" customWidth="1"/>
    <col min="19" max="19" width="0.5703125" style="610" customWidth="1"/>
    <col min="20" max="20" width="13.7109375" style="610" customWidth="1"/>
    <col min="21" max="21" width="16.42578125" style="610" bestFit="1" customWidth="1"/>
    <col min="22" max="22" width="27.85546875" style="1" customWidth="1"/>
    <col min="23" max="23" width="45" style="1" customWidth="1"/>
    <col min="24" max="47" width="11.42578125" style="1"/>
    <col min="48" max="16384" width="11.42578125" style="7"/>
  </cols>
  <sheetData>
    <row r="1" spans="1:47" ht="18" customHeight="1">
      <c r="B1" s="1"/>
      <c r="C1" s="2"/>
      <c r="D1" s="2"/>
      <c r="E1" s="21" t="s">
        <v>0</v>
      </c>
      <c r="F1" s="21"/>
      <c r="G1" s="21"/>
      <c r="H1" s="21"/>
      <c r="I1" s="2"/>
      <c r="J1" s="2"/>
      <c r="K1" s="2"/>
      <c r="L1" s="2"/>
      <c r="M1" s="2"/>
      <c r="N1" s="2"/>
      <c r="O1" s="2"/>
      <c r="P1" s="2"/>
      <c r="Q1" s="2"/>
      <c r="R1" s="2"/>
      <c r="S1" s="2"/>
      <c r="T1" s="2"/>
      <c r="U1" s="2"/>
    </row>
    <row r="2" spans="1:47">
      <c r="B2" s="10" t="s">
        <v>1</v>
      </c>
      <c r="C2" s="834" t="s">
        <v>793</v>
      </c>
      <c r="D2" s="836"/>
      <c r="E2" s="1"/>
      <c r="F2" s="1"/>
      <c r="G2" s="1"/>
      <c r="H2" s="1"/>
      <c r="I2" s="2"/>
      <c r="J2" s="2"/>
      <c r="K2" s="2"/>
      <c r="L2" s="2"/>
      <c r="M2" s="2"/>
      <c r="N2" s="2"/>
      <c r="O2" s="2"/>
      <c r="P2" s="2"/>
      <c r="Q2" s="2"/>
      <c r="R2" s="2"/>
      <c r="S2" s="2"/>
      <c r="T2" s="2"/>
      <c r="U2" s="2"/>
    </row>
    <row r="3" spans="1:47">
      <c r="B3" s="10" t="s">
        <v>3</v>
      </c>
      <c r="C3" s="837" t="s">
        <v>508</v>
      </c>
      <c r="E3" s="1"/>
      <c r="F3" s="1"/>
      <c r="G3" s="1"/>
      <c r="H3" s="1"/>
      <c r="I3" s="2"/>
      <c r="J3" s="2"/>
      <c r="K3" s="2"/>
      <c r="L3" s="2"/>
      <c r="M3" s="2"/>
      <c r="N3" s="2"/>
      <c r="O3" s="2"/>
      <c r="P3" s="2"/>
      <c r="Q3" s="2"/>
      <c r="R3" s="2"/>
      <c r="S3" s="2"/>
      <c r="T3" s="2"/>
      <c r="U3" s="2"/>
    </row>
    <row r="4" spans="1:47" ht="12.75" customHeight="1">
      <c r="B4" s="10" t="s">
        <v>5</v>
      </c>
      <c r="C4" s="839" t="s">
        <v>6</v>
      </c>
      <c r="E4" s="17"/>
      <c r="F4" s="17"/>
      <c r="G4" s="17"/>
      <c r="H4" s="17"/>
      <c r="I4" s="17"/>
      <c r="J4" s="17"/>
      <c r="K4" s="17"/>
      <c r="L4" s="17"/>
      <c r="M4" s="17"/>
      <c r="N4" s="17"/>
      <c r="O4" s="17"/>
      <c r="P4" s="17"/>
      <c r="Q4" s="17"/>
      <c r="R4" s="17"/>
      <c r="S4" s="17"/>
      <c r="T4" s="17"/>
      <c r="U4" s="17"/>
    </row>
    <row r="5" spans="1:47" ht="12.75" customHeight="1">
      <c r="B5" s="841" t="s">
        <v>509</v>
      </c>
      <c r="C5" s="1347">
        <f>R190</f>
        <v>726168.5</v>
      </c>
      <c r="E5" s="17"/>
      <c r="F5" s="17"/>
      <c r="G5" s="17"/>
      <c r="H5" s="17"/>
      <c r="I5" s="17"/>
      <c r="J5" s="17"/>
      <c r="K5" s="17"/>
      <c r="L5" s="17"/>
      <c r="M5" s="17"/>
      <c r="N5" s="17"/>
      <c r="O5" s="17"/>
      <c r="P5" s="17"/>
      <c r="Q5" s="17"/>
      <c r="R5" s="17"/>
      <c r="S5" s="17"/>
      <c r="T5" s="17"/>
      <c r="U5" s="17"/>
    </row>
    <row r="6" spans="1:47" ht="27.75">
      <c r="B6" s="845" t="s">
        <v>794</v>
      </c>
      <c r="C6" s="1348">
        <f>C5*0.07</f>
        <v>50831.795000000006</v>
      </c>
      <c r="D6" s="848"/>
      <c r="E6" s="17"/>
      <c r="F6" s="17"/>
      <c r="G6" s="17"/>
      <c r="H6" s="17"/>
      <c r="I6" s="17"/>
      <c r="J6" s="17"/>
      <c r="K6" s="17"/>
      <c r="L6" s="17"/>
      <c r="M6" s="17"/>
      <c r="N6" s="17"/>
      <c r="O6" s="17"/>
      <c r="P6" s="17"/>
      <c r="Q6" s="17"/>
      <c r="R6" s="17"/>
      <c r="S6" s="17"/>
      <c r="T6" s="17"/>
      <c r="U6" s="17"/>
    </row>
    <row r="7" spans="1:47" ht="12.75" customHeight="1">
      <c r="B7" s="21" t="s">
        <v>511</v>
      </c>
      <c r="C7" s="849">
        <f>C5+C6</f>
        <v>777000.29500000004</v>
      </c>
      <c r="D7" s="848"/>
      <c r="E7" s="17"/>
      <c r="F7" s="17"/>
      <c r="G7" s="17"/>
      <c r="H7" s="17"/>
      <c r="I7" s="17"/>
      <c r="J7" s="17"/>
      <c r="K7" s="17"/>
      <c r="L7" s="17"/>
      <c r="M7" s="17"/>
      <c r="N7" s="17"/>
      <c r="O7" s="17"/>
      <c r="P7" s="17"/>
      <c r="Q7" s="17"/>
      <c r="R7" s="17"/>
      <c r="S7" s="17"/>
      <c r="T7" s="17"/>
      <c r="U7" s="17"/>
    </row>
    <row r="8" spans="1:47" ht="13.15" customHeight="1">
      <c r="B8" s="1"/>
      <c r="C8" s="2"/>
      <c r="D8" s="2"/>
      <c r="E8" s="1"/>
      <c r="F8" s="1"/>
      <c r="G8" s="1"/>
      <c r="H8" s="1"/>
      <c r="I8" s="2"/>
      <c r="J8" s="2"/>
      <c r="K8" s="2"/>
      <c r="L8" s="2"/>
      <c r="M8" s="2"/>
      <c r="N8" s="2"/>
      <c r="O8" s="2"/>
      <c r="P8" s="2"/>
      <c r="Q8" s="2"/>
      <c r="R8" s="2"/>
      <c r="S8" s="2"/>
      <c r="T8" s="2"/>
      <c r="U8" s="2"/>
    </row>
    <row r="9" spans="1:47" ht="13.15" customHeight="1">
      <c r="B9" s="1"/>
      <c r="C9" s="2"/>
      <c r="D9" s="2"/>
      <c r="E9" s="1"/>
      <c r="F9" s="1"/>
      <c r="G9" s="1"/>
      <c r="H9" s="1"/>
      <c r="I9" s="2"/>
      <c r="J9" s="2"/>
      <c r="K9" s="2"/>
      <c r="L9" s="2"/>
      <c r="M9" s="2"/>
      <c r="N9" s="2"/>
      <c r="O9" s="2"/>
      <c r="P9" s="2"/>
      <c r="Q9" s="2"/>
      <c r="R9" s="2"/>
      <c r="S9" s="2"/>
      <c r="T9" s="2"/>
      <c r="U9" s="2"/>
    </row>
    <row r="10" spans="1:47" ht="38.25">
      <c r="B10" s="1349" t="s">
        <v>10</v>
      </c>
      <c r="C10" s="1349" t="s">
        <v>11</v>
      </c>
      <c r="D10" s="1349" t="s">
        <v>12</v>
      </c>
      <c r="E10" s="1349" t="s">
        <v>13</v>
      </c>
      <c r="F10" s="1349" t="s">
        <v>14</v>
      </c>
      <c r="G10" s="1349" t="s">
        <v>15</v>
      </c>
      <c r="H10" s="1349" t="s">
        <v>16</v>
      </c>
      <c r="I10" s="1350" t="s">
        <v>17</v>
      </c>
      <c r="J10" s="1350" t="s">
        <v>596</v>
      </c>
      <c r="K10" s="1350" t="s">
        <v>795</v>
      </c>
      <c r="L10" s="1349" t="s">
        <v>14</v>
      </c>
      <c r="M10" s="1349" t="s">
        <v>15</v>
      </c>
      <c r="N10" s="1349" t="s">
        <v>16</v>
      </c>
      <c r="O10" s="1350" t="s">
        <v>20</v>
      </c>
      <c r="P10" s="1350" t="s">
        <v>597</v>
      </c>
      <c r="Q10" s="1350" t="s">
        <v>795</v>
      </c>
      <c r="R10" s="1350" t="s">
        <v>21</v>
      </c>
      <c r="S10" s="1351"/>
      <c r="T10" s="1352" t="s">
        <v>796</v>
      </c>
      <c r="U10" s="1353" t="s">
        <v>797</v>
      </c>
      <c r="V10" s="1897" t="s">
        <v>1015</v>
      </c>
    </row>
    <row r="11" spans="1:47" s="32" customFormat="1" ht="12.75" customHeight="1">
      <c r="B11" s="1354" t="s">
        <v>27</v>
      </c>
      <c r="C11" s="1355"/>
      <c r="D11" s="1355"/>
      <c r="E11" s="1355"/>
      <c r="F11" s="1355"/>
      <c r="G11" s="1355"/>
      <c r="H11" s="1355"/>
      <c r="I11" s="1355"/>
      <c r="J11" s="1355"/>
      <c r="K11" s="1355"/>
      <c r="L11" s="1355"/>
      <c r="M11" s="1355"/>
      <c r="N11" s="1355"/>
      <c r="O11" s="1355"/>
      <c r="P11" s="1355"/>
      <c r="Q11" s="1355"/>
      <c r="R11" s="1355"/>
      <c r="S11" s="1356"/>
      <c r="T11" s="1884"/>
      <c r="U11" s="1357"/>
      <c r="V11" s="1898"/>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row>
    <row r="12" spans="1:47" ht="30" customHeight="1">
      <c r="B12" s="1358" t="s">
        <v>798</v>
      </c>
      <c r="C12" s="1359"/>
      <c r="D12" s="1359"/>
      <c r="E12" s="1359"/>
      <c r="F12" s="1359"/>
      <c r="G12" s="1359"/>
      <c r="H12" s="1359"/>
      <c r="I12" s="1359"/>
      <c r="J12" s="1359"/>
      <c r="K12" s="1359"/>
      <c r="L12" s="1359"/>
      <c r="M12" s="1359"/>
      <c r="N12" s="1359"/>
      <c r="O12" s="1359"/>
      <c r="P12" s="1359"/>
      <c r="Q12" s="1359"/>
      <c r="R12" s="1359"/>
      <c r="S12" s="1360"/>
      <c r="T12" s="1361"/>
      <c r="U12" s="1362"/>
      <c r="V12" s="41"/>
    </row>
    <row r="13" spans="1:47" ht="15" customHeight="1">
      <c r="B13" s="1363" t="s">
        <v>799</v>
      </c>
      <c r="C13" s="1364"/>
      <c r="D13" s="1364"/>
      <c r="E13" s="1364"/>
      <c r="F13" s="1364"/>
      <c r="G13" s="1365"/>
      <c r="H13" s="1365"/>
      <c r="I13" s="1365"/>
      <c r="J13" s="1366"/>
      <c r="K13" s="1366"/>
      <c r="L13" s="1366"/>
      <c r="M13" s="1366"/>
      <c r="N13" s="1366"/>
      <c r="O13" s="1366"/>
      <c r="P13" s="1366"/>
      <c r="Q13" s="1366"/>
      <c r="R13" s="1366"/>
      <c r="S13" s="1360"/>
      <c r="T13" s="1367"/>
      <c r="U13" s="1368"/>
      <c r="V13" s="41"/>
    </row>
    <row r="14" spans="1:47" ht="15.75">
      <c r="B14" s="2564" t="s">
        <v>800</v>
      </c>
      <c r="C14" s="1369" t="s">
        <v>801</v>
      </c>
      <c r="D14" s="1370"/>
      <c r="E14" s="1370"/>
      <c r="F14" s="1370"/>
      <c r="G14" s="1370"/>
      <c r="H14" s="1370"/>
      <c r="I14" s="1371"/>
      <c r="J14" s="1370"/>
      <c r="K14" s="1370"/>
      <c r="L14" s="1370"/>
      <c r="M14" s="1370"/>
      <c r="N14" s="1370"/>
      <c r="O14" s="1371"/>
      <c r="P14" s="1370"/>
      <c r="Q14" s="1370"/>
      <c r="R14" s="1371"/>
      <c r="S14" s="1372"/>
      <c r="T14" s="1373"/>
      <c r="U14" s="1374"/>
      <c r="V14" s="41"/>
    </row>
    <row r="15" spans="1:47" ht="38.25">
      <c r="A15" s="7" t="s">
        <v>802</v>
      </c>
      <c r="B15" s="2565"/>
      <c r="C15" s="1375" t="s">
        <v>803</v>
      </c>
      <c r="D15" s="1376" t="s">
        <v>38</v>
      </c>
      <c r="E15" s="83" t="s">
        <v>793</v>
      </c>
      <c r="F15" s="120">
        <v>1</v>
      </c>
      <c r="G15" s="84">
        <v>1000</v>
      </c>
      <c r="H15" s="120">
        <v>3</v>
      </c>
      <c r="I15" s="1377">
        <f>H15*G15*F15</f>
        <v>3000</v>
      </c>
      <c r="J15" s="1378">
        <v>0.3</v>
      </c>
      <c r="K15" s="1379">
        <f>I15*15/100</f>
        <v>450</v>
      </c>
      <c r="L15" s="120">
        <v>1</v>
      </c>
      <c r="M15" s="84">
        <v>1000</v>
      </c>
      <c r="N15" s="83">
        <v>2</v>
      </c>
      <c r="O15" s="1380">
        <f>N15*M15*L15</f>
        <v>2000</v>
      </c>
      <c r="P15" s="1378">
        <v>0.3</v>
      </c>
      <c r="Q15" s="1381">
        <f>O15*P15</f>
        <v>600</v>
      </c>
      <c r="R15" s="1382">
        <f>I15+O15</f>
        <v>5000</v>
      </c>
      <c r="S15" s="1383"/>
      <c r="T15" s="1384">
        <v>2950</v>
      </c>
      <c r="U15" s="1385">
        <v>0.98333333333333328</v>
      </c>
      <c r="V15" s="41"/>
    </row>
    <row r="16" spans="1:47" ht="14.45" customHeight="1">
      <c r="B16" s="2565"/>
      <c r="C16" s="1386" t="s">
        <v>804</v>
      </c>
      <c r="D16" s="1387"/>
      <c r="E16" s="1388"/>
      <c r="F16" s="1389"/>
      <c r="G16" s="1390"/>
      <c r="H16" s="1389"/>
      <c r="I16" s="1391">
        <f>SUM(I15)</f>
        <v>3000</v>
      </c>
      <c r="J16" s="1392"/>
      <c r="K16" s="1393">
        <f>SUM(L15:L15)</f>
        <v>1</v>
      </c>
      <c r="L16" s="1394"/>
      <c r="M16" s="1394"/>
      <c r="N16" s="1394"/>
      <c r="O16" s="1395">
        <f>SUM(O15)</f>
        <v>2000</v>
      </c>
      <c r="P16" s="1396"/>
      <c r="Q16" s="1397">
        <f>SUM(Q15:Q15)</f>
        <v>600</v>
      </c>
      <c r="R16" s="1395">
        <f>SUM(R15)</f>
        <v>5000</v>
      </c>
      <c r="S16" s="1398"/>
      <c r="T16" s="1397">
        <v>2950</v>
      </c>
      <c r="U16" s="1399">
        <v>0.98333333333333328</v>
      </c>
      <c r="V16" s="41"/>
      <c r="W16" s="21"/>
    </row>
    <row r="17" spans="1:23" s="7" customFormat="1" ht="49.5" customHeight="1">
      <c r="B17" s="2565"/>
      <c r="C17" s="1400" t="s">
        <v>805</v>
      </c>
      <c r="D17" s="1370"/>
      <c r="E17" s="1370"/>
      <c r="F17" s="1370"/>
      <c r="G17" s="1370"/>
      <c r="H17" s="1370"/>
      <c r="I17" s="1370"/>
      <c r="J17" s="1370"/>
      <c r="K17" s="1370"/>
      <c r="L17" s="1370"/>
      <c r="M17" s="1370"/>
      <c r="N17" s="1370"/>
      <c r="O17" s="1370"/>
      <c r="P17" s="1370"/>
      <c r="Q17" s="1370"/>
      <c r="R17" s="1370"/>
      <c r="S17" s="1372"/>
      <c r="T17" s="1373"/>
      <c r="U17" s="1401"/>
      <c r="V17" s="41"/>
      <c r="W17" s="1"/>
    </row>
    <row r="18" spans="1:23" s="7" customFormat="1" ht="25.5">
      <c r="A18" s="7" t="s">
        <v>806</v>
      </c>
      <c r="B18" s="2565"/>
      <c r="C18" s="1375" t="s">
        <v>807</v>
      </c>
      <c r="D18" s="1376" t="s">
        <v>38</v>
      </c>
      <c r="E18" s="83" t="s">
        <v>793</v>
      </c>
      <c r="F18" s="76">
        <v>1</v>
      </c>
      <c r="G18" s="132">
        <v>1000</v>
      </c>
      <c r="H18" s="76">
        <v>2</v>
      </c>
      <c r="I18" s="1402">
        <f t="shared" ref="I18:I19" si="0">H18*G18*F18</f>
        <v>2000</v>
      </c>
      <c r="J18" s="1403"/>
      <c r="K18" s="1403"/>
      <c r="L18" s="76">
        <v>1</v>
      </c>
      <c r="M18" s="132">
        <v>300</v>
      </c>
      <c r="N18" s="76">
        <v>1</v>
      </c>
      <c r="O18" s="1402">
        <f t="shared" ref="O18:O19" si="1">N18*M18*L18</f>
        <v>300</v>
      </c>
      <c r="P18" s="1404">
        <v>0</v>
      </c>
      <c r="Q18" s="1404"/>
      <c r="R18" s="1382">
        <f t="shared" ref="R18:R19" si="2">O18+I18</f>
        <v>2300</v>
      </c>
      <c r="S18" s="1383"/>
      <c r="T18" s="1384">
        <v>0</v>
      </c>
      <c r="U18" s="1385">
        <v>0</v>
      </c>
      <c r="V18" s="41"/>
      <c r="W18" s="1"/>
    </row>
    <row r="19" spans="1:23" s="7" customFormat="1" ht="25.5">
      <c r="A19" s="7" t="s">
        <v>808</v>
      </c>
      <c r="B19" s="2565"/>
      <c r="C19" s="1375" t="s">
        <v>809</v>
      </c>
      <c r="D19" s="1376" t="s">
        <v>810</v>
      </c>
      <c r="E19" s="83" t="s">
        <v>793</v>
      </c>
      <c r="F19" s="76">
        <v>1</v>
      </c>
      <c r="G19" s="132">
        <v>7000</v>
      </c>
      <c r="H19" s="76">
        <v>1</v>
      </c>
      <c r="I19" s="1402">
        <f t="shared" si="0"/>
        <v>7000</v>
      </c>
      <c r="J19" s="1378">
        <v>0.3</v>
      </c>
      <c r="K19" s="1405">
        <f>I19*J19</f>
        <v>2100</v>
      </c>
      <c r="L19" s="76">
        <v>1</v>
      </c>
      <c r="M19" s="132">
        <v>7000</v>
      </c>
      <c r="N19" s="76">
        <v>1</v>
      </c>
      <c r="O19" s="1402">
        <f t="shared" si="1"/>
        <v>7000</v>
      </c>
      <c r="P19" s="1378">
        <v>0.3</v>
      </c>
      <c r="Q19" s="1406">
        <f>O19*P19</f>
        <v>2100</v>
      </c>
      <c r="R19" s="1382">
        <f t="shared" si="2"/>
        <v>14000</v>
      </c>
      <c r="S19" s="1383"/>
      <c r="T19" s="1384">
        <v>0</v>
      </c>
      <c r="U19" s="1385">
        <v>0</v>
      </c>
      <c r="V19" s="41"/>
      <c r="W19" s="1"/>
    </row>
    <row r="20" spans="1:23" s="7" customFormat="1" ht="14.45" customHeight="1">
      <c r="B20" s="2566"/>
      <c r="C20" s="1386" t="s">
        <v>804</v>
      </c>
      <c r="D20" s="1387"/>
      <c r="E20" s="1388"/>
      <c r="F20" s="1389"/>
      <c r="G20" s="1390"/>
      <c r="H20" s="1389"/>
      <c r="I20" s="1391">
        <f>SUM(I18:I19)</f>
        <v>9000</v>
      </c>
      <c r="J20" s="1392"/>
      <c r="K20" s="1393">
        <f>SUM(K19)</f>
        <v>2100</v>
      </c>
      <c r="L20" s="1394"/>
      <c r="M20" s="1394"/>
      <c r="N20" s="1394"/>
      <c r="O20" s="1395">
        <f>SUM(O18:O19)</f>
        <v>7300</v>
      </c>
      <c r="P20" s="1396"/>
      <c r="Q20" s="1397">
        <f>SUM(Q19)</f>
        <v>2100</v>
      </c>
      <c r="R20" s="1395">
        <f>SUM(R18:R19)</f>
        <v>16300</v>
      </c>
      <c r="S20" s="1398"/>
      <c r="T20" s="1397">
        <v>0</v>
      </c>
      <c r="U20" s="1399">
        <v>0</v>
      </c>
      <c r="V20" s="41"/>
      <c r="W20" s="21"/>
    </row>
    <row r="21" spans="1:23" s="7" customFormat="1" ht="88.5" customHeight="1">
      <c r="B21" s="2564" t="s">
        <v>811</v>
      </c>
      <c r="C21" s="1369" t="s">
        <v>812</v>
      </c>
      <c r="D21" s="1370"/>
      <c r="E21" s="1370"/>
      <c r="F21" s="1370"/>
      <c r="G21" s="1370"/>
      <c r="H21" s="1370"/>
      <c r="I21" s="1371"/>
      <c r="J21" s="1370"/>
      <c r="K21" s="1370"/>
      <c r="L21" s="1370"/>
      <c r="M21" s="1370"/>
      <c r="N21" s="1370"/>
      <c r="O21" s="1371"/>
      <c r="P21" s="1370"/>
      <c r="Q21" s="1370"/>
      <c r="R21" s="1371"/>
      <c r="S21" s="1372"/>
      <c r="T21" s="1373"/>
      <c r="U21" s="1401"/>
      <c r="V21" s="41"/>
      <c r="W21" s="1"/>
    </row>
    <row r="22" spans="1:23" s="7" customFormat="1" ht="13.9" customHeight="1">
      <c r="A22" s="1407" t="s">
        <v>813</v>
      </c>
      <c r="B22" s="2565"/>
      <c r="C22" s="159" t="s">
        <v>814</v>
      </c>
      <c r="D22" s="1408" t="s">
        <v>38</v>
      </c>
      <c r="E22" s="83" t="s">
        <v>793</v>
      </c>
      <c r="F22" s="35">
        <v>1</v>
      </c>
      <c r="G22" s="36">
        <v>7000</v>
      </c>
      <c r="H22" s="35">
        <v>1</v>
      </c>
      <c r="I22" s="1409">
        <f>F22*G22*H22</f>
        <v>7000</v>
      </c>
      <c r="J22" s="1378">
        <v>0.3</v>
      </c>
      <c r="K22" s="1410">
        <f>I22*J22</f>
        <v>2100</v>
      </c>
      <c r="L22" s="1411">
        <v>0</v>
      </c>
      <c r="M22" s="1411"/>
      <c r="N22" s="1411">
        <v>0</v>
      </c>
      <c r="O22" s="1412">
        <v>0</v>
      </c>
      <c r="P22" s="1413">
        <v>0</v>
      </c>
      <c r="Q22" s="1413"/>
      <c r="R22" s="1412">
        <f>I22+O22</f>
        <v>7000</v>
      </c>
      <c r="S22" s="1414"/>
      <c r="T22" s="1384">
        <v>0</v>
      </c>
      <c r="U22" s="1385">
        <v>0</v>
      </c>
      <c r="V22" s="41"/>
      <c r="W22" s="1"/>
    </row>
    <row r="23" spans="1:23" s="7" customFormat="1" ht="13.9" customHeight="1">
      <c r="A23" s="1407" t="s">
        <v>815</v>
      </c>
      <c r="B23" s="2565"/>
      <c r="C23" s="1415" t="s">
        <v>816</v>
      </c>
      <c r="D23" s="1416" t="s">
        <v>38</v>
      </c>
      <c r="E23" s="83" t="s">
        <v>793</v>
      </c>
      <c r="F23" s="83">
        <v>1</v>
      </c>
      <c r="G23" s="36">
        <v>300</v>
      </c>
      <c r="H23" s="1417">
        <v>1</v>
      </c>
      <c r="I23" s="1418">
        <f>H23*G23*F23</f>
        <v>300</v>
      </c>
      <c r="J23" s="1378">
        <v>0.3</v>
      </c>
      <c r="K23" s="1410">
        <f>I23*J23</f>
        <v>90</v>
      </c>
      <c r="L23" s="1411">
        <v>0</v>
      </c>
      <c r="M23" s="1411">
        <v>0</v>
      </c>
      <c r="N23" s="1411">
        <v>0</v>
      </c>
      <c r="O23" s="1412">
        <v>0</v>
      </c>
      <c r="P23" s="1411">
        <v>0</v>
      </c>
      <c r="Q23" s="1411"/>
      <c r="R23" s="1412">
        <f>O23+I23</f>
        <v>300</v>
      </c>
      <c r="S23" s="1414"/>
      <c r="T23" s="1384">
        <v>0</v>
      </c>
      <c r="U23" s="1385">
        <v>0</v>
      </c>
      <c r="V23" s="41"/>
      <c r="W23" s="1"/>
    </row>
    <row r="24" spans="1:23" s="7" customFormat="1" ht="14.45" customHeight="1">
      <c r="B24" s="2565"/>
      <c r="C24" s="1386" t="s">
        <v>804</v>
      </c>
      <c r="D24" s="1387"/>
      <c r="E24" s="1388"/>
      <c r="F24" s="1389"/>
      <c r="G24" s="1390"/>
      <c r="H24" s="1389"/>
      <c r="I24" s="1391">
        <f>SUM(I22:I23)</f>
        <v>7300</v>
      </c>
      <c r="J24" s="1392"/>
      <c r="K24" s="1393">
        <f>SUM(K22)</f>
        <v>2100</v>
      </c>
      <c r="L24" s="1394"/>
      <c r="M24" s="1394"/>
      <c r="N24" s="1394"/>
      <c r="O24" s="1395">
        <f>SUM(O22:O23)</f>
        <v>0</v>
      </c>
      <c r="P24" s="1396"/>
      <c r="Q24" s="1396"/>
      <c r="R24" s="1395">
        <f>SUM(R22:R23)</f>
        <v>7300</v>
      </c>
      <c r="S24" s="1398"/>
      <c r="T24" s="1397">
        <v>0</v>
      </c>
      <c r="U24" s="1399">
        <v>0</v>
      </c>
      <c r="V24" s="41"/>
      <c r="W24" s="1"/>
    </row>
    <row r="25" spans="1:23" s="7" customFormat="1" ht="13.9" customHeight="1">
      <c r="B25" s="2565"/>
      <c r="C25" s="1369" t="s">
        <v>817</v>
      </c>
      <c r="D25" s="1370"/>
      <c r="E25" s="1370"/>
      <c r="F25" s="1370"/>
      <c r="G25" s="1370"/>
      <c r="H25" s="1370"/>
      <c r="I25" s="1371"/>
      <c r="J25" s="1370"/>
      <c r="K25" s="1370"/>
      <c r="L25" s="1370"/>
      <c r="M25" s="1370"/>
      <c r="N25" s="1370"/>
      <c r="O25" s="1371"/>
      <c r="P25" s="1370"/>
      <c r="Q25" s="1370"/>
      <c r="R25" s="1371"/>
      <c r="S25" s="1372"/>
      <c r="T25" s="1373"/>
      <c r="U25" s="1401"/>
      <c r="V25" s="41"/>
      <c r="W25" s="1"/>
    </row>
    <row r="26" spans="1:23" s="7" customFormat="1" ht="25.5">
      <c r="A26" s="1407" t="s">
        <v>818</v>
      </c>
      <c r="B26" s="2565"/>
      <c r="C26" s="1375" t="s">
        <v>819</v>
      </c>
      <c r="D26" s="1416" t="s">
        <v>38</v>
      </c>
      <c r="E26" s="83" t="s">
        <v>793</v>
      </c>
      <c r="F26" s="83">
        <v>1</v>
      </c>
      <c r="G26" s="134">
        <v>5000</v>
      </c>
      <c r="H26" s="1419">
        <v>2</v>
      </c>
      <c r="I26" s="1418">
        <f>H26*G26*F26</f>
        <v>10000</v>
      </c>
      <c r="J26" s="1378">
        <v>0.3</v>
      </c>
      <c r="K26" s="1410">
        <f t="shared" ref="K26:K28" si="3">I26*J26</f>
        <v>3000</v>
      </c>
      <c r="L26" s="83">
        <v>2</v>
      </c>
      <c r="M26" s="134">
        <v>5000</v>
      </c>
      <c r="N26" s="1419">
        <v>2</v>
      </c>
      <c r="O26" s="1418">
        <f>N26*M26*L26</f>
        <v>20000</v>
      </c>
      <c r="P26" s="1403"/>
      <c r="Q26" s="1411"/>
      <c r="R26" s="1382">
        <f t="shared" ref="R26:R28" si="4">O26+I26</f>
        <v>30000</v>
      </c>
      <c r="S26" s="1383"/>
      <c r="T26" s="1384">
        <v>0</v>
      </c>
      <c r="U26" s="1385">
        <v>0</v>
      </c>
      <c r="V26" s="41"/>
      <c r="W26" s="1"/>
    </row>
    <row r="27" spans="1:23" s="7" customFormat="1" ht="13.9" customHeight="1">
      <c r="A27" s="1407" t="s">
        <v>820</v>
      </c>
      <c r="B27" s="2565"/>
      <c r="C27" s="1415" t="s">
        <v>821</v>
      </c>
      <c r="D27" s="1416" t="s">
        <v>38</v>
      </c>
      <c r="E27" s="83" t="s">
        <v>793</v>
      </c>
      <c r="F27" s="83">
        <v>1</v>
      </c>
      <c r="G27" s="36">
        <v>300</v>
      </c>
      <c r="H27" s="1417">
        <v>2</v>
      </c>
      <c r="I27" s="1420">
        <f>H27*G27*F27</f>
        <v>600</v>
      </c>
      <c r="J27" s="1378">
        <v>0.3</v>
      </c>
      <c r="K27" s="1410">
        <f t="shared" si="3"/>
        <v>180</v>
      </c>
      <c r="L27" s="1411">
        <v>0</v>
      </c>
      <c r="M27" s="1411">
        <v>0</v>
      </c>
      <c r="N27" s="1411">
        <v>0</v>
      </c>
      <c r="O27" s="1412">
        <v>0</v>
      </c>
      <c r="P27" s="1411">
        <v>0</v>
      </c>
      <c r="Q27" s="1411"/>
      <c r="R27" s="1382">
        <f t="shared" si="4"/>
        <v>600</v>
      </c>
      <c r="S27" s="1383"/>
      <c r="T27" s="1384">
        <v>88.13</v>
      </c>
      <c r="U27" s="1385">
        <v>0.14688333333333334</v>
      </c>
      <c r="V27" s="41"/>
      <c r="W27" s="1"/>
    </row>
    <row r="28" spans="1:23" s="7" customFormat="1" ht="13.9" customHeight="1">
      <c r="A28" s="1407" t="s">
        <v>822</v>
      </c>
      <c r="B28" s="2565"/>
      <c r="C28" s="159" t="s">
        <v>823</v>
      </c>
      <c r="D28" s="1416" t="s">
        <v>38</v>
      </c>
      <c r="E28" s="83" t="s">
        <v>793</v>
      </c>
      <c r="F28" s="83">
        <v>1</v>
      </c>
      <c r="G28" s="36">
        <v>700</v>
      </c>
      <c r="H28" s="1417">
        <v>1</v>
      </c>
      <c r="I28" s="1420">
        <f>H28*G28*F28</f>
        <v>700</v>
      </c>
      <c r="J28" s="1378">
        <v>0.3</v>
      </c>
      <c r="K28" s="1410">
        <f t="shared" si="3"/>
        <v>210</v>
      </c>
      <c r="L28" s="1411">
        <v>0</v>
      </c>
      <c r="M28" s="1411">
        <v>0</v>
      </c>
      <c r="N28" s="1411">
        <v>0</v>
      </c>
      <c r="O28" s="1412">
        <v>0</v>
      </c>
      <c r="P28" s="1411">
        <v>0</v>
      </c>
      <c r="Q28" s="1411"/>
      <c r="R28" s="1382">
        <f t="shared" si="4"/>
        <v>700</v>
      </c>
      <c r="S28" s="1383"/>
      <c r="T28" s="1384">
        <v>0</v>
      </c>
      <c r="U28" s="1385">
        <v>0</v>
      </c>
      <c r="V28" s="41"/>
      <c r="W28" s="1"/>
    </row>
    <row r="29" spans="1:23" s="7" customFormat="1" ht="13.9" customHeight="1">
      <c r="B29" s="2565"/>
      <c r="C29" s="1386" t="s">
        <v>804</v>
      </c>
      <c r="D29" s="1387"/>
      <c r="E29" s="1388"/>
      <c r="F29" s="1389"/>
      <c r="G29" s="1390"/>
      <c r="H29" s="1389"/>
      <c r="I29" s="1391">
        <f>SUM(I26:I28)</f>
        <v>11300</v>
      </c>
      <c r="J29" s="1392"/>
      <c r="K29" s="1393">
        <f>SUM(K26:K28)</f>
        <v>3390</v>
      </c>
      <c r="L29" s="1394"/>
      <c r="M29" s="1394"/>
      <c r="N29" s="1394"/>
      <c r="O29" s="1395">
        <f>SUM(O26:O28)</f>
        <v>20000</v>
      </c>
      <c r="P29" s="1396">
        <v>15</v>
      </c>
      <c r="Q29" s="1396">
        <f>O29*P29/100</f>
        <v>3000</v>
      </c>
      <c r="R29" s="1395">
        <f>SUM(R26:R28)</f>
        <v>31300</v>
      </c>
      <c r="S29" s="1398"/>
      <c r="T29" s="1397">
        <v>88.13</v>
      </c>
      <c r="U29" s="1399">
        <v>7.7991150442477874E-3</v>
      </c>
      <c r="V29" s="41"/>
      <c r="W29" s="1"/>
    </row>
    <row r="30" spans="1:23" s="7" customFormat="1" ht="15.6" customHeight="1">
      <c r="B30" s="2565"/>
      <c r="C30" s="1369" t="s">
        <v>824</v>
      </c>
      <c r="D30" s="1370"/>
      <c r="E30" s="1370"/>
      <c r="F30" s="1370"/>
      <c r="G30" s="1370"/>
      <c r="H30" s="1370"/>
      <c r="I30" s="1371"/>
      <c r="J30" s="1421"/>
      <c r="K30" s="1421"/>
      <c r="L30" s="1421"/>
      <c r="M30" s="1421"/>
      <c r="N30" s="1421"/>
      <c r="O30" s="1371"/>
      <c r="P30" s="1421"/>
      <c r="Q30" s="1421"/>
      <c r="R30" s="1371"/>
      <c r="S30" s="1422"/>
      <c r="T30" s="1423"/>
      <c r="U30" s="1401"/>
      <c r="V30" s="41"/>
      <c r="W30" s="1"/>
    </row>
    <row r="31" spans="1:23" s="7" customFormat="1" ht="28.5" customHeight="1">
      <c r="A31" s="1407" t="s">
        <v>825</v>
      </c>
      <c r="B31" s="2565"/>
      <c r="C31" s="1424" t="s">
        <v>826</v>
      </c>
      <c r="D31" s="1425" t="s">
        <v>40</v>
      </c>
      <c r="E31" s="1426" t="s">
        <v>793</v>
      </c>
      <c r="F31" s="83">
        <v>3</v>
      </c>
      <c r="G31" s="134">
        <v>108</v>
      </c>
      <c r="H31" s="83">
        <v>10</v>
      </c>
      <c r="I31" s="1427">
        <f>F31*G31*H31</f>
        <v>3240</v>
      </c>
      <c r="J31" s="1428"/>
      <c r="K31" s="776"/>
      <c r="L31" s="1429">
        <v>3</v>
      </c>
      <c r="M31" s="134">
        <v>108</v>
      </c>
      <c r="N31" s="1429">
        <v>10</v>
      </c>
      <c r="O31" s="1427">
        <f>L31*M31*N31</f>
        <v>3240</v>
      </c>
      <c r="P31" s="1430"/>
      <c r="Q31" s="1431"/>
      <c r="R31" s="1382">
        <f>O31+I31</f>
        <v>6480</v>
      </c>
      <c r="S31" s="1383"/>
      <c r="T31" s="1384">
        <v>0</v>
      </c>
      <c r="U31" s="1385">
        <v>0</v>
      </c>
      <c r="V31" s="41"/>
      <c r="W31" s="1"/>
    </row>
    <row r="32" spans="1:23" s="7" customFormat="1" ht="13.9" customHeight="1">
      <c r="A32" s="1407" t="s">
        <v>827</v>
      </c>
      <c r="B32" s="2565"/>
      <c r="C32" s="1432" t="s">
        <v>828</v>
      </c>
      <c r="D32" s="1408" t="s">
        <v>38</v>
      </c>
      <c r="E32" s="1433" t="s">
        <v>793</v>
      </c>
      <c r="F32" s="83">
        <v>1</v>
      </c>
      <c r="G32" s="134">
        <v>150</v>
      </c>
      <c r="H32" s="83">
        <v>9</v>
      </c>
      <c r="I32" s="1427">
        <f t="shared" ref="I32:I35" si="5">F32*G32*H32</f>
        <v>1350</v>
      </c>
      <c r="J32" s="1428"/>
      <c r="K32" s="776"/>
      <c r="L32" s="1429">
        <v>1</v>
      </c>
      <c r="M32" s="134">
        <v>200</v>
      </c>
      <c r="N32" s="1429">
        <v>9</v>
      </c>
      <c r="O32" s="1427">
        <f t="shared" ref="O32:O35" si="6">L32*M32*N32</f>
        <v>1800</v>
      </c>
      <c r="P32" s="1430"/>
      <c r="Q32" s="1431"/>
      <c r="R32" s="1382">
        <f t="shared" ref="R32:R35" si="7">O32+I32</f>
        <v>3150</v>
      </c>
      <c r="S32" s="1383"/>
      <c r="T32" s="1384">
        <v>0</v>
      </c>
      <c r="U32" s="1385">
        <v>0</v>
      </c>
      <c r="V32" s="41"/>
      <c r="W32" s="1"/>
    </row>
    <row r="33" spans="1:22" s="7" customFormat="1" ht="39" customHeight="1">
      <c r="A33" s="1407" t="s">
        <v>829</v>
      </c>
      <c r="B33" s="2565"/>
      <c r="C33" s="1424" t="s">
        <v>830</v>
      </c>
      <c r="D33" s="1408" t="s">
        <v>38</v>
      </c>
      <c r="E33" s="1433" t="s">
        <v>793</v>
      </c>
      <c r="F33" s="83">
        <v>1</v>
      </c>
      <c r="G33" s="134">
        <v>500</v>
      </c>
      <c r="H33" s="83">
        <v>9</v>
      </c>
      <c r="I33" s="1427">
        <f t="shared" si="5"/>
        <v>4500</v>
      </c>
      <c r="J33" s="1428"/>
      <c r="K33" s="776"/>
      <c r="L33" s="1429">
        <v>1</v>
      </c>
      <c r="M33" s="134">
        <v>1000</v>
      </c>
      <c r="N33" s="1429">
        <v>9</v>
      </c>
      <c r="O33" s="1427">
        <f t="shared" si="6"/>
        <v>9000</v>
      </c>
      <c r="P33" s="1430"/>
      <c r="Q33" s="1431"/>
      <c r="R33" s="1382">
        <f t="shared" si="7"/>
        <v>13500</v>
      </c>
      <c r="S33" s="1383"/>
      <c r="T33" s="1384">
        <v>3139</v>
      </c>
      <c r="U33" s="1385">
        <v>0.6975555555555556</v>
      </c>
      <c r="V33" s="41"/>
    </row>
    <row r="34" spans="1:22" s="7" customFormat="1" ht="25.5">
      <c r="A34" s="1407" t="s">
        <v>831</v>
      </c>
      <c r="B34" s="2565"/>
      <c r="C34" s="1375" t="s">
        <v>832</v>
      </c>
      <c r="D34" s="1408" t="s">
        <v>38</v>
      </c>
      <c r="E34" s="1434" t="s">
        <v>793</v>
      </c>
      <c r="F34" s="1435">
        <v>1</v>
      </c>
      <c r="G34" s="1436">
        <v>300</v>
      </c>
      <c r="H34" s="1435">
        <v>9</v>
      </c>
      <c r="I34" s="1427">
        <f t="shared" si="5"/>
        <v>2700</v>
      </c>
      <c r="J34" s="1403"/>
      <c r="K34" s="776"/>
      <c r="L34" s="1437">
        <v>1</v>
      </c>
      <c r="M34" s="1436">
        <v>600</v>
      </c>
      <c r="N34" s="1438">
        <v>9</v>
      </c>
      <c r="O34" s="1427">
        <f t="shared" si="6"/>
        <v>5400</v>
      </c>
      <c r="P34" s="1430"/>
      <c r="Q34" s="1410"/>
      <c r="R34" s="1382">
        <f t="shared" si="7"/>
        <v>8100</v>
      </c>
      <c r="S34" s="1383"/>
      <c r="T34" s="1384">
        <v>0</v>
      </c>
      <c r="U34" s="1385">
        <v>0</v>
      </c>
      <c r="V34" s="41"/>
    </row>
    <row r="35" spans="1:22" s="7" customFormat="1" ht="25.5">
      <c r="A35" s="1407" t="s">
        <v>833</v>
      </c>
      <c r="B35" s="2566"/>
      <c r="C35" s="159" t="s">
        <v>834</v>
      </c>
      <c r="D35" s="1408" t="s">
        <v>38</v>
      </c>
      <c r="E35" s="1434" t="s">
        <v>793</v>
      </c>
      <c r="F35" s="1435">
        <v>1</v>
      </c>
      <c r="G35" s="1436">
        <v>1500</v>
      </c>
      <c r="H35" s="1435">
        <v>6</v>
      </c>
      <c r="I35" s="1427">
        <f t="shared" si="5"/>
        <v>9000</v>
      </c>
      <c r="J35" s="1403"/>
      <c r="K35" s="776"/>
      <c r="L35" s="1438">
        <v>1</v>
      </c>
      <c r="M35" s="1436">
        <v>1500</v>
      </c>
      <c r="N35" s="1435">
        <v>4</v>
      </c>
      <c r="O35" s="1427">
        <f t="shared" si="6"/>
        <v>6000</v>
      </c>
      <c r="P35" s="1430"/>
      <c r="Q35" s="1410"/>
      <c r="R35" s="1382">
        <f t="shared" si="7"/>
        <v>15000</v>
      </c>
      <c r="S35" s="1383"/>
      <c r="T35" s="1384">
        <v>0</v>
      </c>
      <c r="U35" s="1385">
        <v>0</v>
      </c>
      <c r="V35" s="41"/>
    </row>
    <row r="36" spans="1:22" s="7" customFormat="1" ht="13.9" customHeight="1">
      <c r="B36" s="1439"/>
      <c r="C36" s="1440" t="s">
        <v>804</v>
      </c>
      <c r="D36" s="1441"/>
      <c r="E36" s="1442"/>
      <c r="F36" s="1443"/>
      <c r="G36" s="1444"/>
      <c r="H36" s="1443"/>
      <c r="I36" s="1445">
        <f>SUM(I31:I35)</f>
        <v>20790</v>
      </c>
      <c r="J36" s="1446"/>
      <c r="K36" s="1446"/>
      <c r="L36" s="1447"/>
      <c r="M36" s="1447"/>
      <c r="N36" s="1447"/>
      <c r="O36" s="1445">
        <f>SUM(O31:O35)</f>
        <v>25440</v>
      </c>
      <c r="P36" s="1448">
        <v>30</v>
      </c>
      <c r="Q36" s="1448">
        <f>O36*P36/100</f>
        <v>7632</v>
      </c>
      <c r="R36" s="1445">
        <f>SUM(R31:R35)</f>
        <v>46230</v>
      </c>
      <c r="S36" s="1449"/>
      <c r="T36" s="1397">
        <v>3139</v>
      </c>
      <c r="U36" s="1399">
        <v>0.15098605098605097</v>
      </c>
      <c r="V36" s="41"/>
    </row>
    <row r="37" spans="1:22" s="7" customFormat="1" ht="15.75">
      <c r="B37" s="2531" t="s">
        <v>835</v>
      </c>
      <c r="C37" s="1369" t="s">
        <v>836</v>
      </c>
      <c r="D37" s="1370"/>
      <c r="E37" s="1370"/>
      <c r="F37" s="1370"/>
      <c r="G37" s="1370"/>
      <c r="H37" s="1370"/>
      <c r="I37" s="1371"/>
      <c r="J37" s="1370"/>
      <c r="K37" s="1370"/>
      <c r="L37" s="1370"/>
      <c r="M37" s="1370"/>
      <c r="N37" s="1370"/>
      <c r="O37" s="1371"/>
      <c r="P37" s="1370"/>
      <c r="Q37" s="1370"/>
      <c r="R37" s="1371"/>
      <c r="S37" s="1372"/>
      <c r="T37" s="1373"/>
      <c r="U37" s="1401"/>
      <c r="V37" s="41"/>
    </row>
    <row r="38" spans="1:22" s="7" customFormat="1" ht="13.9" customHeight="1">
      <c r="A38" s="7" t="s">
        <v>837</v>
      </c>
      <c r="B38" s="2567"/>
      <c r="C38" s="1415" t="s">
        <v>838</v>
      </c>
      <c r="D38" s="1376" t="s">
        <v>38</v>
      </c>
      <c r="E38" s="83" t="s">
        <v>793</v>
      </c>
      <c r="F38" s="35">
        <v>0</v>
      </c>
      <c r="G38" s="36">
        <v>0</v>
      </c>
      <c r="H38" s="35">
        <v>0</v>
      </c>
      <c r="I38" s="1409">
        <f>H38*G38*F38</f>
        <v>0</v>
      </c>
      <c r="J38" s="1378">
        <v>0.3</v>
      </c>
      <c r="K38" s="1378"/>
      <c r="L38" s="35">
        <v>1</v>
      </c>
      <c r="M38" s="36">
        <v>7000</v>
      </c>
      <c r="N38" s="35">
        <v>1</v>
      </c>
      <c r="O38" s="1409">
        <f>N38*M38*L38</f>
        <v>7000</v>
      </c>
      <c r="P38" s="1378">
        <v>0.3</v>
      </c>
      <c r="Q38" s="1378"/>
      <c r="R38" s="1412">
        <f>O38+I38</f>
        <v>7000</v>
      </c>
      <c r="S38" s="1414"/>
      <c r="T38" s="1384">
        <v>420</v>
      </c>
      <c r="U38" s="1385"/>
      <c r="V38" s="41"/>
    </row>
    <row r="39" spans="1:22" s="7" customFormat="1" ht="13.9" customHeight="1">
      <c r="B39" s="2567"/>
      <c r="C39" s="1386" t="s">
        <v>804</v>
      </c>
      <c r="D39" s="1387"/>
      <c r="E39" s="1388"/>
      <c r="F39" s="1389"/>
      <c r="G39" s="1390"/>
      <c r="H39" s="1389"/>
      <c r="I39" s="1391">
        <f>SUM(I38)</f>
        <v>0</v>
      </c>
      <c r="J39" s="1392"/>
      <c r="K39" s="1392"/>
      <c r="L39" s="1394"/>
      <c r="M39" s="1394"/>
      <c r="N39" s="1394"/>
      <c r="O39" s="1395">
        <f>SUM(O38)</f>
        <v>7000</v>
      </c>
      <c r="P39" s="1396"/>
      <c r="Q39" s="1396"/>
      <c r="R39" s="1395">
        <f>SUM(R38)</f>
        <v>7000</v>
      </c>
      <c r="S39" s="1398"/>
      <c r="T39" s="1397">
        <v>420</v>
      </c>
      <c r="U39" s="1399"/>
      <c r="V39" s="41"/>
    </row>
    <row r="40" spans="1:22" s="7" customFormat="1" ht="13.9" customHeight="1">
      <c r="B40" s="2567"/>
      <c r="C40" s="1369" t="s">
        <v>839</v>
      </c>
      <c r="D40" s="1370"/>
      <c r="E40" s="1370"/>
      <c r="F40" s="1370"/>
      <c r="G40" s="1370"/>
      <c r="H40" s="1370"/>
      <c r="I40" s="1450"/>
      <c r="J40" s="1370"/>
      <c r="K40" s="1370"/>
      <c r="L40" s="1370"/>
      <c r="M40" s="1370"/>
      <c r="N40" s="1370"/>
      <c r="O40" s="1371"/>
      <c r="P40" s="1370"/>
      <c r="Q40" s="1370"/>
      <c r="R40" s="1371"/>
      <c r="S40" s="1372"/>
      <c r="T40" s="1373"/>
      <c r="U40" s="1401"/>
      <c r="V40" s="41"/>
    </row>
    <row r="41" spans="1:22" s="7" customFormat="1" ht="13.9" customHeight="1">
      <c r="A41" s="1407" t="s">
        <v>840</v>
      </c>
      <c r="B41" s="2567"/>
      <c r="C41" s="1375" t="s">
        <v>841</v>
      </c>
      <c r="D41" s="1408" t="s">
        <v>38</v>
      </c>
      <c r="E41" s="1434" t="s">
        <v>793</v>
      </c>
      <c r="F41" s="1435">
        <v>1</v>
      </c>
      <c r="G41" s="1436">
        <v>7000</v>
      </c>
      <c r="H41" s="1435">
        <v>1</v>
      </c>
      <c r="I41" s="1409">
        <f>H41*G41</f>
        <v>7000</v>
      </c>
      <c r="J41" s="1403"/>
      <c r="K41" s="1403"/>
      <c r="L41" s="1435">
        <v>1</v>
      </c>
      <c r="M41" s="1436">
        <v>7000</v>
      </c>
      <c r="N41" s="1435">
        <v>1</v>
      </c>
      <c r="O41" s="1409">
        <f>N41*M41</f>
        <v>7000</v>
      </c>
      <c r="P41" s="1378">
        <v>0.3</v>
      </c>
      <c r="Q41" s="1410">
        <f>O41*P41</f>
        <v>2100</v>
      </c>
      <c r="R41" s="1409">
        <f>O41+I41</f>
        <v>14000</v>
      </c>
      <c r="S41" s="1451"/>
      <c r="T41" s="1384">
        <v>528.71</v>
      </c>
      <c r="U41" s="1385">
        <v>7.553E-2</v>
      </c>
      <c r="V41" s="41"/>
    </row>
    <row r="42" spans="1:22" s="7" customFormat="1" ht="13.9" customHeight="1">
      <c r="A42" s="1407" t="s">
        <v>842</v>
      </c>
      <c r="B42" s="2567"/>
      <c r="C42" s="1375" t="s">
        <v>843</v>
      </c>
      <c r="D42" s="1408" t="s">
        <v>38</v>
      </c>
      <c r="E42" s="1434" t="s">
        <v>793</v>
      </c>
      <c r="F42" s="1435">
        <v>1</v>
      </c>
      <c r="G42" s="1436">
        <v>2000</v>
      </c>
      <c r="H42" s="1435">
        <v>1</v>
      </c>
      <c r="I42" s="1409">
        <f>H42*G42*F42</f>
        <v>2000</v>
      </c>
      <c r="J42" s="1403"/>
      <c r="K42" s="1403"/>
      <c r="L42" s="1435">
        <v>1</v>
      </c>
      <c r="M42" s="1436">
        <v>2500</v>
      </c>
      <c r="N42" s="1435">
        <v>1</v>
      </c>
      <c r="O42" s="1409">
        <v>2500</v>
      </c>
      <c r="P42" s="1378">
        <v>0.3</v>
      </c>
      <c r="Q42" s="1410">
        <f>O42*P42</f>
        <v>750</v>
      </c>
      <c r="R42" s="1409">
        <f>O42+I42</f>
        <v>4500</v>
      </c>
      <c r="S42" s="1451"/>
      <c r="T42" s="1384">
        <v>0</v>
      </c>
      <c r="U42" s="1385">
        <v>0</v>
      </c>
      <c r="V42" s="41"/>
    </row>
    <row r="43" spans="1:22" s="7" customFormat="1" ht="13.9" customHeight="1">
      <c r="B43" s="2532"/>
      <c r="C43" s="1440" t="s">
        <v>804</v>
      </c>
      <c r="D43" s="1441"/>
      <c r="E43" s="1442"/>
      <c r="F43" s="1443"/>
      <c r="G43" s="1444"/>
      <c r="H43" s="1443"/>
      <c r="I43" s="1452">
        <f>SUM(I41:I42)</f>
        <v>9000</v>
      </c>
      <c r="J43" s="1446"/>
      <c r="K43" s="1446"/>
      <c r="L43" s="1447"/>
      <c r="M43" s="1447"/>
      <c r="N43" s="1447"/>
      <c r="O43" s="1445">
        <f>SUM(O41:O42)</f>
        <v>9500</v>
      </c>
      <c r="P43" s="1448"/>
      <c r="Q43" s="1453">
        <f>SUM(Q41:Q41)</f>
        <v>2100</v>
      </c>
      <c r="R43" s="1445">
        <f>SUM(R41:R42)</f>
        <v>18500</v>
      </c>
      <c r="S43" s="1449"/>
      <c r="T43" s="1453">
        <v>528.71</v>
      </c>
      <c r="U43" s="1399">
        <v>5.8745555555555558E-2</v>
      </c>
      <c r="V43" s="41"/>
    </row>
    <row r="44" spans="1:22" s="7" customFormat="1" ht="14.45" customHeight="1">
      <c r="B44" s="1454" t="s">
        <v>844</v>
      </c>
      <c r="C44" s="1455"/>
      <c r="D44" s="1455"/>
      <c r="E44" s="1455"/>
      <c r="F44" s="1455"/>
      <c r="G44" s="1455"/>
      <c r="H44" s="1455"/>
      <c r="I44" s="1456">
        <f>I16+I20+I24+I29+I36+I39+I43</f>
        <v>60390</v>
      </c>
      <c r="J44" s="1457"/>
      <c r="K44" s="1458"/>
      <c r="L44" s="1457"/>
      <c r="M44" s="1457"/>
      <c r="N44" s="1457"/>
      <c r="O44" s="1459">
        <f>O16+O20+O24+O29+O36+O39+O43</f>
        <v>71240</v>
      </c>
      <c r="P44" s="1457"/>
      <c r="Q44" s="1458"/>
      <c r="R44" s="1459">
        <f>R16+R20+R24+R29+R36+R39+R43</f>
        <v>131630</v>
      </c>
      <c r="S44" s="1460"/>
      <c r="T44" s="1459">
        <v>7125.84</v>
      </c>
      <c r="U44" s="1461">
        <v>0.11799701937406856</v>
      </c>
      <c r="V44" s="41"/>
    </row>
    <row r="45" spans="1:22" s="7" customFormat="1" ht="23.25" customHeight="1">
      <c r="B45" s="1887" t="s">
        <v>845</v>
      </c>
      <c r="C45" s="1462"/>
      <c r="D45" s="1462"/>
      <c r="E45" s="1462"/>
      <c r="F45" s="1462"/>
      <c r="G45" s="1462"/>
      <c r="H45" s="1462"/>
      <c r="I45" s="1462"/>
      <c r="J45" s="1463"/>
      <c r="K45" s="1366"/>
      <c r="L45" s="1366"/>
      <c r="M45" s="1366"/>
      <c r="N45" s="1366"/>
      <c r="O45" s="1366"/>
      <c r="P45" s="1366"/>
      <c r="Q45" s="1366"/>
      <c r="R45" s="1366"/>
      <c r="S45" s="1360"/>
      <c r="T45" s="1367"/>
      <c r="U45" s="1464"/>
      <c r="V45" s="41"/>
    </row>
    <row r="46" spans="1:22" s="7" customFormat="1" ht="21" customHeight="1">
      <c r="B46" s="2564" t="s">
        <v>846</v>
      </c>
      <c r="C46" s="1369" t="s">
        <v>847</v>
      </c>
      <c r="D46" s="1465"/>
      <c r="E46" s="1465"/>
      <c r="F46" s="1465"/>
      <c r="G46" s="1465"/>
      <c r="H46" s="1465"/>
      <c r="I46" s="1466"/>
      <c r="J46" s="1465"/>
      <c r="K46" s="1465"/>
      <c r="L46" s="1465"/>
      <c r="M46" s="1465"/>
      <c r="N46" s="1465"/>
      <c r="O46" s="1466"/>
      <c r="P46" s="1465"/>
      <c r="Q46" s="1465"/>
      <c r="R46" s="1466"/>
      <c r="S46" s="1467"/>
      <c r="T46" s="1384">
        <v>0</v>
      </c>
      <c r="U46" s="1385"/>
      <c r="V46" s="41"/>
    </row>
    <row r="47" spans="1:22" s="7" customFormat="1" ht="14.45" customHeight="1">
      <c r="A47" s="7" t="s">
        <v>848</v>
      </c>
      <c r="B47" s="2565"/>
      <c r="C47" s="159" t="s">
        <v>849</v>
      </c>
      <c r="D47" s="1408" t="s">
        <v>38</v>
      </c>
      <c r="E47" s="1434" t="s">
        <v>793</v>
      </c>
      <c r="F47" s="159">
        <v>1</v>
      </c>
      <c r="G47" s="229">
        <v>300</v>
      </c>
      <c r="H47" s="159">
        <v>3</v>
      </c>
      <c r="I47" s="1409">
        <f>H47*G47*F47</f>
        <v>900</v>
      </c>
      <c r="J47" s="1411"/>
      <c r="K47" s="1411"/>
      <c r="L47" s="159">
        <v>1</v>
      </c>
      <c r="M47" s="229">
        <v>300</v>
      </c>
      <c r="N47" s="159">
        <v>3</v>
      </c>
      <c r="O47" s="1409">
        <f>N47*M47*L47</f>
        <v>900</v>
      </c>
      <c r="P47" s="1411"/>
      <c r="Q47" s="1411"/>
      <c r="R47" s="1468">
        <f>O47+I47</f>
        <v>1800</v>
      </c>
      <c r="S47" s="1469"/>
      <c r="T47" s="1384">
        <v>0</v>
      </c>
      <c r="U47" s="1385">
        <v>0</v>
      </c>
      <c r="V47" s="41"/>
    </row>
    <row r="48" spans="1:22" s="7" customFormat="1" ht="14.45" customHeight="1">
      <c r="B48" s="2565"/>
      <c r="C48" s="1386" t="s">
        <v>804</v>
      </c>
      <c r="D48" s="1387"/>
      <c r="E48" s="1388"/>
      <c r="F48" s="1389"/>
      <c r="G48" s="1390"/>
      <c r="H48" s="1389"/>
      <c r="I48" s="1391">
        <f>SUM(I47)</f>
        <v>900</v>
      </c>
      <c r="J48" s="1392"/>
      <c r="K48" s="1394"/>
      <c r="L48" s="1389"/>
      <c r="M48" s="1390"/>
      <c r="N48" s="1389"/>
      <c r="O48" s="1391">
        <f>SUM(O47)</f>
        <v>900</v>
      </c>
      <c r="P48" s="1394"/>
      <c r="Q48" s="1394"/>
      <c r="R48" s="1470">
        <f>SUM(R47)</f>
        <v>1800</v>
      </c>
      <c r="S48" s="1471"/>
      <c r="T48" s="1472">
        <v>0</v>
      </c>
      <c r="U48" s="1399">
        <v>0</v>
      </c>
      <c r="V48" s="41"/>
    </row>
    <row r="49" spans="1:22" s="7" customFormat="1" ht="14.45" customHeight="1">
      <c r="B49" s="2565"/>
      <c r="C49" s="1369" t="s">
        <v>850</v>
      </c>
      <c r="D49" s="1465"/>
      <c r="E49" s="1465"/>
      <c r="F49" s="1465"/>
      <c r="G49" s="1465"/>
      <c r="H49" s="1465"/>
      <c r="I49" s="1473"/>
      <c r="J49" s="1411"/>
      <c r="K49" s="1411"/>
      <c r="L49" s="1411"/>
      <c r="M49" s="1411"/>
      <c r="N49" s="1411"/>
      <c r="O49" s="1412"/>
      <c r="P49" s="1411"/>
      <c r="Q49" s="1411"/>
      <c r="R49" s="1474"/>
      <c r="S49" s="1475"/>
      <c r="T49" s="1384">
        <v>0</v>
      </c>
      <c r="U49" s="1385"/>
      <c r="V49" s="41"/>
    </row>
    <row r="50" spans="1:22" s="7" customFormat="1" ht="14.45" customHeight="1">
      <c r="A50" s="7" t="s">
        <v>851</v>
      </c>
      <c r="B50" s="2565"/>
      <c r="C50" s="159" t="s">
        <v>852</v>
      </c>
      <c r="D50" s="1408" t="s">
        <v>38</v>
      </c>
      <c r="E50" s="1434" t="s">
        <v>793</v>
      </c>
      <c r="F50" s="130">
        <v>1</v>
      </c>
      <c r="G50" s="131">
        <v>1200</v>
      </c>
      <c r="H50" s="130">
        <v>1</v>
      </c>
      <c r="I50" s="1409">
        <f>H50*G50*F50</f>
        <v>1200</v>
      </c>
      <c r="J50" s="1411"/>
      <c r="K50" s="1411"/>
      <c r="L50" s="35">
        <v>0</v>
      </c>
      <c r="M50" s="36">
        <v>0</v>
      </c>
      <c r="N50" s="35">
        <v>0</v>
      </c>
      <c r="O50" s="1476">
        <v>0</v>
      </c>
      <c r="P50" s="1477"/>
      <c r="Q50" s="1411"/>
      <c r="R50" s="1468">
        <f>O50+I50</f>
        <v>1200</v>
      </c>
      <c r="S50" s="1469"/>
      <c r="T50" s="1384">
        <v>1068.5999999999999</v>
      </c>
      <c r="U50" s="1385">
        <v>0.89049999999999996</v>
      </c>
      <c r="V50" s="41"/>
    </row>
    <row r="51" spans="1:22" s="7" customFormat="1" ht="14.45" customHeight="1">
      <c r="A51" s="1407" t="s">
        <v>853</v>
      </c>
      <c r="B51" s="2565"/>
      <c r="C51" s="159" t="s">
        <v>854</v>
      </c>
      <c r="D51" s="1408" t="s">
        <v>38</v>
      </c>
      <c r="E51" s="1434" t="s">
        <v>793</v>
      </c>
      <c r="F51" s="35">
        <v>0</v>
      </c>
      <c r="G51" s="36">
        <v>0</v>
      </c>
      <c r="H51" s="35">
        <v>0</v>
      </c>
      <c r="I51" s="1409">
        <f>H51*G51*F51</f>
        <v>0</v>
      </c>
      <c r="J51" s="1411"/>
      <c r="K51" s="35"/>
      <c r="L51" s="35">
        <v>1</v>
      </c>
      <c r="M51" s="36">
        <v>850</v>
      </c>
      <c r="N51" s="35">
        <v>1</v>
      </c>
      <c r="O51" s="1476">
        <f>N51*M51*L51</f>
        <v>850</v>
      </c>
      <c r="P51" s="1477"/>
      <c r="Q51" s="1411"/>
      <c r="R51" s="1468">
        <f>O51+I51</f>
        <v>850</v>
      </c>
      <c r="S51" s="1469"/>
      <c r="T51" s="1384">
        <v>0</v>
      </c>
      <c r="U51" s="1385"/>
      <c r="V51" s="41"/>
    </row>
    <row r="52" spans="1:22" s="7" customFormat="1" ht="14.45" customHeight="1">
      <c r="B52" s="2565"/>
      <c r="C52" s="1386" t="s">
        <v>804</v>
      </c>
      <c r="D52" s="1387"/>
      <c r="E52" s="1388"/>
      <c r="F52" s="1389"/>
      <c r="G52" s="1390"/>
      <c r="H52" s="1389"/>
      <c r="I52" s="1391">
        <f>SUM(I50:I51)</f>
        <v>1200</v>
      </c>
      <c r="J52" s="1392"/>
      <c r="K52" s="1394"/>
      <c r="L52" s="1478"/>
      <c r="M52" s="1478"/>
      <c r="N52" s="1478"/>
      <c r="O52" s="1479">
        <f>SUM(O50:O51)</f>
        <v>850</v>
      </c>
      <c r="P52" s="1394"/>
      <c r="Q52" s="1394"/>
      <c r="R52" s="1470">
        <f>SUM(R50:R51)</f>
        <v>2050</v>
      </c>
      <c r="S52" s="1471"/>
      <c r="T52" s="1472">
        <v>1068.5999999999999</v>
      </c>
      <c r="U52" s="1399">
        <v>0.89049999999999996</v>
      </c>
      <c r="V52" s="41"/>
    </row>
    <row r="53" spans="1:22" s="7" customFormat="1" ht="14.45" customHeight="1">
      <c r="B53" s="2565"/>
      <c r="C53" s="1369" t="s">
        <v>855</v>
      </c>
      <c r="D53" s="1465"/>
      <c r="E53" s="1465"/>
      <c r="F53" s="1465"/>
      <c r="G53" s="1465"/>
      <c r="H53" s="1465"/>
      <c r="I53" s="1466"/>
      <c r="J53" s="1411"/>
      <c r="K53" s="1411"/>
      <c r="L53" s="1431"/>
      <c r="M53" s="1431"/>
      <c r="N53" s="1431"/>
      <c r="O53" s="1480"/>
      <c r="P53" s="1411"/>
      <c r="Q53" s="1411"/>
      <c r="R53" s="1474"/>
      <c r="S53" s="1475"/>
      <c r="T53" s="1384"/>
      <c r="U53" s="1385"/>
      <c r="V53" s="41"/>
    </row>
    <row r="54" spans="1:22" s="7" customFormat="1" ht="14.45" customHeight="1">
      <c r="A54" s="7" t="s">
        <v>856</v>
      </c>
      <c r="B54" s="2565"/>
      <c r="C54" s="159" t="s">
        <v>857</v>
      </c>
      <c r="D54" s="1408" t="s">
        <v>38</v>
      </c>
      <c r="E54" s="1434" t="s">
        <v>793</v>
      </c>
      <c r="F54" s="35">
        <v>1</v>
      </c>
      <c r="G54" s="36">
        <v>2800</v>
      </c>
      <c r="H54" s="35">
        <v>1</v>
      </c>
      <c r="I54" s="1409">
        <f>H54*G54*F54</f>
        <v>2800</v>
      </c>
      <c r="J54" s="1411"/>
      <c r="K54" s="35"/>
      <c r="L54" s="35">
        <v>1</v>
      </c>
      <c r="M54" s="36">
        <v>3000</v>
      </c>
      <c r="N54" s="35">
        <v>1</v>
      </c>
      <c r="O54" s="1481">
        <f>N54*M54*L54</f>
        <v>3000</v>
      </c>
      <c r="P54" s="1477"/>
      <c r="Q54" s="1411"/>
      <c r="R54" s="1468">
        <f>O54+I54</f>
        <v>5800</v>
      </c>
      <c r="S54" s="1469"/>
      <c r="T54" s="1384">
        <v>3002.4</v>
      </c>
      <c r="U54" s="1385">
        <v>1.0722857142857143</v>
      </c>
      <c r="V54" s="41"/>
    </row>
    <row r="55" spans="1:22" s="7" customFormat="1" ht="14.45" customHeight="1">
      <c r="B55" s="2565"/>
      <c r="C55" s="1386" t="s">
        <v>804</v>
      </c>
      <c r="D55" s="825"/>
      <c r="E55" s="356"/>
      <c r="F55" s="358"/>
      <c r="G55" s="358"/>
      <c r="H55" s="358"/>
      <c r="I55" s="1391">
        <f>SUM(I54)</f>
        <v>2800</v>
      </c>
      <c r="J55" s="1394"/>
      <c r="K55" s="1394"/>
      <c r="L55" s="1478"/>
      <c r="M55" s="1478"/>
      <c r="N55" s="1478"/>
      <c r="O55" s="1479">
        <f>SUM(O54)</f>
        <v>3000</v>
      </c>
      <c r="P55" s="1394"/>
      <c r="Q55" s="1394"/>
      <c r="R55" s="1470">
        <f>SUM(R54)</f>
        <v>5800</v>
      </c>
      <c r="S55" s="1471"/>
      <c r="T55" s="1472">
        <v>3002.4</v>
      </c>
      <c r="U55" s="1399">
        <v>1.0722857142857143</v>
      </c>
      <c r="V55" s="41"/>
    </row>
    <row r="56" spans="1:22" s="7" customFormat="1" ht="14.45" customHeight="1">
      <c r="B56" s="2565"/>
      <c r="C56" s="1369" t="s">
        <v>858</v>
      </c>
      <c r="D56" s="1465"/>
      <c r="E56" s="1465"/>
      <c r="F56" s="1465"/>
      <c r="G56" s="1465"/>
      <c r="H56" s="1465"/>
      <c r="I56" s="1482"/>
      <c r="J56" s="1465"/>
      <c r="K56" s="1465"/>
      <c r="L56" s="1465"/>
      <c r="M56" s="1465"/>
      <c r="N56" s="1465"/>
      <c r="O56" s="1466"/>
      <c r="P56" s="1465"/>
      <c r="Q56" s="1465"/>
      <c r="R56" s="1466"/>
      <c r="S56" s="1467"/>
      <c r="T56" s="1483"/>
      <c r="U56" s="1484"/>
      <c r="V56" s="41"/>
    </row>
    <row r="57" spans="1:22" s="7" customFormat="1" ht="38.25">
      <c r="A57" s="1407" t="s">
        <v>859</v>
      </c>
      <c r="B57" s="2565"/>
      <c r="C57" s="159" t="s">
        <v>860</v>
      </c>
      <c r="D57" s="1485" t="s">
        <v>38</v>
      </c>
      <c r="E57" s="1486" t="s">
        <v>793</v>
      </c>
      <c r="F57" s="1487">
        <v>0</v>
      </c>
      <c r="G57" s="1488">
        <v>0</v>
      </c>
      <c r="H57" s="1489">
        <v>0</v>
      </c>
      <c r="I57" s="1402">
        <f>H57*G57*F57</f>
        <v>0</v>
      </c>
      <c r="J57" s="1411"/>
      <c r="K57" s="1487"/>
      <c r="L57" s="1487">
        <v>1</v>
      </c>
      <c r="M57" s="1488">
        <v>4000</v>
      </c>
      <c r="N57" s="1489">
        <v>2</v>
      </c>
      <c r="O57" s="1402">
        <f>N57*M57*L57</f>
        <v>8000</v>
      </c>
      <c r="P57" s="1490"/>
      <c r="Q57" s="1411"/>
      <c r="R57" s="1491">
        <f>O57+I57</f>
        <v>8000</v>
      </c>
      <c r="S57" s="1492"/>
      <c r="T57" s="1384">
        <v>4978</v>
      </c>
      <c r="U57" s="1385"/>
      <c r="V57" s="41"/>
    </row>
    <row r="58" spans="1:22" s="7" customFormat="1" ht="14.45" customHeight="1">
      <c r="B58" s="2566"/>
      <c r="C58" s="1440" t="s">
        <v>804</v>
      </c>
      <c r="D58" s="1440"/>
      <c r="E58" s="1440"/>
      <c r="F58" s="1440"/>
      <c r="G58" s="1440"/>
      <c r="H58" s="1440"/>
      <c r="I58" s="1493">
        <f>SUM(I57)</f>
        <v>0</v>
      </c>
      <c r="J58" s="1440"/>
      <c r="K58" s="1440"/>
      <c r="L58" s="1440"/>
      <c r="M58" s="1440"/>
      <c r="N58" s="1440"/>
      <c r="O58" s="1494">
        <f>SUM(O57)</f>
        <v>8000</v>
      </c>
      <c r="P58" s="1447"/>
      <c r="Q58" s="1440"/>
      <c r="R58" s="1494">
        <f>SUM(R57)</f>
        <v>8000</v>
      </c>
      <c r="S58" s="1495"/>
      <c r="T58" s="1496">
        <v>4978</v>
      </c>
      <c r="U58" s="1399"/>
      <c r="V58" s="41"/>
    </row>
    <row r="59" spans="1:22" s="7" customFormat="1">
      <c r="B59" s="2531" t="s">
        <v>861</v>
      </c>
      <c r="C59" s="1369" t="s">
        <v>862</v>
      </c>
      <c r="D59" s="1465"/>
      <c r="E59" s="1465"/>
      <c r="F59" s="1465"/>
      <c r="G59" s="1465"/>
      <c r="H59" s="1465"/>
      <c r="I59" s="1466"/>
      <c r="J59" s="1411"/>
      <c r="K59" s="1411"/>
      <c r="L59" s="1411"/>
      <c r="M59" s="1411"/>
      <c r="N59" s="1411"/>
      <c r="O59" s="1497"/>
      <c r="P59" s="1411"/>
      <c r="Q59" s="1411"/>
      <c r="R59" s="1474"/>
      <c r="S59" s="1475"/>
      <c r="T59" s="1384"/>
      <c r="U59" s="1385"/>
      <c r="V59" s="41"/>
    </row>
    <row r="60" spans="1:22" s="7" customFormat="1" ht="25.5">
      <c r="A60" s="1407" t="s">
        <v>863</v>
      </c>
      <c r="B60" s="2567"/>
      <c r="C60" s="159" t="s">
        <v>864</v>
      </c>
      <c r="D60" s="1498" t="s">
        <v>38</v>
      </c>
      <c r="E60" s="1486" t="s">
        <v>793</v>
      </c>
      <c r="F60" s="1429">
        <v>1</v>
      </c>
      <c r="G60" s="1499">
        <v>195.5</v>
      </c>
      <c r="H60" s="1429">
        <v>1</v>
      </c>
      <c r="I60" s="1500">
        <f>H60*G60*F60</f>
        <v>195.5</v>
      </c>
      <c r="J60" s="1411"/>
      <c r="K60" s="1411"/>
      <c r="L60" s="1429">
        <v>1</v>
      </c>
      <c r="M60" s="1499">
        <v>150</v>
      </c>
      <c r="N60" s="1429">
        <v>1</v>
      </c>
      <c r="O60" s="1499">
        <v>195.5</v>
      </c>
      <c r="P60" s="1411"/>
      <c r="Q60" s="1411"/>
      <c r="R60" s="1491">
        <f>O60+I60</f>
        <v>391</v>
      </c>
      <c r="S60" s="1492"/>
      <c r="T60" s="1384">
        <v>0</v>
      </c>
      <c r="U60" s="1385">
        <v>0</v>
      </c>
      <c r="V60" s="41"/>
    </row>
    <row r="61" spans="1:22" s="7" customFormat="1" ht="14.45" customHeight="1">
      <c r="B61" s="2532"/>
      <c r="C61" s="1440" t="s">
        <v>804</v>
      </c>
      <c r="D61" s="1440"/>
      <c r="E61" s="1440"/>
      <c r="F61" s="1440"/>
      <c r="G61" s="1440"/>
      <c r="H61" s="1440"/>
      <c r="I61" s="1501">
        <f>SUM(I60)</f>
        <v>195.5</v>
      </c>
      <c r="J61" s="1440"/>
      <c r="K61" s="1440"/>
      <c r="L61" s="1440"/>
      <c r="M61" s="1440"/>
      <c r="N61" s="1440"/>
      <c r="O61" s="1501">
        <f>SUM(O60)</f>
        <v>195.5</v>
      </c>
      <c r="P61" s="1502"/>
      <c r="Q61" s="1502"/>
      <c r="R61" s="1503">
        <f>SUM(R60)</f>
        <v>391</v>
      </c>
      <c r="S61" s="1504"/>
      <c r="T61" s="1505">
        <v>0</v>
      </c>
      <c r="U61" s="1399">
        <v>0</v>
      </c>
      <c r="V61" s="41"/>
    </row>
    <row r="62" spans="1:22" s="7" customFormat="1">
      <c r="B62" s="2531" t="s">
        <v>865</v>
      </c>
      <c r="C62" s="1369" t="s">
        <v>866</v>
      </c>
      <c r="D62" s="1465"/>
      <c r="E62" s="1465"/>
      <c r="F62" s="1465"/>
      <c r="G62" s="1465"/>
      <c r="H62" s="1465"/>
      <c r="I62" s="1473"/>
      <c r="J62" s="1506"/>
      <c r="K62" s="1506"/>
      <c r="L62" s="1506"/>
      <c r="M62" s="1506"/>
      <c r="N62" s="1506"/>
      <c r="O62" s="1507"/>
      <c r="P62" s="1506"/>
      <c r="Q62" s="1506"/>
      <c r="R62" s="1474"/>
      <c r="S62" s="1475"/>
      <c r="T62" s="1508"/>
      <c r="U62" s="1509"/>
      <c r="V62" s="41"/>
    </row>
    <row r="63" spans="1:22" s="7" customFormat="1" ht="14.45" customHeight="1">
      <c r="A63" s="7" t="s">
        <v>867</v>
      </c>
      <c r="B63" s="2567"/>
      <c r="C63" s="159" t="s">
        <v>868</v>
      </c>
      <c r="D63" s="1510" t="s">
        <v>40</v>
      </c>
      <c r="E63" s="1511" t="s">
        <v>793</v>
      </c>
      <c r="F63" s="1429">
        <v>1</v>
      </c>
      <c r="G63" s="1512">
        <v>1800</v>
      </c>
      <c r="H63" s="1429">
        <v>1</v>
      </c>
      <c r="I63" s="1513">
        <f>H63*G63*F63</f>
        <v>1800</v>
      </c>
      <c r="J63" s="1506"/>
      <c r="K63" s="1506"/>
      <c r="L63" s="1514"/>
      <c r="M63" s="1515"/>
      <c r="N63" s="1514">
        <v>1</v>
      </c>
      <c r="O63" s="1516">
        <f>N63*M63*L63</f>
        <v>0</v>
      </c>
      <c r="P63" s="1506"/>
      <c r="Q63" s="1506"/>
      <c r="R63" s="1491">
        <f>O63+I63</f>
        <v>1800</v>
      </c>
      <c r="S63" s="1492"/>
      <c r="T63" s="1384">
        <v>0</v>
      </c>
      <c r="U63" s="1385">
        <v>0</v>
      </c>
      <c r="V63" s="41"/>
    </row>
    <row r="64" spans="1:22" s="7" customFormat="1" ht="14.45" customHeight="1">
      <c r="B64" s="2567"/>
      <c r="C64" s="1386" t="s">
        <v>804</v>
      </c>
      <c r="D64" s="1386"/>
      <c r="E64" s="1386"/>
      <c r="F64" s="1386"/>
      <c r="G64" s="1386"/>
      <c r="H64" s="1386"/>
      <c r="I64" s="1391">
        <f>SUM(I63)</f>
        <v>1800</v>
      </c>
      <c r="J64" s="1440"/>
      <c r="K64" s="1440"/>
      <c r="L64" s="1440"/>
      <c r="M64" s="1440"/>
      <c r="N64" s="1440"/>
      <c r="O64" s="1452">
        <f>SUM(O63)</f>
        <v>0</v>
      </c>
      <c r="P64" s="1502"/>
      <c r="Q64" s="1502"/>
      <c r="R64" s="1503">
        <f>SUM(R63)</f>
        <v>1800</v>
      </c>
      <c r="S64" s="1504"/>
      <c r="T64" s="1505">
        <v>0</v>
      </c>
      <c r="U64" s="1399">
        <v>0</v>
      </c>
      <c r="V64" s="41"/>
    </row>
    <row r="65" spans="1:23" s="7" customFormat="1" ht="14.45" customHeight="1">
      <c r="B65" s="2567"/>
      <c r="C65" s="1369" t="s">
        <v>869</v>
      </c>
      <c r="D65" s="1465"/>
      <c r="E65" s="1465"/>
      <c r="F65" s="1465"/>
      <c r="G65" s="1465"/>
      <c r="H65" s="1465"/>
      <c r="I65" s="1473"/>
      <c r="J65" s="1506"/>
      <c r="K65" s="1506"/>
      <c r="L65" s="1506"/>
      <c r="M65" s="1506"/>
      <c r="N65" s="1506"/>
      <c r="O65" s="1507"/>
      <c r="P65" s="1506"/>
      <c r="Q65" s="1506"/>
      <c r="R65" s="1474"/>
      <c r="S65" s="1475"/>
      <c r="T65" s="1508"/>
      <c r="U65" s="1509"/>
      <c r="V65" s="41"/>
      <c r="W65" s="1"/>
    </row>
    <row r="66" spans="1:23" s="7" customFormat="1" ht="14.45" customHeight="1">
      <c r="A66" s="7" t="s">
        <v>870</v>
      </c>
      <c r="B66" s="2567"/>
      <c r="C66" s="159" t="s">
        <v>871</v>
      </c>
      <c r="D66" s="1510" t="s">
        <v>40</v>
      </c>
      <c r="E66" s="1511" t="s">
        <v>793</v>
      </c>
      <c r="F66" s="1429">
        <v>1</v>
      </c>
      <c r="G66" s="1512">
        <v>2500</v>
      </c>
      <c r="H66" s="1429">
        <v>1</v>
      </c>
      <c r="I66" s="1513">
        <f>H66*G66*F66</f>
        <v>2500</v>
      </c>
      <c r="J66" s="1506"/>
      <c r="K66" s="1506"/>
      <c r="L66" s="1514">
        <v>1</v>
      </c>
      <c r="M66" s="1515">
        <v>3000</v>
      </c>
      <c r="N66" s="1514">
        <v>1</v>
      </c>
      <c r="O66" s="1516">
        <f>N66*M66*L66</f>
        <v>3000</v>
      </c>
      <c r="P66" s="1506"/>
      <c r="Q66" s="1506"/>
      <c r="R66" s="1491">
        <f>O66+I66</f>
        <v>5500</v>
      </c>
      <c r="S66" s="1492"/>
      <c r="T66" s="1384">
        <v>0</v>
      </c>
      <c r="U66" s="1385">
        <v>0</v>
      </c>
      <c r="V66" s="41"/>
      <c r="W66" s="1"/>
    </row>
    <row r="67" spans="1:23" s="7" customFormat="1" ht="14.45" customHeight="1">
      <c r="B67" s="2567"/>
      <c r="C67" s="1386" t="s">
        <v>804</v>
      </c>
      <c r="D67" s="1386"/>
      <c r="E67" s="1386"/>
      <c r="F67" s="1386"/>
      <c r="G67" s="1386"/>
      <c r="H67" s="1386"/>
      <c r="I67" s="1391">
        <f>SUM(I66)</f>
        <v>2500</v>
      </c>
      <c r="J67" s="1440"/>
      <c r="K67" s="1440"/>
      <c r="L67" s="1440"/>
      <c r="M67" s="1440"/>
      <c r="N67" s="1440"/>
      <c r="O67" s="1452">
        <f>SUM(O66)</f>
        <v>3000</v>
      </c>
      <c r="P67" s="1502"/>
      <c r="Q67" s="1502"/>
      <c r="R67" s="1503">
        <f>SUM(R66)</f>
        <v>5500</v>
      </c>
      <c r="S67" s="1504"/>
      <c r="T67" s="1505">
        <v>0</v>
      </c>
      <c r="U67" s="1399">
        <v>0</v>
      </c>
      <c r="V67" s="41"/>
      <c r="W67" s="1"/>
    </row>
    <row r="68" spans="1:23" s="7" customFormat="1" ht="14.45" customHeight="1">
      <c r="B68" s="2567"/>
      <c r="C68" s="1369" t="s">
        <v>872</v>
      </c>
      <c r="D68" s="1465"/>
      <c r="E68" s="1465"/>
      <c r="F68" s="1465"/>
      <c r="G68" s="1465"/>
      <c r="H68" s="1465"/>
      <c r="I68" s="1473"/>
      <c r="J68" s="1506"/>
      <c r="K68" s="1506"/>
      <c r="L68" s="1506"/>
      <c r="M68" s="1506"/>
      <c r="N68" s="1506"/>
      <c r="O68" s="1507"/>
      <c r="P68" s="1506"/>
      <c r="Q68" s="1506"/>
      <c r="R68" s="1474"/>
      <c r="S68" s="1475"/>
      <c r="T68" s="1508"/>
      <c r="U68" s="1509"/>
      <c r="V68" s="41"/>
      <c r="W68" s="1"/>
    </row>
    <row r="69" spans="1:23" s="7" customFormat="1" ht="14.45" customHeight="1">
      <c r="B69" s="2567"/>
      <c r="C69" s="1517" t="s">
        <v>873</v>
      </c>
      <c r="D69" s="1518"/>
      <c r="E69" s="1434" t="s">
        <v>793</v>
      </c>
      <c r="F69" s="1517">
        <v>0</v>
      </c>
      <c r="G69" s="1517">
        <v>0</v>
      </c>
      <c r="H69" s="1517">
        <v>0</v>
      </c>
      <c r="I69" s="1519">
        <v>0</v>
      </c>
      <c r="J69" s="1506"/>
      <c r="K69" s="1506"/>
      <c r="L69" s="87">
        <v>0</v>
      </c>
      <c r="M69" s="87">
        <v>0</v>
      </c>
      <c r="N69" s="87">
        <v>0</v>
      </c>
      <c r="O69" s="1520">
        <v>0</v>
      </c>
      <c r="P69" s="1506"/>
      <c r="Q69" s="1506"/>
      <c r="R69" s="1474">
        <v>0</v>
      </c>
      <c r="S69" s="1475"/>
      <c r="T69" s="1508"/>
      <c r="U69" s="1385"/>
      <c r="V69" s="41"/>
      <c r="W69" s="1"/>
    </row>
    <row r="70" spans="1:23" s="7" customFormat="1" ht="14.45" customHeight="1">
      <c r="B70" s="2567"/>
      <c r="C70" s="1386" t="s">
        <v>804</v>
      </c>
      <c r="D70" s="1386"/>
      <c r="E70" s="1386"/>
      <c r="F70" s="1386"/>
      <c r="G70" s="1386"/>
      <c r="H70" s="1386"/>
      <c r="I70" s="1386">
        <f>SUM(I69)</f>
        <v>0</v>
      </c>
      <c r="J70" s="1440"/>
      <c r="K70" s="1440"/>
      <c r="L70" s="1521">
        <v>0</v>
      </c>
      <c r="M70" s="1521">
        <v>0</v>
      </c>
      <c r="N70" s="1521">
        <v>0</v>
      </c>
      <c r="O70" s="1521">
        <f>SUM(O69)</f>
        <v>0</v>
      </c>
      <c r="P70" s="1522"/>
      <c r="Q70" s="1522"/>
      <c r="R70" s="1523">
        <f>SUM(R69)</f>
        <v>0</v>
      </c>
      <c r="S70" s="1492"/>
      <c r="T70" s="1524">
        <v>0</v>
      </c>
      <c r="U70" s="1399"/>
      <c r="V70" s="41"/>
      <c r="W70" s="1"/>
    </row>
    <row r="71" spans="1:23" s="7" customFormat="1" ht="14.45" customHeight="1">
      <c r="B71" s="2567"/>
      <c r="C71" s="1369" t="s">
        <v>874</v>
      </c>
      <c r="D71" s="1465"/>
      <c r="E71" s="1465"/>
      <c r="F71" s="1465"/>
      <c r="G71" s="1465"/>
      <c r="H71" s="1465"/>
      <c r="I71" s="1473"/>
      <c r="J71" s="1525"/>
      <c r="K71" s="1525"/>
      <c r="L71" s="1525"/>
      <c r="M71" s="1525"/>
      <c r="N71" s="1525"/>
      <c r="O71" s="1526"/>
      <c r="P71" s="1525"/>
      <c r="Q71" s="1525"/>
      <c r="R71" s="1527"/>
      <c r="S71" s="1528"/>
      <c r="T71" s="1529"/>
      <c r="U71" s="1530"/>
      <c r="V71" s="41"/>
      <c r="W71" s="1"/>
    </row>
    <row r="72" spans="1:23" s="7" customFormat="1" ht="14.45" customHeight="1">
      <c r="A72" s="1407" t="s">
        <v>875</v>
      </c>
      <c r="B72" s="2567"/>
      <c r="C72" s="159" t="s">
        <v>876</v>
      </c>
      <c r="D72" s="1531" t="s">
        <v>40</v>
      </c>
      <c r="E72" s="1434" t="s">
        <v>793</v>
      </c>
      <c r="F72" s="83">
        <v>0</v>
      </c>
      <c r="G72" s="1499">
        <v>0</v>
      </c>
      <c r="H72" s="83">
        <v>0</v>
      </c>
      <c r="I72" s="1500">
        <f>H72*G72*F72</f>
        <v>0</v>
      </c>
      <c r="J72" s="1525"/>
      <c r="K72" s="1525"/>
      <c r="L72" s="87">
        <v>2</v>
      </c>
      <c r="M72" s="1532">
        <v>1800</v>
      </c>
      <c r="N72" s="87">
        <v>2</v>
      </c>
      <c r="O72" s="1533">
        <f>N72*M72*L72</f>
        <v>7200</v>
      </c>
      <c r="P72" s="1525"/>
      <c r="Q72" s="1525"/>
      <c r="R72" s="1491">
        <f>O72+I72</f>
        <v>7200</v>
      </c>
      <c r="S72" s="1492"/>
      <c r="T72" s="1384">
        <v>0</v>
      </c>
      <c r="U72" s="1385"/>
      <c r="V72" s="41"/>
      <c r="W72" s="1"/>
    </row>
    <row r="73" spans="1:23" s="7" customFormat="1" ht="14.45" customHeight="1">
      <c r="A73" s="7" t="s">
        <v>877</v>
      </c>
      <c r="B73" s="2567"/>
      <c r="C73" s="33" t="s">
        <v>878</v>
      </c>
      <c r="D73" s="1534" t="s">
        <v>33</v>
      </c>
      <c r="E73" s="1535" t="s">
        <v>793</v>
      </c>
      <c r="F73" s="87">
        <v>0</v>
      </c>
      <c r="G73" s="1532">
        <v>0</v>
      </c>
      <c r="H73" s="87">
        <v>0</v>
      </c>
      <c r="I73" s="1533">
        <f t="shared" ref="I73:I74" si="8">H73*G73*F73</f>
        <v>0</v>
      </c>
      <c r="J73" s="1525"/>
      <c r="K73" s="1525"/>
      <c r="L73" s="87">
        <v>1</v>
      </c>
      <c r="M73" s="1515">
        <v>40000</v>
      </c>
      <c r="N73" s="87">
        <v>1</v>
      </c>
      <c r="O73" s="1516">
        <f>N73*M73*L73</f>
        <v>40000</v>
      </c>
      <c r="P73" s="1525"/>
      <c r="Q73" s="1525"/>
      <c r="R73" s="1491">
        <f t="shared" ref="R73:R74" si="9">O73+I73</f>
        <v>40000</v>
      </c>
      <c r="S73" s="1492"/>
      <c r="T73" s="1384">
        <v>0</v>
      </c>
      <c r="U73" s="1385"/>
      <c r="V73" s="41"/>
      <c r="W73" s="1"/>
    </row>
    <row r="74" spans="1:23" s="7" customFormat="1" ht="25.5">
      <c r="A74" s="7" t="s">
        <v>879</v>
      </c>
      <c r="B74" s="2567"/>
      <c r="C74" s="1536" t="s">
        <v>880</v>
      </c>
      <c r="D74" s="1537" t="s">
        <v>38</v>
      </c>
      <c r="E74" s="1535" t="s">
        <v>793</v>
      </c>
      <c r="F74" s="87">
        <v>0</v>
      </c>
      <c r="G74" s="1532">
        <v>0</v>
      </c>
      <c r="H74" s="87">
        <v>0</v>
      </c>
      <c r="I74" s="1533">
        <f t="shared" si="8"/>
        <v>0</v>
      </c>
      <c r="J74" s="1525"/>
      <c r="K74" s="1525"/>
      <c r="L74" s="87">
        <v>1</v>
      </c>
      <c r="M74" s="1532">
        <v>3500</v>
      </c>
      <c r="N74" s="87">
        <v>1</v>
      </c>
      <c r="O74" s="1533">
        <f>N74*M74*L74</f>
        <v>3500</v>
      </c>
      <c r="P74" s="1525"/>
      <c r="Q74" s="1525"/>
      <c r="R74" s="1491">
        <f t="shared" si="9"/>
        <v>3500</v>
      </c>
      <c r="S74" s="1492"/>
      <c r="T74" s="1384">
        <v>0</v>
      </c>
      <c r="U74" s="1385"/>
      <c r="V74" s="41"/>
      <c r="W74" s="1"/>
    </row>
    <row r="75" spans="1:23" s="7" customFormat="1" ht="14.45" customHeight="1">
      <c r="B75" s="2532"/>
      <c r="C75" s="1440" t="s">
        <v>804</v>
      </c>
      <c r="D75" s="1440"/>
      <c r="E75" s="1440"/>
      <c r="F75" s="1440"/>
      <c r="G75" s="1440"/>
      <c r="H75" s="1440"/>
      <c r="I75" s="1493">
        <f>SUM(I72:I74)</f>
        <v>0</v>
      </c>
      <c r="J75" s="1522"/>
      <c r="K75" s="1522"/>
      <c r="L75" s="1440"/>
      <c r="M75" s="1440"/>
      <c r="N75" s="1440"/>
      <c r="O75" s="1452">
        <f>SUM(O72:O74)</f>
        <v>50700</v>
      </c>
      <c r="P75" s="1522"/>
      <c r="Q75" s="1522"/>
      <c r="R75" s="1452">
        <f>SUM(R72:R74)</f>
        <v>50700</v>
      </c>
      <c r="S75" s="1538"/>
      <c r="T75" s="1539">
        <v>0</v>
      </c>
      <c r="U75" s="1399"/>
      <c r="V75" s="41"/>
      <c r="W75" s="1"/>
    </row>
    <row r="76" spans="1:23" s="7" customFormat="1" ht="14.45" customHeight="1">
      <c r="B76" s="1455"/>
      <c r="C76" s="1455"/>
      <c r="D76" s="1455"/>
      <c r="E76" s="1455"/>
      <c r="F76" s="1455"/>
      <c r="G76" s="1455"/>
      <c r="H76" s="1455"/>
      <c r="I76" s="1456">
        <f>I48+I52+I55+I58+I61+I64+I67+I70+I75</f>
        <v>9395.5</v>
      </c>
      <c r="J76" s="1540"/>
      <c r="K76" s="1540"/>
      <c r="L76" s="1540"/>
      <c r="M76" s="1540"/>
      <c r="N76" s="1540"/>
      <c r="O76" s="1541">
        <f>O48+O52+O55+O58+O61+O64+O67+O70+O75</f>
        <v>66645.5</v>
      </c>
      <c r="P76" s="1540"/>
      <c r="Q76" s="1542"/>
      <c r="R76" s="1459">
        <f>R48+R52+R55+R58+R61+R64+R67+R70+R75</f>
        <v>76041</v>
      </c>
      <c r="S76" s="1460"/>
      <c r="T76" s="1459">
        <v>9049</v>
      </c>
      <c r="U76" s="1461">
        <v>0.96312064286094412</v>
      </c>
      <c r="V76" s="41"/>
      <c r="W76" s="1"/>
    </row>
    <row r="77" spans="1:23" s="7" customFormat="1" ht="14.45" customHeight="1">
      <c r="B77" s="1363" t="s">
        <v>881</v>
      </c>
      <c r="C77" s="1462"/>
      <c r="D77" s="1462"/>
      <c r="E77" s="1462"/>
      <c r="F77" s="1462"/>
      <c r="G77" s="1462"/>
      <c r="H77" s="1462"/>
      <c r="I77" s="1462"/>
      <c r="J77" s="1462"/>
      <c r="K77" s="1462"/>
      <c r="L77" s="1462"/>
      <c r="M77" s="1462"/>
      <c r="N77" s="1462"/>
      <c r="O77" s="1462"/>
      <c r="P77" s="1462"/>
      <c r="Q77" s="1462"/>
      <c r="R77" s="1888"/>
      <c r="S77" s="1543"/>
      <c r="T77" s="1544"/>
      <c r="U77" s="1464"/>
      <c r="V77" s="1899" t="s">
        <v>1021</v>
      </c>
      <c r="W77" s="1"/>
    </row>
    <row r="78" spans="1:23" s="7" customFormat="1" ht="15">
      <c r="B78" s="2561" t="s">
        <v>882</v>
      </c>
      <c r="C78" s="1545" t="s">
        <v>883</v>
      </c>
      <c r="D78" s="1465"/>
      <c r="E78" s="1465"/>
      <c r="F78" s="1465"/>
      <c r="G78" s="1465"/>
      <c r="H78" s="1465"/>
      <c r="I78" s="1473"/>
      <c r="J78" s="1525"/>
      <c r="K78" s="1525"/>
      <c r="L78" s="1525"/>
      <c r="M78" s="1525"/>
      <c r="N78" s="1525"/>
      <c r="O78" s="1526"/>
      <c r="P78" s="1525"/>
      <c r="Q78" s="1525"/>
      <c r="R78" s="1527"/>
      <c r="S78" s="1528"/>
      <c r="T78" s="1529"/>
      <c r="U78" s="1530"/>
      <c r="V78" s="41"/>
      <c r="W78" s="1"/>
    </row>
    <row r="79" spans="1:23" s="7" customFormat="1" ht="15" customHeight="1">
      <c r="A79" s="7" t="s">
        <v>884</v>
      </c>
      <c r="B79" s="2562"/>
      <c r="C79" s="159" t="s">
        <v>885</v>
      </c>
      <c r="D79" s="1546" t="s">
        <v>40</v>
      </c>
      <c r="E79" s="1511" t="s">
        <v>793</v>
      </c>
      <c r="F79" s="83">
        <v>1</v>
      </c>
      <c r="G79" s="83">
        <v>1500</v>
      </c>
      <c r="H79" s="83">
        <v>2</v>
      </c>
      <c r="I79" s="1409">
        <f>H79*G79*F79</f>
        <v>3000</v>
      </c>
      <c r="J79" s="1525"/>
      <c r="K79" s="1525"/>
      <c r="L79" s="87">
        <v>0</v>
      </c>
      <c r="M79" s="87">
        <v>0</v>
      </c>
      <c r="N79" s="87">
        <v>0</v>
      </c>
      <c r="O79" s="1547">
        <f>N79*M79*L79</f>
        <v>0</v>
      </c>
      <c r="P79" s="1525"/>
      <c r="Q79" s="1525"/>
      <c r="R79" s="1491">
        <f t="shared" ref="R79:R92" si="10">O79+I79</f>
        <v>3000</v>
      </c>
      <c r="S79" s="1492"/>
      <c r="T79" s="1384">
        <v>4256.5</v>
      </c>
      <c r="U79" s="1385">
        <v>1.4188333333333334</v>
      </c>
      <c r="V79" s="1900"/>
      <c r="W79" s="1"/>
    </row>
    <row r="80" spans="1:23" s="7" customFormat="1" ht="63.75">
      <c r="B80" s="2562"/>
      <c r="C80" s="1386" t="s">
        <v>886</v>
      </c>
      <c r="D80" s="1386"/>
      <c r="E80" s="1386"/>
      <c r="F80" s="1386"/>
      <c r="G80" s="1386"/>
      <c r="H80" s="1386"/>
      <c r="I80" s="1548">
        <f>SUM(I79)</f>
        <v>3000</v>
      </c>
      <c r="J80" s="1440"/>
      <c r="K80" s="1440"/>
      <c r="L80" s="1440"/>
      <c r="M80" s="1440"/>
      <c r="N80" s="1440"/>
      <c r="O80" s="1549">
        <f>SUM(O79)</f>
        <v>0</v>
      </c>
      <c r="P80" s="1522"/>
      <c r="Q80" s="1522"/>
      <c r="R80" s="1503">
        <f>SUM(R79)</f>
        <v>3000</v>
      </c>
      <c r="S80" s="1504"/>
      <c r="T80" s="1505">
        <v>4256.5</v>
      </c>
      <c r="U80" s="1901">
        <v>1.4188333333333334</v>
      </c>
      <c r="V80" s="1902" t="s">
        <v>1022</v>
      </c>
      <c r="W80" s="21"/>
    </row>
    <row r="81" spans="1:47" ht="14.45" customHeight="1">
      <c r="B81" s="2562"/>
      <c r="C81" s="1545" t="s">
        <v>887</v>
      </c>
      <c r="D81" s="1465"/>
      <c r="E81" s="1465"/>
      <c r="F81" s="1465"/>
      <c r="G81" s="1465"/>
      <c r="H81" s="1465"/>
      <c r="I81" s="1473"/>
      <c r="J81" s="1525"/>
      <c r="K81" s="1525"/>
      <c r="L81" s="1525"/>
      <c r="M81" s="1525"/>
      <c r="N81" s="1525"/>
      <c r="O81" s="1526"/>
      <c r="P81" s="1525"/>
      <c r="Q81" s="1525"/>
      <c r="R81" s="1491"/>
      <c r="S81" s="1492"/>
      <c r="T81" s="1529"/>
      <c r="U81" s="1530"/>
      <c r="V81" s="41"/>
    </row>
    <row r="82" spans="1:47" ht="25.5">
      <c r="A82" s="1407" t="s">
        <v>888</v>
      </c>
      <c r="B82" s="2562"/>
      <c r="C82" s="159" t="s">
        <v>889</v>
      </c>
      <c r="D82" s="1485" t="s">
        <v>38</v>
      </c>
      <c r="E82" s="1486" t="s">
        <v>793</v>
      </c>
      <c r="F82" s="83">
        <v>2</v>
      </c>
      <c r="G82" s="83">
        <v>300</v>
      </c>
      <c r="H82" s="83">
        <v>1</v>
      </c>
      <c r="I82" s="1402">
        <f>H82*G82*F82</f>
        <v>600</v>
      </c>
      <c r="J82" s="1525"/>
      <c r="K82" s="1525"/>
      <c r="L82" s="87">
        <v>0</v>
      </c>
      <c r="M82" s="87">
        <v>0</v>
      </c>
      <c r="N82" s="87">
        <v>0</v>
      </c>
      <c r="O82" s="1550">
        <f>N82*M82*L82</f>
        <v>0</v>
      </c>
      <c r="P82" s="1525"/>
      <c r="Q82" s="1525"/>
      <c r="R82" s="1491">
        <f t="shared" si="10"/>
        <v>600</v>
      </c>
      <c r="S82" s="1492"/>
      <c r="T82" s="1384">
        <v>0</v>
      </c>
      <c r="U82" s="1385">
        <v>0</v>
      </c>
      <c r="V82" s="41"/>
    </row>
    <row r="83" spans="1:47">
      <c r="B83" s="2562"/>
      <c r="C83" s="1386" t="s">
        <v>886</v>
      </c>
      <c r="D83" s="1386"/>
      <c r="E83" s="1386"/>
      <c r="F83" s="1386"/>
      <c r="G83" s="1386"/>
      <c r="H83" s="1386"/>
      <c r="I83" s="1548">
        <f>SUM(I82)</f>
        <v>600</v>
      </c>
      <c r="J83" s="1440"/>
      <c r="K83" s="1440"/>
      <c r="L83" s="1440"/>
      <c r="M83" s="1440"/>
      <c r="N83" s="1440"/>
      <c r="O83" s="1549">
        <f>SUM(O82)</f>
        <v>0</v>
      </c>
      <c r="P83" s="1522"/>
      <c r="Q83" s="1522"/>
      <c r="R83" s="1503">
        <f>SUM(R81:R82)</f>
        <v>600</v>
      </c>
      <c r="S83" s="1504"/>
      <c r="T83" s="1505">
        <v>0</v>
      </c>
      <c r="U83" s="1399">
        <v>0</v>
      </c>
      <c r="V83" s="41"/>
    </row>
    <row r="84" spans="1:47" ht="14.45" customHeight="1">
      <c r="B84" s="2562"/>
      <c r="C84" s="1545" t="s">
        <v>890</v>
      </c>
      <c r="D84" s="1465"/>
      <c r="E84" s="1465"/>
      <c r="F84" s="1465"/>
      <c r="G84" s="1465"/>
      <c r="H84" s="1465"/>
      <c r="I84" s="1551"/>
      <c r="J84" s="1525"/>
      <c r="K84" s="1525"/>
      <c r="L84" s="1525"/>
      <c r="M84" s="1525"/>
      <c r="N84" s="1525"/>
      <c r="O84" s="1526"/>
      <c r="P84" s="1525"/>
      <c r="Q84" s="1525"/>
      <c r="R84" s="1491"/>
      <c r="S84" s="1492"/>
      <c r="T84" s="1529"/>
      <c r="U84" s="1530"/>
      <c r="V84" s="41"/>
    </row>
    <row r="85" spans="1:47" ht="25.5">
      <c r="A85" s="1407" t="s">
        <v>891</v>
      </c>
      <c r="B85" s="2563"/>
      <c r="C85" s="1517" t="s">
        <v>892</v>
      </c>
      <c r="D85" s="1485" t="s">
        <v>810</v>
      </c>
      <c r="E85" s="1486" t="s">
        <v>793</v>
      </c>
      <c r="F85" s="83">
        <v>1</v>
      </c>
      <c r="G85" s="83">
        <v>400</v>
      </c>
      <c r="H85" s="83">
        <v>1</v>
      </c>
      <c r="I85" s="1402">
        <f>H85*G85*F85</f>
        <v>400</v>
      </c>
      <c r="J85" s="1525"/>
      <c r="K85" s="1525"/>
      <c r="L85" s="87"/>
      <c r="M85" s="87">
        <v>0</v>
      </c>
      <c r="N85" s="87">
        <v>0</v>
      </c>
      <c r="O85" s="1550">
        <f>N85*M85*L85</f>
        <v>0</v>
      </c>
      <c r="P85" s="1525"/>
      <c r="Q85" s="1525"/>
      <c r="R85" s="1491">
        <f t="shared" si="10"/>
        <v>400</v>
      </c>
      <c r="S85" s="1492"/>
      <c r="T85" s="1384">
        <v>0</v>
      </c>
      <c r="U85" s="1530"/>
      <c r="V85" s="41"/>
    </row>
    <row r="86" spans="1:47" ht="14.45" customHeight="1">
      <c r="B86" s="1552"/>
      <c r="C86" s="1386" t="s">
        <v>886</v>
      </c>
      <c r="D86" s="1386"/>
      <c r="E86" s="1386"/>
      <c r="F86" s="1386"/>
      <c r="G86" s="1386"/>
      <c r="H86" s="1386"/>
      <c r="I86" s="1548">
        <f>SUM(I85)</f>
        <v>400</v>
      </c>
      <c r="J86" s="1440"/>
      <c r="K86" s="1440"/>
      <c r="L86" s="1440"/>
      <c r="M86" s="1440"/>
      <c r="N86" s="1440"/>
      <c r="O86" s="1549">
        <f>SUM(O85)</f>
        <v>0</v>
      </c>
      <c r="P86" s="1522"/>
      <c r="Q86" s="1522"/>
      <c r="R86" s="1503">
        <f>SUM(R84:R85)</f>
        <v>400</v>
      </c>
      <c r="S86" s="1504"/>
      <c r="T86" s="1505">
        <v>0</v>
      </c>
      <c r="U86" s="1399">
        <v>0</v>
      </c>
      <c r="V86" s="41"/>
    </row>
    <row r="87" spans="1:47" ht="15">
      <c r="B87" s="2501" t="s">
        <v>893</v>
      </c>
      <c r="C87" s="1545" t="s">
        <v>894</v>
      </c>
      <c r="D87" s="1465"/>
      <c r="E87" s="1465"/>
      <c r="F87" s="1465"/>
      <c r="G87" s="1465"/>
      <c r="H87" s="1465"/>
      <c r="I87" s="1473"/>
      <c r="J87" s="1525"/>
      <c r="K87" s="1525"/>
      <c r="L87" s="1525"/>
      <c r="M87" s="1525"/>
      <c r="N87" s="1525"/>
      <c r="O87" s="1526"/>
      <c r="P87" s="1525"/>
      <c r="Q87" s="1525"/>
      <c r="R87" s="1491"/>
      <c r="S87" s="1492"/>
      <c r="T87" s="1529"/>
      <c r="U87" s="1530"/>
      <c r="V87" s="41"/>
    </row>
    <row r="88" spans="1:47" ht="37.9" customHeight="1">
      <c r="A88" s="1407" t="s">
        <v>895</v>
      </c>
      <c r="B88" s="2502"/>
      <c r="C88" s="159" t="s">
        <v>896</v>
      </c>
      <c r="D88" s="1408" t="s">
        <v>810</v>
      </c>
      <c r="E88" s="1434"/>
      <c r="F88" s="67">
        <v>2</v>
      </c>
      <c r="G88" s="1553">
        <v>1300</v>
      </c>
      <c r="H88" s="67">
        <v>1</v>
      </c>
      <c r="I88" s="1402">
        <f>H88*G88*F88</f>
        <v>2600</v>
      </c>
      <c r="J88" s="1525"/>
      <c r="K88" s="1525"/>
      <c r="L88" s="862">
        <v>0</v>
      </c>
      <c r="M88" s="1554">
        <v>0</v>
      </c>
      <c r="N88" s="862">
        <v>0</v>
      </c>
      <c r="O88" s="1550">
        <f>N88*M88*L88</f>
        <v>0</v>
      </c>
      <c r="P88" s="1525"/>
      <c r="Q88" s="1525"/>
      <c r="R88" s="1491">
        <f t="shared" si="10"/>
        <v>2600</v>
      </c>
      <c r="S88" s="1492"/>
      <c r="T88" s="1384">
        <v>0</v>
      </c>
      <c r="U88" s="1385">
        <v>0</v>
      </c>
      <c r="V88" s="41"/>
    </row>
    <row r="89" spans="1:47" ht="31.9" customHeight="1">
      <c r="B89" s="2510"/>
      <c r="C89" s="1386" t="s">
        <v>886</v>
      </c>
      <c r="D89" s="1386"/>
      <c r="E89" s="1386"/>
      <c r="F89" s="1386"/>
      <c r="G89" s="1386"/>
      <c r="H89" s="1386"/>
      <c r="I89" s="1548">
        <f>SUM(I88)</f>
        <v>2600</v>
      </c>
      <c r="J89" s="1440"/>
      <c r="K89" s="1440"/>
      <c r="L89" s="1440"/>
      <c r="M89" s="1440"/>
      <c r="N89" s="1440"/>
      <c r="O89" s="1549">
        <f>SUM(O88)</f>
        <v>0</v>
      </c>
      <c r="P89" s="1522"/>
      <c r="Q89" s="1522"/>
      <c r="R89" s="1503">
        <f>SUM(R87:R88)</f>
        <v>2600</v>
      </c>
      <c r="S89" s="1504"/>
      <c r="T89" s="1505">
        <v>0</v>
      </c>
      <c r="U89" s="1399">
        <v>0</v>
      </c>
      <c r="V89" s="41"/>
    </row>
    <row r="90" spans="1:47" ht="15">
      <c r="B90" s="2501" t="s">
        <v>897</v>
      </c>
      <c r="C90" s="1545" t="s">
        <v>898</v>
      </c>
      <c r="D90" s="1465"/>
      <c r="E90" s="1465"/>
      <c r="F90" s="1465"/>
      <c r="G90" s="1465"/>
      <c r="H90" s="1465"/>
      <c r="I90" s="1473"/>
      <c r="J90" s="1525"/>
      <c r="K90" s="1525"/>
      <c r="L90" s="1525"/>
      <c r="M90" s="1525"/>
      <c r="N90" s="1525"/>
      <c r="O90" s="1526"/>
      <c r="P90" s="1525"/>
      <c r="Q90" s="1525"/>
      <c r="R90" s="1491"/>
      <c r="S90" s="1492"/>
      <c r="T90" s="1529"/>
      <c r="U90" s="1530"/>
      <c r="V90" s="41"/>
    </row>
    <row r="91" spans="1:47" ht="27.75" customHeight="1">
      <c r="A91" s="610" t="s">
        <v>899</v>
      </c>
      <c r="B91" s="2502"/>
      <c r="C91" s="160" t="s">
        <v>900</v>
      </c>
      <c r="D91" s="1408" t="s">
        <v>38</v>
      </c>
      <c r="E91" s="1434"/>
      <c r="F91" s="83">
        <v>2</v>
      </c>
      <c r="G91" s="1486">
        <v>9000</v>
      </c>
      <c r="H91" s="83">
        <v>2</v>
      </c>
      <c r="I91" s="1402">
        <f>H91*G91*F91</f>
        <v>36000</v>
      </c>
      <c r="J91" s="1525"/>
      <c r="K91" s="1555"/>
      <c r="L91" s="87">
        <v>0</v>
      </c>
      <c r="M91" s="87">
        <v>0</v>
      </c>
      <c r="N91" s="87">
        <v>0</v>
      </c>
      <c r="O91" s="1550">
        <f>N91*M91*L91</f>
        <v>0</v>
      </c>
      <c r="P91" s="1556"/>
      <c r="Q91" s="1556"/>
      <c r="R91" s="1491">
        <f>O91+I91</f>
        <v>36000</v>
      </c>
      <c r="S91" s="1492"/>
      <c r="T91" s="1384">
        <v>0</v>
      </c>
      <c r="U91" s="1385">
        <v>0</v>
      </c>
      <c r="V91" s="41"/>
    </row>
    <row r="92" spans="1:47" ht="27" customHeight="1">
      <c r="A92" s="1407" t="s">
        <v>901</v>
      </c>
      <c r="B92" s="2502"/>
      <c r="C92" s="33" t="s">
        <v>902</v>
      </c>
      <c r="D92" s="1557" t="s">
        <v>38</v>
      </c>
      <c r="E92" s="1535"/>
      <c r="F92" s="87">
        <v>0</v>
      </c>
      <c r="G92" s="87">
        <v>0</v>
      </c>
      <c r="H92" s="87">
        <v>0</v>
      </c>
      <c r="I92" s="1550">
        <f>H92*G92*F92</f>
        <v>0</v>
      </c>
      <c r="J92" s="1525"/>
      <c r="K92" s="1525"/>
      <c r="L92" s="87">
        <v>2</v>
      </c>
      <c r="M92" s="87">
        <v>750</v>
      </c>
      <c r="N92" s="87">
        <v>2</v>
      </c>
      <c r="O92" s="1550">
        <f>N92*M92*L92</f>
        <v>3000</v>
      </c>
      <c r="P92" s="1525"/>
      <c r="Q92" s="1525"/>
      <c r="R92" s="1491">
        <f t="shared" si="10"/>
        <v>3000</v>
      </c>
      <c r="S92" s="1492"/>
      <c r="T92" s="1384">
        <v>0</v>
      </c>
      <c r="U92" s="1385"/>
      <c r="V92" s="41"/>
    </row>
    <row r="93" spans="1:47" ht="28.15" customHeight="1">
      <c r="B93" s="2510"/>
      <c r="C93" s="1440" t="s">
        <v>886</v>
      </c>
      <c r="D93" s="1440"/>
      <c r="E93" s="1440"/>
      <c r="F93" s="1440"/>
      <c r="G93" s="1440"/>
      <c r="H93" s="1440"/>
      <c r="I93" s="1558">
        <f>SUM(I91:I92)</f>
        <v>36000</v>
      </c>
      <c r="J93" s="1440"/>
      <c r="K93" s="1440"/>
      <c r="L93" s="1440"/>
      <c r="M93" s="1440"/>
      <c r="N93" s="1440"/>
      <c r="O93" s="1558">
        <f>SUM(O91:O92)</f>
        <v>3000</v>
      </c>
      <c r="P93" s="1522"/>
      <c r="Q93" s="1522"/>
      <c r="R93" s="1503">
        <f>SUM(R91:R92)</f>
        <v>39000</v>
      </c>
      <c r="S93" s="1504"/>
      <c r="T93" s="1505">
        <v>0</v>
      </c>
      <c r="U93" s="1399">
        <v>0</v>
      </c>
      <c r="V93" s="41"/>
    </row>
    <row r="94" spans="1:47" ht="14.45" customHeight="1">
      <c r="B94" s="1454" t="s">
        <v>903</v>
      </c>
      <c r="C94" s="1455"/>
      <c r="D94" s="1455"/>
      <c r="E94" s="1455"/>
      <c r="F94" s="1455"/>
      <c r="G94" s="1455"/>
      <c r="H94" s="1455"/>
      <c r="I94" s="1456">
        <f>I80+I83+I86+I89+I93</f>
        <v>42600</v>
      </c>
      <c r="J94" s="1540"/>
      <c r="K94" s="1540"/>
      <c r="L94" s="1540"/>
      <c r="M94" s="1540"/>
      <c r="N94" s="1540"/>
      <c r="O94" s="1456">
        <f>O80+O83+O86+O89+O93</f>
        <v>3000</v>
      </c>
      <c r="P94" s="1540"/>
      <c r="Q94" s="1540"/>
      <c r="R94" s="1459">
        <f>R80+R83+R86+R89+R93</f>
        <v>45600</v>
      </c>
      <c r="S94" s="1460"/>
      <c r="T94" s="1459">
        <v>4256.5</v>
      </c>
      <c r="U94" s="1461">
        <v>9.9917840375586861E-2</v>
      </c>
      <c r="V94" s="41"/>
      <c r="W94" s="21"/>
    </row>
    <row r="95" spans="1:47" ht="14.45" customHeight="1">
      <c r="B95" s="1886" t="s">
        <v>314</v>
      </c>
      <c r="C95" s="1886"/>
      <c r="D95" s="1455"/>
      <c r="E95" s="1455"/>
      <c r="F95" s="1455"/>
      <c r="G95" s="1455"/>
      <c r="H95" s="1455"/>
      <c r="I95" s="1456">
        <f>I44+I76+I94</f>
        <v>112385.5</v>
      </c>
      <c r="J95" s="1540"/>
      <c r="K95" s="1540"/>
      <c r="L95" s="1540"/>
      <c r="M95" s="1540"/>
      <c r="N95" s="1540"/>
      <c r="O95" s="1456">
        <f>O44+O76+O94</f>
        <v>140885.5</v>
      </c>
      <c r="P95" s="1540"/>
      <c r="Q95" s="1540"/>
      <c r="R95" s="1459">
        <f>R44+R76+R94</f>
        <v>253271</v>
      </c>
      <c r="S95" s="1460"/>
      <c r="T95" s="1459">
        <v>20431.34</v>
      </c>
      <c r="U95" s="1461">
        <v>0.18179693999670776</v>
      </c>
      <c r="V95" s="41"/>
    </row>
    <row r="96" spans="1:47" s="1559" customFormat="1" ht="30" customHeight="1">
      <c r="B96" s="1560" t="s">
        <v>416</v>
      </c>
      <c r="C96" s="1560"/>
      <c r="D96" s="1560"/>
      <c r="E96" s="1561"/>
      <c r="F96" s="1561"/>
      <c r="G96" s="1561"/>
      <c r="H96" s="1561"/>
      <c r="I96" s="1561"/>
      <c r="J96" s="1562"/>
      <c r="K96" s="1562"/>
      <c r="L96" s="1563"/>
      <c r="M96" s="1562"/>
      <c r="N96" s="1562"/>
      <c r="O96" s="1564"/>
      <c r="P96" s="1562"/>
      <c r="Q96" s="1562"/>
      <c r="R96" s="1564"/>
      <c r="S96" s="1565"/>
      <c r="T96" s="1566"/>
      <c r="U96" s="1567"/>
      <c r="V96" s="1903"/>
      <c r="W96" s="1"/>
      <c r="X96" s="775"/>
      <c r="Y96" s="775"/>
      <c r="Z96" s="775"/>
      <c r="AA96" s="775"/>
      <c r="AB96" s="775"/>
      <c r="AC96" s="775"/>
      <c r="AD96" s="775"/>
      <c r="AE96" s="775"/>
      <c r="AF96" s="775"/>
      <c r="AG96" s="775"/>
      <c r="AH96" s="775"/>
      <c r="AI96" s="775"/>
      <c r="AJ96" s="775"/>
      <c r="AK96" s="775"/>
      <c r="AL96" s="775"/>
      <c r="AM96" s="775"/>
      <c r="AN96" s="775"/>
      <c r="AO96" s="775"/>
      <c r="AP96" s="775"/>
      <c r="AQ96" s="775"/>
      <c r="AR96" s="775"/>
      <c r="AS96" s="775"/>
      <c r="AT96" s="775"/>
      <c r="AU96" s="775"/>
    </row>
    <row r="97" spans="1:47" s="1559" customFormat="1" ht="24.75" customHeight="1">
      <c r="B97" s="2501" t="s">
        <v>904</v>
      </c>
      <c r="C97" s="1568" t="s">
        <v>905</v>
      </c>
      <c r="D97" s="52"/>
      <c r="E97" s="1511"/>
      <c r="F97" s="1511"/>
      <c r="G97" s="1569"/>
      <c r="H97" s="1511"/>
      <c r="I97" s="1570"/>
      <c r="J97" s="1571"/>
      <c r="K97" s="1571"/>
      <c r="L97" s="1572"/>
      <c r="M97" s="1573"/>
      <c r="N97" s="1573"/>
      <c r="O97" s="1574"/>
      <c r="P97" s="1575"/>
      <c r="Q97" s="1575"/>
      <c r="R97" s="1576"/>
      <c r="S97" s="1577"/>
      <c r="T97" s="1578"/>
      <c r="U97" s="1579"/>
      <c r="V97" s="1903"/>
      <c r="W97" s="1"/>
      <c r="X97" s="775"/>
      <c r="Y97" s="775"/>
      <c r="Z97" s="775"/>
      <c r="AA97" s="775"/>
      <c r="AB97" s="775"/>
      <c r="AC97" s="775"/>
      <c r="AD97" s="775"/>
      <c r="AE97" s="775"/>
      <c r="AF97" s="775"/>
      <c r="AG97" s="775"/>
      <c r="AH97" s="775"/>
      <c r="AI97" s="775"/>
      <c r="AJ97" s="775"/>
      <c r="AK97" s="775"/>
      <c r="AL97" s="775"/>
      <c r="AM97" s="775"/>
      <c r="AN97" s="775"/>
      <c r="AO97" s="775"/>
      <c r="AP97" s="775"/>
      <c r="AQ97" s="775"/>
      <c r="AR97" s="775"/>
      <c r="AS97" s="775"/>
      <c r="AT97" s="775"/>
      <c r="AU97" s="775"/>
    </row>
    <row r="98" spans="1:47" s="1559" customFormat="1" ht="14.45" customHeight="1">
      <c r="A98" s="1559" t="s">
        <v>906</v>
      </c>
      <c r="B98" s="2502"/>
      <c r="C98" s="1580" t="s">
        <v>907</v>
      </c>
      <c r="D98" s="1581" t="s">
        <v>33</v>
      </c>
      <c r="E98" s="1511" t="s">
        <v>908</v>
      </c>
      <c r="F98" s="1511"/>
      <c r="G98" s="1569"/>
      <c r="H98" s="1511"/>
      <c r="I98" s="1574">
        <f>F98*G98*H98</f>
        <v>0</v>
      </c>
      <c r="J98" s="1582">
        <v>0.3</v>
      </c>
      <c r="K98" s="1571">
        <f>I98*J98</f>
        <v>0</v>
      </c>
      <c r="L98" s="1572">
        <v>1</v>
      </c>
      <c r="M98" s="1583">
        <v>115000</v>
      </c>
      <c r="N98" s="1584">
        <v>1</v>
      </c>
      <c r="O98" s="1574">
        <f>L98*M98*N98</f>
        <v>115000</v>
      </c>
      <c r="P98" s="1582">
        <v>0.3</v>
      </c>
      <c r="Q98" s="1571">
        <f>O98*P98</f>
        <v>34500</v>
      </c>
      <c r="R98" s="1576">
        <f>I98+O98</f>
        <v>115000</v>
      </c>
      <c r="S98" s="1577"/>
      <c r="T98" s="1384">
        <v>97865.17</v>
      </c>
      <c r="U98" s="1385"/>
      <c r="V98" s="1903"/>
      <c r="W98" s="1"/>
      <c r="X98" s="775"/>
      <c r="Y98" s="775"/>
      <c r="Z98" s="775"/>
      <c r="AA98" s="775"/>
      <c r="AB98" s="775"/>
      <c r="AC98" s="775"/>
      <c r="AD98" s="775"/>
      <c r="AE98" s="775"/>
      <c r="AF98" s="775"/>
      <c r="AG98" s="775"/>
      <c r="AH98" s="775"/>
      <c r="AI98" s="775"/>
      <c r="AJ98" s="775"/>
      <c r="AK98" s="775"/>
      <c r="AL98" s="775"/>
      <c r="AM98" s="775"/>
      <c r="AN98" s="775"/>
      <c r="AO98" s="775"/>
      <c r="AP98" s="775"/>
      <c r="AQ98" s="775"/>
      <c r="AR98" s="775"/>
      <c r="AS98" s="775"/>
      <c r="AT98" s="775"/>
      <c r="AU98" s="775"/>
    </row>
    <row r="99" spans="1:47" s="1559" customFormat="1" ht="14.45" customHeight="1">
      <c r="A99" s="1559" t="s">
        <v>909</v>
      </c>
      <c r="B99" s="2502"/>
      <c r="C99" s="1580" t="s">
        <v>910</v>
      </c>
      <c r="D99" s="1557" t="s">
        <v>38</v>
      </c>
      <c r="E99" s="1511" t="s">
        <v>911</v>
      </c>
      <c r="F99" s="1511">
        <v>1</v>
      </c>
      <c r="G99" s="1569">
        <v>1450</v>
      </c>
      <c r="H99" s="1511">
        <v>6</v>
      </c>
      <c r="I99" s="1574">
        <f>F99*G99*H99</f>
        <v>8700</v>
      </c>
      <c r="J99" s="1582">
        <v>0</v>
      </c>
      <c r="K99" s="1571">
        <f>I99*J99</f>
        <v>0</v>
      </c>
      <c r="L99" s="1572">
        <v>1</v>
      </c>
      <c r="M99" s="1583">
        <v>1450</v>
      </c>
      <c r="N99" s="1584">
        <v>6</v>
      </c>
      <c r="O99" s="1574">
        <f>L99*M99*N99</f>
        <v>8700</v>
      </c>
      <c r="P99" s="1582">
        <v>0</v>
      </c>
      <c r="Q99" s="1571">
        <f>O99*P99</f>
        <v>0</v>
      </c>
      <c r="R99" s="1576">
        <f>I99+O99</f>
        <v>17400</v>
      </c>
      <c r="S99" s="1577"/>
      <c r="T99" s="1384">
        <v>3877.88</v>
      </c>
      <c r="U99" s="1385">
        <v>0.44573333333333337</v>
      </c>
      <c r="V99" s="1903"/>
      <c r="W99" s="1"/>
      <c r="X99" s="775"/>
      <c r="Y99" s="775"/>
      <c r="Z99" s="775"/>
      <c r="AA99" s="775"/>
      <c r="AB99" s="775"/>
      <c r="AC99" s="775"/>
      <c r="AD99" s="775"/>
      <c r="AE99" s="775"/>
      <c r="AF99" s="775"/>
      <c r="AG99" s="775"/>
      <c r="AH99" s="775"/>
      <c r="AI99" s="775"/>
      <c r="AJ99" s="775"/>
      <c r="AK99" s="775"/>
      <c r="AL99" s="775"/>
      <c r="AM99" s="775"/>
      <c r="AN99" s="775"/>
      <c r="AO99" s="775"/>
      <c r="AP99" s="775"/>
      <c r="AQ99" s="775"/>
      <c r="AR99" s="775"/>
      <c r="AS99" s="775"/>
      <c r="AT99" s="775"/>
      <c r="AU99" s="775"/>
    </row>
    <row r="100" spans="1:47" s="1559" customFormat="1" ht="14.45" customHeight="1">
      <c r="A100" s="1559" t="s">
        <v>912</v>
      </c>
      <c r="B100" s="2502"/>
      <c r="C100" s="1580" t="s">
        <v>913</v>
      </c>
      <c r="D100" s="1557" t="s">
        <v>38</v>
      </c>
      <c r="E100" s="1511" t="s">
        <v>911</v>
      </c>
      <c r="F100" s="1511"/>
      <c r="G100" s="1569"/>
      <c r="H100" s="1511"/>
      <c r="I100" s="1574">
        <f>F100*G100*H100</f>
        <v>0</v>
      </c>
      <c r="J100" s="1582">
        <v>0</v>
      </c>
      <c r="K100" s="1571">
        <f>I100*J100</f>
        <v>0</v>
      </c>
      <c r="L100" s="1585">
        <v>1</v>
      </c>
      <c r="M100" s="1586">
        <v>1000</v>
      </c>
      <c r="N100" s="1584">
        <v>1</v>
      </c>
      <c r="O100" s="1574">
        <f>L100*M100*N100</f>
        <v>1000</v>
      </c>
      <c r="P100" s="1582">
        <v>0</v>
      </c>
      <c r="Q100" s="1571">
        <f>O100*P100</f>
        <v>0</v>
      </c>
      <c r="R100" s="1576">
        <f>I100+O100</f>
        <v>1000</v>
      </c>
      <c r="S100" s="1577"/>
      <c r="T100" s="1384">
        <v>0</v>
      </c>
      <c r="U100" s="1385"/>
      <c r="V100" s="1903"/>
      <c r="W100" s="1"/>
      <c r="X100" s="775"/>
      <c r="Y100" s="775"/>
      <c r="Z100" s="775"/>
      <c r="AA100" s="775"/>
      <c r="AB100" s="775"/>
      <c r="AC100" s="775"/>
      <c r="AD100" s="775"/>
      <c r="AE100" s="775"/>
      <c r="AF100" s="775"/>
      <c r="AG100" s="775"/>
      <c r="AH100" s="775"/>
      <c r="AI100" s="775"/>
      <c r="AJ100" s="775"/>
      <c r="AK100" s="775"/>
      <c r="AL100" s="775"/>
      <c r="AM100" s="775"/>
      <c r="AN100" s="775"/>
      <c r="AO100" s="775"/>
      <c r="AP100" s="775"/>
      <c r="AQ100" s="775"/>
      <c r="AR100" s="775"/>
      <c r="AS100" s="775"/>
      <c r="AT100" s="775"/>
      <c r="AU100" s="775"/>
    </row>
    <row r="101" spans="1:47" s="1559" customFormat="1" ht="14.45" customHeight="1">
      <c r="A101" s="1559" t="s">
        <v>914</v>
      </c>
      <c r="B101" s="2502"/>
      <c r="C101" s="1580" t="s">
        <v>915</v>
      </c>
      <c r="D101" s="1587" t="s">
        <v>40</v>
      </c>
      <c r="E101" s="1511" t="s">
        <v>911</v>
      </c>
      <c r="F101" s="1511">
        <v>1</v>
      </c>
      <c r="G101" s="1588">
        <v>1500</v>
      </c>
      <c r="H101" s="1511">
        <v>3</v>
      </c>
      <c r="I101" s="1574">
        <f>F101*G101*H101</f>
        <v>4500</v>
      </c>
      <c r="J101" s="1582">
        <v>0</v>
      </c>
      <c r="K101" s="1571">
        <f>I101*J101</f>
        <v>0</v>
      </c>
      <c r="L101" s="1585">
        <v>1</v>
      </c>
      <c r="M101" s="1586">
        <v>1500</v>
      </c>
      <c r="N101" s="1584">
        <v>4</v>
      </c>
      <c r="O101" s="1574">
        <f>L101*M101*N101</f>
        <v>6000</v>
      </c>
      <c r="P101" s="1582">
        <v>0</v>
      </c>
      <c r="Q101" s="1571">
        <f>O101*P101</f>
        <v>0</v>
      </c>
      <c r="R101" s="1576">
        <f>I101+O101</f>
        <v>10500</v>
      </c>
      <c r="S101" s="1577"/>
      <c r="T101" s="1384">
        <v>3256.25</v>
      </c>
      <c r="U101" s="1385">
        <v>0.72361111111111109</v>
      </c>
      <c r="V101" s="1903"/>
      <c r="W101" s="1"/>
      <c r="X101" s="775"/>
      <c r="Y101" s="775"/>
      <c r="Z101" s="775"/>
      <c r="AA101" s="775"/>
      <c r="AB101" s="775"/>
      <c r="AC101" s="775"/>
      <c r="AD101" s="775"/>
      <c r="AE101" s="775"/>
      <c r="AF101" s="775"/>
      <c r="AG101" s="775"/>
      <c r="AH101" s="775"/>
      <c r="AI101" s="775"/>
      <c r="AJ101" s="775"/>
      <c r="AK101" s="775"/>
      <c r="AL101" s="775"/>
      <c r="AM101" s="775"/>
      <c r="AN101" s="775"/>
      <c r="AO101" s="775"/>
      <c r="AP101" s="775"/>
      <c r="AQ101" s="775"/>
      <c r="AR101" s="775"/>
      <c r="AS101" s="775"/>
      <c r="AT101" s="775"/>
      <c r="AU101" s="775"/>
    </row>
    <row r="102" spans="1:47" s="1559" customFormat="1" ht="14.45" customHeight="1">
      <c r="A102" s="1559" t="s">
        <v>916</v>
      </c>
      <c r="B102" s="2502"/>
      <c r="C102" s="1580" t="s">
        <v>917</v>
      </c>
      <c r="D102" s="1557" t="s">
        <v>38</v>
      </c>
      <c r="E102" s="1511" t="s">
        <v>911</v>
      </c>
      <c r="F102" s="1511"/>
      <c r="G102" s="1569"/>
      <c r="H102" s="1511"/>
      <c r="I102" s="1574">
        <f>F102*G102*H102</f>
        <v>0</v>
      </c>
      <c r="J102" s="1589">
        <v>0</v>
      </c>
      <c r="K102" s="1571">
        <f>I102*J102</f>
        <v>0</v>
      </c>
      <c r="L102" s="1585">
        <v>1</v>
      </c>
      <c r="M102" s="1586">
        <v>3400</v>
      </c>
      <c r="N102" s="1584">
        <v>1</v>
      </c>
      <c r="O102" s="1574">
        <f>L102*M102*N102</f>
        <v>3400</v>
      </c>
      <c r="P102" s="1589">
        <v>0</v>
      </c>
      <c r="Q102" s="1571">
        <f>O102*P102</f>
        <v>0</v>
      </c>
      <c r="R102" s="1576">
        <f>I102+O102</f>
        <v>3400</v>
      </c>
      <c r="S102" s="1577"/>
      <c r="T102" s="1384">
        <v>0</v>
      </c>
      <c r="U102" s="1385"/>
      <c r="V102" s="1903"/>
      <c r="W102" s="1"/>
      <c r="X102" s="775"/>
      <c r="Y102" s="775"/>
      <c r="Z102" s="775"/>
      <c r="AA102" s="775"/>
      <c r="AB102" s="775"/>
      <c r="AC102" s="775"/>
      <c r="AD102" s="775"/>
      <c r="AE102" s="775"/>
      <c r="AF102" s="775"/>
      <c r="AG102" s="775"/>
      <c r="AH102" s="775"/>
      <c r="AI102" s="775"/>
      <c r="AJ102" s="775"/>
      <c r="AK102" s="775"/>
      <c r="AL102" s="775"/>
      <c r="AM102" s="775"/>
      <c r="AN102" s="775"/>
      <c r="AO102" s="775"/>
      <c r="AP102" s="775"/>
      <c r="AQ102" s="775"/>
      <c r="AR102" s="775"/>
      <c r="AS102" s="775"/>
      <c r="AT102" s="775"/>
      <c r="AU102" s="775"/>
    </row>
    <row r="103" spans="1:47" s="1559" customFormat="1" ht="29.25" customHeight="1">
      <c r="B103" s="2502"/>
      <c r="C103" s="1568" t="s">
        <v>918</v>
      </c>
      <c r="D103" s="52"/>
      <c r="E103" s="1511"/>
      <c r="F103" s="55"/>
      <c r="G103" s="1590"/>
      <c r="H103" s="55"/>
      <c r="I103" s="1570"/>
      <c r="J103" s="1571"/>
      <c r="K103" s="1571"/>
      <c r="L103" s="1591"/>
      <c r="M103" s="1591"/>
      <c r="N103" s="1573"/>
      <c r="O103" s="1574"/>
      <c r="P103" s="1575"/>
      <c r="Q103" s="1571"/>
      <c r="R103" s="1576"/>
      <c r="S103" s="1592"/>
      <c r="T103" s="1384">
        <v>0</v>
      </c>
      <c r="U103" s="1385"/>
      <c r="V103" s="1903"/>
      <c r="W103" s="1"/>
      <c r="X103" s="775"/>
      <c r="Y103" s="775"/>
      <c r="Z103" s="775"/>
      <c r="AA103" s="775"/>
      <c r="AB103" s="775"/>
      <c r="AC103" s="775"/>
      <c r="AD103" s="775"/>
      <c r="AE103" s="775"/>
      <c r="AF103" s="775"/>
      <c r="AG103" s="775"/>
      <c r="AH103" s="775"/>
      <c r="AI103" s="775"/>
      <c r="AJ103" s="775"/>
      <c r="AK103" s="775"/>
      <c r="AL103" s="775"/>
      <c r="AM103" s="775"/>
      <c r="AN103" s="775"/>
      <c r="AO103" s="775"/>
      <c r="AP103" s="775"/>
      <c r="AQ103" s="775"/>
      <c r="AR103" s="775"/>
      <c r="AS103" s="775"/>
      <c r="AT103" s="775"/>
      <c r="AU103" s="775"/>
    </row>
    <row r="104" spans="1:47" s="1559" customFormat="1" ht="25.5">
      <c r="A104" s="1559" t="s">
        <v>919</v>
      </c>
      <c r="B104" s="2502"/>
      <c r="C104" s="1593" t="s">
        <v>920</v>
      </c>
      <c r="D104" s="1557" t="s">
        <v>38</v>
      </c>
      <c r="E104" s="1511" t="s">
        <v>911</v>
      </c>
      <c r="F104" s="55"/>
      <c r="G104" s="1590"/>
      <c r="H104" s="55"/>
      <c r="I104" s="1574">
        <f>F104*G104*H104</f>
        <v>0</v>
      </c>
      <c r="J104" s="1582">
        <v>0.3</v>
      </c>
      <c r="K104" s="1571">
        <f>I104*J104</f>
        <v>0</v>
      </c>
      <c r="L104" s="1594">
        <v>20</v>
      </c>
      <c r="M104" s="1594">
        <v>50</v>
      </c>
      <c r="N104" s="1572">
        <v>1</v>
      </c>
      <c r="O104" s="1574">
        <f>L104*M104*N104</f>
        <v>1000</v>
      </c>
      <c r="P104" s="1582">
        <v>0.3</v>
      </c>
      <c r="Q104" s="1571">
        <f>O104*P104</f>
        <v>300</v>
      </c>
      <c r="R104" s="1576">
        <f>I104+O104</f>
        <v>1000</v>
      </c>
      <c r="S104" s="1577"/>
      <c r="T104" s="1384">
        <v>0</v>
      </c>
      <c r="U104" s="1385"/>
      <c r="V104" s="1903"/>
      <c r="W104" s="1"/>
      <c r="X104" s="775"/>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row>
    <row r="105" spans="1:47" s="1559" customFormat="1" ht="14.45" customHeight="1">
      <c r="A105" s="1559" t="s">
        <v>921</v>
      </c>
      <c r="B105" s="2502"/>
      <c r="C105" s="1593" t="s">
        <v>922</v>
      </c>
      <c r="D105" s="1557" t="s">
        <v>38</v>
      </c>
      <c r="E105" s="1511" t="s">
        <v>911</v>
      </c>
      <c r="F105" s="55"/>
      <c r="G105" s="1590"/>
      <c r="H105" s="55"/>
      <c r="I105" s="1574">
        <f>F105*G105*H105</f>
        <v>0</v>
      </c>
      <c r="J105" s="1582">
        <v>0.3</v>
      </c>
      <c r="K105" s="1571">
        <f>I105*J105</f>
        <v>0</v>
      </c>
      <c r="L105" s="1594">
        <v>1</v>
      </c>
      <c r="M105" s="1594">
        <v>40000</v>
      </c>
      <c r="N105" s="1572">
        <v>1</v>
      </c>
      <c r="O105" s="1574">
        <f>L105*M105*N105</f>
        <v>40000</v>
      </c>
      <c r="P105" s="1582">
        <v>0.3</v>
      </c>
      <c r="Q105" s="1571">
        <f>O105*P105</f>
        <v>12000</v>
      </c>
      <c r="R105" s="1576">
        <f>I105+O105</f>
        <v>40000</v>
      </c>
      <c r="S105" s="1577"/>
      <c r="T105" s="1384">
        <v>0</v>
      </c>
      <c r="U105" s="1385"/>
      <c r="V105" s="1903"/>
      <c r="W105" s="1"/>
      <c r="X105" s="775"/>
      <c r="Y105" s="775"/>
      <c r="Z105" s="775"/>
      <c r="AA105" s="775"/>
      <c r="AB105" s="775"/>
      <c r="AC105" s="775"/>
      <c r="AD105" s="775"/>
      <c r="AE105" s="775"/>
      <c r="AF105" s="775"/>
      <c r="AG105" s="775"/>
      <c r="AH105" s="775"/>
      <c r="AI105" s="775"/>
      <c r="AJ105" s="775"/>
      <c r="AK105" s="775"/>
      <c r="AL105" s="775"/>
      <c r="AM105" s="775"/>
      <c r="AN105" s="775"/>
      <c r="AO105" s="775"/>
      <c r="AP105" s="775"/>
      <c r="AQ105" s="775"/>
      <c r="AR105" s="775"/>
      <c r="AS105" s="775"/>
      <c r="AT105" s="775"/>
      <c r="AU105" s="775"/>
    </row>
    <row r="106" spans="1:47" s="1559" customFormat="1" ht="14.45" customHeight="1">
      <c r="A106" s="1559" t="s">
        <v>923</v>
      </c>
      <c r="B106" s="2502"/>
      <c r="C106" s="1595" t="s">
        <v>924</v>
      </c>
      <c r="D106" s="1557" t="s">
        <v>38</v>
      </c>
      <c r="E106" s="1511" t="s">
        <v>911</v>
      </c>
      <c r="F106" s="55"/>
      <c r="G106" s="1590"/>
      <c r="H106" s="55"/>
      <c r="I106" s="1574">
        <f>F106*G106*H106</f>
        <v>0</v>
      </c>
      <c r="J106" s="1582">
        <v>0.3</v>
      </c>
      <c r="K106" s="1571">
        <f>I106*J106</f>
        <v>0</v>
      </c>
      <c r="L106" s="1594">
        <v>3</v>
      </c>
      <c r="M106" s="1594">
        <v>2500</v>
      </c>
      <c r="N106" s="1572">
        <v>1</v>
      </c>
      <c r="O106" s="1574">
        <f>L106*M106*N106</f>
        <v>7500</v>
      </c>
      <c r="P106" s="1582">
        <v>0.3</v>
      </c>
      <c r="Q106" s="1571">
        <f>O106*P106</f>
        <v>2250</v>
      </c>
      <c r="R106" s="1576">
        <f>I106+O106</f>
        <v>7500</v>
      </c>
      <c r="S106" s="1577"/>
      <c r="T106" s="1384">
        <v>6600</v>
      </c>
      <c r="U106" s="1385"/>
      <c r="V106" s="1903"/>
      <c r="W106" s="1"/>
      <c r="X106" s="775"/>
      <c r="Y106" s="775"/>
      <c r="Z106" s="775"/>
      <c r="AA106" s="775"/>
      <c r="AB106" s="775"/>
      <c r="AC106" s="775"/>
      <c r="AD106" s="775"/>
      <c r="AE106" s="775"/>
      <c r="AF106" s="775"/>
      <c r="AG106" s="775"/>
      <c r="AH106" s="775"/>
      <c r="AI106" s="775"/>
      <c r="AJ106" s="775"/>
      <c r="AK106" s="775"/>
      <c r="AL106" s="775"/>
      <c r="AM106" s="775"/>
      <c r="AN106" s="775"/>
      <c r="AO106" s="775"/>
      <c r="AP106" s="775"/>
      <c r="AQ106" s="775"/>
      <c r="AR106" s="775"/>
      <c r="AS106" s="775"/>
      <c r="AT106" s="775"/>
      <c r="AU106" s="775"/>
    </row>
    <row r="107" spans="1:47" s="1559" customFormat="1" ht="14.45" customHeight="1">
      <c r="B107" s="2502"/>
      <c r="C107" s="1568" t="s">
        <v>925</v>
      </c>
      <c r="D107" s="52"/>
      <c r="E107" s="1511"/>
      <c r="F107" s="55"/>
      <c r="G107" s="1590"/>
      <c r="H107" s="55"/>
      <c r="I107" s="1570"/>
      <c r="J107" s="1571"/>
      <c r="K107" s="1571"/>
      <c r="L107" s="1591"/>
      <c r="M107" s="1591"/>
      <c r="N107" s="1573"/>
      <c r="O107" s="1574"/>
      <c r="P107" s="1575"/>
      <c r="Q107" s="1571"/>
      <c r="R107" s="1576"/>
      <c r="S107" s="1592"/>
      <c r="T107" s="1384">
        <v>0</v>
      </c>
      <c r="U107" s="1385"/>
      <c r="V107" s="1903"/>
      <c r="W107" s="1"/>
      <c r="X107" s="775"/>
      <c r="Y107" s="775"/>
      <c r="Z107" s="775"/>
      <c r="AA107" s="775"/>
      <c r="AB107" s="775"/>
      <c r="AC107" s="775"/>
      <c r="AD107" s="775"/>
      <c r="AE107" s="775"/>
      <c r="AF107" s="775"/>
      <c r="AG107" s="775"/>
      <c r="AH107" s="775"/>
      <c r="AI107" s="775"/>
      <c r="AJ107" s="775"/>
      <c r="AK107" s="775"/>
      <c r="AL107" s="775"/>
      <c r="AM107" s="775"/>
      <c r="AN107" s="775"/>
      <c r="AO107" s="775"/>
      <c r="AP107" s="775"/>
      <c r="AQ107" s="775"/>
      <c r="AR107" s="775"/>
      <c r="AS107" s="775"/>
      <c r="AT107" s="775"/>
      <c r="AU107" s="775"/>
    </row>
    <row r="108" spans="1:47" s="1559" customFormat="1" ht="12.75" customHeight="1">
      <c r="A108" s="1559" t="s">
        <v>926</v>
      </c>
      <c r="B108" s="2502"/>
      <c r="C108" s="1596" t="s">
        <v>927</v>
      </c>
      <c r="D108" s="1557" t="s">
        <v>38</v>
      </c>
      <c r="E108" s="1511" t="s">
        <v>911</v>
      </c>
      <c r="F108" s="55"/>
      <c r="G108" s="1590"/>
      <c r="H108" s="55"/>
      <c r="I108" s="1574">
        <f t="shared" ref="I108:I116" si="11">F108*G108*H108</f>
        <v>0</v>
      </c>
      <c r="J108" s="1582">
        <v>0.3</v>
      </c>
      <c r="K108" s="1571">
        <f t="shared" ref="K108:K116" si="12">I108*J108</f>
        <v>0</v>
      </c>
      <c r="L108" s="159">
        <v>10</v>
      </c>
      <c r="M108" s="1597">
        <v>42</v>
      </c>
      <c r="N108" s="55">
        <v>1</v>
      </c>
      <c r="O108" s="1574">
        <f t="shared" ref="O108:O116" si="13">L108*M108*N108</f>
        <v>420</v>
      </c>
      <c r="P108" s="1582">
        <v>0.3</v>
      </c>
      <c r="Q108" s="1571">
        <f t="shared" ref="Q108:Q116" si="14">O108*P108</f>
        <v>126</v>
      </c>
      <c r="R108" s="1576">
        <f t="shared" ref="R108:R116" si="15">I108+O108</f>
        <v>420</v>
      </c>
      <c r="S108" s="1577"/>
      <c r="T108" s="1384">
        <v>0</v>
      </c>
      <c r="U108" s="1385"/>
      <c r="V108" s="1903"/>
      <c r="W108" s="1"/>
      <c r="X108" s="775"/>
      <c r="Y108" s="775"/>
      <c r="Z108" s="775"/>
      <c r="AA108" s="775"/>
      <c r="AB108" s="775"/>
      <c r="AC108" s="775"/>
      <c r="AD108" s="775"/>
      <c r="AE108" s="775"/>
      <c r="AF108" s="775"/>
      <c r="AG108" s="775"/>
      <c r="AH108" s="775"/>
      <c r="AI108" s="775"/>
      <c r="AJ108" s="775"/>
      <c r="AK108" s="775"/>
      <c r="AL108" s="775"/>
      <c r="AM108" s="775"/>
      <c r="AN108" s="775"/>
      <c r="AO108" s="775"/>
      <c r="AP108" s="775"/>
      <c r="AQ108" s="775"/>
      <c r="AR108" s="775"/>
      <c r="AS108" s="775"/>
      <c r="AT108" s="775"/>
      <c r="AU108" s="775"/>
    </row>
    <row r="109" spans="1:47" s="1559" customFormat="1" ht="14.45" customHeight="1">
      <c r="A109" s="1559" t="s">
        <v>928</v>
      </c>
      <c r="B109" s="2502"/>
      <c r="C109" s="1596" t="s">
        <v>929</v>
      </c>
      <c r="D109" s="1557" t="s">
        <v>38</v>
      </c>
      <c r="E109" s="1511" t="s">
        <v>911</v>
      </c>
      <c r="F109" s="55"/>
      <c r="G109" s="1590"/>
      <c r="H109" s="55"/>
      <c r="I109" s="1574">
        <f t="shared" si="11"/>
        <v>0</v>
      </c>
      <c r="J109" s="1582">
        <v>0.3</v>
      </c>
      <c r="K109" s="1571">
        <f t="shared" si="12"/>
        <v>0</v>
      </c>
      <c r="L109" s="159">
        <v>10</v>
      </c>
      <c r="M109" s="1597">
        <v>20</v>
      </c>
      <c r="N109" s="55">
        <v>1</v>
      </c>
      <c r="O109" s="1574">
        <f t="shared" si="13"/>
        <v>200</v>
      </c>
      <c r="P109" s="1582">
        <v>0.3</v>
      </c>
      <c r="Q109" s="1571">
        <f t="shared" si="14"/>
        <v>60</v>
      </c>
      <c r="R109" s="1576">
        <f t="shared" si="15"/>
        <v>200</v>
      </c>
      <c r="S109" s="1577"/>
      <c r="T109" s="1384">
        <v>0</v>
      </c>
      <c r="U109" s="1385"/>
      <c r="V109" s="1903"/>
      <c r="W109" s="1"/>
      <c r="X109" s="775"/>
      <c r="Y109" s="775"/>
      <c r="Z109" s="775"/>
      <c r="AA109" s="775"/>
      <c r="AB109" s="775"/>
      <c r="AC109" s="775"/>
      <c r="AD109" s="775"/>
      <c r="AE109" s="775"/>
      <c r="AF109" s="775"/>
      <c r="AG109" s="775"/>
      <c r="AH109" s="775"/>
      <c r="AI109" s="775"/>
      <c r="AJ109" s="775"/>
      <c r="AK109" s="775"/>
      <c r="AL109" s="775"/>
      <c r="AM109" s="775"/>
      <c r="AN109" s="775"/>
      <c r="AO109" s="775"/>
      <c r="AP109" s="775"/>
      <c r="AQ109" s="775"/>
      <c r="AR109" s="775"/>
      <c r="AS109" s="775"/>
      <c r="AT109" s="775"/>
      <c r="AU109" s="775"/>
    </row>
    <row r="110" spans="1:47" s="1559" customFormat="1" ht="14.45" customHeight="1">
      <c r="A110" s="1559" t="s">
        <v>930</v>
      </c>
      <c r="B110" s="2502"/>
      <c r="C110" s="1598" t="s">
        <v>931</v>
      </c>
      <c r="D110" s="1557" t="s">
        <v>38</v>
      </c>
      <c r="E110" s="1511" t="s">
        <v>911</v>
      </c>
      <c r="F110" s="55"/>
      <c r="G110" s="1590"/>
      <c r="H110" s="55"/>
      <c r="I110" s="1574">
        <f t="shared" si="11"/>
        <v>0</v>
      </c>
      <c r="J110" s="1582">
        <v>0.3</v>
      </c>
      <c r="K110" s="1571">
        <f t="shared" si="12"/>
        <v>0</v>
      </c>
      <c r="L110" s="159">
        <v>10</v>
      </c>
      <c r="M110" s="1597">
        <v>42</v>
      </c>
      <c r="N110" s="55">
        <v>1</v>
      </c>
      <c r="O110" s="1574">
        <f t="shared" si="13"/>
        <v>420</v>
      </c>
      <c r="P110" s="1582">
        <v>0.3</v>
      </c>
      <c r="Q110" s="1571">
        <f t="shared" si="14"/>
        <v>126</v>
      </c>
      <c r="R110" s="1576">
        <f t="shared" si="15"/>
        <v>420</v>
      </c>
      <c r="S110" s="1577"/>
      <c r="T110" s="1384">
        <v>0</v>
      </c>
      <c r="U110" s="1385"/>
      <c r="V110" s="1903"/>
      <c r="W110" s="1"/>
      <c r="X110" s="775"/>
      <c r="Y110" s="775"/>
      <c r="Z110" s="775"/>
      <c r="AA110" s="775"/>
      <c r="AB110" s="775"/>
      <c r="AC110" s="775"/>
      <c r="AD110" s="775"/>
      <c r="AE110" s="775"/>
      <c r="AF110" s="775"/>
      <c r="AG110" s="775"/>
      <c r="AH110" s="775"/>
      <c r="AI110" s="775"/>
      <c r="AJ110" s="775"/>
      <c r="AK110" s="775"/>
      <c r="AL110" s="775"/>
      <c r="AM110" s="775"/>
      <c r="AN110" s="775"/>
      <c r="AO110" s="775"/>
      <c r="AP110" s="775"/>
      <c r="AQ110" s="775"/>
      <c r="AR110" s="775"/>
      <c r="AS110" s="775"/>
      <c r="AT110" s="775"/>
      <c r="AU110" s="775"/>
    </row>
    <row r="111" spans="1:47" s="1559" customFormat="1" ht="14.45" customHeight="1">
      <c r="A111" s="1559" t="s">
        <v>932</v>
      </c>
      <c r="B111" s="2502"/>
      <c r="C111" s="1598" t="s">
        <v>933</v>
      </c>
      <c r="D111" s="1557" t="s">
        <v>38</v>
      </c>
      <c r="E111" s="1511" t="s">
        <v>911</v>
      </c>
      <c r="F111" s="55"/>
      <c r="G111" s="1590"/>
      <c r="H111" s="55"/>
      <c r="I111" s="1574">
        <f t="shared" si="11"/>
        <v>0</v>
      </c>
      <c r="J111" s="1582">
        <v>0.3</v>
      </c>
      <c r="K111" s="1571">
        <f t="shared" si="12"/>
        <v>0</v>
      </c>
      <c r="L111" s="55">
        <v>10</v>
      </c>
      <c r="M111" s="1590">
        <v>200</v>
      </c>
      <c r="N111" s="55">
        <v>1</v>
      </c>
      <c r="O111" s="1574">
        <f t="shared" si="13"/>
        <v>2000</v>
      </c>
      <c r="P111" s="1582">
        <v>0.3</v>
      </c>
      <c r="Q111" s="1571">
        <f t="shared" si="14"/>
        <v>600</v>
      </c>
      <c r="R111" s="1576">
        <f t="shared" si="15"/>
        <v>2000</v>
      </c>
      <c r="S111" s="1577"/>
      <c r="T111" s="1384">
        <v>0</v>
      </c>
      <c r="U111" s="1385"/>
      <c r="V111" s="1903"/>
      <c r="W111" s="1"/>
      <c r="X111" s="775"/>
      <c r="Y111" s="775"/>
      <c r="Z111" s="775"/>
      <c r="AA111" s="775"/>
      <c r="AB111" s="775"/>
      <c r="AC111" s="775"/>
      <c r="AD111" s="775"/>
      <c r="AE111" s="775"/>
      <c r="AF111" s="775"/>
      <c r="AG111" s="775"/>
      <c r="AH111" s="775"/>
      <c r="AI111" s="775"/>
      <c r="AJ111" s="775"/>
      <c r="AK111" s="775"/>
      <c r="AL111" s="775"/>
      <c r="AM111" s="775"/>
      <c r="AN111" s="775"/>
      <c r="AO111" s="775"/>
      <c r="AP111" s="775"/>
      <c r="AQ111" s="775"/>
      <c r="AR111" s="775"/>
      <c r="AS111" s="775"/>
      <c r="AT111" s="775"/>
      <c r="AU111" s="775"/>
    </row>
    <row r="112" spans="1:47" s="1559" customFormat="1" ht="14.45" customHeight="1">
      <c r="A112" s="1559" t="s">
        <v>934</v>
      </c>
      <c r="B112" s="2502"/>
      <c r="C112" s="1598" t="s">
        <v>935</v>
      </c>
      <c r="D112" s="1557" t="s">
        <v>38</v>
      </c>
      <c r="E112" s="1511" t="s">
        <v>911</v>
      </c>
      <c r="F112" s="55"/>
      <c r="G112" s="1590"/>
      <c r="H112" s="55"/>
      <c r="I112" s="1574">
        <f t="shared" si="11"/>
        <v>0</v>
      </c>
      <c r="J112" s="1582">
        <v>0.3</v>
      </c>
      <c r="K112" s="1571">
        <f t="shared" si="12"/>
        <v>0</v>
      </c>
      <c r="L112" s="55">
        <v>10</v>
      </c>
      <c r="M112" s="1590">
        <v>120</v>
      </c>
      <c r="N112" s="55">
        <v>1</v>
      </c>
      <c r="O112" s="1574">
        <f t="shared" si="13"/>
        <v>1200</v>
      </c>
      <c r="P112" s="1582">
        <v>0.3</v>
      </c>
      <c r="Q112" s="1571">
        <f t="shared" si="14"/>
        <v>360</v>
      </c>
      <c r="R112" s="1576">
        <f t="shared" si="15"/>
        <v>1200</v>
      </c>
      <c r="S112" s="1577"/>
      <c r="T112" s="1384">
        <v>0</v>
      </c>
      <c r="U112" s="1385"/>
      <c r="V112" s="1903"/>
      <c r="W112" s="1"/>
      <c r="X112" s="775"/>
      <c r="Y112" s="775"/>
      <c r="Z112" s="775"/>
      <c r="AA112" s="775"/>
      <c r="AB112" s="775"/>
      <c r="AC112" s="775"/>
      <c r="AD112" s="775"/>
      <c r="AE112" s="775"/>
      <c r="AF112" s="775"/>
      <c r="AG112" s="775"/>
      <c r="AH112" s="775"/>
      <c r="AI112" s="775"/>
      <c r="AJ112" s="775"/>
      <c r="AK112" s="775"/>
      <c r="AL112" s="775"/>
      <c r="AM112" s="775"/>
      <c r="AN112" s="775"/>
      <c r="AO112" s="775"/>
      <c r="AP112" s="775"/>
      <c r="AQ112" s="775"/>
      <c r="AR112" s="775"/>
      <c r="AS112" s="775"/>
      <c r="AT112" s="775"/>
      <c r="AU112" s="775"/>
    </row>
    <row r="113" spans="1:47" s="1559" customFormat="1" ht="14.45" customHeight="1">
      <c r="A113" s="1559" t="s">
        <v>936</v>
      </c>
      <c r="B113" s="2502"/>
      <c r="C113" s="1598" t="s">
        <v>937</v>
      </c>
      <c r="D113" s="1557" t="s">
        <v>38</v>
      </c>
      <c r="E113" s="1511" t="s">
        <v>911</v>
      </c>
      <c r="F113" s="1572"/>
      <c r="G113" s="1573"/>
      <c r="H113" s="55"/>
      <c r="I113" s="1574">
        <f t="shared" si="11"/>
        <v>0</v>
      </c>
      <c r="J113" s="1582">
        <v>0.3</v>
      </c>
      <c r="K113" s="1571">
        <f t="shared" si="12"/>
        <v>0</v>
      </c>
      <c r="L113" s="1572">
        <v>10</v>
      </c>
      <c r="M113" s="1573">
        <v>180</v>
      </c>
      <c r="N113" s="55">
        <v>1</v>
      </c>
      <c r="O113" s="1574">
        <f t="shared" si="13"/>
        <v>1800</v>
      </c>
      <c r="P113" s="1582">
        <v>0.3</v>
      </c>
      <c r="Q113" s="1571">
        <f t="shared" si="14"/>
        <v>540</v>
      </c>
      <c r="R113" s="1576">
        <f t="shared" si="15"/>
        <v>1800</v>
      </c>
      <c r="S113" s="1577"/>
      <c r="T113" s="1384">
        <v>0</v>
      </c>
      <c r="U113" s="1385"/>
      <c r="V113" s="1903"/>
      <c r="W113" s="1"/>
      <c r="X113" s="775"/>
      <c r="Y113" s="775"/>
      <c r="Z113" s="775"/>
      <c r="AA113" s="775"/>
      <c r="AB113" s="775"/>
      <c r="AC113" s="775"/>
      <c r="AD113" s="775"/>
      <c r="AE113" s="775"/>
      <c r="AF113" s="775"/>
      <c r="AG113" s="775"/>
      <c r="AH113" s="775"/>
      <c r="AI113" s="775"/>
      <c r="AJ113" s="775"/>
      <c r="AK113" s="775"/>
      <c r="AL113" s="775"/>
      <c r="AM113" s="775"/>
      <c r="AN113" s="775"/>
      <c r="AO113" s="775"/>
      <c r="AP113" s="775"/>
      <c r="AQ113" s="775"/>
      <c r="AR113" s="775"/>
      <c r="AS113" s="775"/>
      <c r="AT113" s="775"/>
      <c r="AU113" s="775"/>
    </row>
    <row r="114" spans="1:47" s="1559" customFormat="1" ht="14.45" customHeight="1">
      <c r="A114" s="1559" t="s">
        <v>938</v>
      </c>
      <c r="B114" s="2502"/>
      <c r="C114" s="1598" t="s">
        <v>939</v>
      </c>
      <c r="D114" s="1557" t="s">
        <v>38</v>
      </c>
      <c r="E114" s="1511" t="s">
        <v>911</v>
      </c>
      <c r="F114" s="1572"/>
      <c r="G114" s="1573"/>
      <c r="H114" s="55"/>
      <c r="I114" s="1574">
        <f t="shared" si="11"/>
        <v>0</v>
      </c>
      <c r="J114" s="1582">
        <v>0.3</v>
      </c>
      <c r="K114" s="1571">
        <f t="shared" si="12"/>
        <v>0</v>
      </c>
      <c r="L114" s="1572">
        <v>40</v>
      </c>
      <c r="M114" s="1573">
        <v>30</v>
      </c>
      <c r="N114" s="55">
        <v>1</v>
      </c>
      <c r="O114" s="1574">
        <f t="shared" si="13"/>
        <v>1200</v>
      </c>
      <c r="P114" s="1582">
        <v>0.3</v>
      </c>
      <c r="Q114" s="1571">
        <f t="shared" si="14"/>
        <v>360</v>
      </c>
      <c r="R114" s="1576">
        <f t="shared" si="15"/>
        <v>1200</v>
      </c>
      <c r="S114" s="1577"/>
      <c r="T114" s="1384">
        <v>0</v>
      </c>
      <c r="U114" s="1385"/>
      <c r="V114" s="1903"/>
      <c r="W114" s="1"/>
      <c r="X114" s="775"/>
      <c r="Y114" s="775"/>
      <c r="Z114" s="775"/>
      <c r="AA114" s="775"/>
      <c r="AB114" s="775"/>
      <c r="AC114" s="775"/>
      <c r="AD114" s="775"/>
      <c r="AE114" s="775"/>
      <c r="AF114" s="775"/>
      <c r="AG114" s="775"/>
      <c r="AH114" s="775"/>
      <c r="AI114" s="775"/>
      <c r="AJ114" s="775"/>
      <c r="AK114" s="775"/>
      <c r="AL114" s="775"/>
      <c r="AM114" s="775"/>
      <c r="AN114" s="775"/>
      <c r="AO114" s="775"/>
      <c r="AP114" s="775"/>
      <c r="AQ114" s="775"/>
      <c r="AR114" s="775"/>
      <c r="AS114" s="775"/>
      <c r="AT114" s="775"/>
      <c r="AU114" s="775"/>
    </row>
    <row r="115" spans="1:47" s="1559" customFormat="1" ht="14.45" customHeight="1">
      <c r="A115" s="1559" t="s">
        <v>940</v>
      </c>
      <c r="B115" s="2502"/>
      <c r="C115" s="1598" t="s">
        <v>941</v>
      </c>
      <c r="D115" s="1557" t="s">
        <v>38</v>
      </c>
      <c r="E115" s="1511" t="s">
        <v>911</v>
      </c>
      <c r="F115" s="1572"/>
      <c r="G115" s="1573"/>
      <c r="H115" s="55"/>
      <c r="I115" s="1574">
        <f t="shared" si="11"/>
        <v>0</v>
      </c>
      <c r="J115" s="1582">
        <v>0.3</v>
      </c>
      <c r="K115" s="1571">
        <f t="shared" si="12"/>
        <v>0</v>
      </c>
      <c r="L115" s="1572">
        <v>4</v>
      </c>
      <c r="M115" s="1573">
        <v>70</v>
      </c>
      <c r="N115" s="55">
        <v>1</v>
      </c>
      <c r="O115" s="1574">
        <f t="shared" si="13"/>
        <v>280</v>
      </c>
      <c r="P115" s="1582">
        <v>0.3</v>
      </c>
      <c r="Q115" s="1571">
        <f t="shared" si="14"/>
        <v>84</v>
      </c>
      <c r="R115" s="1576">
        <f t="shared" si="15"/>
        <v>280</v>
      </c>
      <c r="S115" s="1577"/>
      <c r="T115" s="1384">
        <v>0</v>
      </c>
      <c r="U115" s="1385"/>
      <c r="V115" s="1903"/>
      <c r="W115" s="1"/>
      <c r="X115" s="775"/>
      <c r="Y115" s="775"/>
      <c r="Z115" s="775"/>
      <c r="AA115" s="775"/>
      <c r="AB115" s="775"/>
      <c r="AC115" s="775"/>
      <c r="AD115" s="775"/>
      <c r="AE115" s="775"/>
      <c r="AF115" s="775"/>
      <c r="AG115" s="775"/>
      <c r="AH115" s="775"/>
      <c r="AI115" s="775"/>
      <c r="AJ115" s="775"/>
      <c r="AK115" s="775"/>
      <c r="AL115" s="775"/>
      <c r="AM115" s="775"/>
      <c r="AN115" s="775"/>
      <c r="AO115" s="775"/>
      <c r="AP115" s="775"/>
      <c r="AQ115" s="775"/>
      <c r="AR115" s="775"/>
      <c r="AS115" s="775"/>
      <c r="AT115" s="775"/>
      <c r="AU115" s="775"/>
    </row>
    <row r="116" spans="1:47" s="1559" customFormat="1" ht="14.45" customHeight="1">
      <c r="A116" s="1559" t="s">
        <v>942</v>
      </c>
      <c r="B116" s="2502"/>
      <c r="C116" s="1596" t="s">
        <v>943</v>
      </c>
      <c r="D116" s="1557" t="s">
        <v>38</v>
      </c>
      <c r="E116" s="1511" t="s">
        <v>911</v>
      </c>
      <c r="F116" s="1573"/>
      <c r="G116" s="1573"/>
      <c r="H116" s="55"/>
      <c r="I116" s="1574">
        <f t="shared" si="11"/>
        <v>0</v>
      </c>
      <c r="J116" s="1582">
        <v>0.3</v>
      </c>
      <c r="K116" s="1571">
        <f t="shared" si="12"/>
        <v>0</v>
      </c>
      <c r="L116" s="1591">
        <v>1</v>
      </c>
      <c r="M116" s="1591">
        <v>3500</v>
      </c>
      <c r="N116" s="55">
        <v>1</v>
      </c>
      <c r="O116" s="1574">
        <f t="shared" si="13"/>
        <v>3500</v>
      </c>
      <c r="P116" s="1582">
        <v>0.3</v>
      </c>
      <c r="Q116" s="1571">
        <f t="shared" si="14"/>
        <v>1050</v>
      </c>
      <c r="R116" s="1576">
        <f t="shared" si="15"/>
        <v>3500</v>
      </c>
      <c r="S116" s="1577"/>
      <c r="T116" s="1384">
        <v>0</v>
      </c>
      <c r="U116" s="1385"/>
      <c r="V116" s="1903"/>
      <c r="W116" s="1"/>
      <c r="X116" s="775"/>
      <c r="Y116" s="775"/>
      <c r="Z116" s="775"/>
      <c r="AA116" s="775"/>
      <c r="AB116" s="775"/>
      <c r="AC116" s="775"/>
      <c r="AD116" s="775"/>
      <c r="AE116" s="775"/>
      <c r="AF116" s="775"/>
      <c r="AG116" s="775"/>
      <c r="AH116" s="775"/>
      <c r="AI116" s="775"/>
      <c r="AJ116" s="775"/>
      <c r="AK116" s="775"/>
      <c r="AL116" s="775"/>
      <c r="AM116" s="775"/>
      <c r="AN116" s="775"/>
      <c r="AO116" s="775"/>
      <c r="AP116" s="775"/>
      <c r="AQ116" s="775"/>
      <c r="AR116" s="775"/>
      <c r="AS116" s="775"/>
      <c r="AT116" s="775"/>
      <c r="AU116" s="775"/>
    </row>
    <row r="117" spans="1:47" s="1559" customFormat="1" ht="25.5">
      <c r="B117" s="2502"/>
      <c r="C117" s="1568" t="s">
        <v>944</v>
      </c>
      <c r="D117" s="52"/>
      <c r="E117" s="1511"/>
      <c r="F117" s="55"/>
      <c r="G117" s="1590"/>
      <c r="H117" s="55"/>
      <c r="I117" s="1570"/>
      <c r="J117" s="1571"/>
      <c r="K117" s="1571"/>
      <c r="L117" s="1591"/>
      <c r="M117" s="1591"/>
      <c r="N117" s="1573"/>
      <c r="O117" s="1574"/>
      <c r="P117" s="1575"/>
      <c r="Q117" s="1571"/>
      <c r="R117" s="1576"/>
      <c r="S117" s="1592"/>
      <c r="T117" s="1384">
        <v>0</v>
      </c>
      <c r="U117" s="1385"/>
      <c r="V117" s="1903"/>
      <c r="W117" s="1"/>
      <c r="X117" s="775"/>
      <c r="Y117" s="775"/>
      <c r="Z117" s="775"/>
      <c r="AA117" s="775"/>
      <c r="AB117" s="775"/>
      <c r="AC117" s="775"/>
      <c r="AD117" s="775"/>
      <c r="AE117" s="775"/>
      <c r="AF117" s="775"/>
      <c r="AG117" s="775"/>
      <c r="AH117" s="775"/>
      <c r="AI117" s="775"/>
      <c r="AJ117" s="775"/>
      <c r="AK117" s="775"/>
      <c r="AL117" s="775"/>
      <c r="AM117" s="775"/>
      <c r="AN117" s="775"/>
      <c r="AO117" s="775"/>
      <c r="AP117" s="775"/>
      <c r="AQ117" s="775"/>
      <c r="AR117" s="775"/>
      <c r="AS117" s="775"/>
      <c r="AT117" s="775"/>
      <c r="AU117" s="775"/>
    </row>
    <row r="118" spans="1:47" s="1559" customFormat="1" ht="25.5">
      <c r="A118" s="1559" t="s">
        <v>945</v>
      </c>
      <c r="B118" s="2502"/>
      <c r="C118" s="1596" t="s">
        <v>946</v>
      </c>
      <c r="D118" s="1557" t="s">
        <v>38</v>
      </c>
      <c r="E118" s="1511" t="s">
        <v>911</v>
      </c>
      <c r="F118" s="1599"/>
      <c r="G118" s="1590"/>
      <c r="H118" s="55"/>
      <c r="I118" s="1574">
        <f t="shared" ref="I118:I126" si="16">F118*G118*H118</f>
        <v>0</v>
      </c>
      <c r="J118" s="1582">
        <v>0.3</v>
      </c>
      <c r="K118" s="1571">
        <f t="shared" ref="K118:K126" si="17">I118*J118</f>
        <v>0</v>
      </c>
      <c r="L118" s="1594">
        <v>2</v>
      </c>
      <c r="M118" s="1591">
        <v>875</v>
      </c>
      <c r="N118" s="1572">
        <v>1</v>
      </c>
      <c r="O118" s="1574">
        <f t="shared" ref="O118:O126" si="18">L118*M118*N118</f>
        <v>1750</v>
      </c>
      <c r="P118" s="1582">
        <v>0.3</v>
      </c>
      <c r="Q118" s="1571">
        <f t="shared" ref="Q118:Q126" si="19">O118*P118</f>
        <v>525</v>
      </c>
      <c r="R118" s="1576">
        <f t="shared" ref="R118:R126" si="20">I118+O118</f>
        <v>1750</v>
      </c>
      <c r="S118" s="1577"/>
      <c r="T118" s="1384">
        <v>0</v>
      </c>
      <c r="U118" s="1385"/>
      <c r="V118" s="1903"/>
      <c r="W118" s="1"/>
      <c r="X118" s="775"/>
      <c r="Y118" s="775"/>
      <c r="Z118" s="775"/>
      <c r="AA118" s="775"/>
      <c r="AB118" s="775"/>
      <c r="AC118" s="775"/>
      <c r="AD118" s="775"/>
      <c r="AE118" s="775"/>
      <c r="AF118" s="775"/>
      <c r="AG118" s="775"/>
      <c r="AH118" s="775"/>
      <c r="AI118" s="775"/>
      <c r="AJ118" s="775"/>
      <c r="AK118" s="775"/>
      <c r="AL118" s="775"/>
      <c r="AM118" s="775"/>
      <c r="AN118" s="775"/>
      <c r="AO118" s="775"/>
      <c r="AP118" s="775"/>
      <c r="AQ118" s="775"/>
      <c r="AR118" s="775"/>
      <c r="AS118" s="775"/>
      <c r="AT118" s="775"/>
      <c r="AU118" s="775"/>
    </row>
    <row r="119" spans="1:47" s="1559" customFormat="1" ht="14.45" customHeight="1">
      <c r="A119" s="1559" t="s">
        <v>947</v>
      </c>
      <c r="B119" s="2502"/>
      <c r="C119" s="1596" t="s">
        <v>948</v>
      </c>
      <c r="D119" s="1557" t="s">
        <v>38</v>
      </c>
      <c r="E119" s="1511" t="s">
        <v>911</v>
      </c>
      <c r="F119" s="1599"/>
      <c r="G119" s="1590"/>
      <c r="H119" s="55"/>
      <c r="I119" s="1574">
        <f t="shared" si="16"/>
        <v>0</v>
      </c>
      <c r="J119" s="1582">
        <v>0.3</v>
      </c>
      <c r="K119" s="1571">
        <f t="shared" si="17"/>
        <v>0</v>
      </c>
      <c r="L119" s="1594">
        <v>1</v>
      </c>
      <c r="M119" s="1591">
        <v>120</v>
      </c>
      <c r="N119" s="1572">
        <v>1</v>
      </c>
      <c r="O119" s="1574">
        <f t="shared" si="18"/>
        <v>120</v>
      </c>
      <c r="P119" s="1582">
        <v>0.3</v>
      </c>
      <c r="Q119" s="1571">
        <f t="shared" si="19"/>
        <v>36</v>
      </c>
      <c r="R119" s="1576">
        <f t="shared" si="20"/>
        <v>120</v>
      </c>
      <c r="S119" s="1577"/>
      <c r="T119" s="1384">
        <v>0</v>
      </c>
      <c r="U119" s="1385"/>
      <c r="V119" s="1903"/>
      <c r="W119" s="1"/>
      <c r="X119" s="775"/>
      <c r="Y119" s="775"/>
      <c r="Z119" s="775"/>
      <c r="AA119" s="775"/>
      <c r="AB119" s="775"/>
      <c r="AC119" s="775"/>
      <c r="AD119" s="775"/>
      <c r="AE119" s="775"/>
      <c r="AF119" s="775"/>
      <c r="AG119" s="775"/>
      <c r="AH119" s="775"/>
      <c r="AI119" s="775"/>
      <c r="AJ119" s="775"/>
      <c r="AK119" s="775"/>
      <c r="AL119" s="775"/>
      <c r="AM119" s="775"/>
      <c r="AN119" s="775"/>
      <c r="AO119" s="775"/>
      <c r="AP119" s="775"/>
      <c r="AQ119" s="775"/>
      <c r="AR119" s="775"/>
      <c r="AS119" s="775"/>
      <c r="AT119" s="775"/>
      <c r="AU119" s="775"/>
    </row>
    <row r="120" spans="1:47" s="1559" customFormat="1" ht="14.45" customHeight="1">
      <c r="A120" s="1559" t="s">
        <v>949</v>
      </c>
      <c r="B120" s="2502"/>
      <c r="C120" s="1596" t="s">
        <v>950</v>
      </c>
      <c r="D120" s="1557" t="s">
        <v>38</v>
      </c>
      <c r="E120" s="1511" t="s">
        <v>911</v>
      </c>
      <c r="F120" s="1599"/>
      <c r="G120" s="1590"/>
      <c r="H120" s="55"/>
      <c r="I120" s="1574">
        <f t="shared" si="16"/>
        <v>0</v>
      </c>
      <c r="J120" s="1582">
        <v>0.3</v>
      </c>
      <c r="K120" s="1571">
        <f t="shared" si="17"/>
        <v>0</v>
      </c>
      <c r="L120" s="1594">
        <v>2</v>
      </c>
      <c r="M120" s="1591">
        <v>350</v>
      </c>
      <c r="N120" s="1572">
        <v>1</v>
      </c>
      <c r="O120" s="1574">
        <f t="shared" si="18"/>
        <v>700</v>
      </c>
      <c r="P120" s="1582">
        <v>0.3</v>
      </c>
      <c r="Q120" s="1571">
        <f t="shared" si="19"/>
        <v>210</v>
      </c>
      <c r="R120" s="1576">
        <f t="shared" si="20"/>
        <v>700</v>
      </c>
      <c r="S120" s="1577"/>
      <c r="T120" s="1384">
        <v>0</v>
      </c>
      <c r="U120" s="1385"/>
      <c r="V120" s="1903"/>
      <c r="W120" s="1"/>
      <c r="X120" s="775"/>
      <c r="Y120" s="775"/>
      <c r="Z120" s="775"/>
      <c r="AA120" s="775"/>
      <c r="AB120" s="775"/>
      <c r="AC120" s="775"/>
      <c r="AD120" s="775"/>
      <c r="AE120" s="775"/>
      <c r="AF120" s="775"/>
      <c r="AG120" s="775"/>
      <c r="AH120" s="775"/>
      <c r="AI120" s="775"/>
      <c r="AJ120" s="775"/>
      <c r="AK120" s="775"/>
      <c r="AL120" s="775"/>
      <c r="AM120" s="775"/>
      <c r="AN120" s="775"/>
      <c r="AO120" s="775"/>
      <c r="AP120" s="775"/>
      <c r="AQ120" s="775"/>
      <c r="AR120" s="775"/>
      <c r="AS120" s="775"/>
      <c r="AT120" s="775"/>
      <c r="AU120" s="775"/>
    </row>
    <row r="121" spans="1:47" s="1559" customFormat="1" ht="14.45" customHeight="1">
      <c r="A121" s="1559" t="s">
        <v>951</v>
      </c>
      <c r="B121" s="2502"/>
      <c r="C121" s="1596" t="s">
        <v>952</v>
      </c>
      <c r="D121" s="1557" t="s">
        <v>38</v>
      </c>
      <c r="E121" s="1511" t="s">
        <v>911</v>
      </c>
      <c r="F121" s="1599"/>
      <c r="G121" s="1590"/>
      <c r="H121" s="55"/>
      <c r="I121" s="1574">
        <f t="shared" si="16"/>
        <v>0</v>
      </c>
      <c r="J121" s="1582">
        <v>0.3</v>
      </c>
      <c r="K121" s="1571">
        <f t="shared" si="17"/>
        <v>0</v>
      </c>
      <c r="L121" s="1594">
        <v>1</v>
      </c>
      <c r="M121" s="1591">
        <v>120</v>
      </c>
      <c r="N121" s="1572">
        <v>1</v>
      </c>
      <c r="O121" s="1574">
        <f t="shared" si="18"/>
        <v>120</v>
      </c>
      <c r="P121" s="1582">
        <v>0.3</v>
      </c>
      <c r="Q121" s="1571">
        <f t="shared" si="19"/>
        <v>36</v>
      </c>
      <c r="R121" s="1576">
        <f t="shared" si="20"/>
        <v>120</v>
      </c>
      <c r="S121" s="1577"/>
      <c r="T121" s="1384">
        <v>0</v>
      </c>
      <c r="U121" s="1385"/>
      <c r="V121" s="1903"/>
      <c r="W121" s="1"/>
      <c r="X121" s="775"/>
      <c r="Y121" s="775"/>
      <c r="Z121" s="775"/>
      <c r="AA121" s="775"/>
      <c r="AB121" s="775"/>
      <c r="AC121" s="775"/>
      <c r="AD121" s="775"/>
      <c r="AE121" s="775"/>
      <c r="AF121" s="775"/>
      <c r="AG121" s="775"/>
      <c r="AH121" s="775"/>
      <c r="AI121" s="775"/>
      <c r="AJ121" s="775"/>
      <c r="AK121" s="775"/>
      <c r="AL121" s="775"/>
      <c r="AM121" s="775"/>
      <c r="AN121" s="775"/>
      <c r="AO121" s="775"/>
      <c r="AP121" s="775"/>
      <c r="AQ121" s="775"/>
      <c r="AR121" s="775"/>
      <c r="AS121" s="775"/>
      <c r="AT121" s="775"/>
      <c r="AU121" s="775"/>
    </row>
    <row r="122" spans="1:47" s="1559" customFormat="1" ht="14.45" customHeight="1">
      <c r="A122" s="1559" t="s">
        <v>953</v>
      </c>
      <c r="B122" s="2502"/>
      <c r="C122" s="1596" t="s">
        <v>954</v>
      </c>
      <c r="D122" s="1557" t="s">
        <v>38</v>
      </c>
      <c r="E122" s="1511" t="s">
        <v>911</v>
      </c>
      <c r="F122" s="1599"/>
      <c r="G122" s="1590"/>
      <c r="H122" s="55"/>
      <c r="I122" s="1574">
        <f t="shared" si="16"/>
        <v>0</v>
      </c>
      <c r="J122" s="1582">
        <v>0.3</v>
      </c>
      <c r="K122" s="1571">
        <f t="shared" si="17"/>
        <v>0</v>
      </c>
      <c r="L122" s="1594">
        <v>2</v>
      </c>
      <c r="M122" s="1591">
        <v>100</v>
      </c>
      <c r="N122" s="1572">
        <v>1</v>
      </c>
      <c r="O122" s="1574">
        <f t="shared" si="18"/>
        <v>200</v>
      </c>
      <c r="P122" s="1582">
        <v>0.3</v>
      </c>
      <c r="Q122" s="1571">
        <f t="shared" si="19"/>
        <v>60</v>
      </c>
      <c r="R122" s="1576">
        <f t="shared" si="20"/>
        <v>200</v>
      </c>
      <c r="S122" s="1577"/>
      <c r="T122" s="1384">
        <v>0</v>
      </c>
      <c r="U122" s="1385"/>
      <c r="V122" s="1903"/>
      <c r="W122" s="1"/>
      <c r="X122" s="775"/>
      <c r="Y122" s="775"/>
      <c r="Z122" s="775"/>
      <c r="AA122" s="775"/>
      <c r="AB122" s="775"/>
      <c r="AC122" s="775"/>
      <c r="AD122" s="775"/>
      <c r="AE122" s="775"/>
      <c r="AF122" s="775"/>
      <c r="AG122" s="775"/>
      <c r="AH122" s="775"/>
      <c r="AI122" s="775"/>
      <c r="AJ122" s="775"/>
      <c r="AK122" s="775"/>
      <c r="AL122" s="775"/>
      <c r="AM122" s="775"/>
      <c r="AN122" s="775"/>
      <c r="AO122" s="775"/>
      <c r="AP122" s="775"/>
      <c r="AQ122" s="775"/>
      <c r="AR122" s="775"/>
      <c r="AS122" s="775"/>
      <c r="AT122" s="775"/>
      <c r="AU122" s="775"/>
    </row>
    <row r="123" spans="1:47" s="1559" customFormat="1" ht="14.45" customHeight="1">
      <c r="A123" s="1559" t="s">
        <v>955</v>
      </c>
      <c r="B123" s="2502"/>
      <c r="C123" s="1596" t="s">
        <v>956</v>
      </c>
      <c r="D123" s="1557" t="s">
        <v>38</v>
      </c>
      <c r="E123" s="1511" t="s">
        <v>911</v>
      </c>
      <c r="F123" s="1599"/>
      <c r="G123" s="1590"/>
      <c r="H123" s="55"/>
      <c r="I123" s="1574">
        <f t="shared" si="16"/>
        <v>0</v>
      </c>
      <c r="J123" s="1582">
        <v>0.3</v>
      </c>
      <c r="K123" s="1571">
        <f t="shared" si="17"/>
        <v>0</v>
      </c>
      <c r="L123" s="1594">
        <v>2</v>
      </c>
      <c r="M123" s="1591">
        <v>400</v>
      </c>
      <c r="N123" s="1572">
        <v>1</v>
      </c>
      <c r="O123" s="1574">
        <f t="shared" si="18"/>
        <v>800</v>
      </c>
      <c r="P123" s="1582">
        <v>0.3</v>
      </c>
      <c r="Q123" s="1571">
        <f t="shared" si="19"/>
        <v>240</v>
      </c>
      <c r="R123" s="1576">
        <f t="shared" si="20"/>
        <v>800</v>
      </c>
      <c r="S123" s="1577"/>
      <c r="T123" s="1384">
        <v>0</v>
      </c>
      <c r="U123" s="1385"/>
      <c r="V123" s="1903"/>
      <c r="W123" s="1"/>
      <c r="X123" s="775"/>
      <c r="Y123" s="775"/>
      <c r="Z123" s="775"/>
      <c r="AA123" s="775"/>
      <c r="AB123" s="775"/>
      <c r="AC123" s="775"/>
      <c r="AD123" s="775"/>
      <c r="AE123" s="775"/>
      <c r="AF123" s="775"/>
      <c r="AG123" s="775"/>
      <c r="AH123" s="775"/>
      <c r="AI123" s="775"/>
      <c r="AJ123" s="775"/>
      <c r="AK123" s="775"/>
      <c r="AL123" s="775"/>
      <c r="AM123" s="775"/>
      <c r="AN123" s="775"/>
      <c r="AO123" s="775"/>
      <c r="AP123" s="775"/>
      <c r="AQ123" s="775"/>
      <c r="AR123" s="775"/>
      <c r="AS123" s="775"/>
      <c r="AT123" s="775"/>
      <c r="AU123" s="775"/>
    </row>
    <row r="124" spans="1:47" s="1559" customFormat="1" ht="14.45" customHeight="1">
      <c r="A124" s="1559" t="s">
        <v>957</v>
      </c>
      <c r="B124" s="2502"/>
      <c r="C124" s="1596" t="s">
        <v>958</v>
      </c>
      <c r="D124" s="1557" t="s">
        <v>38</v>
      </c>
      <c r="E124" s="1511" t="s">
        <v>911</v>
      </c>
      <c r="F124" s="1599"/>
      <c r="G124" s="1590"/>
      <c r="H124" s="55"/>
      <c r="I124" s="1574">
        <f t="shared" si="16"/>
        <v>0</v>
      </c>
      <c r="J124" s="1582">
        <v>0.3</v>
      </c>
      <c r="K124" s="1571">
        <f t="shared" si="17"/>
        <v>0</v>
      </c>
      <c r="L124" s="1594">
        <v>5</v>
      </c>
      <c r="M124" s="1591">
        <v>17.5</v>
      </c>
      <c r="N124" s="1572">
        <v>1</v>
      </c>
      <c r="O124" s="1574">
        <f t="shared" si="18"/>
        <v>87.5</v>
      </c>
      <c r="P124" s="1582">
        <v>0.3</v>
      </c>
      <c r="Q124" s="1571">
        <f t="shared" si="19"/>
        <v>26.25</v>
      </c>
      <c r="R124" s="1576">
        <f t="shared" si="20"/>
        <v>87.5</v>
      </c>
      <c r="S124" s="1577"/>
      <c r="T124" s="1384">
        <v>0</v>
      </c>
      <c r="U124" s="1385"/>
      <c r="V124" s="1903"/>
      <c r="W124" s="1"/>
      <c r="X124" s="775"/>
      <c r="Y124" s="775"/>
      <c r="Z124" s="775"/>
      <c r="AA124" s="775"/>
      <c r="AB124" s="775"/>
      <c r="AC124" s="775"/>
      <c r="AD124" s="775"/>
      <c r="AE124" s="775"/>
      <c r="AF124" s="775"/>
      <c r="AG124" s="775"/>
      <c r="AH124" s="775"/>
      <c r="AI124" s="775"/>
      <c r="AJ124" s="775"/>
      <c r="AK124" s="775"/>
      <c r="AL124" s="775"/>
      <c r="AM124" s="775"/>
      <c r="AN124" s="775"/>
      <c r="AO124" s="775"/>
      <c r="AP124" s="775"/>
      <c r="AQ124" s="775"/>
      <c r="AR124" s="775"/>
      <c r="AS124" s="775"/>
      <c r="AT124" s="775"/>
      <c r="AU124" s="775"/>
    </row>
    <row r="125" spans="1:47" s="1559" customFormat="1" ht="14.45" customHeight="1">
      <c r="A125" s="1559" t="s">
        <v>959</v>
      </c>
      <c r="B125" s="2502"/>
      <c r="C125" s="1596" t="s">
        <v>960</v>
      </c>
      <c r="D125" s="1557" t="s">
        <v>38</v>
      </c>
      <c r="E125" s="1511" t="s">
        <v>911</v>
      </c>
      <c r="F125" s="1599"/>
      <c r="G125" s="1590"/>
      <c r="H125" s="55"/>
      <c r="I125" s="1574">
        <f t="shared" si="16"/>
        <v>0</v>
      </c>
      <c r="J125" s="1582">
        <v>0.3</v>
      </c>
      <c r="K125" s="1571">
        <f t="shared" si="17"/>
        <v>0</v>
      </c>
      <c r="L125" s="1594">
        <v>1</v>
      </c>
      <c r="M125" s="1591">
        <v>1500</v>
      </c>
      <c r="N125" s="1572">
        <v>1</v>
      </c>
      <c r="O125" s="1574">
        <f t="shared" si="18"/>
        <v>1500</v>
      </c>
      <c r="P125" s="1582">
        <v>0.3</v>
      </c>
      <c r="Q125" s="1571">
        <f t="shared" si="19"/>
        <v>450</v>
      </c>
      <c r="R125" s="1576">
        <f t="shared" si="20"/>
        <v>1500</v>
      </c>
      <c r="S125" s="1577"/>
      <c r="T125" s="1384">
        <v>0</v>
      </c>
      <c r="U125" s="1385"/>
      <c r="V125" s="1903"/>
      <c r="W125" s="1"/>
      <c r="X125" s="775"/>
      <c r="Y125" s="775"/>
      <c r="Z125" s="775"/>
      <c r="AA125" s="775"/>
      <c r="AB125" s="775"/>
      <c r="AC125" s="775"/>
      <c r="AD125" s="775"/>
      <c r="AE125" s="775"/>
      <c r="AF125" s="775"/>
      <c r="AG125" s="775"/>
      <c r="AH125" s="775"/>
      <c r="AI125" s="775"/>
      <c r="AJ125" s="775"/>
      <c r="AK125" s="775"/>
      <c r="AL125" s="775"/>
      <c r="AM125" s="775"/>
      <c r="AN125" s="775"/>
      <c r="AO125" s="775"/>
      <c r="AP125" s="775"/>
      <c r="AQ125" s="775"/>
      <c r="AR125" s="775"/>
      <c r="AS125" s="775"/>
      <c r="AT125" s="775"/>
      <c r="AU125" s="775"/>
    </row>
    <row r="126" spans="1:47" s="1559" customFormat="1" ht="14.45" customHeight="1">
      <c r="B126" s="2502"/>
      <c r="C126" s="1596" t="s">
        <v>961</v>
      </c>
      <c r="D126" s="1557" t="s">
        <v>38</v>
      </c>
      <c r="E126" s="1511" t="s">
        <v>911</v>
      </c>
      <c r="F126" s="55"/>
      <c r="G126" s="1590"/>
      <c r="H126" s="55"/>
      <c r="I126" s="1574">
        <f t="shared" si="16"/>
        <v>0</v>
      </c>
      <c r="J126" s="1582">
        <v>0</v>
      </c>
      <c r="K126" s="1571">
        <f t="shared" si="17"/>
        <v>0</v>
      </c>
      <c r="L126" s="159">
        <v>0</v>
      </c>
      <c r="M126" s="1591">
        <v>0</v>
      </c>
      <c r="N126" s="1572">
        <v>1</v>
      </c>
      <c r="O126" s="1574">
        <f t="shared" si="18"/>
        <v>0</v>
      </c>
      <c r="P126" s="1582">
        <v>0</v>
      </c>
      <c r="Q126" s="1571">
        <f t="shared" si="19"/>
        <v>0</v>
      </c>
      <c r="R126" s="1576">
        <f t="shared" si="20"/>
        <v>0</v>
      </c>
      <c r="S126" s="1577"/>
      <c r="T126" s="1384">
        <v>0</v>
      </c>
      <c r="U126" s="1385"/>
      <c r="V126" s="1903"/>
      <c r="W126" s="1"/>
      <c r="X126" s="775"/>
      <c r="Y126" s="775"/>
      <c r="Z126" s="775"/>
      <c r="AA126" s="775"/>
      <c r="AB126" s="775"/>
      <c r="AC126" s="775"/>
      <c r="AD126" s="775"/>
      <c r="AE126" s="775"/>
      <c r="AF126" s="775"/>
      <c r="AG126" s="775"/>
      <c r="AH126" s="775"/>
      <c r="AI126" s="775"/>
      <c r="AJ126" s="775"/>
      <c r="AK126" s="775"/>
      <c r="AL126" s="775"/>
      <c r="AM126" s="775"/>
      <c r="AN126" s="775"/>
      <c r="AO126" s="775"/>
      <c r="AP126" s="775"/>
      <c r="AQ126" s="775"/>
      <c r="AR126" s="775"/>
      <c r="AS126" s="775"/>
      <c r="AT126" s="775"/>
      <c r="AU126" s="775"/>
    </row>
    <row r="127" spans="1:47" s="1559" customFormat="1" ht="25.5">
      <c r="B127" s="2502"/>
      <c r="C127" s="1568" t="s">
        <v>962</v>
      </c>
      <c r="D127" s="52"/>
      <c r="E127" s="1511" t="s">
        <v>911</v>
      </c>
      <c r="F127" s="1600"/>
      <c r="G127" s="1601"/>
      <c r="H127" s="1600"/>
      <c r="I127" s="1570"/>
      <c r="J127" s="1571"/>
      <c r="K127" s="1571"/>
      <c r="L127" s="1573"/>
      <c r="M127" s="1573"/>
      <c r="N127" s="1573"/>
      <c r="O127" s="1574"/>
      <c r="P127" s="1575"/>
      <c r="Q127" s="1571"/>
      <c r="R127" s="1576"/>
      <c r="S127" s="1592"/>
      <c r="T127" s="1384">
        <v>0</v>
      </c>
      <c r="U127" s="1385"/>
      <c r="V127" s="1903"/>
      <c r="W127" s="1"/>
      <c r="X127" s="775"/>
      <c r="Y127" s="775"/>
      <c r="Z127" s="775"/>
      <c r="AA127" s="775"/>
      <c r="AB127" s="775"/>
      <c r="AC127" s="775"/>
      <c r="AD127" s="775"/>
      <c r="AE127" s="775"/>
      <c r="AF127" s="775"/>
      <c r="AG127" s="775"/>
      <c r="AH127" s="775"/>
      <c r="AI127" s="775"/>
      <c r="AJ127" s="775"/>
      <c r="AK127" s="775"/>
      <c r="AL127" s="775"/>
      <c r="AM127" s="775"/>
      <c r="AN127" s="775"/>
      <c r="AO127" s="775"/>
      <c r="AP127" s="775"/>
      <c r="AQ127" s="775"/>
      <c r="AR127" s="775"/>
      <c r="AS127" s="775"/>
      <c r="AT127" s="775"/>
      <c r="AU127" s="775"/>
    </row>
    <row r="128" spans="1:47" s="1559" customFormat="1" ht="14.45" customHeight="1">
      <c r="A128" s="1559" t="s">
        <v>963</v>
      </c>
      <c r="B128" s="2502"/>
      <c r="C128" s="1602" t="s">
        <v>964</v>
      </c>
      <c r="D128" s="1557" t="s">
        <v>38</v>
      </c>
      <c r="E128" s="1511" t="s">
        <v>911</v>
      </c>
      <c r="F128" s="1600">
        <v>1</v>
      </c>
      <c r="G128" s="1603">
        <v>13300</v>
      </c>
      <c r="H128" s="1604">
        <v>1</v>
      </c>
      <c r="I128" s="1591">
        <f t="shared" ref="I128:I134" si="21">F128*G128*H128</f>
        <v>13300</v>
      </c>
      <c r="J128" s="1605">
        <v>0.3</v>
      </c>
      <c r="K128" s="1606">
        <f t="shared" ref="K128:K134" si="22">I128*J128</f>
        <v>3990</v>
      </c>
      <c r="L128" s="1594"/>
      <c r="M128" s="1591"/>
      <c r="N128" s="1572"/>
      <c r="O128" s="1574">
        <f t="shared" ref="O128:O134" si="23">L128*M128*N128</f>
        <v>0</v>
      </c>
      <c r="P128" s="1582">
        <v>0.3</v>
      </c>
      <c r="Q128" s="1571">
        <f t="shared" ref="Q128:Q134" si="24">O128*P128</f>
        <v>0</v>
      </c>
      <c r="R128" s="1576">
        <f t="shared" ref="R128:R134" si="25">I128+O128</f>
        <v>13300</v>
      </c>
      <c r="S128" s="1577"/>
      <c r="T128" s="1384">
        <v>450</v>
      </c>
      <c r="U128" s="1385">
        <v>3.3834586466165412E-2</v>
      </c>
      <c r="V128" s="1903"/>
      <c r="W128" s="1"/>
      <c r="X128" s="775"/>
      <c r="Y128" s="775"/>
      <c r="Z128" s="775"/>
      <c r="AA128" s="775"/>
      <c r="AB128" s="775"/>
      <c r="AC128" s="775"/>
      <c r="AD128" s="775"/>
      <c r="AE128" s="775"/>
      <c r="AF128" s="775"/>
      <c r="AG128" s="775"/>
      <c r="AH128" s="775"/>
      <c r="AI128" s="775"/>
      <c r="AJ128" s="775"/>
      <c r="AK128" s="775"/>
      <c r="AL128" s="775"/>
      <c r="AM128" s="775"/>
      <c r="AN128" s="775"/>
      <c r="AO128" s="775"/>
      <c r="AP128" s="775"/>
      <c r="AQ128" s="775"/>
      <c r="AR128" s="775"/>
      <c r="AS128" s="775"/>
      <c r="AT128" s="775"/>
      <c r="AU128" s="775"/>
    </row>
    <row r="129" spans="1:47" s="1559" customFormat="1" ht="14.45" customHeight="1">
      <c r="A129" s="1559" t="s">
        <v>965</v>
      </c>
      <c r="B129" s="2502"/>
      <c r="C129" s="1602" t="s">
        <v>966</v>
      </c>
      <c r="D129" s="1557" t="s">
        <v>38</v>
      </c>
      <c r="E129" s="1511" t="s">
        <v>911</v>
      </c>
      <c r="F129" s="1600">
        <v>1</v>
      </c>
      <c r="G129" s="1603">
        <v>2000</v>
      </c>
      <c r="H129" s="1604">
        <v>1</v>
      </c>
      <c r="I129" s="1591">
        <f t="shared" si="21"/>
        <v>2000</v>
      </c>
      <c r="J129" s="1605">
        <v>0.3</v>
      </c>
      <c r="K129" s="1606">
        <f t="shared" si="22"/>
        <v>600</v>
      </c>
      <c r="L129" s="1594"/>
      <c r="M129" s="1591"/>
      <c r="N129" s="1572"/>
      <c r="O129" s="1574">
        <f t="shared" si="23"/>
        <v>0</v>
      </c>
      <c r="P129" s="1582">
        <v>0.3</v>
      </c>
      <c r="Q129" s="1571">
        <f t="shared" si="24"/>
        <v>0</v>
      </c>
      <c r="R129" s="1576">
        <f t="shared" si="25"/>
        <v>2000</v>
      </c>
      <c r="S129" s="1577"/>
      <c r="T129" s="1384">
        <v>0</v>
      </c>
      <c r="U129" s="1385">
        <v>0</v>
      </c>
      <c r="V129" s="1903"/>
      <c r="W129" s="1"/>
      <c r="X129" s="775"/>
      <c r="Y129" s="775"/>
      <c r="Z129" s="775"/>
      <c r="AA129" s="775"/>
      <c r="AB129" s="775"/>
      <c r="AC129" s="775"/>
      <c r="AD129" s="775"/>
      <c r="AE129" s="775"/>
      <c r="AF129" s="775"/>
      <c r="AG129" s="775"/>
      <c r="AH129" s="775"/>
      <c r="AI129" s="775"/>
      <c r="AJ129" s="775"/>
      <c r="AK129" s="775"/>
      <c r="AL129" s="775"/>
      <c r="AM129" s="775"/>
      <c r="AN129" s="775"/>
      <c r="AO129" s="775"/>
      <c r="AP129" s="775"/>
      <c r="AQ129" s="775"/>
      <c r="AR129" s="775"/>
      <c r="AS129" s="775"/>
      <c r="AT129" s="775"/>
      <c r="AU129" s="775"/>
    </row>
    <row r="130" spans="1:47" s="1559" customFormat="1" ht="14.45" customHeight="1">
      <c r="A130" s="1559" t="s">
        <v>967</v>
      </c>
      <c r="B130" s="2502"/>
      <c r="C130" s="1602" t="s">
        <v>968</v>
      </c>
      <c r="D130" s="1557" t="s">
        <v>38</v>
      </c>
      <c r="E130" s="1511" t="s">
        <v>911</v>
      </c>
      <c r="F130" s="1600">
        <v>1</v>
      </c>
      <c r="G130" s="1603">
        <v>2000</v>
      </c>
      <c r="H130" s="1604">
        <v>3</v>
      </c>
      <c r="I130" s="1591">
        <f t="shared" si="21"/>
        <v>6000</v>
      </c>
      <c r="J130" s="1605">
        <v>0.3</v>
      </c>
      <c r="K130" s="1606">
        <f t="shared" si="22"/>
        <v>1800</v>
      </c>
      <c r="L130" s="1594"/>
      <c r="M130" s="1591"/>
      <c r="N130" s="1572"/>
      <c r="O130" s="1574">
        <f t="shared" si="23"/>
        <v>0</v>
      </c>
      <c r="P130" s="1582">
        <v>0.3</v>
      </c>
      <c r="Q130" s="1571">
        <f t="shared" si="24"/>
        <v>0</v>
      </c>
      <c r="R130" s="1576">
        <f t="shared" si="25"/>
        <v>6000</v>
      </c>
      <c r="S130" s="1577"/>
      <c r="T130" s="1384">
        <v>0</v>
      </c>
      <c r="U130" s="1385">
        <v>0</v>
      </c>
      <c r="V130" s="1903"/>
      <c r="W130" s="1"/>
      <c r="X130" s="775"/>
      <c r="Y130" s="775"/>
      <c r="Z130" s="775"/>
      <c r="AA130" s="775"/>
      <c r="AB130" s="775"/>
      <c r="AC130" s="775"/>
      <c r="AD130" s="775"/>
      <c r="AE130" s="775"/>
      <c r="AF130" s="775"/>
      <c r="AG130" s="775"/>
      <c r="AH130" s="775"/>
      <c r="AI130" s="775"/>
      <c r="AJ130" s="775"/>
      <c r="AK130" s="775"/>
      <c r="AL130" s="775"/>
      <c r="AM130" s="775"/>
      <c r="AN130" s="775"/>
      <c r="AO130" s="775"/>
      <c r="AP130" s="775"/>
      <c r="AQ130" s="775"/>
      <c r="AR130" s="775"/>
      <c r="AS130" s="775"/>
      <c r="AT130" s="775"/>
      <c r="AU130" s="775"/>
    </row>
    <row r="131" spans="1:47" s="1559" customFormat="1" ht="14.45" customHeight="1">
      <c r="A131" s="1559" t="s">
        <v>969</v>
      </c>
      <c r="B131" s="2502"/>
      <c r="C131" s="1602" t="s">
        <v>970</v>
      </c>
      <c r="D131" s="1557" t="s">
        <v>38</v>
      </c>
      <c r="E131" s="1511" t="s">
        <v>911</v>
      </c>
      <c r="F131" s="1600">
        <v>1</v>
      </c>
      <c r="G131" s="1603">
        <v>500</v>
      </c>
      <c r="H131" s="1604">
        <v>1</v>
      </c>
      <c r="I131" s="1591">
        <f t="shared" si="21"/>
        <v>500</v>
      </c>
      <c r="J131" s="1605">
        <v>0.3</v>
      </c>
      <c r="K131" s="1606">
        <f t="shared" si="22"/>
        <v>150</v>
      </c>
      <c r="L131" s="1594"/>
      <c r="M131" s="1591"/>
      <c r="N131" s="1572"/>
      <c r="O131" s="1574">
        <f t="shared" si="23"/>
        <v>0</v>
      </c>
      <c r="P131" s="1582">
        <v>0.3</v>
      </c>
      <c r="Q131" s="1571">
        <f t="shared" si="24"/>
        <v>0</v>
      </c>
      <c r="R131" s="1576">
        <f t="shared" si="25"/>
        <v>500</v>
      </c>
      <c r="S131" s="1577"/>
      <c r="T131" s="1384">
        <v>0</v>
      </c>
      <c r="U131" s="1385">
        <v>0</v>
      </c>
      <c r="V131" s="1903"/>
      <c r="W131" s="1"/>
      <c r="X131" s="775"/>
      <c r="Y131" s="775"/>
      <c r="Z131" s="775"/>
      <c r="AA131" s="775"/>
      <c r="AB131" s="775"/>
      <c r="AC131" s="775"/>
      <c r="AD131" s="775"/>
      <c r="AE131" s="775"/>
      <c r="AF131" s="775"/>
      <c r="AG131" s="775"/>
      <c r="AH131" s="775"/>
      <c r="AI131" s="775"/>
      <c r="AJ131" s="775"/>
      <c r="AK131" s="775"/>
      <c r="AL131" s="775"/>
      <c r="AM131" s="775"/>
      <c r="AN131" s="775"/>
      <c r="AO131" s="775"/>
      <c r="AP131" s="775"/>
      <c r="AQ131" s="775"/>
      <c r="AR131" s="775"/>
      <c r="AS131" s="775"/>
      <c r="AT131" s="775"/>
      <c r="AU131" s="775"/>
    </row>
    <row r="132" spans="1:47" s="1559" customFormat="1" ht="33" customHeight="1">
      <c r="A132" s="1559" t="s">
        <v>971</v>
      </c>
      <c r="B132" s="2502"/>
      <c r="C132" s="1607" t="s">
        <v>972</v>
      </c>
      <c r="D132" s="1557" t="s">
        <v>38</v>
      </c>
      <c r="E132" s="1511" t="s">
        <v>911</v>
      </c>
      <c r="F132" s="1600"/>
      <c r="G132" s="1603"/>
      <c r="H132" s="1604"/>
      <c r="I132" s="1591">
        <f t="shared" si="21"/>
        <v>0</v>
      </c>
      <c r="J132" s="1605">
        <v>0.3</v>
      </c>
      <c r="K132" s="1606">
        <f t="shared" si="22"/>
        <v>0</v>
      </c>
      <c r="L132" s="1608">
        <v>5</v>
      </c>
      <c r="M132" s="1591">
        <v>200</v>
      </c>
      <c r="N132" s="1572">
        <v>5</v>
      </c>
      <c r="O132" s="1574">
        <f>L132*M132*N132</f>
        <v>5000</v>
      </c>
      <c r="P132" s="1582">
        <v>0.3</v>
      </c>
      <c r="Q132" s="1571">
        <f t="shared" si="24"/>
        <v>1500</v>
      </c>
      <c r="R132" s="1576">
        <f t="shared" si="25"/>
        <v>5000</v>
      </c>
      <c r="S132" s="1577"/>
      <c r="T132" s="1384">
        <v>0</v>
      </c>
      <c r="U132" s="1385"/>
      <c r="V132" s="1903"/>
      <c r="W132" s="1"/>
      <c r="X132" s="775"/>
      <c r="Y132" s="775"/>
      <c r="Z132" s="775"/>
      <c r="AA132" s="775"/>
      <c r="AB132" s="775"/>
      <c r="AC132" s="775"/>
      <c r="AD132" s="775"/>
      <c r="AE132" s="775"/>
      <c r="AF132" s="775"/>
      <c r="AG132" s="775"/>
      <c r="AH132" s="775"/>
      <c r="AI132" s="775"/>
      <c r="AJ132" s="775"/>
      <c r="AK132" s="775"/>
      <c r="AL132" s="775"/>
      <c r="AM132" s="775"/>
      <c r="AN132" s="775"/>
      <c r="AO132" s="775"/>
      <c r="AP132" s="775"/>
      <c r="AQ132" s="775"/>
      <c r="AR132" s="775"/>
      <c r="AS132" s="775"/>
      <c r="AT132" s="775"/>
      <c r="AU132" s="775"/>
    </row>
    <row r="133" spans="1:47" s="1559" customFormat="1" ht="14.45" customHeight="1">
      <c r="A133" s="1559" t="s">
        <v>973</v>
      </c>
      <c r="B133" s="2502"/>
      <c r="C133" s="1609" t="s">
        <v>974</v>
      </c>
      <c r="D133" s="1557" t="s">
        <v>38</v>
      </c>
      <c r="E133" s="1511" t="s">
        <v>911</v>
      </c>
      <c r="F133" s="1600"/>
      <c r="G133" s="1603"/>
      <c r="H133" s="1604"/>
      <c r="I133" s="1591">
        <f t="shared" si="21"/>
        <v>0</v>
      </c>
      <c r="J133" s="1605">
        <v>0.3</v>
      </c>
      <c r="K133" s="1606">
        <f t="shared" si="22"/>
        <v>0</v>
      </c>
      <c r="L133" s="1608">
        <v>2</v>
      </c>
      <c r="M133" s="1591">
        <v>500</v>
      </c>
      <c r="N133" s="1572">
        <v>5</v>
      </c>
      <c r="O133" s="1574">
        <f t="shared" si="23"/>
        <v>5000</v>
      </c>
      <c r="P133" s="1582">
        <v>0.3</v>
      </c>
      <c r="Q133" s="1571">
        <f t="shared" si="24"/>
        <v>1500</v>
      </c>
      <c r="R133" s="1576">
        <f t="shared" si="25"/>
        <v>5000</v>
      </c>
      <c r="S133" s="1577"/>
      <c r="T133" s="1384">
        <v>1924</v>
      </c>
      <c r="U133" s="1385"/>
      <c r="V133" s="1903"/>
      <c r="W133" s="1"/>
      <c r="X133" s="775"/>
      <c r="Y133" s="775"/>
      <c r="Z133" s="775"/>
      <c r="AA133" s="775"/>
      <c r="AB133" s="775"/>
      <c r="AC133" s="775"/>
      <c r="AD133" s="775"/>
      <c r="AE133" s="775"/>
      <c r="AF133" s="775"/>
      <c r="AG133" s="775"/>
      <c r="AH133" s="775"/>
      <c r="AI133" s="775"/>
      <c r="AJ133" s="775"/>
      <c r="AK133" s="775"/>
      <c r="AL133" s="775"/>
      <c r="AM133" s="775"/>
      <c r="AN133" s="775"/>
      <c r="AO133" s="775"/>
      <c r="AP133" s="775"/>
      <c r="AQ133" s="775"/>
      <c r="AR133" s="775"/>
      <c r="AS133" s="775"/>
      <c r="AT133" s="775"/>
      <c r="AU133" s="775"/>
    </row>
    <row r="134" spans="1:47" s="1559" customFormat="1" ht="14.45" customHeight="1">
      <c r="A134" s="1559" t="s">
        <v>975</v>
      </c>
      <c r="B134" s="2502"/>
      <c r="C134" s="1602" t="s">
        <v>976</v>
      </c>
      <c r="D134" s="1587" t="s">
        <v>40</v>
      </c>
      <c r="E134" s="1511" t="s">
        <v>911</v>
      </c>
      <c r="F134" s="1600"/>
      <c r="G134" s="1603"/>
      <c r="H134" s="1604"/>
      <c r="I134" s="1591">
        <f t="shared" si="21"/>
        <v>0</v>
      </c>
      <c r="J134" s="1605">
        <v>0.3</v>
      </c>
      <c r="K134" s="1606">
        <f t="shared" si="22"/>
        <v>0</v>
      </c>
      <c r="L134" s="1608">
        <v>5</v>
      </c>
      <c r="M134" s="1591">
        <v>1800</v>
      </c>
      <c r="N134" s="1572">
        <v>1</v>
      </c>
      <c r="O134" s="1574">
        <f t="shared" si="23"/>
        <v>9000</v>
      </c>
      <c r="P134" s="1582">
        <v>0.3</v>
      </c>
      <c r="Q134" s="1571">
        <f t="shared" si="24"/>
        <v>2700</v>
      </c>
      <c r="R134" s="1576">
        <f t="shared" si="25"/>
        <v>9000</v>
      </c>
      <c r="S134" s="1577"/>
      <c r="T134" s="1384">
        <v>1598</v>
      </c>
      <c r="U134" s="1385"/>
      <c r="V134" s="1903"/>
      <c r="W134" s="1"/>
      <c r="X134" s="775"/>
      <c r="Y134" s="775"/>
      <c r="Z134" s="775"/>
      <c r="AA134" s="775"/>
      <c r="AB134" s="775"/>
      <c r="AC134" s="775"/>
      <c r="AD134" s="775"/>
      <c r="AE134" s="775"/>
      <c r="AF134" s="775"/>
      <c r="AG134" s="775"/>
      <c r="AH134" s="775"/>
      <c r="AI134" s="775"/>
      <c r="AJ134" s="775"/>
      <c r="AK134" s="775"/>
      <c r="AL134" s="775"/>
      <c r="AM134" s="775"/>
      <c r="AN134" s="775"/>
      <c r="AO134" s="775"/>
      <c r="AP134" s="775"/>
      <c r="AQ134" s="775"/>
      <c r="AR134" s="775"/>
      <c r="AS134" s="775"/>
      <c r="AT134" s="775"/>
      <c r="AU134" s="775"/>
    </row>
    <row r="135" spans="1:47" s="1559" customFormat="1" ht="140.25">
      <c r="B135" s="2510"/>
      <c r="C135" s="46"/>
      <c r="D135" s="46"/>
      <c r="E135" s="46" t="s">
        <v>47</v>
      </c>
      <c r="F135" s="46"/>
      <c r="G135" s="1610"/>
      <c r="H135" s="46"/>
      <c r="I135" s="1611">
        <f>SUM(I97:I134)</f>
        <v>35000</v>
      </c>
      <c r="J135" s="1612"/>
      <c r="K135" s="1613">
        <f>SUM(K97:K134)</f>
        <v>6540</v>
      </c>
      <c r="L135" s="1613"/>
      <c r="M135" s="1613"/>
      <c r="N135" s="1613"/>
      <c r="O135" s="1613">
        <f>SUM(O97:O134)</f>
        <v>217897.5</v>
      </c>
      <c r="P135" s="1614"/>
      <c r="Q135" s="1613">
        <f>SUM(Q97:Q134)</f>
        <v>59639.25</v>
      </c>
      <c r="R135" s="1613">
        <f>SUM(R97:R134)</f>
        <v>252897.5</v>
      </c>
      <c r="S135" s="1615"/>
      <c r="T135" s="1614">
        <v>115571.3</v>
      </c>
      <c r="U135" s="454">
        <v>3.3020371428571429</v>
      </c>
      <c r="V135" s="1904" t="s">
        <v>1023</v>
      </c>
      <c r="W135" s="1"/>
      <c r="X135" s="775"/>
      <c r="Y135" s="775"/>
      <c r="Z135" s="775"/>
      <c r="AA135" s="775"/>
      <c r="AB135" s="775"/>
      <c r="AC135" s="775"/>
      <c r="AD135" s="775"/>
      <c r="AE135" s="775"/>
      <c r="AF135" s="775"/>
      <c r="AG135" s="775"/>
      <c r="AH135" s="775"/>
      <c r="AI135" s="775"/>
      <c r="AJ135" s="775"/>
      <c r="AK135" s="775"/>
      <c r="AL135" s="775"/>
      <c r="AM135" s="775"/>
      <c r="AN135" s="775"/>
      <c r="AO135" s="775"/>
      <c r="AP135" s="775"/>
      <c r="AQ135" s="775"/>
      <c r="AR135" s="775"/>
      <c r="AS135" s="775"/>
      <c r="AT135" s="775"/>
      <c r="AU135" s="775"/>
    </row>
    <row r="136" spans="1:47" s="1559" customFormat="1" ht="14.45" customHeight="1">
      <c r="B136" s="1886" t="s">
        <v>454</v>
      </c>
      <c r="C136" s="1886"/>
      <c r="D136" s="1886"/>
      <c r="E136" s="1616"/>
      <c r="F136" s="1617"/>
      <c r="G136" s="1617"/>
      <c r="H136" s="1617"/>
      <c r="I136" s="1618">
        <f>I135</f>
        <v>35000</v>
      </c>
      <c r="J136" s="1619"/>
      <c r="K136" s="1619"/>
      <c r="L136" s="1620"/>
      <c r="M136" s="1621"/>
      <c r="N136" s="1622"/>
      <c r="O136" s="1618">
        <f>O135</f>
        <v>217897.5</v>
      </c>
      <c r="P136" s="1619"/>
      <c r="Q136" s="1619"/>
      <c r="R136" s="1618">
        <f>I136+O136</f>
        <v>252897.5</v>
      </c>
      <c r="S136" s="1623"/>
      <c r="T136" s="1624">
        <v>115571.3</v>
      </c>
      <c r="U136" s="1625">
        <v>3.3020371428571429</v>
      </c>
      <c r="V136" s="1903"/>
      <c r="W136" s="1"/>
      <c r="X136" s="775"/>
      <c r="Y136" s="775"/>
      <c r="Z136" s="775"/>
      <c r="AA136" s="775"/>
      <c r="AB136" s="775"/>
      <c r="AC136" s="775"/>
      <c r="AD136" s="775"/>
      <c r="AE136" s="775"/>
      <c r="AF136" s="775"/>
      <c r="AG136" s="775"/>
      <c r="AH136" s="775"/>
      <c r="AI136" s="775"/>
      <c r="AJ136" s="775"/>
      <c r="AK136" s="775"/>
      <c r="AL136" s="775"/>
      <c r="AM136" s="775"/>
      <c r="AN136" s="775"/>
      <c r="AO136" s="775"/>
      <c r="AP136" s="775"/>
      <c r="AQ136" s="775"/>
      <c r="AR136" s="775"/>
      <c r="AS136" s="775"/>
      <c r="AT136" s="775"/>
      <c r="AU136" s="775"/>
    </row>
    <row r="137" spans="1:47" ht="22.5" customHeight="1">
      <c r="B137" s="1626" t="s">
        <v>227</v>
      </c>
      <c r="C137" s="1627"/>
      <c r="D137" s="1628"/>
      <c r="E137" s="1629"/>
      <c r="F137" s="1557"/>
      <c r="G137" s="1630"/>
      <c r="H137" s="1557"/>
      <c r="I137" s="1459">
        <f>I95+I136</f>
        <v>147385.5</v>
      </c>
      <c r="J137" s="1631"/>
      <c r="K137" s="1632"/>
      <c r="L137" s="1633"/>
      <c r="M137" s="1633"/>
      <c r="N137" s="1633"/>
      <c r="O137" s="1459">
        <f>O95+O136</f>
        <v>358783</v>
      </c>
      <c r="P137" s="1634"/>
      <c r="Q137" s="1632"/>
      <c r="R137" s="1459">
        <f>R95+R136</f>
        <v>506168.5</v>
      </c>
      <c r="S137" s="1635"/>
      <c r="T137" s="1459">
        <v>136002.64000000001</v>
      </c>
      <c r="U137" s="1625">
        <v>0.92276811490954003</v>
      </c>
      <c r="V137" s="41"/>
    </row>
    <row r="138" spans="1:47" ht="13.9" customHeight="1">
      <c r="B138" s="1636" t="s">
        <v>228</v>
      </c>
      <c r="C138" s="1637"/>
      <c r="D138" s="1638"/>
      <c r="E138" s="1638"/>
      <c r="F138" s="1638"/>
      <c r="G138" s="1638"/>
      <c r="H138" s="1638"/>
      <c r="I138" s="1638"/>
      <c r="J138" s="1639"/>
      <c r="K138" s="1640"/>
      <c r="L138" s="1639"/>
      <c r="M138" s="1639"/>
      <c r="N138" s="1639"/>
      <c r="O138" s="1639"/>
      <c r="P138" s="1639"/>
      <c r="Q138" s="1639"/>
      <c r="R138" s="1639"/>
      <c r="S138" s="1641"/>
      <c r="T138" s="1642"/>
      <c r="U138" s="1643"/>
      <c r="V138" s="41"/>
    </row>
    <row r="139" spans="1:47" ht="25.5">
      <c r="B139" s="1644" t="s">
        <v>229</v>
      </c>
      <c r="C139" s="1645"/>
      <c r="D139" s="1645"/>
      <c r="E139" s="1645"/>
      <c r="F139" s="1645"/>
      <c r="G139" s="1645"/>
      <c r="H139" s="1645"/>
      <c r="I139" s="1645"/>
      <c r="J139" s="1645"/>
      <c r="K139" s="1645"/>
      <c r="L139" s="1645"/>
      <c r="M139" s="1645"/>
      <c r="N139" s="1645"/>
      <c r="O139" s="1645"/>
      <c r="P139" s="1646"/>
      <c r="Q139" s="1647"/>
      <c r="R139" s="1648"/>
      <c r="S139" s="1649"/>
      <c r="T139" s="1650"/>
      <c r="U139" s="1651"/>
      <c r="V139" s="41"/>
    </row>
    <row r="140" spans="1:47">
      <c r="B140" s="1652" t="s">
        <v>977</v>
      </c>
      <c r="C140" s="1653"/>
      <c r="D140" s="1653"/>
      <c r="E140" s="1653"/>
      <c r="F140" s="1653"/>
      <c r="G140" s="1653"/>
      <c r="H140" s="1653"/>
      <c r="I140" s="1653"/>
      <c r="J140" s="1653"/>
      <c r="K140" s="1653"/>
      <c r="L140" s="1653"/>
      <c r="M140" s="1653"/>
      <c r="N140" s="1653"/>
      <c r="O140" s="1653"/>
      <c r="P140" s="1654"/>
      <c r="Q140" s="1655"/>
      <c r="R140" s="1656"/>
      <c r="S140" s="1657"/>
      <c r="T140" s="1658"/>
      <c r="U140" s="1659"/>
      <c r="V140" s="41"/>
    </row>
    <row r="141" spans="1:47" ht="13.9" customHeight="1">
      <c r="A141" s="7" t="s">
        <v>978</v>
      </c>
      <c r="B141" s="1660" t="s">
        <v>979</v>
      </c>
      <c r="C141" s="1600"/>
      <c r="D141" s="1661" t="s">
        <v>231</v>
      </c>
      <c r="E141" s="1662" t="s">
        <v>793</v>
      </c>
      <c r="F141" s="1663">
        <v>1</v>
      </c>
      <c r="G141" s="1664">
        <v>700</v>
      </c>
      <c r="H141" s="1665">
        <v>6</v>
      </c>
      <c r="I141" s="1666">
        <f t="shared" ref="I141:I144" si="26">G141*H141</f>
        <v>4200</v>
      </c>
      <c r="J141" s="1667"/>
      <c r="K141" s="1668"/>
      <c r="L141" s="1663">
        <v>1</v>
      </c>
      <c r="M141" s="1664">
        <v>700</v>
      </c>
      <c r="N141" s="1665">
        <v>6</v>
      </c>
      <c r="O141" s="1666">
        <f t="shared" ref="O141:O142" si="27">M141*N141</f>
        <v>4200</v>
      </c>
      <c r="P141" s="1667"/>
      <c r="Q141" s="1668"/>
      <c r="R141" s="219">
        <f t="shared" ref="R141:R144" si="28">O141+I141</f>
        <v>8400</v>
      </c>
      <c r="S141" s="1669"/>
      <c r="T141" s="1384">
        <v>4692.9849999999988</v>
      </c>
      <c r="U141" s="1385">
        <v>1.1173773809523806</v>
      </c>
      <c r="V141" s="41"/>
    </row>
    <row r="142" spans="1:47" ht="13.9" customHeight="1">
      <c r="A142" s="7" t="s">
        <v>980</v>
      </c>
      <c r="B142" s="1670" t="s">
        <v>981</v>
      </c>
      <c r="C142" s="1600"/>
      <c r="D142" s="1661" t="s">
        <v>231</v>
      </c>
      <c r="E142" s="1662" t="s">
        <v>793</v>
      </c>
      <c r="F142" s="1663">
        <v>1</v>
      </c>
      <c r="G142" s="1664">
        <v>2500</v>
      </c>
      <c r="H142" s="1665">
        <v>6</v>
      </c>
      <c r="I142" s="1666">
        <f t="shared" si="26"/>
        <v>15000</v>
      </c>
      <c r="J142" s="1667"/>
      <c r="K142" s="1668"/>
      <c r="L142" s="1663">
        <v>1</v>
      </c>
      <c r="M142" s="1664">
        <v>2500</v>
      </c>
      <c r="N142" s="1665">
        <v>6</v>
      </c>
      <c r="O142" s="1666">
        <f t="shared" si="27"/>
        <v>15000</v>
      </c>
      <c r="P142" s="1667"/>
      <c r="Q142" s="1668"/>
      <c r="R142" s="219">
        <f t="shared" si="28"/>
        <v>30000</v>
      </c>
      <c r="S142" s="1669"/>
      <c r="T142" s="1384">
        <v>5789.5700000000006</v>
      </c>
      <c r="U142" s="1385">
        <v>0.38597133333333339</v>
      </c>
      <c r="V142" s="41"/>
    </row>
    <row r="143" spans="1:47" ht="13.9" customHeight="1">
      <c r="A143" s="7" t="s">
        <v>982</v>
      </c>
      <c r="B143" s="1670" t="s">
        <v>983</v>
      </c>
      <c r="C143" s="1600"/>
      <c r="D143" s="1661" t="s">
        <v>231</v>
      </c>
      <c r="E143" s="1662" t="s">
        <v>793</v>
      </c>
      <c r="F143" s="1663">
        <v>1</v>
      </c>
      <c r="G143" s="1664">
        <v>1000</v>
      </c>
      <c r="H143" s="1665">
        <v>6</v>
      </c>
      <c r="I143" s="1666">
        <f>G143*H143</f>
        <v>6000</v>
      </c>
      <c r="J143" s="1667"/>
      <c r="K143" s="1668"/>
      <c r="L143" s="1663">
        <v>1</v>
      </c>
      <c r="M143" s="1664">
        <v>1000</v>
      </c>
      <c r="N143" s="1665">
        <v>6</v>
      </c>
      <c r="O143" s="1666">
        <f>M143*N143</f>
        <v>6000</v>
      </c>
      <c r="P143" s="1667"/>
      <c r="Q143" s="1668"/>
      <c r="R143" s="219">
        <f t="shared" si="28"/>
        <v>12000</v>
      </c>
      <c r="S143" s="1669"/>
      <c r="T143" s="1384">
        <v>4375.0799999999963</v>
      </c>
      <c r="U143" s="1385">
        <v>0.72917999999999938</v>
      </c>
      <c r="V143" s="45"/>
    </row>
    <row r="144" spans="1:47" ht="13.9" customHeight="1">
      <c r="A144" s="7" t="s">
        <v>984</v>
      </c>
      <c r="B144" s="1670" t="s">
        <v>985</v>
      </c>
      <c r="C144" s="1600"/>
      <c r="D144" s="1661" t="s">
        <v>231</v>
      </c>
      <c r="E144" s="1662" t="s">
        <v>793</v>
      </c>
      <c r="F144" s="1663">
        <v>1</v>
      </c>
      <c r="G144" s="1664">
        <v>800</v>
      </c>
      <c r="H144" s="1665">
        <v>6</v>
      </c>
      <c r="I144" s="1666">
        <f t="shared" si="26"/>
        <v>4800</v>
      </c>
      <c r="J144" s="1667"/>
      <c r="K144" s="1668"/>
      <c r="L144" s="1663">
        <v>1</v>
      </c>
      <c r="M144" s="1664">
        <v>800</v>
      </c>
      <c r="N144" s="1665">
        <v>6</v>
      </c>
      <c r="O144" s="1666">
        <f t="shared" ref="O144" si="29">M144*N144</f>
        <v>4800</v>
      </c>
      <c r="P144" s="1667"/>
      <c r="Q144" s="1668"/>
      <c r="R144" s="219">
        <f t="shared" si="28"/>
        <v>9600</v>
      </c>
      <c r="S144" s="1669"/>
      <c r="T144" s="1384">
        <v>3495.3850000000011</v>
      </c>
      <c r="U144" s="1385">
        <v>0.72820520833333358</v>
      </c>
      <c r="V144" s="41"/>
    </row>
    <row r="145" spans="1:22" s="7" customFormat="1" ht="13.9" customHeight="1">
      <c r="B145" s="1652" t="s">
        <v>986</v>
      </c>
      <c r="C145" s="1600"/>
      <c r="D145" s="1671"/>
      <c r="E145" s="1672"/>
      <c r="F145" s="1663"/>
      <c r="G145" s="1664"/>
      <c r="H145" s="1673"/>
      <c r="I145" s="1666"/>
      <c r="J145" s="1667"/>
      <c r="K145" s="1667"/>
      <c r="L145" s="1663"/>
      <c r="M145" s="1664"/>
      <c r="N145" s="1673"/>
      <c r="O145" s="1666"/>
      <c r="P145" s="1667"/>
      <c r="Q145" s="1668"/>
      <c r="R145" s="219"/>
      <c r="S145" s="1674"/>
      <c r="T145" s="1384">
        <v>0</v>
      </c>
      <c r="U145" s="1385"/>
      <c r="V145" s="41"/>
    </row>
    <row r="146" spans="1:22" s="7" customFormat="1" ht="13.9" customHeight="1">
      <c r="A146" s="7" t="s">
        <v>978</v>
      </c>
      <c r="B146" s="1660" t="s">
        <v>979</v>
      </c>
      <c r="C146" s="41"/>
      <c r="D146" s="1661" t="s">
        <v>231</v>
      </c>
      <c r="E146" s="1675" t="s">
        <v>911</v>
      </c>
      <c r="F146" s="1676">
        <v>1</v>
      </c>
      <c r="G146" s="1677">
        <v>700</v>
      </c>
      <c r="H146" s="1676">
        <v>6</v>
      </c>
      <c r="I146" s="1678">
        <f t="shared" ref="I146:I149" si="30">+F146*G146*H146</f>
        <v>4200</v>
      </c>
      <c r="J146" s="1676"/>
      <c r="K146" s="1676"/>
      <c r="L146" s="1676">
        <v>1</v>
      </c>
      <c r="M146" s="1679">
        <v>700</v>
      </c>
      <c r="N146" s="1676">
        <v>6</v>
      </c>
      <c r="O146" s="1680">
        <f t="shared" ref="O146:O149" si="31">+L146*M146*N146</f>
        <v>4200</v>
      </c>
      <c r="P146" s="1676"/>
      <c r="Q146" s="1676"/>
      <c r="R146" s="219">
        <f t="shared" ref="R146:R149" si="32">+I146+O146</f>
        <v>8400</v>
      </c>
      <c r="S146" s="1669"/>
      <c r="T146" s="1384">
        <v>4692.9849999999988</v>
      </c>
      <c r="U146" s="1385">
        <v>1.1173773809523806</v>
      </c>
      <c r="V146" s="41"/>
    </row>
    <row r="147" spans="1:22" s="7" customFormat="1" ht="13.9" customHeight="1">
      <c r="A147" s="7" t="s">
        <v>980</v>
      </c>
      <c r="B147" s="1670" t="s">
        <v>981</v>
      </c>
      <c r="C147" s="41"/>
      <c r="D147" s="1661" t="s">
        <v>231</v>
      </c>
      <c r="E147" s="1675" t="s">
        <v>911</v>
      </c>
      <c r="F147" s="1676">
        <v>1</v>
      </c>
      <c r="G147" s="1677">
        <v>2500</v>
      </c>
      <c r="H147" s="1676">
        <v>6</v>
      </c>
      <c r="I147" s="1678">
        <f t="shared" si="30"/>
        <v>15000</v>
      </c>
      <c r="J147" s="1676"/>
      <c r="K147" s="1676"/>
      <c r="L147" s="1676">
        <v>1</v>
      </c>
      <c r="M147" s="1677">
        <v>2500</v>
      </c>
      <c r="N147" s="1676">
        <v>6</v>
      </c>
      <c r="O147" s="219">
        <f t="shared" si="31"/>
        <v>15000</v>
      </c>
      <c r="P147" s="1676"/>
      <c r="Q147" s="1676"/>
      <c r="R147" s="219">
        <f t="shared" si="32"/>
        <v>30000</v>
      </c>
      <c r="S147" s="1669"/>
      <c r="T147" s="1384">
        <v>5789.5700000000006</v>
      </c>
      <c r="U147" s="1385">
        <v>0.38597133333333339</v>
      </c>
      <c r="V147" s="41"/>
    </row>
    <row r="148" spans="1:22" s="7" customFormat="1" ht="13.9" customHeight="1">
      <c r="A148" s="7" t="s">
        <v>982</v>
      </c>
      <c r="B148" s="1670" t="s">
        <v>983</v>
      </c>
      <c r="C148" s="41"/>
      <c r="D148" s="1661" t="s">
        <v>231</v>
      </c>
      <c r="E148" s="1675" t="s">
        <v>911</v>
      </c>
      <c r="F148" s="1676">
        <v>1</v>
      </c>
      <c r="G148" s="1677">
        <v>1000</v>
      </c>
      <c r="H148" s="1676">
        <v>6</v>
      </c>
      <c r="I148" s="1678">
        <f t="shared" si="30"/>
        <v>6000</v>
      </c>
      <c r="J148" s="1676"/>
      <c r="K148" s="1676"/>
      <c r="L148" s="1676">
        <v>1</v>
      </c>
      <c r="M148" s="1677">
        <v>1000</v>
      </c>
      <c r="N148" s="1676">
        <v>6</v>
      </c>
      <c r="O148" s="219">
        <f t="shared" si="31"/>
        <v>6000</v>
      </c>
      <c r="P148" s="1676"/>
      <c r="Q148" s="1676"/>
      <c r="R148" s="219">
        <f t="shared" si="32"/>
        <v>12000</v>
      </c>
      <c r="S148" s="1669"/>
      <c r="T148" s="1384">
        <v>4375.0799999999963</v>
      </c>
      <c r="U148" s="1385">
        <v>0.72917999999999938</v>
      </c>
      <c r="V148" s="41"/>
    </row>
    <row r="149" spans="1:22" s="7" customFormat="1" ht="13.5" customHeight="1">
      <c r="A149" s="7" t="s">
        <v>984</v>
      </c>
      <c r="B149" s="1670" t="s">
        <v>985</v>
      </c>
      <c r="C149" s="41"/>
      <c r="D149" s="1661" t="s">
        <v>231</v>
      </c>
      <c r="E149" s="1675" t="s">
        <v>911</v>
      </c>
      <c r="F149" s="1676">
        <v>1</v>
      </c>
      <c r="G149" s="1677">
        <v>800</v>
      </c>
      <c r="H149" s="1676">
        <v>6</v>
      </c>
      <c r="I149" s="1678">
        <f t="shared" si="30"/>
        <v>4800</v>
      </c>
      <c r="J149" s="1676"/>
      <c r="K149" s="1676"/>
      <c r="L149" s="1676">
        <v>1</v>
      </c>
      <c r="M149" s="1677">
        <v>800</v>
      </c>
      <c r="N149" s="1676">
        <v>6</v>
      </c>
      <c r="O149" s="219">
        <f t="shared" si="31"/>
        <v>4800</v>
      </c>
      <c r="P149" s="1676"/>
      <c r="Q149" s="1676"/>
      <c r="R149" s="219">
        <f t="shared" si="32"/>
        <v>9600</v>
      </c>
      <c r="S149" s="1669"/>
      <c r="T149" s="1384">
        <v>3495.3850000000011</v>
      </c>
      <c r="U149" s="1385">
        <v>0.72820520833333358</v>
      </c>
      <c r="V149" s="41"/>
    </row>
    <row r="150" spans="1:22" s="7" customFormat="1">
      <c r="B150" s="1681" t="s">
        <v>804</v>
      </c>
      <c r="C150" s="1682"/>
      <c r="D150" s="1681"/>
      <c r="E150" s="1681"/>
      <c r="F150" s="1681"/>
      <c r="G150" s="1681"/>
      <c r="H150" s="1681"/>
      <c r="I150" s="1683">
        <f>SUM(I141:I149)</f>
        <v>60000</v>
      </c>
      <c r="J150" s="1681"/>
      <c r="K150" s="1681"/>
      <c r="L150" s="1681"/>
      <c r="M150" s="1681"/>
      <c r="N150" s="1681"/>
      <c r="O150" s="1683">
        <f>SUM(O141:O149)</f>
        <v>60000</v>
      </c>
      <c r="P150" s="1684"/>
      <c r="Q150" s="1685"/>
      <c r="R150" s="1686">
        <f>SUM(R141:R149)</f>
        <v>120000</v>
      </c>
      <c r="S150" s="1687"/>
      <c r="T150" s="1688">
        <v>36706.039999999994</v>
      </c>
      <c r="U150" s="1689">
        <v>0.61176733333333322</v>
      </c>
      <c r="V150" s="41"/>
    </row>
    <row r="151" spans="1:22" s="7" customFormat="1">
      <c r="B151" s="1690" t="s">
        <v>240</v>
      </c>
      <c r="C151" s="1691"/>
      <c r="D151" s="1691"/>
      <c r="E151" s="1691"/>
      <c r="F151" s="1691"/>
      <c r="G151" s="1691"/>
      <c r="H151" s="1691"/>
      <c r="I151" s="1692"/>
      <c r="J151" s="1691"/>
      <c r="K151" s="1691"/>
      <c r="L151" s="1691"/>
      <c r="M151" s="1691"/>
      <c r="N151" s="1691"/>
      <c r="O151" s="1692"/>
      <c r="P151" s="1692"/>
      <c r="Q151" s="1692"/>
      <c r="R151" s="1692"/>
      <c r="S151" s="1693"/>
      <c r="T151" s="1650"/>
      <c r="U151" s="1651"/>
      <c r="V151" s="41"/>
    </row>
    <row r="152" spans="1:22" s="7" customFormat="1">
      <c r="B152" s="1694"/>
      <c r="C152" s="1695"/>
      <c r="D152" s="1696"/>
      <c r="E152" s="1697"/>
      <c r="F152" s="1698"/>
      <c r="G152" s="1699"/>
      <c r="H152" s="1700"/>
      <c r="I152" s="1701"/>
      <c r="J152" s="1702"/>
      <c r="K152" s="1702"/>
      <c r="L152" s="1702"/>
      <c r="M152" s="1702"/>
      <c r="N152" s="1702"/>
      <c r="O152" s="219"/>
      <c r="P152" s="1703"/>
      <c r="Q152" s="1703"/>
      <c r="R152" s="1576">
        <f>+I152+O152</f>
        <v>0</v>
      </c>
      <c r="S152" s="1577"/>
      <c r="T152" s="1384">
        <v>0</v>
      </c>
      <c r="U152" s="1704"/>
      <c r="V152" s="41"/>
    </row>
    <row r="153" spans="1:22" s="7" customFormat="1">
      <c r="B153" s="1705" t="s">
        <v>804</v>
      </c>
      <c r="C153" s="1706"/>
      <c r="D153" s="1705"/>
      <c r="E153" s="1705"/>
      <c r="F153" s="1705"/>
      <c r="G153" s="1707"/>
      <c r="H153" s="1708"/>
      <c r="I153" s="1709">
        <f>SUM(I152)</f>
        <v>0</v>
      </c>
      <c r="J153" s="1705"/>
      <c r="K153" s="1705"/>
      <c r="L153" s="1705"/>
      <c r="M153" s="1707"/>
      <c r="N153" s="1708"/>
      <c r="O153" s="1710">
        <f>SUM(O152)</f>
        <v>0</v>
      </c>
      <c r="P153" s="1710"/>
      <c r="Q153" s="1710"/>
      <c r="R153" s="1709">
        <f>SUM(R152)</f>
        <v>0</v>
      </c>
      <c r="S153" s="1711"/>
      <c r="T153" s="1712">
        <v>0</v>
      </c>
      <c r="U153" s="1713"/>
      <c r="V153" s="41"/>
    </row>
    <row r="154" spans="1:22" s="7" customFormat="1">
      <c r="B154" s="1690" t="s">
        <v>244</v>
      </c>
      <c r="C154" s="1691"/>
      <c r="D154" s="1691"/>
      <c r="E154" s="1691"/>
      <c r="F154" s="1691"/>
      <c r="G154" s="1691"/>
      <c r="H154" s="1691"/>
      <c r="I154" s="1692"/>
      <c r="J154" s="1691"/>
      <c r="K154" s="1691"/>
      <c r="L154" s="1691"/>
      <c r="M154" s="1691"/>
      <c r="N154" s="1691"/>
      <c r="O154" s="1692"/>
      <c r="P154" s="1692"/>
      <c r="Q154" s="1692"/>
      <c r="R154" s="1692"/>
      <c r="S154" s="1693"/>
      <c r="T154" s="1714"/>
      <c r="U154" s="1715"/>
      <c r="V154" s="41"/>
    </row>
    <row r="155" spans="1:22" s="7" customFormat="1">
      <c r="A155" s="7" t="s">
        <v>987</v>
      </c>
      <c r="B155" s="1716" t="s">
        <v>988</v>
      </c>
      <c r="C155" s="1695"/>
      <c r="D155" s="1717" t="s">
        <v>246</v>
      </c>
      <c r="E155" s="1718" t="s">
        <v>793</v>
      </c>
      <c r="F155" s="74">
        <v>1</v>
      </c>
      <c r="G155" s="1719">
        <v>200</v>
      </c>
      <c r="H155" s="1720">
        <v>6</v>
      </c>
      <c r="I155" s="1721">
        <f>H155*G155*F155</f>
        <v>1200</v>
      </c>
      <c r="J155" s="1667"/>
      <c r="K155" s="1668"/>
      <c r="L155" s="74">
        <v>1</v>
      </c>
      <c r="M155" s="1719">
        <v>200</v>
      </c>
      <c r="N155" s="1720">
        <v>6</v>
      </c>
      <c r="O155" s="1721">
        <f>N155*M155*L155</f>
        <v>1200</v>
      </c>
      <c r="P155" s="1667"/>
      <c r="Q155" s="1668"/>
      <c r="R155" s="219">
        <f t="shared" ref="R155:R166" si="33">O155+I155</f>
        <v>2400</v>
      </c>
      <c r="S155" s="1669"/>
      <c r="T155" s="1384">
        <v>1780.4949999999999</v>
      </c>
      <c r="U155" s="1385">
        <v>1.4837458333333333</v>
      </c>
      <c r="V155" s="41"/>
    </row>
    <row r="156" spans="1:22" s="7" customFormat="1" ht="13.9" customHeight="1">
      <c r="A156" s="7" t="s">
        <v>987</v>
      </c>
      <c r="B156" s="1716" t="s">
        <v>988</v>
      </c>
      <c r="C156" s="1695"/>
      <c r="D156" s="1717" t="s">
        <v>246</v>
      </c>
      <c r="E156" s="1697" t="s">
        <v>911</v>
      </c>
      <c r="F156" s="1722">
        <v>1</v>
      </c>
      <c r="G156" s="1723">
        <v>200</v>
      </c>
      <c r="H156" s="1724">
        <v>6</v>
      </c>
      <c r="I156" s="1701">
        <f>+F156*G156*H156</f>
        <v>1200</v>
      </c>
      <c r="J156" s="1702"/>
      <c r="K156" s="1702"/>
      <c r="L156" s="1724">
        <v>1</v>
      </c>
      <c r="M156" s="1723">
        <v>200</v>
      </c>
      <c r="N156" s="1724">
        <v>6</v>
      </c>
      <c r="O156" s="1725">
        <f>+L156*M156*N156</f>
        <v>1200</v>
      </c>
      <c r="P156" s="1703"/>
      <c r="Q156" s="1703"/>
      <c r="R156" s="1726">
        <f>+I156+O156</f>
        <v>2400</v>
      </c>
      <c r="S156" s="1727"/>
      <c r="T156" s="1384">
        <v>1780.4949999999999</v>
      </c>
      <c r="U156" s="1385">
        <v>1.4837458333333333</v>
      </c>
      <c r="V156" s="41"/>
    </row>
    <row r="157" spans="1:22" s="7" customFormat="1" ht="102">
      <c r="B157" s="1705" t="s">
        <v>804</v>
      </c>
      <c r="C157" s="1706"/>
      <c r="D157" s="1705"/>
      <c r="E157" s="1728"/>
      <c r="F157" s="1705"/>
      <c r="G157" s="1707"/>
      <c r="H157" s="1708"/>
      <c r="I157" s="1709">
        <f>SUM(I155:I156)</f>
        <v>2400</v>
      </c>
      <c r="J157" s="1705"/>
      <c r="K157" s="1705"/>
      <c r="L157" s="1705"/>
      <c r="M157" s="1729"/>
      <c r="N157" s="1729"/>
      <c r="O157" s="1709">
        <f>SUM(O155:O156)</f>
        <v>2400</v>
      </c>
      <c r="P157" s="1729"/>
      <c r="Q157" s="1729"/>
      <c r="R157" s="1730">
        <f>SUM(R155:R156)</f>
        <v>4800</v>
      </c>
      <c r="S157" s="1731"/>
      <c r="T157" s="1732">
        <v>3560.99</v>
      </c>
      <c r="U157" s="1905">
        <v>1.4837458333333333</v>
      </c>
      <c r="V157" s="1904" t="s">
        <v>1024</v>
      </c>
    </row>
    <row r="158" spans="1:22" s="7" customFormat="1" ht="13.9" customHeight="1">
      <c r="B158" s="1690" t="s">
        <v>249</v>
      </c>
      <c r="C158" s="1691"/>
      <c r="D158" s="1691"/>
      <c r="E158" s="1733"/>
      <c r="F158" s="1691"/>
      <c r="G158" s="1691"/>
      <c r="H158" s="1691"/>
      <c r="I158" s="1692"/>
      <c r="J158" s="1691"/>
      <c r="K158" s="1691"/>
      <c r="L158" s="1691"/>
      <c r="M158" s="1691"/>
      <c r="N158" s="1691"/>
      <c r="O158" s="1692"/>
      <c r="P158" s="1692"/>
      <c r="Q158" s="1692"/>
      <c r="R158" s="1692"/>
      <c r="S158" s="1693"/>
      <c r="T158" s="1714"/>
      <c r="U158" s="1715"/>
      <c r="V158" s="41"/>
    </row>
    <row r="159" spans="1:22" s="7" customFormat="1" ht="13.9" customHeight="1">
      <c r="A159" s="7" t="s">
        <v>989</v>
      </c>
      <c r="B159" s="1734" t="s">
        <v>990</v>
      </c>
      <c r="C159" s="1695"/>
      <c r="D159" s="1735" t="s">
        <v>33</v>
      </c>
      <c r="E159" s="1736" t="s">
        <v>793</v>
      </c>
      <c r="F159" s="33">
        <v>1</v>
      </c>
      <c r="G159" s="1719">
        <v>500</v>
      </c>
      <c r="H159" s="33">
        <v>6</v>
      </c>
      <c r="I159" s="1737">
        <f>H159*G159*F159</f>
        <v>3000</v>
      </c>
      <c r="J159" s="1667"/>
      <c r="K159" s="1668"/>
      <c r="L159" s="33">
        <v>1</v>
      </c>
      <c r="M159" s="1719">
        <v>500</v>
      </c>
      <c r="N159" s="33">
        <v>6</v>
      </c>
      <c r="O159" s="1737">
        <f>N159*M159*L159</f>
        <v>3000</v>
      </c>
      <c r="P159" s="1667"/>
      <c r="Q159" s="1668"/>
      <c r="R159" s="219">
        <f t="shared" si="33"/>
        <v>6000</v>
      </c>
      <c r="S159" s="1669"/>
      <c r="T159" s="1384">
        <v>1953.595</v>
      </c>
      <c r="U159" s="1385">
        <v>0.65119833333333332</v>
      </c>
      <c r="V159" s="41"/>
    </row>
    <row r="160" spans="1:22" s="7" customFormat="1" ht="13.9" customHeight="1">
      <c r="A160" s="7" t="s">
        <v>989</v>
      </c>
      <c r="B160" s="1734" t="s">
        <v>990</v>
      </c>
      <c r="C160" s="1695"/>
      <c r="D160" s="1735" t="s">
        <v>33</v>
      </c>
      <c r="E160" s="1736" t="s">
        <v>991</v>
      </c>
      <c r="F160" s="33">
        <v>1</v>
      </c>
      <c r="G160" s="1719">
        <v>500</v>
      </c>
      <c r="H160" s="33">
        <v>6</v>
      </c>
      <c r="I160" s="1737">
        <f>H160*G160*F160</f>
        <v>3000</v>
      </c>
      <c r="J160" s="1667"/>
      <c r="K160" s="1668"/>
      <c r="L160" s="33">
        <v>1</v>
      </c>
      <c r="M160" s="1719">
        <v>500</v>
      </c>
      <c r="N160" s="33">
        <v>6</v>
      </c>
      <c r="O160" s="1737">
        <f>N160*M160*L160</f>
        <v>3000</v>
      </c>
      <c r="P160" s="1667"/>
      <c r="Q160" s="1668"/>
      <c r="R160" s="219">
        <f t="shared" si="33"/>
        <v>6000</v>
      </c>
      <c r="S160" s="1669"/>
      <c r="T160" s="1384">
        <v>1953.595</v>
      </c>
      <c r="U160" s="1385">
        <v>0.65119833333333332</v>
      </c>
      <c r="V160" s="41"/>
    </row>
    <row r="161" spans="1:23" s="7" customFormat="1" ht="13.9" customHeight="1">
      <c r="B161" s="1681" t="s">
        <v>992</v>
      </c>
      <c r="C161" s="1738"/>
      <c r="D161" s="1739"/>
      <c r="E161" s="1740"/>
      <c r="F161" s="1741"/>
      <c r="G161" s="1741"/>
      <c r="H161" s="1741"/>
      <c r="I161" s="1742">
        <f>SUM(I159:I160)</f>
        <v>6000</v>
      </c>
      <c r="J161" s="1741"/>
      <c r="K161" s="1741"/>
      <c r="L161" s="1741"/>
      <c r="M161" s="1741"/>
      <c r="N161" s="1741"/>
      <c r="O161" s="1743">
        <f>SUM(O159:O160)</f>
        <v>6000</v>
      </c>
      <c r="P161" s="1710"/>
      <c r="Q161" s="1710"/>
      <c r="R161" s="1744">
        <f>SUM(R159:R160)</f>
        <v>12000</v>
      </c>
      <c r="S161" s="1745"/>
      <c r="T161" s="1746">
        <v>3907.19</v>
      </c>
      <c r="U161" s="1689">
        <v>0.65119833333333332</v>
      </c>
      <c r="V161" s="41"/>
      <c r="W161" s="1"/>
    </row>
    <row r="162" spans="1:23" s="7" customFormat="1" ht="30.75" customHeight="1">
      <c r="B162" s="1690" t="s">
        <v>255</v>
      </c>
      <c r="C162" s="1691"/>
      <c r="D162" s="1691"/>
      <c r="E162" s="1733"/>
      <c r="F162" s="1691"/>
      <c r="G162" s="1691"/>
      <c r="H162" s="1691"/>
      <c r="I162" s="1692"/>
      <c r="J162" s="1691"/>
      <c r="K162" s="1691"/>
      <c r="L162" s="1691"/>
      <c r="M162" s="1691"/>
      <c r="N162" s="1691"/>
      <c r="O162" s="1692"/>
      <c r="P162" s="1692"/>
      <c r="Q162" s="1692"/>
      <c r="R162" s="1692"/>
      <c r="S162" s="1693"/>
      <c r="T162" s="1714"/>
      <c r="U162" s="1715"/>
      <c r="V162" s="41"/>
      <c r="W162" s="1"/>
    </row>
    <row r="163" spans="1:23" s="7" customFormat="1" ht="13.9" customHeight="1">
      <c r="A163" s="7" t="s">
        <v>993</v>
      </c>
      <c r="B163" s="1747" t="s">
        <v>994</v>
      </c>
      <c r="C163" s="1748"/>
      <c r="D163" s="1749" t="s">
        <v>40</v>
      </c>
      <c r="E163" s="1736" t="s">
        <v>793</v>
      </c>
      <c r="F163" s="74">
        <v>1</v>
      </c>
      <c r="G163" s="74">
        <v>500</v>
      </c>
      <c r="H163" s="33">
        <v>6</v>
      </c>
      <c r="I163" s="1750">
        <f>H163*G163*F163</f>
        <v>3000</v>
      </c>
      <c r="J163" s="195"/>
      <c r="K163" s="1751"/>
      <c r="L163" s="74">
        <v>1</v>
      </c>
      <c r="M163" s="74">
        <v>500</v>
      </c>
      <c r="N163" s="33">
        <v>6</v>
      </c>
      <c r="O163" s="1750">
        <f>N163*M163*L163</f>
        <v>3000</v>
      </c>
      <c r="P163" s="195"/>
      <c r="Q163" s="1751"/>
      <c r="R163" s="219">
        <f t="shared" si="33"/>
        <v>6000</v>
      </c>
      <c r="S163" s="1669"/>
      <c r="T163" s="1906">
        <v>4534.2299999999996</v>
      </c>
      <c r="U163" s="1385">
        <v>1.5114099999999999</v>
      </c>
      <c r="V163" s="41"/>
      <c r="W163" s="1"/>
    </row>
    <row r="164" spans="1:23" s="7" customFormat="1" ht="13.9" customHeight="1">
      <c r="A164" s="7" t="s">
        <v>995</v>
      </c>
      <c r="B164" s="1752" t="s">
        <v>996</v>
      </c>
      <c r="C164" s="1753"/>
      <c r="D164" s="1749" t="s">
        <v>40</v>
      </c>
      <c r="E164" s="1736" t="s">
        <v>793</v>
      </c>
      <c r="F164" s="856">
        <v>1</v>
      </c>
      <c r="G164" s="1754">
        <v>300</v>
      </c>
      <c r="H164" s="856">
        <v>6</v>
      </c>
      <c r="I164" s="1750">
        <f>H164*G164*F164</f>
        <v>1800</v>
      </c>
      <c r="J164" s="195"/>
      <c r="K164" s="1751"/>
      <c r="L164" s="856">
        <v>1</v>
      </c>
      <c r="M164" s="1754">
        <v>300</v>
      </c>
      <c r="N164" s="856">
        <v>6</v>
      </c>
      <c r="O164" s="1750">
        <f>N164*M164*L164</f>
        <v>1800</v>
      </c>
      <c r="P164" s="195"/>
      <c r="Q164" s="1751"/>
      <c r="R164" s="219">
        <f t="shared" si="33"/>
        <v>3600</v>
      </c>
      <c r="S164" s="1669"/>
      <c r="T164" s="1384">
        <v>730.11500000000001</v>
      </c>
      <c r="U164" s="1385">
        <v>0.40561944444444448</v>
      </c>
      <c r="V164" s="41"/>
      <c r="W164" s="2"/>
    </row>
    <row r="165" spans="1:23" s="7" customFormat="1" ht="13.9" customHeight="1">
      <c r="A165" s="7" t="s">
        <v>993</v>
      </c>
      <c r="B165" s="1752" t="s">
        <v>994</v>
      </c>
      <c r="C165" s="1753"/>
      <c r="D165" s="1755" t="s">
        <v>40</v>
      </c>
      <c r="E165" s="73" t="s">
        <v>997</v>
      </c>
      <c r="F165" s="856">
        <v>1</v>
      </c>
      <c r="G165" s="1756">
        <v>500</v>
      </c>
      <c r="H165" s="856">
        <v>6</v>
      </c>
      <c r="I165" s="1750">
        <f>H165*G165*F165</f>
        <v>3000</v>
      </c>
      <c r="J165" s="195"/>
      <c r="K165" s="195"/>
      <c r="L165" s="856">
        <v>1</v>
      </c>
      <c r="M165" s="1756">
        <v>500</v>
      </c>
      <c r="N165" s="856">
        <v>6</v>
      </c>
      <c r="O165" s="1750">
        <f>N165*M165*L165</f>
        <v>3000</v>
      </c>
      <c r="P165" s="195"/>
      <c r="Q165" s="195"/>
      <c r="R165" s="219">
        <f t="shared" si="33"/>
        <v>6000</v>
      </c>
      <c r="S165" s="1669"/>
      <c r="T165" s="1384">
        <v>4534.2299999999996</v>
      </c>
      <c r="U165" s="1385">
        <v>1.5114099999999999</v>
      </c>
      <c r="V165" s="41"/>
      <c r="W165" s="2"/>
    </row>
    <row r="166" spans="1:23" s="7" customFormat="1" ht="13.9" customHeight="1">
      <c r="A166" s="7" t="s">
        <v>995</v>
      </c>
      <c r="B166" s="1752" t="s">
        <v>996</v>
      </c>
      <c r="C166" s="1753"/>
      <c r="D166" s="1755" t="s">
        <v>40</v>
      </c>
      <c r="E166" s="73" t="s">
        <v>997</v>
      </c>
      <c r="F166" s="856">
        <v>1</v>
      </c>
      <c r="G166" s="1756">
        <v>300</v>
      </c>
      <c r="H166" s="856">
        <v>6</v>
      </c>
      <c r="I166" s="1750">
        <f>H166*G166*F166</f>
        <v>1800</v>
      </c>
      <c r="J166" s="195"/>
      <c r="K166" s="195"/>
      <c r="L166" s="856">
        <v>1</v>
      </c>
      <c r="M166" s="1756">
        <v>300</v>
      </c>
      <c r="N166" s="856">
        <v>6</v>
      </c>
      <c r="O166" s="1750">
        <f>N166*M166*L166</f>
        <v>1800</v>
      </c>
      <c r="P166" s="195"/>
      <c r="Q166" s="195"/>
      <c r="R166" s="219">
        <f t="shared" si="33"/>
        <v>3600</v>
      </c>
      <c r="S166" s="1669"/>
      <c r="T166" s="1384">
        <v>730.11500000000001</v>
      </c>
      <c r="U166" s="1385">
        <v>0.40561944444444448</v>
      </c>
      <c r="V166" s="41"/>
      <c r="W166" s="2"/>
    </row>
    <row r="167" spans="1:23" s="7" customFormat="1" ht="89.25">
      <c r="B167" s="1757" t="s">
        <v>804</v>
      </c>
      <c r="C167" s="1758"/>
      <c r="D167" s="1739"/>
      <c r="E167" s="1741"/>
      <c r="F167" s="1741"/>
      <c r="G167" s="1741"/>
      <c r="H167" s="1741"/>
      <c r="I167" s="1759">
        <f>SUM(I163:I166)</f>
        <v>9600</v>
      </c>
      <c r="J167" s="1741"/>
      <c r="K167" s="1741"/>
      <c r="L167" s="1741"/>
      <c r="M167" s="1741"/>
      <c r="N167" s="1741"/>
      <c r="O167" s="1760">
        <f>SUM(O163:O166)</f>
        <v>9600</v>
      </c>
      <c r="P167" s="1710"/>
      <c r="Q167" s="1710"/>
      <c r="R167" s="1744">
        <f>SUM(R163:R166)</f>
        <v>19200</v>
      </c>
      <c r="S167" s="1745"/>
      <c r="T167" s="1746">
        <v>10528.689999999999</v>
      </c>
      <c r="U167" s="1689">
        <v>1.0967385416666666</v>
      </c>
      <c r="V167" s="1907" t="s">
        <v>1025</v>
      </c>
      <c r="W167" s="1"/>
    </row>
    <row r="168" spans="1:23" s="7" customFormat="1" ht="13.9" customHeight="1">
      <c r="B168" s="1690" t="s">
        <v>260</v>
      </c>
      <c r="C168" s="1691"/>
      <c r="D168" s="1691"/>
      <c r="E168" s="1691"/>
      <c r="F168" s="1691"/>
      <c r="G168" s="1691"/>
      <c r="H168" s="1691"/>
      <c r="I168" s="1692"/>
      <c r="J168" s="1691"/>
      <c r="K168" s="1691"/>
      <c r="L168" s="1691"/>
      <c r="M168" s="1691"/>
      <c r="N168" s="1691"/>
      <c r="O168" s="1692"/>
      <c r="P168" s="1692"/>
      <c r="Q168" s="1692"/>
      <c r="R168" s="1692"/>
      <c r="S168" s="1693"/>
      <c r="T168" s="1714"/>
      <c r="U168" s="1715"/>
      <c r="V168" s="41"/>
      <c r="W168" s="1"/>
    </row>
    <row r="169" spans="1:23" s="7" customFormat="1" ht="13.9" customHeight="1">
      <c r="B169" s="1761"/>
      <c r="C169" s="1762"/>
      <c r="D169" s="1763"/>
      <c r="E169" s="1764"/>
      <c r="F169" s="33"/>
      <c r="G169" s="33"/>
      <c r="H169" s="33"/>
      <c r="I169" s="1765"/>
      <c r="J169" s="195"/>
      <c r="K169" s="1751"/>
      <c r="L169" s="33"/>
      <c r="M169" s="33"/>
      <c r="N169" s="33"/>
      <c r="O169" s="1765"/>
      <c r="P169" s="195"/>
      <c r="Q169" s="1751"/>
      <c r="R169" s="1766"/>
      <c r="S169" s="1767"/>
      <c r="T169" s="1768"/>
      <c r="U169" s="1769"/>
      <c r="V169" s="41"/>
      <c r="W169" s="1"/>
    </row>
    <row r="170" spans="1:23" s="7" customFormat="1" ht="13.9" customHeight="1">
      <c r="B170" s="1690" t="s">
        <v>262</v>
      </c>
      <c r="C170" s="1691"/>
      <c r="D170" s="1691"/>
      <c r="E170" s="1691"/>
      <c r="F170" s="1691"/>
      <c r="G170" s="1691"/>
      <c r="H170" s="1691"/>
      <c r="I170" s="1692"/>
      <c r="J170" s="1691"/>
      <c r="K170" s="1691"/>
      <c r="L170" s="1691"/>
      <c r="M170" s="1691"/>
      <c r="N170" s="1691"/>
      <c r="O170" s="1692"/>
      <c r="P170" s="1692"/>
      <c r="Q170" s="1692"/>
      <c r="R170" s="1692"/>
      <c r="S170" s="1693"/>
      <c r="T170" s="1714"/>
      <c r="U170" s="1715"/>
      <c r="V170" s="41"/>
      <c r="W170" s="1"/>
    </row>
    <row r="171" spans="1:23" s="7" customFormat="1" ht="13.9" customHeight="1">
      <c r="B171" s="1652" t="s">
        <v>998</v>
      </c>
      <c r="C171" s="1770"/>
      <c r="D171" s="1771"/>
      <c r="E171" s="1771"/>
      <c r="F171" s="1770"/>
      <c r="G171" s="1770"/>
      <c r="H171" s="1770"/>
      <c r="I171" s="1770"/>
      <c r="J171" s="1770"/>
      <c r="K171" s="1770"/>
      <c r="L171" s="1770"/>
      <c r="M171" s="1770"/>
      <c r="N171" s="1770"/>
      <c r="O171" s="1770"/>
      <c r="P171" s="1772"/>
      <c r="Q171" s="1770"/>
      <c r="R171" s="1770"/>
      <c r="S171" s="1773"/>
      <c r="T171" s="1774"/>
      <c r="U171" s="1775"/>
      <c r="V171" s="41"/>
      <c r="W171" s="1"/>
    </row>
    <row r="172" spans="1:23" s="7" customFormat="1" ht="13.9" customHeight="1">
      <c r="A172" s="7" t="s">
        <v>999</v>
      </c>
      <c r="B172" s="1776" t="s">
        <v>1000</v>
      </c>
      <c r="C172" s="1777"/>
      <c r="D172" s="1778" t="s">
        <v>263</v>
      </c>
      <c r="E172" s="1736" t="s">
        <v>793</v>
      </c>
      <c r="F172" s="1779">
        <v>1</v>
      </c>
      <c r="G172" s="1779">
        <v>2000</v>
      </c>
      <c r="H172" s="1779">
        <v>1</v>
      </c>
      <c r="I172" s="1780">
        <f>H172*G172*F172</f>
        <v>2000</v>
      </c>
      <c r="J172" s="195"/>
      <c r="K172" s="1751"/>
      <c r="L172" s="1779">
        <v>1</v>
      </c>
      <c r="M172" s="1779">
        <v>2000</v>
      </c>
      <c r="N172" s="1779">
        <v>1</v>
      </c>
      <c r="O172" s="1781">
        <f>N172*M172*L172</f>
        <v>2000</v>
      </c>
      <c r="P172" s="195"/>
      <c r="Q172" s="1751"/>
      <c r="R172" s="1781">
        <f>O172+I172</f>
        <v>4000</v>
      </c>
      <c r="S172" s="1782"/>
      <c r="T172" s="1384">
        <v>292.5</v>
      </c>
      <c r="U172" s="1385">
        <v>0.14624999999999999</v>
      </c>
      <c r="V172" s="41"/>
      <c r="W172" s="1"/>
    </row>
    <row r="173" spans="1:23" s="7" customFormat="1" ht="13.9" customHeight="1">
      <c r="A173" s="7" t="s">
        <v>1001</v>
      </c>
      <c r="B173" s="1783" t="s">
        <v>1002</v>
      </c>
      <c r="C173" s="1777"/>
      <c r="D173" s="1778" t="s">
        <v>263</v>
      </c>
      <c r="E173" s="1736" t="s">
        <v>793</v>
      </c>
      <c r="F173" s="1784">
        <v>1</v>
      </c>
      <c r="G173" s="1779">
        <v>100</v>
      </c>
      <c r="H173" s="1784">
        <v>6</v>
      </c>
      <c r="I173" s="1780">
        <f t="shared" ref="I173:I178" si="34">H173*G173*F173</f>
        <v>600</v>
      </c>
      <c r="J173" s="195"/>
      <c r="K173" s="1751"/>
      <c r="L173" s="1784">
        <v>1</v>
      </c>
      <c r="M173" s="1779">
        <v>100</v>
      </c>
      <c r="N173" s="1784">
        <v>6</v>
      </c>
      <c r="O173" s="1781">
        <f t="shared" ref="O173:O178" si="35">N173*M173*L173</f>
        <v>600</v>
      </c>
      <c r="P173" s="195"/>
      <c r="Q173" s="1751"/>
      <c r="R173" s="1781">
        <f t="shared" ref="R173:R178" si="36">O173+I173</f>
        <v>1200</v>
      </c>
      <c r="S173" s="1782"/>
      <c r="T173" s="1384">
        <v>527.75</v>
      </c>
      <c r="U173" s="1385">
        <v>0.87958333333333338</v>
      </c>
      <c r="V173" s="41"/>
      <c r="W173" s="1"/>
    </row>
    <row r="174" spans="1:23" s="7" customFormat="1" ht="13.9" customHeight="1">
      <c r="A174" s="7" t="s">
        <v>1003</v>
      </c>
      <c r="B174" s="1783" t="s">
        <v>1004</v>
      </c>
      <c r="C174" s="1785"/>
      <c r="D174" s="1778" t="s">
        <v>263</v>
      </c>
      <c r="E174" s="1736" t="s">
        <v>793</v>
      </c>
      <c r="F174" s="1784">
        <v>1</v>
      </c>
      <c r="G174" s="1779">
        <v>100</v>
      </c>
      <c r="H174" s="1784">
        <v>6</v>
      </c>
      <c r="I174" s="1780">
        <f t="shared" si="34"/>
        <v>600</v>
      </c>
      <c r="J174" s="195"/>
      <c r="K174" s="1751"/>
      <c r="L174" s="1784">
        <v>1</v>
      </c>
      <c r="M174" s="1779">
        <v>100</v>
      </c>
      <c r="N174" s="1784">
        <v>6</v>
      </c>
      <c r="O174" s="1781">
        <f t="shared" si="35"/>
        <v>600</v>
      </c>
      <c r="P174" s="195"/>
      <c r="Q174" s="1751"/>
      <c r="R174" s="1781">
        <f t="shared" si="36"/>
        <v>1200</v>
      </c>
      <c r="S174" s="1782"/>
      <c r="T174" s="1384">
        <v>1123.54</v>
      </c>
      <c r="U174" s="1385">
        <v>1.8725666666666667</v>
      </c>
      <c r="V174" s="41"/>
      <c r="W174" s="1"/>
    </row>
    <row r="175" spans="1:23" s="7" customFormat="1" ht="13.9" customHeight="1">
      <c r="A175" s="7" t="s">
        <v>1005</v>
      </c>
      <c r="B175" s="1783" t="s">
        <v>1006</v>
      </c>
      <c r="C175" s="1604"/>
      <c r="D175" s="1778" t="s">
        <v>263</v>
      </c>
      <c r="E175" s="1736" t="s">
        <v>793</v>
      </c>
      <c r="F175" s="1784">
        <v>1</v>
      </c>
      <c r="G175" s="1779">
        <v>2000</v>
      </c>
      <c r="H175" s="1784">
        <v>1</v>
      </c>
      <c r="I175" s="1780">
        <f t="shared" si="34"/>
        <v>2000</v>
      </c>
      <c r="J175" s="195"/>
      <c r="K175" s="1751"/>
      <c r="L175" s="1784">
        <v>1</v>
      </c>
      <c r="M175" s="1779">
        <v>2000</v>
      </c>
      <c r="N175" s="1784">
        <v>1</v>
      </c>
      <c r="O175" s="1781">
        <f t="shared" si="35"/>
        <v>2000</v>
      </c>
      <c r="P175" s="195"/>
      <c r="Q175" s="1751"/>
      <c r="R175" s="1781">
        <f t="shared" si="36"/>
        <v>4000</v>
      </c>
      <c r="S175" s="1782"/>
      <c r="T175" s="1384">
        <v>0</v>
      </c>
      <c r="U175" s="1385">
        <v>0</v>
      </c>
      <c r="V175" s="41"/>
      <c r="W175" s="1"/>
    </row>
    <row r="176" spans="1:23" s="7" customFormat="1" ht="13.9" customHeight="1">
      <c r="A176" s="7" t="s">
        <v>1007</v>
      </c>
      <c r="B176" s="1776" t="s">
        <v>990</v>
      </c>
      <c r="C176" s="1604"/>
      <c r="D176" s="1778" t="s">
        <v>263</v>
      </c>
      <c r="E176" s="1736" t="s">
        <v>793</v>
      </c>
      <c r="F176" s="1779">
        <v>1</v>
      </c>
      <c r="G176" s="1779">
        <f>400*0.5</f>
        <v>200</v>
      </c>
      <c r="H176" s="1784">
        <v>6</v>
      </c>
      <c r="I176" s="1780">
        <f t="shared" si="34"/>
        <v>1200</v>
      </c>
      <c r="J176" s="195"/>
      <c r="K176" s="1751"/>
      <c r="L176" s="1779">
        <v>1</v>
      </c>
      <c r="M176" s="1779">
        <f>400*0.5</f>
        <v>200</v>
      </c>
      <c r="N176" s="1784">
        <v>6</v>
      </c>
      <c r="O176" s="1781">
        <f t="shared" si="35"/>
        <v>1200</v>
      </c>
      <c r="P176" s="195"/>
      <c r="Q176" s="1751"/>
      <c r="R176" s="1781">
        <f t="shared" si="36"/>
        <v>2400</v>
      </c>
      <c r="S176" s="1782"/>
      <c r="T176" s="1384">
        <v>200</v>
      </c>
      <c r="U176" s="1385">
        <v>0.16666666666666666</v>
      </c>
      <c r="V176" s="41"/>
      <c r="W176" s="1"/>
    </row>
    <row r="177" spans="1:22" s="7" customFormat="1" ht="13.9" customHeight="1">
      <c r="A177" s="7" t="s">
        <v>1008</v>
      </c>
      <c r="B177" s="1783" t="s">
        <v>1009</v>
      </c>
      <c r="C177" s="1604"/>
      <c r="D177" s="1778" t="s">
        <v>263</v>
      </c>
      <c r="E177" s="1736" t="s">
        <v>793</v>
      </c>
      <c r="F177" s="1784">
        <v>1</v>
      </c>
      <c r="G177" s="1779">
        <v>600</v>
      </c>
      <c r="H177" s="1784">
        <v>6</v>
      </c>
      <c r="I177" s="1780">
        <f t="shared" si="34"/>
        <v>3600</v>
      </c>
      <c r="J177" s="195"/>
      <c r="K177" s="1786"/>
      <c r="L177" s="1784">
        <v>1</v>
      </c>
      <c r="M177" s="1779">
        <v>600</v>
      </c>
      <c r="N177" s="1784">
        <v>6</v>
      </c>
      <c r="O177" s="1781">
        <f t="shared" si="35"/>
        <v>3600</v>
      </c>
      <c r="P177" s="195"/>
      <c r="Q177" s="1786"/>
      <c r="R177" s="1781">
        <f t="shared" si="36"/>
        <v>7200</v>
      </c>
      <c r="S177" s="1782"/>
      <c r="T177" s="1384">
        <v>6380.5649999999996</v>
      </c>
      <c r="U177" s="1385">
        <v>1.7723791666666666</v>
      </c>
      <c r="V177" s="41"/>
    </row>
    <row r="178" spans="1:22" s="7" customFormat="1" ht="13.9" customHeight="1">
      <c r="A178" s="7" t="s">
        <v>1010</v>
      </c>
      <c r="B178" s="1783" t="s">
        <v>1011</v>
      </c>
      <c r="C178" s="1604"/>
      <c r="D178" s="1778" t="s">
        <v>263</v>
      </c>
      <c r="E178" s="1736" t="s">
        <v>793</v>
      </c>
      <c r="F178" s="1784">
        <v>1</v>
      </c>
      <c r="G178" s="1779">
        <v>1000</v>
      </c>
      <c r="H178" s="1784">
        <v>6</v>
      </c>
      <c r="I178" s="1780">
        <f t="shared" si="34"/>
        <v>6000</v>
      </c>
      <c r="J178" s="195"/>
      <c r="K178" s="1786"/>
      <c r="L178" s="1784">
        <v>1</v>
      </c>
      <c r="M178" s="1779">
        <v>1000</v>
      </c>
      <c r="N178" s="1784">
        <v>6</v>
      </c>
      <c r="O178" s="1781">
        <f t="shared" si="35"/>
        <v>6000</v>
      </c>
      <c r="P178" s="1751"/>
      <c r="Q178" s="1786"/>
      <c r="R178" s="1781">
        <f t="shared" si="36"/>
        <v>12000</v>
      </c>
      <c r="S178" s="1782"/>
      <c r="T178" s="1384">
        <v>4899.67</v>
      </c>
      <c r="U178" s="1385">
        <v>0.81661166666666662</v>
      </c>
      <c r="V178" s="41"/>
    </row>
    <row r="179" spans="1:22" s="7" customFormat="1" ht="13.9" customHeight="1">
      <c r="B179" s="1652" t="s">
        <v>1012</v>
      </c>
      <c r="C179" s="1604"/>
      <c r="D179" s="1787"/>
      <c r="E179" s="1736"/>
      <c r="F179" s="33"/>
      <c r="G179" s="1719"/>
      <c r="H179" s="52"/>
      <c r="I179" s="1780"/>
      <c r="J179" s="195"/>
      <c r="K179" s="1786"/>
      <c r="L179" s="33"/>
      <c r="M179" s="1719"/>
      <c r="N179" s="52"/>
      <c r="O179" s="1781"/>
      <c r="P179" s="1751"/>
      <c r="Q179" s="1786"/>
      <c r="R179" s="1781"/>
      <c r="S179" s="1782"/>
      <c r="T179" s="1384">
        <v>0</v>
      </c>
      <c r="U179" s="1385"/>
      <c r="V179" s="41"/>
    </row>
    <row r="180" spans="1:22" s="7" customFormat="1" ht="13.9" customHeight="1">
      <c r="A180" s="7" t="s">
        <v>999</v>
      </c>
      <c r="B180" s="1776" t="s">
        <v>1000</v>
      </c>
      <c r="C180" s="1604"/>
      <c r="D180" s="1778" t="s">
        <v>263</v>
      </c>
      <c r="E180" s="1788" t="s">
        <v>911</v>
      </c>
      <c r="F180" s="1779">
        <v>1</v>
      </c>
      <c r="G180" s="1779">
        <v>2000</v>
      </c>
      <c r="H180" s="1779">
        <v>1</v>
      </c>
      <c r="I180" s="1781">
        <f>+F180*G180*H180</f>
        <v>2000</v>
      </c>
      <c r="J180" s="1702"/>
      <c r="K180" s="1702"/>
      <c r="L180" s="1779">
        <v>1</v>
      </c>
      <c r="M180" s="1779">
        <v>2000</v>
      </c>
      <c r="N180" s="1779">
        <v>1</v>
      </c>
      <c r="O180" s="1781">
        <f>+L180*M180*N180</f>
        <v>2000</v>
      </c>
      <c r="P180" s="1703"/>
      <c r="Q180" s="1703"/>
      <c r="R180" s="1781">
        <f t="shared" ref="R180:R186" si="37">+I180+O180</f>
        <v>4000</v>
      </c>
      <c r="S180" s="1782"/>
      <c r="T180" s="1384">
        <v>292.5</v>
      </c>
      <c r="U180" s="1385">
        <v>0.14624999999999999</v>
      </c>
      <c r="V180" s="41"/>
    </row>
    <row r="181" spans="1:22" s="7" customFormat="1" ht="13.9" customHeight="1">
      <c r="A181" s="7" t="s">
        <v>1001</v>
      </c>
      <c r="B181" s="1783" t="s">
        <v>1002</v>
      </c>
      <c r="C181" s="1604"/>
      <c r="D181" s="1778" t="s">
        <v>263</v>
      </c>
      <c r="E181" s="1788" t="s">
        <v>911</v>
      </c>
      <c r="F181" s="1784">
        <v>1</v>
      </c>
      <c r="G181" s="1779">
        <v>100</v>
      </c>
      <c r="H181" s="1784">
        <v>6</v>
      </c>
      <c r="I181" s="1781">
        <f>+F181*G181*H181</f>
        <v>600</v>
      </c>
      <c r="J181" s="1702"/>
      <c r="K181" s="1702"/>
      <c r="L181" s="1784">
        <v>1</v>
      </c>
      <c r="M181" s="1779">
        <v>100</v>
      </c>
      <c r="N181" s="1784">
        <v>6</v>
      </c>
      <c r="O181" s="1781">
        <f>+L181*M181*N181</f>
        <v>600</v>
      </c>
      <c r="P181" s="1703"/>
      <c r="Q181" s="1703"/>
      <c r="R181" s="1781">
        <f t="shared" si="37"/>
        <v>1200</v>
      </c>
      <c r="S181" s="1782"/>
      <c r="T181" s="1384">
        <v>527.75</v>
      </c>
      <c r="U181" s="1385">
        <v>0.87958333333333338</v>
      </c>
      <c r="V181" s="41"/>
    </row>
    <row r="182" spans="1:22" s="7" customFormat="1" ht="17.25" customHeight="1">
      <c r="A182" s="7" t="s">
        <v>1003</v>
      </c>
      <c r="B182" s="1783" t="s">
        <v>1004</v>
      </c>
      <c r="C182" s="1604"/>
      <c r="D182" s="1778" t="s">
        <v>263</v>
      </c>
      <c r="E182" s="1788" t="s">
        <v>911</v>
      </c>
      <c r="F182" s="1784">
        <v>1</v>
      </c>
      <c r="G182" s="1779">
        <v>100</v>
      </c>
      <c r="H182" s="1784">
        <v>6</v>
      </c>
      <c r="I182" s="1781">
        <f>+F182*G182*H182</f>
        <v>600</v>
      </c>
      <c r="J182" s="1702"/>
      <c r="K182" s="1702"/>
      <c r="L182" s="1784">
        <v>1</v>
      </c>
      <c r="M182" s="1779">
        <v>100</v>
      </c>
      <c r="N182" s="1784">
        <v>6</v>
      </c>
      <c r="O182" s="1781">
        <f>+L182*M182*N182</f>
        <v>600</v>
      </c>
      <c r="P182" s="1703"/>
      <c r="Q182" s="1703"/>
      <c r="R182" s="1781">
        <f t="shared" si="37"/>
        <v>1200</v>
      </c>
      <c r="S182" s="1782"/>
      <c r="T182" s="1384">
        <v>1123.54</v>
      </c>
      <c r="U182" s="1385">
        <v>1.8725666666666667</v>
      </c>
      <c r="V182" s="41"/>
    </row>
    <row r="183" spans="1:22" s="7" customFormat="1" ht="17.25" customHeight="1">
      <c r="A183" s="7" t="s">
        <v>1005</v>
      </c>
      <c r="B183" s="1783" t="s">
        <v>1006</v>
      </c>
      <c r="C183" s="1604"/>
      <c r="D183" s="1778" t="s">
        <v>263</v>
      </c>
      <c r="E183" s="1788" t="s">
        <v>911</v>
      </c>
      <c r="F183" s="1784">
        <v>1</v>
      </c>
      <c r="G183" s="1779">
        <v>2000</v>
      </c>
      <c r="H183" s="1784">
        <v>1</v>
      </c>
      <c r="I183" s="1781">
        <f>+F183*G183*H183</f>
        <v>2000</v>
      </c>
      <c r="J183" s="1702"/>
      <c r="K183" s="1702"/>
      <c r="L183" s="1784">
        <v>1</v>
      </c>
      <c r="M183" s="1779">
        <v>2000</v>
      </c>
      <c r="N183" s="1784">
        <v>1</v>
      </c>
      <c r="O183" s="1781">
        <f>N183*M183*L183</f>
        <v>2000</v>
      </c>
      <c r="P183" s="1703"/>
      <c r="Q183" s="1703"/>
      <c r="R183" s="1781">
        <f t="shared" si="37"/>
        <v>4000</v>
      </c>
      <c r="S183" s="1782"/>
      <c r="T183" s="1384">
        <v>0</v>
      </c>
      <c r="U183" s="1385">
        <v>0</v>
      </c>
      <c r="V183" s="41"/>
    </row>
    <row r="184" spans="1:22" s="7" customFormat="1" ht="17.25" customHeight="1">
      <c r="A184" s="7" t="s">
        <v>1007</v>
      </c>
      <c r="B184" s="1776" t="s">
        <v>990</v>
      </c>
      <c r="C184" s="1604"/>
      <c r="D184" s="1778" t="s">
        <v>263</v>
      </c>
      <c r="E184" s="1788" t="s">
        <v>911</v>
      </c>
      <c r="F184" s="1779">
        <v>1</v>
      </c>
      <c r="G184" s="1779">
        <f>400*0.5</f>
        <v>200</v>
      </c>
      <c r="H184" s="1784">
        <v>6</v>
      </c>
      <c r="I184" s="1781">
        <f>+F184*G184*H184</f>
        <v>1200</v>
      </c>
      <c r="J184" s="1702"/>
      <c r="K184" s="1702"/>
      <c r="L184" s="1779">
        <v>1</v>
      </c>
      <c r="M184" s="1779">
        <f>400*0.5</f>
        <v>200</v>
      </c>
      <c r="N184" s="1784">
        <v>6</v>
      </c>
      <c r="O184" s="1781">
        <f t="shared" ref="O184:O186" si="38">N184*M184*L184</f>
        <v>1200</v>
      </c>
      <c r="P184" s="1703"/>
      <c r="Q184" s="1703"/>
      <c r="R184" s="1781">
        <f t="shared" si="37"/>
        <v>2400</v>
      </c>
      <c r="S184" s="1782"/>
      <c r="T184" s="1384">
        <v>200</v>
      </c>
      <c r="U184" s="1385">
        <v>0.16666666666666666</v>
      </c>
      <c r="V184" s="41"/>
    </row>
    <row r="185" spans="1:22" s="7" customFormat="1">
      <c r="A185" s="7" t="s">
        <v>1008</v>
      </c>
      <c r="B185" s="1783" t="s">
        <v>1009</v>
      </c>
      <c r="C185" s="1789"/>
      <c r="D185" s="1778" t="s">
        <v>263</v>
      </c>
      <c r="E185" s="1790" t="s">
        <v>911</v>
      </c>
      <c r="F185" s="1784">
        <v>1</v>
      </c>
      <c r="G185" s="1779">
        <v>600</v>
      </c>
      <c r="H185" s="1784">
        <v>6</v>
      </c>
      <c r="I185" s="1780">
        <f>H185*G185*F185</f>
        <v>3600</v>
      </c>
      <c r="J185" s="1702"/>
      <c r="K185" s="1702"/>
      <c r="L185" s="1784">
        <v>1</v>
      </c>
      <c r="M185" s="1779">
        <v>600</v>
      </c>
      <c r="N185" s="1784">
        <v>6</v>
      </c>
      <c r="O185" s="1781">
        <f t="shared" si="38"/>
        <v>3600</v>
      </c>
      <c r="P185" s="1703"/>
      <c r="Q185" s="1703"/>
      <c r="R185" s="1781">
        <f t="shared" si="37"/>
        <v>7200</v>
      </c>
      <c r="S185" s="1782"/>
      <c r="T185" s="1384">
        <v>6380.5649999999996</v>
      </c>
      <c r="U185" s="1385">
        <v>1.7723791666666666</v>
      </c>
      <c r="V185" s="41"/>
    </row>
    <row r="186" spans="1:22" s="7" customFormat="1">
      <c r="A186" s="7" t="s">
        <v>1010</v>
      </c>
      <c r="B186" s="1783" t="s">
        <v>1011</v>
      </c>
      <c r="C186" s="1789"/>
      <c r="D186" s="1778" t="s">
        <v>263</v>
      </c>
      <c r="E186" s="1790" t="s">
        <v>911</v>
      </c>
      <c r="F186" s="1784">
        <v>1</v>
      </c>
      <c r="G186" s="1779">
        <v>1000</v>
      </c>
      <c r="H186" s="1784">
        <v>6</v>
      </c>
      <c r="I186" s="1780">
        <f>H186*G186*F186</f>
        <v>6000</v>
      </c>
      <c r="J186" s="1702"/>
      <c r="K186" s="1702"/>
      <c r="L186" s="1784">
        <v>1</v>
      </c>
      <c r="M186" s="1779">
        <v>1000</v>
      </c>
      <c r="N186" s="1784">
        <v>6</v>
      </c>
      <c r="O186" s="1781">
        <f t="shared" si="38"/>
        <v>6000</v>
      </c>
      <c r="P186" s="1703"/>
      <c r="Q186" s="1703"/>
      <c r="R186" s="1781">
        <f t="shared" si="37"/>
        <v>12000</v>
      </c>
      <c r="S186" s="1782"/>
      <c r="T186" s="1384">
        <v>4899.67</v>
      </c>
      <c r="U186" s="1385">
        <v>0.81661166666666662</v>
      </c>
      <c r="V186" s="41"/>
    </row>
    <row r="187" spans="1:22" s="7" customFormat="1" ht="13.9" customHeight="1">
      <c r="B187" s="1791" t="s">
        <v>1013</v>
      </c>
      <c r="C187" s="1792"/>
      <c r="D187" s="1793"/>
      <c r="E187" s="1794"/>
      <c r="F187" s="1791"/>
      <c r="G187" s="1791"/>
      <c r="H187" s="1791"/>
      <c r="I187" s="1795">
        <f>SUM(I172:I186)</f>
        <v>32000</v>
      </c>
      <c r="J187" s="1791"/>
      <c r="K187" s="1791"/>
      <c r="L187" s="1791"/>
      <c r="M187" s="1791"/>
      <c r="N187" s="1791"/>
      <c r="O187" s="1795">
        <f>SUM(O172:O186)</f>
        <v>32000</v>
      </c>
      <c r="P187" s="1795"/>
      <c r="Q187" s="1795"/>
      <c r="R187" s="1795">
        <f>SUM(R172:R186)</f>
        <v>64000</v>
      </c>
      <c r="S187" s="1796"/>
      <c r="T187" s="1795">
        <v>26848.049999999996</v>
      </c>
      <c r="U187" s="1689">
        <v>0.83900156249999991</v>
      </c>
      <c r="V187" s="41"/>
    </row>
    <row r="188" spans="1:22" s="7" customFormat="1" ht="13.9" customHeight="1">
      <c r="B188" s="1797" t="s">
        <v>265</v>
      </c>
      <c r="C188" s="1798"/>
      <c r="D188" s="1799"/>
      <c r="E188" s="1800"/>
      <c r="F188" s="1800"/>
      <c r="G188" s="1800"/>
      <c r="H188" s="1801"/>
      <c r="I188" s="1802">
        <f>I150+I153+I157+I161+I167+I187</f>
        <v>110000</v>
      </c>
      <c r="J188" s="1800"/>
      <c r="K188" s="1800"/>
      <c r="L188" s="1800"/>
      <c r="M188" s="1800"/>
      <c r="N188" s="1801"/>
      <c r="O188" s="1802">
        <f>O150+O153+O157+O161+O167+O187</f>
        <v>110000</v>
      </c>
      <c r="P188" s="1803">
        <v>0.24598373690163708</v>
      </c>
      <c r="Q188" s="1804"/>
      <c r="R188" s="1802">
        <f>R150+R153+R157+R161+R167+R187</f>
        <v>220000</v>
      </c>
      <c r="S188" s="1805"/>
      <c r="T188" s="1806">
        <v>81550.959999999992</v>
      </c>
      <c r="U188" s="1807">
        <v>0.74137236363636361</v>
      </c>
      <c r="V188" s="41"/>
    </row>
    <row r="189" spans="1:22" s="7" customFormat="1">
      <c r="B189" s="1808" t="s">
        <v>266</v>
      </c>
      <c r="C189" s="1809"/>
      <c r="D189" s="1809"/>
      <c r="E189" s="1810"/>
      <c r="F189" s="1811"/>
      <c r="G189" s="1811"/>
      <c r="H189" s="1811"/>
      <c r="I189" s="1812" t="s">
        <v>267</v>
      </c>
      <c r="J189" s="1813"/>
      <c r="K189" s="1813"/>
      <c r="L189" s="1812"/>
      <c r="M189" s="1812"/>
      <c r="N189" s="1812"/>
      <c r="O189" s="1814" t="s">
        <v>268</v>
      </c>
      <c r="P189" s="1815"/>
      <c r="Q189" s="1815"/>
      <c r="R189" s="1816"/>
      <c r="S189" s="1817"/>
      <c r="T189" s="1815"/>
      <c r="U189" s="1818"/>
      <c r="V189" s="41"/>
    </row>
    <row r="190" spans="1:22" s="7" customFormat="1">
      <c r="B190" s="1819"/>
      <c r="C190" s="1820"/>
      <c r="D190" s="1820"/>
      <c r="E190" s="1821"/>
      <c r="F190" s="1811"/>
      <c r="G190" s="1822"/>
      <c r="H190" s="1811"/>
      <c r="I190" s="1823">
        <f>I137+I188</f>
        <v>257385.5</v>
      </c>
      <c r="J190" s="1813"/>
      <c r="K190" s="1813"/>
      <c r="L190" s="1812"/>
      <c r="M190" s="1812"/>
      <c r="N190" s="1812"/>
      <c r="O190" s="1823">
        <f>O137+O188</f>
        <v>468783</v>
      </c>
      <c r="P190" s="1815"/>
      <c r="Q190" s="1824"/>
      <c r="R190" s="1825">
        <f>R137+R188</f>
        <v>726168.5</v>
      </c>
      <c r="S190" s="1826"/>
      <c r="T190" s="1825">
        <v>217553.6</v>
      </c>
      <c r="U190" s="1908">
        <v>0.84524419596286504</v>
      </c>
      <c r="V190" s="41"/>
    </row>
    <row r="191" spans="1:22" s="7" customFormat="1">
      <c r="B191" s="1827"/>
      <c r="C191" s="1828"/>
      <c r="D191" s="1829"/>
      <c r="E191" s="1830" t="s">
        <v>269</v>
      </c>
      <c r="F191" s="1831"/>
      <c r="G191" s="1831"/>
      <c r="H191" s="1831"/>
      <c r="I191" s="1832"/>
      <c r="J191" s="1833"/>
      <c r="K191" s="1833"/>
      <c r="L191" s="1834"/>
      <c r="M191" s="1832"/>
      <c r="N191" s="1832"/>
      <c r="O191" s="1832"/>
      <c r="P191" s="1835"/>
      <c r="Q191" s="1836"/>
      <c r="R191" s="1837"/>
      <c r="S191" s="1817"/>
      <c r="T191" s="1838"/>
      <c r="U191" s="1839"/>
      <c r="V191" s="41"/>
    </row>
    <row r="192" spans="1:22" s="7" customFormat="1">
      <c r="B192" s="1840" t="s">
        <v>270</v>
      </c>
      <c r="C192" s="1841"/>
      <c r="D192" s="1841"/>
      <c r="E192" s="1842"/>
      <c r="F192" s="1302"/>
      <c r="G192" s="1302"/>
      <c r="H192" s="1302"/>
      <c r="I192" s="1843">
        <f>I190*0.07</f>
        <v>18016.985000000001</v>
      </c>
      <c r="J192" s="1844"/>
      <c r="K192" s="1844"/>
      <c r="L192" s="1843"/>
      <c r="M192" s="1843"/>
      <c r="N192" s="1843"/>
      <c r="O192" s="1843">
        <f>O190*0.07</f>
        <v>32814.810000000005</v>
      </c>
      <c r="P192" s="1845"/>
      <c r="Q192" s="1845"/>
      <c r="R192" s="1843">
        <f>R190*0.07</f>
        <v>50831.795000000006</v>
      </c>
      <c r="S192" s="1846"/>
      <c r="T192" s="1845">
        <v>15228.752000000002</v>
      </c>
      <c r="U192" s="1847">
        <v>0.84524419596286515</v>
      </c>
      <c r="V192" s="41"/>
    </row>
    <row r="193" spans="2:22" s="7" customFormat="1">
      <c r="B193" s="1848" t="s">
        <v>271</v>
      </c>
      <c r="C193" s="1849"/>
      <c r="D193" s="1849"/>
      <c r="E193" s="1850"/>
      <c r="F193" s="1851"/>
      <c r="G193" s="1851"/>
      <c r="H193" s="1851"/>
      <c r="I193" s="1852"/>
      <c r="J193" s="1853"/>
      <c r="K193" s="1853"/>
      <c r="L193" s="1852"/>
      <c r="M193" s="1852"/>
      <c r="N193" s="1852"/>
      <c r="O193" s="1852"/>
      <c r="P193" s="1852"/>
      <c r="Q193" s="1854"/>
      <c r="R193" s="1855"/>
      <c r="S193" s="1856"/>
      <c r="T193" s="1854"/>
      <c r="U193" s="1857"/>
      <c r="V193" s="41"/>
    </row>
    <row r="194" spans="2:22" s="7" customFormat="1">
      <c r="B194" s="1858" t="s">
        <v>272</v>
      </c>
      <c r="C194" s="1859"/>
      <c r="D194" s="1859"/>
      <c r="E194" s="1860"/>
      <c r="F194" s="1861"/>
      <c r="G194" s="1861"/>
      <c r="H194" s="1861"/>
      <c r="I194" s="1862"/>
      <c r="J194" s="1863"/>
      <c r="K194" s="1863"/>
      <c r="L194" s="1862"/>
      <c r="M194" s="1862"/>
      <c r="N194" s="1862"/>
      <c r="O194" s="1862"/>
      <c r="P194" s="1862"/>
      <c r="Q194" s="1864"/>
      <c r="R194" s="1865"/>
      <c r="S194" s="1856"/>
      <c r="T194" s="1864"/>
      <c r="U194" s="1866"/>
      <c r="V194" s="41"/>
    </row>
    <row r="195" spans="2:22" s="7" customFormat="1" ht="102">
      <c r="B195" s="1867"/>
      <c r="C195" s="1868"/>
      <c r="D195" s="1868"/>
      <c r="E195" s="1869" t="s">
        <v>273</v>
      </c>
      <c r="F195" s="1870"/>
      <c r="G195" s="1870"/>
      <c r="H195" s="1870"/>
      <c r="I195" s="1871">
        <f>I190+I192+I194</f>
        <v>275402.48499999999</v>
      </c>
      <c r="J195" s="1844"/>
      <c r="K195" s="1844"/>
      <c r="L195" s="1843"/>
      <c r="M195" s="1843"/>
      <c r="N195" s="1843"/>
      <c r="O195" s="1843">
        <f>O190+O192+O194</f>
        <v>501597.81</v>
      </c>
      <c r="P195" s="1845"/>
      <c r="Q195" s="1872"/>
      <c r="R195" s="1873">
        <f>R190+R192</f>
        <v>777000.29500000004</v>
      </c>
      <c r="S195" s="1874"/>
      <c r="T195" s="1873">
        <v>232782.35200000001</v>
      </c>
      <c r="U195" s="1847">
        <v>0.84524419596286515</v>
      </c>
      <c r="V195" s="1909" t="s">
        <v>1026</v>
      </c>
    </row>
    <row r="196" spans="2:22" s="7" customFormat="1">
      <c r="B196" s="609"/>
      <c r="C196" s="610"/>
      <c r="D196" s="1875"/>
      <c r="I196" s="610"/>
      <c r="J196" s="1876"/>
      <c r="K196" s="1876"/>
      <c r="L196" s="610"/>
      <c r="M196" s="610"/>
      <c r="N196" s="610"/>
      <c r="O196" s="610"/>
      <c r="P196" s="610"/>
      <c r="Q196" s="1877"/>
      <c r="R196" s="1876"/>
      <c r="S196" s="1876"/>
      <c r="T196" s="610"/>
      <c r="U196" s="610"/>
    </row>
    <row r="197" spans="2:22" s="7" customFormat="1">
      <c r="C197" s="610"/>
      <c r="D197" s="1875"/>
      <c r="I197" s="610"/>
      <c r="J197" s="1876"/>
      <c r="K197" s="1876"/>
      <c r="L197" s="610"/>
      <c r="M197" s="610"/>
      <c r="N197" s="610"/>
      <c r="O197" s="610"/>
      <c r="P197" s="610"/>
      <c r="Q197" s="610"/>
      <c r="R197" s="1876"/>
      <c r="S197" s="1876"/>
      <c r="T197" s="610"/>
      <c r="U197" s="610"/>
    </row>
    <row r="198" spans="2:22" s="7" customFormat="1">
      <c r="C198" s="610"/>
      <c r="D198" s="1875"/>
      <c r="I198" s="610"/>
      <c r="J198" s="1876"/>
      <c r="K198" s="1876"/>
      <c r="L198" s="610"/>
      <c r="M198" s="610"/>
      <c r="N198" s="610"/>
      <c r="O198" s="610"/>
      <c r="P198" s="610"/>
      <c r="Q198" s="610"/>
      <c r="R198" s="1876"/>
      <c r="S198" s="1876"/>
      <c r="T198" s="610"/>
      <c r="U198" s="610"/>
    </row>
    <row r="199" spans="2:22" s="7" customFormat="1">
      <c r="C199" s="610"/>
      <c r="D199" s="1875"/>
      <c r="I199" s="610"/>
      <c r="J199" s="1876"/>
      <c r="K199" s="1876"/>
      <c r="L199" s="610"/>
      <c r="M199" s="610"/>
      <c r="N199" s="610"/>
      <c r="O199" s="610"/>
      <c r="P199" s="610"/>
      <c r="Q199" s="610"/>
      <c r="R199" s="1876"/>
      <c r="S199" s="1876"/>
      <c r="T199" s="610"/>
      <c r="U199" s="610"/>
    </row>
    <row r="200" spans="2:22" s="7" customFormat="1">
      <c r="C200" s="610"/>
      <c r="D200" s="1875"/>
      <c r="I200" s="610"/>
      <c r="J200" s="1876"/>
      <c r="K200" s="1876"/>
      <c r="L200" s="610"/>
      <c r="M200" s="610"/>
      <c r="N200" s="1878" t="s">
        <v>1014</v>
      </c>
      <c r="O200" s="1667"/>
      <c r="P200" s="1879"/>
      <c r="Q200" s="1880"/>
      <c r="R200" s="1881">
        <v>388500</v>
      </c>
      <c r="S200" s="1881"/>
      <c r="T200" s="1881">
        <v>232782.35200000001</v>
      </c>
      <c r="U200" s="1882">
        <v>0.59918237323037327</v>
      </c>
    </row>
    <row r="201" spans="2:22" s="7" customFormat="1">
      <c r="C201" s="610"/>
      <c r="D201" s="1875"/>
      <c r="I201" s="610"/>
      <c r="J201" s="1876"/>
      <c r="K201" s="1876"/>
      <c r="L201" s="610"/>
      <c r="M201" s="610"/>
      <c r="N201" s="610"/>
      <c r="O201" s="610"/>
      <c r="P201" s="610"/>
      <c r="Q201" s="610"/>
      <c r="R201" s="1876"/>
      <c r="S201" s="1876"/>
      <c r="T201" s="610"/>
      <c r="U201" s="610"/>
    </row>
    <row r="202" spans="2:22" s="7" customFormat="1">
      <c r="C202" s="610"/>
      <c r="D202" s="1875"/>
      <c r="I202" s="610"/>
      <c r="J202" s="1876"/>
      <c r="K202" s="1876"/>
      <c r="L202" s="610"/>
      <c r="M202" s="610"/>
      <c r="N202" s="610"/>
      <c r="O202" s="610"/>
      <c r="P202" s="610"/>
      <c r="Q202" s="610"/>
      <c r="R202" s="1876"/>
      <c r="S202" s="1876"/>
      <c r="T202" s="610"/>
      <c r="U202" s="610"/>
    </row>
    <row r="203" spans="2:22" s="7" customFormat="1">
      <c r="D203" s="1875"/>
      <c r="I203" s="610"/>
      <c r="J203" s="1876"/>
      <c r="K203" s="1876"/>
      <c r="L203" s="610"/>
      <c r="M203" s="610"/>
      <c r="N203" s="610"/>
      <c r="O203" s="610"/>
      <c r="P203" s="610"/>
      <c r="Q203" s="610"/>
      <c r="R203" s="1876"/>
      <c r="S203" s="1876"/>
      <c r="T203" s="610"/>
      <c r="U203" s="610"/>
    </row>
    <row r="204" spans="2:22" s="7" customFormat="1">
      <c r="D204" s="1875"/>
      <c r="I204" s="610"/>
      <c r="J204" s="1876"/>
      <c r="K204" s="1876"/>
      <c r="L204" s="610"/>
      <c r="M204" s="610"/>
      <c r="N204" s="610"/>
      <c r="O204" s="610"/>
      <c r="P204" s="610"/>
      <c r="Q204" s="610"/>
      <c r="R204" s="1876"/>
      <c r="S204" s="1876"/>
      <c r="T204" s="610"/>
      <c r="U204" s="610"/>
    </row>
    <row r="205" spans="2:22" s="7" customFormat="1">
      <c r="D205" s="1875"/>
      <c r="I205" s="610"/>
      <c r="J205" s="1876"/>
      <c r="K205" s="1876"/>
      <c r="L205" s="610"/>
      <c r="M205" s="610"/>
      <c r="N205" s="610"/>
      <c r="O205" s="610"/>
      <c r="P205" s="610"/>
      <c r="Q205" s="610"/>
      <c r="R205" s="1876"/>
      <c r="S205" s="1876"/>
      <c r="T205" s="610"/>
      <c r="U205" s="610"/>
    </row>
    <row r="206" spans="2:22" s="7" customFormat="1">
      <c r="D206" s="1875"/>
      <c r="I206" s="610"/>
      <c r="J206" s="1876"/>
      <c r="K206" s="1876"/>
      <c r="L206" s="610"/>
      <c r="M206" s="610"/>
      <c r="N206" s="610"/>
      <c r="O206" s="610"/>
      <c r="P206" s="610"/>
      <c r="Q206" s="610"/>
      <c r="R206" s="1876"/>
      <c r="S206" s="1876"/>
      <c r="T206" s="610"/>
      <c r="U206" s="610"/>
    </row>
    <row r="207" spans="2:22" s="7" customFormat="1">
      <c r="D207" s="1875"/>
      <c r="I207" s="610"/>
      <c r="J207" s="1876"/>
      <c r="K207" s="1876"/>
      <c r="L207" s="610"/>
      <c r="M207" s="610"/>
      <c r="N207" s="610"/>
      <c r="O207" s="610"/>
      <c r="P207" s="610"/>
      <c r="Q207" s="610"/>
      <c r="R207" s="1876"/>
      <c r="S207" s="1876"/>
      <c r="T207" s="610"/>
      <c r="U207" s="610"/>
    </row>
    <row r="208" spans="2:22" s="7" customFormat="1">
      <c r="D208" s="1875"/>
      <c r="I208" s="610"/>
      <c r="J208" s="1876"/>
      <c r="K208" s="1876"/>
      <c r="L208" s="610"/>
      <c r="M208" s="610"/>
      <c r="N208" s="610"/>
      <c r="O208" s="610"/>
      <c r="P208" s="610"/>
      <c r="Q208" s="610"/>
      <c r="R208" s="1876"/>
      <c r="S208" s="1876"/>
      <c r="T208" s="610"/>
      <c r="U208" s="610"/>
    </row>
    <row r="209" spans="4:19" s="7" customFormat="1">
      <c r="D209" s="1875"/>
      <c r="I209" s="610"/>
      <c r="J209" s="1876"/>
      <c r="K209" s="1876"/>
      <c r="L209" s="610"/>
      <c r="M209" s="610"/>
      <c r="N209" s="610"/>
      <c r="O209" s="610"/>
      <c r="P209" s="610"/>
      <c r="Q209" s="610"/>
      <c r="R209" s="1876"/>
      <c r="S209" s="1876"/>
    </row>
    <row r="210" spans="4:19" s="7" customFormat="1">
      <c r="D210" s="1875"/>
      <c r="I210" s="610"/>
      <c r="J210" s="1876"/>
      <c r="K210" s="1876"/>
      <c r="L210" s="610"/>
      <c r="M210" s="610"/>
      <c r="N210" s="610"/>
      <c r="O210" s="610"/>
      <c r="P210" s="610"/>
      <c r="Q210" s="610"/>
      <c r="R210" s="1876"/>
      <c r="S210" s="1876"/>
    </row>
  </sheetData>
  <mergeCells count="10">
    <mergeCell ref="B78:B85"/>
    <mergeCell ref="B87:B89"/>
    <mergeCell ref="B90:B93"/>
    <mergeCell ref="B97:B135"/>
    <mergeCell ref="B14:B20"/>
    <mergeCell ref="B21:B35"/>
    <mergeCell ref="B37:B43"/>
    <mergeCell ref="B46:B58"/>
    <mergeCell ref="B59:B61"/>
    <mergeCell ref="B62:B75"/>
  </mergeCells>
  <dataValidations count="4">
    <dataValidation type="list" allowBlank="1" showInputMessage="1" showErrorMessage="1" sqref="D24 D18:D20 D29:D39 D41:D43 D46:D48 D50:D55 D22 D78:D93 D15:D16 D57:D75" xr:uid="{00000000-0002-0000-0200-000000000000}">
      <formula1>categories</formula1>
    </dataValidation>
    <dataValidation type="list" allowBlank="1" showInputMessage="1" showErrorMessage="1" sqref="D152" xr:uid="{00000000-0002-0000-0200-000001000000}">
      <formula1>catégories</formula1>
    </dataValidation>
    <dataValidation type="list" allowBlank="1" showInputMessage="1" showErrorMessage="1" sqref="D141:D144 D146:D149" xr:uid="{00000000-0002-0000-0200-000002000000}">
      <formula1>catégorie</formula1>
    </dataValidation>
    <dataValidation type="list" allowBlank="1" showInputMessage="1" showErrorMessage="1" sqref="D97:D135" xr:uid="{00000000-0002-0000-0200-000003000000}">
      <formula1>categorie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92"/>
  <sheetViews>
    <sheetView topLeftCell="M29" workbookViewId="0">
      <selection activeCell="U130" sqref="U130"/>
    </sheetView>
  </sheetViews>
  <sheetFormatPr defaultColWidth="11.42578125" defaultRowHeight="12.75"/>
  <cols>
    <col min="1" max="1" width="17" style="987" customWidth="1"/>
    <col min="2" max="2" width="25.42578125" style="991" customWidth="1"/>
    <col min="3" max="3" width="43" style="991" hidden="1" customWidth="1"/>
    <col min="4" max="4" width="23.85546875" style="987" customWidth="1"/>
    <col min="5" max="7" width="10.7109375" style="987" customWidth="1"/>
    <col min="8" max="8" width="19" style="991" customWidth="1"/>
    <col min="9" max="9" width="13.28515625" style="1315" customWidth="1"/>
    <col min="10" max="10" width="17.7109375" style="991" customWidth="1"/>
    <col min="11" max="11" width="10.7109375" style="991" customWidth="1"/>
    <col min="12" max="12" width="14.140625" style="991" customWidth="1"/>
    <col min="13" max="13" width="13.42578125" style="991" customWidth="1"/>
    <col min="14" max="14" width="17.85546875" style="991" customWidth="1"/>
    <col min="15" max="15" width="13.7109375" style="1315" customWidth="1"/>
    <col min="16" max="16" width="16.7109375" style="991" customWidth="1"/>
    <col min="17" max="17" width="16.28515625" style="991" customWidth="1"/>
    <col min="18" max="18" width="15.42578125" style="986" customWidth="1"/>
    <col min="19" max="19" width="16.5703125" style="987" customWidth="1"/>
    <col min="20" max="20" width="18" style="987" customWidth="1"/>
    <col min="21" max="21" width="15.42578125" style="987" customWidth="1"/>
    <col min="22" max="22" width="67" style="987" customWidth="1"/>
    <col min="23" max="23" width="17.28515625" style="987" customWidth="1"/>
    <col min="24" max="24" width="16.28515625" style="987" customWidth="1"/>
    <col min="25" max="25" width="18.28515625" style="987" customWidth="1"/>
    <col min="26" max="16384" width="11.42578125" style="987"/>
  </cols>
  <sheetData>
    <row r="1" spans="1:27" ht="18" customHeight="1">
      <c r="A1" s="982"/>
      <c r="B1" s="983"/>
      <c r="C1" s="983"/>
      <c r="D1" s="984" t="s">
        <v>0</v>
      </c>
      <c r="E1" s="984"/>
      <c r="F1" s="984"/>
      <c r="G1" s="984"/>
      <c r="H1" s="983"/>
      <c r="I1" s="985"/>
      <c r="J1" s="983"/>
      <c r="K1" s="983"/>
      <c r="L1" s="983"/>
      <c r="M1" s="983"/>
      <c r="N1" s="983"/>
      <c r="O1" s="985"/>
      <c r="P1" s="983"/>
      <c r="Q1" s="983"/>
    </row>
    <row r="2" spans="1:27" ht="15.75">
      <c r="A2" s="988" t="s">
        <v>1</v>
      </c>
      <c r="B2" s="989" t="s">
        <v>593</v>
      </c>
      <c r="C2" s="990"/>
      <c r="D2" s="982"/>
      <c r="E2" s="982"/>
      <c r="F2" s="982"/>
      <c r="G2" s="982"/>
      <c r="H2" s="983"/>
      <c r="I2" s="985"/>
      <c r="J2" s="983"/>
      <c r="K2" s="983"/>
      <c r="L2" s="983"/>
      <c r="M2" s="983"/>
      <c r="N2" s="983"/>
      <c r="O2" s="985"/>
      <c r="P2" s="983"/>
      <c r="Q2" s="983"/>
    </row>
    <row r="3" spans="1:27">
      <c r="A3" s="988" t="s">
        <v>3</v>
      </c>
      <c r="B3" s="838" t="s">
        <v>508</v>
      </c>
      <c r="D3" s="982"/>
      <c r="E3" s="982"/>
      <c r="F3" s="982"/>
      <c r="G3" s="982"/>
      <c r="H3" s="983"/>
      <c r="I3" s="985"/>
      <c r="J3" s="983"/>
      <c r="K3" s="983"/>
      <c r="L3" s="983"/>
      <c r="M3" s="983"/>
      <c r="N3" s="983"/>
      <c r="O3" s="985"/>
      <c r="P3" s="983"/>
      <c r="Q3" s="983"/>
    </row>
    <row r="4" spans="1:27" ht="12.75" customHeight="1">
      <c r="A4" s="988" t="s">
        <v>5</v>
      </c>
      <c r="B4" s="840" t="s">
        <v>594</v>
      </c>
      <c r="D4" s="992"/>
      <c r="E4" s="992"/>
      <c r="F4" s="992"/>
      <c r="G4" s="992"/>
      <c r="H4" s="992"/>
      <c r="I4" s="992"/>
      <c r="J4" s="992"/>
      <c r="K4" s="992"/>
      <c r="L4" s="992"/>
      <c r="M4" s="992"/>
      <c r="N4" s="992"/>
      <c r="O4" s="992"/>
      <c r="P4" s="992"/>
      <c r="Q4" s="992"/>
    </row>
    <row r="5" spans="1:27" ht="12.75" customHeight="1">
      <c r="A5" s="988" t="s">
        <v>7</v>
      </c>
      <c r="B5" s="993">
        <v>765000</v>
      </c>
      <c r="D5" s="992"/>
      <c r="E5" s="992"/>
      <c r="F5" s="992"/>
      <c r="G5" s="992"/>
      <c r="H5" s="992"/>
      <c r="I5" s="992"/>
      <c r="J5" s="992"/>
      <c r="K5" s="992"/>
      <c r="L5" s="992"/>
      <c r="M5" s="992"/>
      <c r="N5" s="992"/>
      <c r="O5" s="992"/>
      <c r="P5" s="992"/>
      <c r="Q5" s="992"/>
    </row>
    <row r="6" spans="1:27" ht="12.75" customHeight="1">
      <c r="A6" s="994" t="s">
        <v>595</v>
      </c>
      <c r="B6" s="993">
        <v>5047</v>
      </c>
      <c r="C6" s="995"/>
      <c r="D6" s="992"/>
      <c r="E6" s="992"/>
      <c r="F6" s="992"/>
      <c r="G6" s="992"/>
      <c r="H6" s="992"/>
      <c r="I6" s="992"/>
      <c r="J6" s="992"/>
      <c r="K6" s="992"/>
      <c r="L6" s="992"/>
      <c r="M6" s="992"/>
      <c r="N6" s="992"/>
      <c r="O6" s="992"/>
      <c r="P6" s="992"/>
      <c r="Q6" s="992"/>
    </row>
    <row r="7" spans="1:27" ht="12.75" customHeight="1">
      <c r="A7" s="994" t="s">
        <v>9</v>
      </c>
      <c r="B7" s="996">
        <f>B5</f>
        <v>765000</v>
      </c>
      <c r="C7" s="995"/>
      <c r="D7" s="992"/>
      <c r="E7" s="992"/>
      <c r="F7" s="992"/>
      <c r="G7" s="992"/>
      <c r="H7" s="992"/>
      <c r="I7" s="992"/>
      <c r="J7" s="992"/>
      <c r="K7" s="992"/>
      <c r="L7" s="992"/>
      <c r="M7" s="992"/>
      <c r="N7" s="992"/>
      <c r="O7" s="992"/>
      <c r="P7" s="992"/>
      <c r="Q7" s="992"/>
    </row>
    <row r="8" spans="1:27" ht="12.95" customHeight="1">
      <c r="A8" s="982"/>
      <c r="B8" s="983"/>
      <c r="C8" s="983"/>
      <c r="D8" s="982"/>
      <c r="E8" s="982"/>
      <c r="F8" s="982"/>
      <c r="G8" s="982"/>
      <c r="H8" s="983"/>
      <c r="I8" s="985"/>
      <c r="J8" s="983"/>
      <c r="K8" s="983"/>
      <c r="L8" s="983"/>
      <c r="M8" s="983"/>
      <c r="N8" s="983"/>
      <c r="O8" s="985"/>
      <c r="P8" s="983"/>
      <c r="Q8" s="983"/>
    </row>
    <row r="9" spans="1:27" ht="47.25">
      <c r="A9" s="997" t="s">
        <v>10</v>
      </c>
      <c r="B9" s="997" t="s">
        <v>11</v>
      </c>
      <c r="C9" s="997" t="s">
        <v>12</v>
      </c>
      <c r="D9" s="997" t="s">
        <v>13</v>
      </c>
      <c r="E9" s="997" t="s">
        <v>14</v>
      </c>
      <c r="F9" s="997" t="s">
        <v>15</v>
      </c>
      <c r="G9" s="997" t="s">
        <v>16</v>
      </c>
      <c r="H9" s="998" t="s">
        <v>17</v>
      </c>
      <c r="I9" s="999" t="s">
        <v>596</v>
      </c>
      <c r="J9" s="26" t="s">
        <v>19</v>
      </c>
      <c r="K9" s="997" t="s">
        <v>14</v>
      </c>
      <c r="L9" s="997" t="s">
        <v>15</v>
      </c>
      <c r="M9" s="997" t="s">
        <v>16</v>
      </c>
      <c r="N9" s="998" t="s">
        <v>20</v>
      </c>
      <c r="O9" s="999" t="s">
        <v>597</v>
      </c>
      <c r="P9" s="26" t="s">
        <v>19</v>
      </c>
      <c r="Q9" s="998" t="s">
        <v>21</v>
      </c>
      <c r="R9" s="999" t="s">
        <v>598</v>
      </c>
      <c r="S9" s="26" t="s">
        <v>23</v>
      </c>
      <c r="T9" s="26" t="s">
        <v>599</v>
      </c>
      <c r="U9" s="26" t="s">
        <v>25</v>
      </c>
      <c r="V9" s="998" t="s">
        <v>513</v>
      </c>
    </row>
    <row r="10" spans="1:27" s="1002" customFormat="1" ht="22.5" customHeight="1">
      <c r="A10" s="2602" t="s">
        <v>27</v>
      </c>
      <c r="B10" s="2603"/>
      <c r="C10" s="2603"/>
      <c r="D10" s="2603"/>
      <c r="E10" s="2603"/>
      <c r="F10" s="2603"/>
      <c r="G10" s="2603"/>
      <c r="H10" s="2603"/>
      <c r="I10" s="2604"/>
      <c r="J10" s="2603"/>
      <c r="K10" s="2603"/>
      <c r="L10" s="2603"/>
      <c r="M10" s="2603"/>
      <c r="N10" s="2603"/>
      <c r="O10" s="2605"/>
      <c r="P10" s="2603"/>
      <c r="Q10" s="2603"/>
      <c r="R10" s="2605"/>
      <c r="S10" s="2603"/>
      <c r="T10" s="2603"/>
      <c r="U10" s="2603"/>
      <c r="V10" s="2606"/>
      <c r="W10" s="1000"/>
      <c r="X10" s="1000"/>
      <c r="Y10" s="1000"/>
      <c r="Z10" s="1000"/>
      <c r="AA10" s="1001"/>
    </row>
    <row r="11" spans="1:27" ht="22.7" customHeight="1">
      <c r="A11" s="2607" t="s">
        <v>600</v>
      </c>
      <c r="B11" s="2608"/>
      <c r="C11" s="2608"/>
      <c r="D11" s="2608"/>
      <c r="E11" s="2608"/>
      <c r="F11" s="2608"/>
      <c r="G11" s="2608"/>
      <c r="H11" s="2608"/>
      <c r="I11" s="2609"/>
      <c r="J11" s="2608"/>
      <c r="K11" s="2608"/>
      <c r="L11" s="2608"/>
      <c r="M11" s="2608"/>
      <c r="N11" s="2608"/>
      <c r="O11" s="2610"/>
      <c r="P11" s="2608"/>
      <c r="Q11" s="2608"/>
      <c r="R11" s="2610"/>
      <c r="S11" s="2608"/>
      <c r="T11" s="2608"/>
      <c r="U11" s="2608"/>
      <c r="V11" s="2611"/>
    </row>
    <row r="12" spans="1:27" ht="110.25">
      <c r="A12" s="2612" t="s">
        <v>601</v>
      </c>
      <c r="B12" s="1003" t="s">
        <v>602</v>
      </c>
      <c r="C12" s="1004" t="s">
        <v>38</v>
      </c>
      <c r="D12" s="1005" t="s">
        <v>603</v>
      </c>
      <c r="E12" s="1006">
        <v>60</v>
      </c>
      <c r="F12" s="1006">
        <v>12</v>
      </c>
      <c r="G12" s="1006">
        <v>1</v>
      </c>
      <c r="H12" s="1007">
        <f>E12*F12*G12</f>
        <v>720</v>
      </c>
      <c r="I12" s="1008">
        <v>0.3</v>
      </c>
      <c r="J12" s="1009">
        <f>H12*I12</f>
        <v>216</v>
      </c>
      <c r="K12" s="1010"/>
      <c r="L12" s="1011"/>
      <c r="M12" s="1011"/>
      <c r="N12" s="1012">
        <v>0</v>
      </c>
      <c r="O12" s="1013"/>
      <c r="P12" s="1014"/>
      <c r="Q12" s="1007">
        <f>H12+N12</f>
        <v>720</v>
      </c>
      <c r="R12" s="1015">
        <v>0.3</v>
      </c>
      <c r="S12" s="1016">
        <f>Q12*R12</f>
        <v>216</v>
      </c>
      <c r="T12" s="1017">
        <f>1620</f>
        <v>1620</v>
      </c>
      <c r="U12" s="1018">
        <f>+T12/H12</f>
        <v>2.25</v>
      </c>
      <c r="V12" s="1019" t="s">
        <v>604</v>
      </c>
    </row>
    <row r="13" spans="1:27" ht="36" customHeight="1">
      <c r="A13" s="2612"/>
      <c r="B13" s="1003" t="s">
        <v>605</v>
      </c>
      <c r="C13" s="1004" t="s">
        <v>38</v>
      </c>
      <c r="D13" s="1020" t="s">
        <v>603</v>
      </c>
      <c r="E13" s="1006">
        <v>60</v>
      </c>
      <c r="F13" s="1006">
        <v>85.8</v>
      </c>
      <c r="G13" s="1006">
        <v>1</v>
      </c>
      <c r="H13" s="1007">
        <f>E13*F13*G13</f>
        <v>5148</v>
      </c>
      <c r="I13" s="1021">
        <v>7.0000000000000007E-2</v>
      </c>
      <c r="J13" s="1009">
        <f>H13*I13</f>
        <v>360.36</v>
      </c>
      <c r="K13" s="1011"/>
      <c r="L13" s="1011"/>
      <c r="M13" s="1011"/>
      <c r="N13" s="1012">
        <v>0</v>
      </c>
      <c r="O13" s="1013"/>
      <c r="P13" s="1014"/>
      <c r="Q13" s="1007">
        <f>H13+N13</f>
        <v>5148</v>
      </c>
      <c r="R13" s="1015">
        <v>7.0000000000000007E-2</v>
      </c>
      <c r="S13" s="1016">
        <f>Q13*R13</f>
        <v>360.36</v>
      </c>
      <c r="T13" s="1017">
        <f>5147.2</f>
        <v>5147.2</v>
      </c>
      <c r="U13" s="1018">
        <f>+T13/H13</f>
        <v>0.99984459984459984</v>
      </c>
      <c r="V13" s="1019" t="s">
        <v>606</v>
      </c>
    </row>
    <row r="14" spans="1:27" ht="94.5">
      <c r="A14" s="2612"/>
      <c r="B14" s="1003" t="s">
        <v>607</v>
      </c>
      <c r="C14" s="1004" t="s">
        <v>246</v>
      </c>
      <c r="D14" s="1020" t="s">
        <v>603</v>
      </c>
      <c r="E14" s="1006">
        <v>5</v>
      </c>
      <c r="F14" s="1006">
        <v>1400</v>
      </c>
      <c r="G14" s="1006">
        <v>1</v>
      </c>
      <c r="H14" s="1007">
        <f>E14*F14*G14</f>
        <v>7000</v>
      </c>
      <c r="I14" s="1022">
        <v>0</v>
      </c>
      <c r="J14" s="1009">
        <f>H14*I14</f>
        <v>0</v>
      </c>
      <c r="K14" s="1011"/>
      <c r="L14" s="1011"/>
      <c r="M14" s="1011"/>
      <c r="N14" s="1012">
        <v>0</v>
      </c>
      <c r="O14" s="1013"/>
      <c r="P14" s="1014"/>
      <c r="Q14" s="1007">
        <f>H14+N14</f>
        <v>7000</v>
      </c>
      <c r="R14" s="1023">
        <v>0</v>
      </c>
      <c r="S14" s="1016">
        <f>Q14*R14</f>
        <v>0</v>
      </c>
      <c r="T14" s="1017">
        <f>7000</f>
        <v>7000</v>
      </c>
      <c r="U14" s="1018">
        <f>+T14/H14</f>
        <v>1</v>
      </c>
      <c r="V14" s="1019" t="s">
        <v>608</v>
      </c>
    </row>
    <row r="15" spans="1:27" ht="24" customHeight="1">
      <c r="A15" s="1024"/>
      <c r="B15" s="1025"/>
      <c r="C15" s="1026"/>
      <c r="D15" s="1027" t="s">
        <v>47</v>
      </c>
      <c r="E15" s="1028"/>
      <c r="F15" s="1028"/>
      <c r="G15" s="1028"/>
      <c r="H15" s="1029">
        <f>SUM(H12:H14)</f>
        <v>12868</v>
      </c>
      <c r="I15" s="1030">
        <f>J15/H15*100</f>
        <v>4.4790177183711535</v>
      </c>
      <c r="J15" s="1029">
        <f>SUM(J12:J14)</f>
        <v>576.36</v>
      </c>
      <c r="K15" s="1029"/>
      <c r="L15" s="1029"/>
      <c r="M15" s="1029"/>
      <c r="N15" s="1031">
        <v>0</v>
      </c>
      <c r="O15" s="1032"/>
      <c r="P15" s="1033"/>
      <c r="Q15" s="1034">
        <f>SUM(Q12:Q14)</f>
        <v>12868</v>
      </c>
      <c r="R15" s="1035">
        <f>S15/Q15*100</f>
        <v>4.4790177183711535</v>
      </c>
      <c r="S15" s="1034">
        <f>SUM(S12:S14)</f>
        <v>576.36</v>
      </c>
      <c r="T15" s="1034">
        <f>SUBTOTAL(9,T12:T14)</f>
        <v>13767.2</v>
      </c>
      <c r="U15" s="1036">
        <f>+T15/H15</f>
        <v>1.0698787690394778</v>
      </c>
      <c r="V15" s="1026"/>
    </row>
    <row r="16" spans="1:27" ht="83.25" customHeight="1">
      <c r="A16" s="2612" t="s">
        <v>609</v>
      </c>
      <c r="B16" s="1003" t="s">
        <v>610</v>
      </c>
      <c r="C16" s="1004" t="s">
        <v>33</v>
      </c>
      <c r="D16" s="1005" t="s">
        <v>611</v>
      </c>
      <c r="E16" s="1006">
        <v>1</v>
      </c>
      <c r="F16" s="1006">
        <v>4500</v>
      </c>
      <c r="G16" s="1006">
        <v>5</v>
      </c>
      <c r="H16" s="1007">
        <f>E16*F16*G16</f>
        <v>22500</v>
      </c>
      <c r="I16" s="1037">
        <v>0.3</v>
      </c>
      <c r="J16" s="1011">
        <f>H16*I16</f>
        <v>6750</v>
      </c>
      <c r="K16" s="1011"/>
      <c r="L16" s="1011"/>
      <c r="M16" s="1011"/>
      <c r="N16" s="1012">
        <v>0</v>
      </c>
      <c r="O16" s="1038">
        <v>0</v>
      </c>
      <c r="P16" s="1014">
        <f>N16*O16</f>
        <v>0</v>
      </c>
      <c r="Q16" s="1007">
        <f>H16+N16</f>
        <v>22500</v>
      </c>
      <c r="R16" s="1015">
        <v>0.3</v>
      </c>
      <c r="S16" s="1016">
        <f>Q16*R16</f>
        <v>6750</v>
      </c>
      <c r="T16" s="1017">
        <f>22500</f>
        <v>22500</v>
      </c>
      <c r="U16" s="1018">
        <f>+T16/H16</f>
        <v>1</v>
      </c>
      <c r="V16" s="1039" t="s">
        <v>612</v>
      </c>
    </row>
    <row r="17" spans="1:22" ht="39" customHeight="1">
      <c r="A17" s="2612"/>
      <c r="B17" s="1003" t="s">
        <v>613</v>
      </c>
      <c r="C17" s="1004" t="s">
        <v>33</v>
      </c>
      <c r="D17" s="1005" t="s">
        <v>611</v>
      </c>
      <c r="E17" s="1006">
        <v>1</v>
      </c>
      <c r="F17" s="1006">
        <v>2500</v>
      </c>
      <c r="G17" s="1006">
        <v>5</v>
      </c>
      <c r="H17" s="1007">
        <f>E17*F17*G17</f>
        <v>12500</v>
      </c>
      <c r="I17" s="1037">
        <v>0.3</v>
      </c>
      <c r="J17" s="1011">
        <f>H17*I17</f>
        <v>3750</v>
      </c>
      <c r="K17" s="1011"/>
      <c r="L17" s="1011"/>
      <c r="M17" s="1011"/>
      <c r="N17" s="1012">
        <v>0</v>
      </c>
      <c r="O17" s="1038">
        <v>0</v>
      </c>
      <c r="P17" s="1014">
        <f>N17*O17</f>
        <v>0</v>
      </c>
      <c r="Q17" s="1007">
        <f>H17+N17</f>
        <v>12500</v>
      </c>
      <c r="R17" s="1015">
        <v>0.3</v>
      </c>
      <c r="S17" s="1016">
        <f>Q17*R17</f>
        <v>3750</v>
      </c>
      <c r="T17" s="1017">
        <f>12500</f>
        <v>12500</v>
      </c>
      <c r="U17" s="1018">
        <f t="shared" ref="U17:U38" si="0">+T17/H17</f>
        <v>1</v>
      </c>
      <c r="V17" s="1039" t="s">
        <v>612</v>
      </c>
    </row>
    <row r="18" spans="1:22" ht="66.75" customHeight="1">
      <c r="A18" s="2612"/>
      <c r="B18" s="1003" t="s">
        <v>614</v>
      </c>
      <c r="C18" s="1004" t="s">
        <v>33</v>
      </c>
      <c r="D18" s="1005" t="s">
        <v>611</v>
      </c>
      <c r="E18" s="1006">
        <v>1</v>
      </c>
      <c r="F18" s="1006">
        <v>1600</v>
      </c>
      <c r="G18" s="1006">
        <v>5</v>
      </c>
      <c r="H18" s="1007">
        <f>E18*F18*G18</f>
        <v>8000</v>
      </c>
      <c r="I18" s="1022">
        <v>0</v>
      </c>
      <c r="J18" s="1011">
        <f>H18*I18</f>
        <v>0</v>
      </c>
      <c r="K18" s="1011"/>
      <c r="L18" s="1011"/>
      <c r="M18" s="1011"/>
      <c r="N18" s="1012">
        <v>0</v>
      </c>
      <c r="O18" s="1038">
        <v>0</v>
      </c>
      <c r="P18" s="1014">
        <f>N18*O18</f>
        <v>0</v>
      </c>
      <c r="Q18" s="1007">
        <f>H18+N18</f>
        <v>8000</v>
      </c>
      <c r="R18" s="1023">
        <v>0</v>
      </c>
      <c r="S18" s="1016">
        <f>Q18*R18</f>
        <v>0</v>
      </c>
      <c r="T18" s="1017">
        <v>8000</v>
      </c>
      <c r="U18" s="1018">
        <f t="shared" si="0"/>
        <v>1</v>
      </c>
      <c r="V18" s="1039" t="s">
        <v>612</v>
      </c>
    </row>
    <row r="19" spans="1:22" ht="48.75" customHeight="1">
      <c r="A19" s="2612"/>
      <c r="B19" s="1040" t="s">
        <v>615</v>
      </c>
      <c r="C19" s="1004" t="s">
        <v>33</v>
      </c>
      <c r="D19" s="1005" t="s">
        <v>611</v>
      </c>
      <c r="E19" s="1006">
        <v>1</v>
      </c>
      <c r="F19" s="1006">
        <v>462.6</v>
      </c>
      <c r="G19" s="1006">
        <v>5</v>
      </c>
      <c r="H19" s="1007">
        <f>E19*F19*G19</f>
        <v>2313</v>
      </c>
      <c r="I19" s="1037">
        <v>0.3</v>
      </c>
      <c r="J19" s="1011">
        <f>H19*I19</f>
        <v>693.9</v>
      </c>
      <c r="K19" s="1011"/>
      <c r="L19" s="1011"/>
      <c r="M19" s="1011"/>
      <c r="N19" s="1012">
        <v>0</v>
      </c>
      <c r="O19" s="1038">
        <v>0</v>
      </c>
      <c r="P19" s="1014">
        <f>N19*O19</f>
        <v>0</v>
      </c>
      <c r="Q19" s="1007">
        <f>H19+N19</f>
        <v>2313</v>
      </c>
      <c r="R19" s="1015">
        <v>0.3</v>
      </c>
      <c r="S19" s="1016">
        <f>Q19*R19</f>
        <v>693.9</v>
      </c>
      <c r="T19" s="1017">
        <v>2313</v>
      </c>
      <c r="U19" s="1018">
        <f t="shared" si="0"/>
        <v>1</v>
      </c>
      <c r="V19" s="1039" t="s">
        <v>612</v>
      </c>
    </row>
    <row r="20" spans="1:22" ht="63">
      <c r="A20" s="2612"/>
      <c r="B20" s="1003" t="s">
        <v>616</v>
      </c>
      <c r="C20" s="1004" t="s">
        <v>38</v>
      </c>
      <c r="D20" s="1039" t="s">
        <v>611</v>
      </c>
      <c r="E20" s="1006"/>
      <c r="F20" s="1006"/>
      <c r="G20" s="1006"/>
      <c r="H20" s="1007">
        <f>E20*F20*G20</f>
        <v>0</v>
      </c>
      <c r="I20" s="1037">
        <v>0.2</v>
      </c>
      <c r="J20" s="1011">
        <f>H20*I20</f>
        <v>0</v>
      </c>
      <c r="K20" s="1011">
        <v>1</v>
      </c>
      <c r="L20" s="1011">
        <v>7800</v>
      </c>
      <c r="M20" s="1011">
        <v>1</v>
      </c>
      <c r="N20" s="1007">
        <f>K20*L20*M20</f>
        <v>7800</v>
      </c>
      <c r="O20" s="1041">
        <v>0.2</v>
      </c>
      <c r="P20" s="1014">
        <f>N20*O20</f>
        <v>1560</v>
      </c>
      <c r="Q20" s="1007">
        <f>H20+N20</f>
        <v>7800</v>
      </c>
      <c r="R20" s="1015">
        <v>0.2</v>
      </c>
      <c r="S20" s="1016">
        <f>Q20*R20</f>
        <v>1560</v>
      </c>
      <c r="T20" s="1017">
        <v>0</v>
      </c>
      <c r="U20" s="1018" t="e">
        <f t="shared" si="0"/>
        <v>#DIV/0!</v>
      </c>
      <c r="V20" s="1039" t="s">
        <v>612</v>
      </c>
    </row>
    <row r="21" spans="1:22" ht="22.5" customHeight="1">
      <c r="A21" s="2612"/>
      <c r="B21" s="1026"/>
      <c r="C21" s="1026"/>
      <c r="D21" s="1027" t="s">
        <v>47</v>
      </c>
      <c r="E21" s="1027"/>
      <c r="F21" s="1027"/>
      <c r="G21" s="1027"/>
      <c r="H21" s="1042">
        <f>SUM(H16:H20)</f>
        <v>45313</v>
      </c>
      <c r="I21" s="1043">
        <f>J21/H21*100</f>
        <v>24.703506719925848</v>
      </c>
      <c r="J21" s="1042">
        <f>SUM(J16:J20)</f>
        <v>11193.9</v>
      </c>
      <c r="K21" s="1042"/>
      <c r="L21" s="1042"/>
      <c r="M21" s="1042"/>
      <c r="N21" s="1042">
        <f>SUM(N16:N20)</f>
        <v>7800</v>
      </c>
      <c r="O21" s="1044">
        <f>P21/N21*100</f>
        <v>20</v>
      </c>
      <c r="P21" s="1042">
        <f>SUM(P16:P20)</f>
        <v>1560</v>
      </c>
      <c r="Q21" s="1042">
        <f>SUM(Q16:Q20)</f>
        <v>53113</v>
      </c>
      <c r="R21" s="1044">
        <f>S21/Q21*100</f>
        <v>24.012765236382805</v>
      </c>
      <c r="S21" s="1042">
        <f>SUM(S16:S20)</f>
        <v>12753.9</v>
      </c>
      <c r="T21" s="1042">
        <f>SUBTOTAL(9,T16:T20)</f>
        <v>45313</v>
      </c>
      <c r="U21" s="1045">
        <f t="shared" si="0"/>
        <v>1</v>
      </c>
      <c r="V21" s="1042"/>
    </row>
    <row r="22" spans="1:22" ht="64.5" customHeight="1">
      <c r="A22" s="2612" t="s">
        <v>617</v>
      </c>
      <c r="B22" s="1003" t="s">
        <v>618</v>
      </c>
      <c r="C22" s="1004" t="s">
        <v>38</v>
      </c>
      <c r="D22" s="1005" t="s">
        <v>603</v>
      </c>
      <c r="E22" s="1006">
        <v>55</v>
      </c>
      <c r="F22" s="1006">
        <v>25.15</v>
      </c>
      <c r="G22" s="1006">
        <v>1</v>
      </c>
      <c r="H22" s="1007">
        <f t="shared" ref="H22:H27" si="1">E22*F22*G22</f>
        <v>1383.25</v>
      </c>
      <c r="I22" s="1021">
        <v>0.3</v>
      </c>
      <c r="J22" s="1009">
        <f t="shared" ref="J22:J27" si="2">H22*I22</f>
        <v>414.97499999999997</v>
      </c>
      <c r="K22" s="1011"/>
      <c r="L22" s="1011"/>
      <c r="M22" s="1011"/>
      <c r="N22" s="1012">
        <v>0</v>
      </c>
      <c r="O22" s="1013"/>
      <c r="P22" s="1014"/>
      <c r="Q22" s="1007">
        <f t="shared" ref="Q22:Q27" si="3">H22+N22</f>
        <v>1383.25</v>
      </c>
      <c r="R22" s="1015">
        <v>0.3</v>
      </c>
      <c r="S22" s="1016">
        <f t="shared" ref="S22:S27" si="4">Q22*R22</f>
        <v>414.97499999999997</v>
      </c>
      <c r="T22" s="1017">
        <f>1383.25+1383</f>
        <v>2766.25</v>
      </c>
      <c r="U22" s="1018">
        <f t="shared" si="0"/>
        <v>1.9998192662208567</v>
      </c>
      <c r="V22" s="1039" t="s">
        <v>619</v>
      </c>
    </row>
    <row r="23" spans="1:22" ht="58.5" customHeight="1">
      <c r="A23" s="2612"/>
      <c r="B23" s="1003" t="s">
        <v>620</v>
      </c>
      <c r="C23" s="1004" t="s">
        <v>38</v>
      </c>
      <c r="D23" s="1020" t="s">
        <v>603</v>
      </c>
      <c r="E23" s="1006">
        <v>55</v>
      </c>
      <c r="F23" s="1006">
        <v>62.65</v>
      </c>
      <c r="G23" s="1006">
        <v>1</v>
      </c>
      <c r="H23" s="1007">
        <f t="shared" si="1"/>
        <v>3445.75</v>
      </c>
      <c r="I23" s="1021">
        <v>0.3</v>
      </c>
      <c r="J23" s="1009">
        <f t="shared" si="2"/>
        <v>1033.7249999999999</v>
      </c>
      <c r="K23" s="1011"/>
      <c r="L23" s="1011"/>
      <c r="M23" s="1011"/>
      <c r="N23" s="1012">
        <v>0</v>
      </c>
      <c r="O23" s="1013"/>
      <c r="P23" s="1014"/>
      <c r="Q23" s="1007">
        <f t="shared" si="3"/>
        <v>3445.75</v>
      </c>
      <c r="R23" s="1015">
        <v>0.3</v>
      </c>
      <c r="S23" s="1016">
        <f t="shared" si="4"/>
        <v>1033.7249999999999</v>
      </c>
      <c r="T23" s="1017">
        <f>3446</f>
        <v>3446</v>
      </c>
      <c r="U23" s="1018">
        <f t="shared" si="0"/>
        <v>1.0000725531451788</v>
      </c>
      <c r="V23" s="1039" t="s">
        <v>621</v>
      </c>
    </row>
    <row r="24" spans="1:22" ht="54" customHeight="1">
      <c r="A24" s="2612"/>
      <c r="B24" s="1003" t="s">
        <v>622</v>
      </c>
      <c r="C24" s="1004" t="s">
        <v>38</v>
      </c>
      <c r="D24" s="1020" t="s">
        <v>603</v>
      </c>
      <c r="E24" s="1006">
        <v>55</v>
      </c>
      <c r="F24" s="1006">
        <v>62.65</v>
      </c>
      <c r="G24" s="1006">
        <v>1</v>
      </c>
      <c r="H24" s="1007">
        <f t="shared" si="1"/>
        <v>3445.75</v>
      </c>
      <c r="I24" s="1021">
        <v>0.3</v>
      </c>
      <c r="J24" s="1009">
        <f t="shared" si="2"/>
        <v>1033.7249999999999</v>
      </c>
      <c r="K24" s="1011"/>
      <c r="L24" s="1011"/>
      <c r="M24" s="1011"/>
      <c r="N24" s="1012">
        <v>0</v>
      </c>
      <c r="O24" s="1013"/>
      <c r="P24" s="1014"/>
      <c r="Q24" s="1007">
        <f t="shared" si="3"/>
        <v>3445.75</v>
      </c>
      <c r="R24" s="1015">
        <v>0.3</v>
      </c>
      <c r="S24" s="1016">
        <f t="shared" si="4"/>
        <v>1033.7249999999999</v>
      </c>
      <c r="T24" s="1017">
        <f>2756</f>
        <v>2756</v>
      </c>
      <c r="U24" s="1018">
        <f t="shared" si="0"/>
        <v>0.79982587245157077</v>
      </c>
      <c r="V24" s="1039" t="s">
        <v>623</v>
      </c>
    </row>
    <row r="25" spans="1:22" ht="66.75" customHeight="1">
      <c r="A25" s="2612"/>
      <c r="B25" s="1003" t="s">
        <v>624</v>
      </c>
      <c r="C25" s="1004" t="s">
        <v>38</v>
      </c>
      <c r="D25" s="1020" t="s">
        <v>603</v>
      </c>
      <c r="E25" s="1006">
        <v>55</v>
      </c>
      <c r="F25" s="1006">
        <v>62.65</v>
      </c>
      <c r="G25" s="1006">
        <v>1</v>
      </c>
      <c r="H25" s="1007">
        <f t="shared" si="1"/>
        <v>3445.75</v>
      </c>
      <c r="I25" s="1021">
        <v>0.3</v>
      </c>
      <c r="J25" s="1009">
        <f t="shared" si="2"/>
        <v>1033.7249999999999</v>
      </c>
      <c r="K25" s="1011"/>
      <c r="L25" s="1011"/>
      <c r="M25" s="1011"/>
      <c r="N25" s="1012">
        <v>0</v>
      </c>
      <c r="O25" s="1013"/>
      <c r="P25" s="1014"/>
      <c r="Q25" s="1007">
        <f t="shared" si="3"/>
        <v>3445.75</v>
      </c>
      <c r="R25" s="1015">
        <v>0.3</v>
      </c>
      <c r="S25" s="1016">
        <f t="shared" si="4"/>
        <v>1033.7249999999999</v>
      </c>
      <c r="T25" s="1017">
        <v>3445</v>
      </c>
      <c r="U25" s="1018">
        <f t="shared" si="0"/>
        <v>0.99978234056446347</v>
      </c>
      <c r="V25" s="1039" t="s">
        <v>625</v>
      </c>
    </row>
    <row r="26" spans="1:22" ht="57.75" customHeight="1">
      <c r="A26" s="2612"/>
      <c r="B26" s="1003" t="s">
        <v>626</v>
      </c>
      <c r="C26" s="1004" t="s">
        <v>38</v>
      </c>
      <c r="D26" s="1039" t="s">
        <v>603</v>
      </c>
      <c r="E26" s="1006">
        <v>35</v>
      </c>
      <c r="F26" s="1006">
        <v>72.33</v>
      </c>
      <c r="G26" s="1006">
        <v>1</v>
      </c>
      <c r="H26" s="1007">
        <f t="shared" si="1"/>
        <v>2531.5499999999997</v>
      </c>
      <c r="I26" s="1021">
        <v>0.15</v>
      </c>
      <c r="J26" s="1009">
        <f t="shared" si="2"/>
        <v>379.73249999999996</v>
      </c>
      <c r="K26" s="1011"/>
      <c r="L26" s="1011"/>
      <c r="M26" s="1011"/>
      <c r="N26" s="1012">
        <v>0</v>
      </c>
      <c r="O26" s="1013"/>
      <c r="P26" s="1014"/>
      <c r="Q26" s="1007">
        <f t="shared" si="3"/>
        <v>2531.5499999999997</v>
      </c>
      <c r="R26" s="1015">
        <v>0.15</v>
      </c>
      <c r="S26" s="1016">
        <f t="shared" si="4"/>
        <v>379.73249999999996</v>
      </c>
      <c r="T26" s="1017">
        <v>2531</v>
      </c>
      <c r="U26" s="1018">
        <f t="shared" si="0"/>
        <v>0.99978274179850302</v>
      </c>
      <c r="V26" s="1039" t="s">
        <v>627</v>
      </c>
    </row>
    <row r="27" spans="1:22" ht="110.25">
      <c r="A27" s="2612"/>
      <c r="B27" s="1003" t="s">
        <v>628</v>
      </c>
      <c r="C27" s="1004" t="s">
        <v>38</v>
      </c>
      <c r="D27" s="1039" t="s">
        <v>603</v>
      </c>
      <c r="E27" s="1006">
        <v>35</v>
      </c>
      <c r="F27" s="1006">
        <v>72.33</v>
      </c>
      <c r="G27" s="1006">
        <v>1</v>
      </c>
      <c r="H27" s="1007">
        <f t="shared" si="1"/>
        <v>2531.5499999999997</v>
      </c>
      <c r="I27" s="1021">
        <v>0.15</v>
      </c>
      <c r="J27" s="1009">
        <f t="shared" si="2"/>
        <v>379.73249999999996</v>
      </c>
      <c r="K27" s="1011"/>
      <c r="L27" s="1011"/>
      <c r="M27" s="1011"/>
      <c r="N27" s="1012">
        <v>0</v>
      </c>
      <c r="O27" s="1013"/>
      <c r="P27" s="1014"/>
      <c r="Q27" s="1007">
        <f t="shared" si="3"/>
        <v>2531.5499999999997</v>
      </c>
      <c r="R27" s="1015">
        <v>0.15</v>
      </c>
      <c r="S27" s="1016">
        <f t="shared" si="4"/>
        <v>379.73249999999996</v>
      </c>
      <c r="T27" s="1017">
        <f>2532</f>
        <v>2532</v>
      </c>
      <c r="U27" s="1018">
        <f t="shared" si="0"/>
        <v>1.0001777567103158</v>
      </c>
      <c r="V27" s="1039" t="s">
        <v>627</v>
      </c>
    </row>
    <row r="28" spans="1:22" ht="18.75" customHeight="1">
      <c r="A28" s="2612"/>
      <c r="B28" s="1026"/>
      <c r="C28" s="1026"/>
      <c r="D28" s="1027" t="s">
        <v>47</v>
      </c>
      <c r="E28" s="1027"/>
      <c r="F28" s="1027"/>
      <c r="G28" s="1027"/>
      <c r="H28" s="1042">
        <f>SUM(H22:H27)</f>
        <v>16783.599999999999</v>
      </c>
      <c r="I28" s="1043">
        <f>J28/H28*100</f>
        <v>25.474957696799255</v>
      </c>
      <c r="J28" s="1042">
        <f>SUM(J22:J27)</f>
        <v>4275.6149999999998</v>
      </c>
      <c r="K28" s="1042"/>
      <c r="L28" s="1042"/>
      <c r="M28" s="1042"/>
      <c r="N28" s="1046">
        <v>0</v>
      </c>
      <c r="O28" s="1047"/>
      <c r="P28" s="1048"/>
      <c r="Q28" s="1042">
        <f>SUM(Q22:Q27)</f>
        <v>16783.599999999999</v>
      </c>
      <c r="R28" s="1044">
        <f>S28/Q28*100</f>
        <v>25.474957696799255</v>
      </c>
      <c r="S28" s="1042">
        <f>SUM(S22:S27)</f>
        <v>4275.6149999999998</v>
      </c>
      <c r="T28" s="1034">
        <f>SUBTOTAL(9,T22:T27)</f>
        <v>17476.25</v>
      </c>
      <c r="U28" s="1045">
        <f t="shared" si="0"/>
        <v>1.0412694535141449</v>
      </c>
      <c r="V28" s="1042"/>
    </row>
    <row r="29" spans="1:22" ht="69.75" customHeight="1">
      <c r="A29" s="2612" t="s">
        <v>629</v>
      </c>
      <c r="B29" s="1003" t="s">
        <v>630</v>
      </c>
      <c r="C29" s="1004" t="s">
        <v>38</v>
      </c>
      <c r="D29" s="1005" t="s">
        <v>611</v>
      </c>
      <c r="E29" s="1006">
        <v>520</v>
      </c>
      <c r="F29" s="1006">
        <v>5</v>
      </c>
      <c r="G29" s="1006">
        <v>1</v>
      </c>
      <c r="H29" s="1007">
        <f>E29*F29*G29</f>
        <v>2600</v>
      </c>
      <c r="I29" s="1021">
        <v>0.4</v>
      </c>
      <c r="J29" s="1009">
        <f>H29*I29</f>
        <v>1040</v>
      </c>
      <c r="K29" s="1011"/>
      <c r="L29" s="1011"/>
      <c r="M29" s="1011"/>
      <c r="N29" s="1012">
        <f>K29*L29*M29</f>
        <v>0</v>
      </c>
      <c r="O29" s="1038">
        <v>0</v>
      </c>
      <c r="P29" s="1014">
        <f>N29*O29</f>
        <v>0</v>
      </c>
      <c r="Q29" s="1007">
        <f>H29+N29</f>
        <v>2600</v>
      </c>
      <c r="R29" s="1015">
        <v>0.4</v>
      </c>
      <c r="S29" s="1016">
        <f>R29*Q29</f>
        <v>1040</v>
      </c>
      <c r="T29" s="1017">
        <f>2600</f>
        <v>2600</v>
      </c>
      <c r="U29" s="1018">
        <f t="shared" si="0"/>
        <v>1</v>
      </c>
      <c r="V29" s="1039" t="s">
        <v>631</v>
      </c>
    </row>
    <row r="30" spans="1:22" ht="62.25" customHeight="1">
      <c r="A30" s="2612"/>
      <c r="B30" s="1003" t="s">
        <v>632</v>
      </c>
      <c r="C30" s="1004" t="s">
        <v>38</v>
      </c>
      <c r="D30" s="1020" t="s">
        <v>611</v>
      </c>
      <c r="E30" s="1006">
        <v>100</v>
      </c>
      <c r="F30" s="1006">
        <v>23</v>
      </c>
      <c r="G30" s="1020">
        <v>4</v>
      </c>
      <c r="H30" s="1007">
        <f>E30*F30*G30</f>
        <v>9200</v>
      </c>
      <c r="I30" s="1021">
        <v>0.25</v>
      </c>
      <c r="J30" s="1009">
        <f>H30*I30</f>
        <v>2300</v>
      </c>
      <c r="K30" s="1011">
        <v>100</v>
      </c>
      <c r="L30" s="1011">
        <v>23</v>
      </c>
      <c r="M30" s="1011">
        <v>4</v>
      </c>
      <c r="N30" s="1007">
        <f>K30*L30*M30</f>
        <v>9200</v>
      </c>
      <c r="O30" s="1049">
        <v>0.25</v>
      </c>
      <c r="P30" s="1014">
        <f>N30*O30</f>
        <v>2300</v>
      </c>
      <c r="Q30" s="1007">
        <f>H30+N30</f>
        <v>18400</v>
      </c>
      <c r="R30" s="1015">
        <v>0.25</v>
      </c>
      <c r="S30" s="1016">
        <f>R30*Q30</f>
        <v>4600</v>
      </c>
      <c r="T30" s="1017">
        <v>9200</v>
      </c>
      <c r="U30" s="1018">
        <f t="shared" si="0"/>
        <v>1</v>
      </c>
      <c r="V30" s="1039" t="s">
        <v>633</v>
      </c>
    </row>
    <row r="31" spans="1:22" ht="51" customHeight="1">
      <c r="A31" s="2612"/>
      <c r="B31" s="1003" t="s">
        <v>634</v>
      </c>
      <c r="C31" s="1004" t="s">
        <v>38</v>
      </c>
      <c r="D31" s="1020" t="s">
        <v>611</v>
      </c>
      <c r="E31" s="1006">
        <v>30</v>
      </c>
      <c r="F31" s="1006">
        <v>28.8</v>
      </c>
      <c r="G31" s="1020">
        <v>1</v>
      </c>
      <c r="H31" s="1007">
        <f>E31*F31*G31</f>
        <v>864</v>
      </c>
      <c r="I31" s="1021">
        <v>0.16</v>
      </c>
      <c r="J31" s="1009">
        <f>H31*I31</f>
        <v>138.24</v>
      </c>
      <c r="K31" s="1011">
        <v>25</v>
      </c>
      <c r="L31" s="1011">
        <v>28.8</v>
      </c>
      <c r="M31" s="1011">
        <v>1</v>
      </c>
      <c r="N31" s="1007">
        <f>K31*L31*M31</f>
        <v>720</v>
      </c>
      <c r="O31" s="1049">
        <v>0.16</v>
      </c>
      <c r="P31" s="1014">
        <f>N31*O31</f>
        <v>115.2</v>
      </c>
      <c r="Q31" s="1007">
        <f>H31+N31</f>
        <v>1584</v>
      </c>
      <c r="R31" s="1015">
        <v>0.16</v>
      </c>
      <c r="S31" s="1016">
        <f>R31*Q31</f>
        <v>253.44</v>
      </c>
      <c r="T31" s="1017">
        <v>0</v>
      </c>
      <c r="U31" s="1018">
        <f t="shared" si="0"/>
        <v>0</v>
      </c>
      <c r="V31" s="1039" t="s">
        <v>633</v>
      </c>
    </row>
    <row r="32" spans="1:22" ht="71.25" customHeight="1">
      <c r="A32" s="2612"/>
      <c r="B32" s="1003" t="s">
        <v>635</v>
      </c>
      <c r="C32" s="1004" t="s">
        <v>38</v>
      </c>
      <c r="D32" s="1020" t="s">
        <v>603</v>
      </c>
      <c r="E32" s="1006">
        <v>60</v>
      </c>
      <c r="F32" s="1006">
        <v>61</v>
      </c>
      <c r="G32" s="1020">
        <v>1</v>
      </c>
      <c r="H32" s="1007">
        <f>E32*F32*G32</f>
        <v>3660</v>
      </c>
      <c r="I32" s="1021">
        <f>457.5/H32</f>
        <v>0.125</v>
      </c>
      <c r="J32" s="1009">
        <f>H32*I32</f>
        <v>457.5</v>
      </c>
      <c r="K32" s="1011">
        <v>50</v>
      </c>
      <c r="L32" s="1011">
        <v>61</v>
      </c>
      <c r="M32" s="1011">
        <v>1</v>
      </c>
      <c r="N32" s="1007">
        <f>K32*L32*M32</f>
        <v>3050</v>
      </c>
      <c r="O32" s="1049">
        <v>0.13</v>
      </c>
      <c r="P32" s="1014">
        <f>N32*O32</f>
        <v>396.5</v>
      </c>
      <c r="Q32" s="1007">
        <f>H32+N32</f>
        <v>6710</v>
      </c>
      <c r="R32" s="1015">
        <v>0.13</v>
      </c>
      <c r="S32" s="1016">
        <f>R32*Q32</f>
        <v>872.30000000000007</v>
      </c>
      <c r="T32" s="1017">
        <v>0</v>
      </c>
      <c r="U32" s="1018">
        <f t="shared" si="0"/>
        <v>0</v>
      </c>
      <c r="V32" s="1039" t="s">
        <v>633</v>
      </c>
    </row>
    <row r="33" spans="1:28" ht="51" customHeight="1">
      <c r="A33" s="2612"/>
      <c r="B33" s="1003" t="s">
        <v>636</v>
      </c>
      <c r="C33" s="1004" t="s">
        <v>38</v>
      </c>
      <c r="D33" s="1039" t="s">
        <v>611</v>
      </c>
      <c r="E33" s="1006">
        <v>0</v>
      </c>
      <c r="F33" s="1006">
        <v>0</v>
      </c>
      <c r="G33" s="1039">
        <v>0</v>
      </c>
      <c r="H33" s="1007">
        <f>E33*F33*G33</f>
        <v>0</v>
      </c>
      <c r="I33" s="1022">
        <v>0</v>
      </c>
      <c r="J33" s="1009">
        <f>H33*I33</f>
        <v>0</v>
      </c>
      <c r="K33" s="1011">
        <v>50</v>
      </c>
      <c r="L33" s="1011">
        <v>61</v>
      </c>
      <c r="M33" s="1011">
        <v>1</v>
      </c>
      <c r="N33" s="1007">
        <f>K33*L33*M33</f>
        <v>3050</v>
      </c>
      <c r="O33" s="1049">
        <f>457.5/N33</f>
        <v>0.15</v>
      </c>
      <c r="P33" s="1014">
        <f>N33*O33</f>
        <v>457.5</v>
      </c>
      <c r="Q33" s="1007">
        <f>H33+N33</f>
        <v>3050</v>
      </c>
      <c r="R33" s="1015">
        <v>0.15</v>
      </c>
      <c r="S33" s="1016">
        <f>R33*Q33</f>
        <v>457.5</v>
      </c>
      <c r="T33" s="1017">
        <v>0</v>
      </c>
      <c r="U33" s="1018" t="e">
        <f t="shared" si="0"/>
        <v>#DIV/0!</v>
      </c>
      <c r="V33" s="1039" t="s">
        <v>633</v>
      </c>
    </row>
    <row r="34" spans="1:28" s="1051" customFormat="1" ht="20.25" customHeight="1">
      <c r="A34" s="2612"/>
      <c r="B34" s="1026"/>
      <c r="C34" s="1026"/>
      <c r="D34" s="1027" t="s">
        <v>47</v>
      </c>
      <c r="E34" s="1027"/>
      <c r="F34" s="1027"/>
      <c r="G34" s="1027"/>
      <c r="H34" s="1042">
        <f>SUM(H29:H33)</f>
        <v>16324</v>
      </c>
      <c r="I34" s="1043">
        <f>J34/H34*100</f>
        <v>24.110144572408725</v>
      </c>
      <c r="J34" s="1042">
        <f>SUM(J29:J33)</f>
        <v>3935.74</v>
      </c>
      <c r="K34" s="1042"/>
      <c r="L34" s="1042"/>
      <c r="M34" s="1042"/>
      <c r="N34" s="1042">
        <f>SUM(N29:N33)</f>
        <v>16020</v>
      </c>
      <c r="O34" s="1043">
        <f>P34/N34*100</f>
        <v>20.406991260923842</v>
      </c>
      <c r="P34" s="1042">
        <f>SUM(P29:P33)</f>
        <v>3269.2</v>
      </c>
      <c r="Q34" s="1042">
        <f>SUM(Q29:Q33)</f>
        <v>32344</v>
      </c>
      <c r="R34" s="1043">
        <f>S34/Q34*100</f>
        <v>22.332550086569377</v>
      </c>
      <c r="S34" s="1042">
        <f>SUM(S29:S33)</f>
        <v>7223.24</v>
      </c>
      <c r="T34" s="1050">
        <f>SUBTOTAL(9,T29:T33)</f>
        <v>11800</v>
      </c>
      <c r="U34" s="1045">
        <f t="shared" si="0"/>
        <v>0.72286204361676065</v>
      </c>
      <c r="V34" s="1042"/>
    </row>
    <row r="35" spans="1:28" s="1062" customFormat="1" ht="39.75" customHeight="1">
      <c r="A35" s="2612" t="s">
        <v>637</v>
      </c>
      <c r="B35" s="1052" t="s">
        <v>638</v>
      </c>
      <c r="C35" s="1053"/>
      <c r="D35" s="1054" t="s">
        <v>603</v>
      </c>
      <c r="E35" s="1053">
        <v>0</v>
      </c>
      <c r="F35" s="1053">
        <v>53</v>
      </c>
      <c r="G35" s="1053">
        <v>12</v>
      </c>
      <c r="H35" s="1055">
        <f>E35*F35*G35</f>
        <v>0</v>
      </c>
      <c r="I35" s="1022">
        <v>0</v>
      </c>
      <c r="J35" s="1056">
        <f>H35*I35</f>
        <v>0</v>
      </c>
      <c r="K35" s="1057">
        <v>0</v>
      </c>
      <c r="L35" s="1057">
        <v>53</v>
      </c>
      <c r="M35" s="1057">
        <v>12</v>
      </c>
      <c r="N35" s="1055">
        <f>K35*L35*M35</f>
        <v>0</v>
      </c>
      <c r="O35" s="1013"/>
      <c r="P35" s="1058"/>
      <c r="Q35" s="1055">
        <f>H35+N35</f>
        <v>0</v>
      </c>
      <c r="R35" s="1023">
        <v>0</v>
      </c>
      <c r="S35" s="1059">
        <f>R35*Q35</f>
        <v>0</v>
      </c>
      <c r="T35" s="1060"/>
      <c r="U35" s="1018" t="e">
        <f t="shared" si="0"/>
        <v>#DIV/0!</v>
      </c>
      <c r="V35" s="1061" t="s">
        <v>639</v>
      </c>
    </row>
    <row r="36" spans="1:28" ht="33" customHeight="1">
      <c r="A36" s="2612"/>
      <c r="B36" s="1063" t="s">
        <v>640</v>
      </c>
      <c r="C36" s="1004" t="s">
        <v>38</v>
      </c>
      <c r="D36" s="1020" t="s">
        <v>603</v>
      </c>
      <c r="E36" s="1020">
        <v>375</v>
      </c>
      <c r="F36" s="1020">
        <v>2</v>
      </c>
      <c r="G36" s="1020">
        <v>1</v>
      </c>
      <c r="H36" s="1007">
        <f>E36*F36*G36</f>
        <v>750</v>
      </c>
      <c r="I36" s="1022">
        <v>0</v>
      </c>
      <c r="J36" s="1056">
        <f>H36*I36</f>
        <v>0</v>
      </c>
      <c r="K36" s="1011"/>
      <c r="L36" s="1011"/>
      <c r="M36" s="1011"/>
      <c r="N36" s="1012">
        <v>0</v>
      </c>
      <c r="O36" s="1013"/>
      <c r="P36" s="1014"/>
      <c r="Q36" s="1007">
        <f>H36+N36</f>
        <v>750</v>
      </c>
      <c r="R36" s="1023">
        <v>0</v>
      </c>
      <c r="S36" s="1059">
        <f>R36*Q36</f>
        <v>0</v>
      </c>
      <c r="T36" s="1060">
        <f>750</f>
        <v>750</v>
      </c>
      <c r="U36" s="1018">
        <f t="shared" si="0"/>
        <v>1</v>
      </c>
      <c r="V36" s="1039" t="s">
        <v>633</v>
      </c>
    </row>
    <row r="37" spans="1:28" ht="24.75" customHeight="1">
      <c r="A37" s="2612"/>
      <c r="B37" s="1063" t="s">
        <v>641</v>
      </c>
      <c r="C37" s="1004" t="s">
        <v>38</v>
      </c>
      <c r="D37" s="1020" t="s">
        <v>603</v>
      </c>
      <c r="E37" s="1020">
        <v>150</v>
      </c>
      <c r="F37" s="1020">
        <v>10</v>
      </c>
      <c r="G37" s="1020">
        <v>1</v>
      </c>
      <c r="H37" s="1007">
        <f>E37*F37*G37</f>
        <v>1500</v>
      </c>
      <c r="I37" s="1022">
        <v>0</v>
      </c>
      <c r="J37" s="1056">
        <f>H37*I37</f>
        <v>0</v>
      </c>
      <c r="K37" s="1011"/>
      <c r="L37" s="1011"/>
      <c r="M37" s="1011"/>
      <c r="N37" s="1012">
        <v>0</v>
      </c>
      <c r="O37" s="1013"/>
      <c r="P37" s="1014"/>
      <c r="Q37" s="1007">
        <f>H37+N37</f>
        <v>1500</v>
      </c>
      <c r="R37" s="1023">
        <v>0</v>
      </c>
      <c r="S37" s="1059">
        <f>R37*Q37</f>
        <v>0</v>
      </c>
      <c r="T37" s="1060">
        <f>1445</f>
        <v>1445</v>
      </c>
      <c r="U37" s="1018">
        <f t="shared" si="0"/>
        <v>0.96333333333333337</v>
      </c>
      <c r="V37" s="1039" t="s">
        <v>633</v>
      </c>
    </row>
    <row r="38" spans="1:28" ht="20.25" customHeight="1">
      <c r="A38" s="2612"/>
      <c r="B38" s="1026"/>
      <c r="C38" s="1026"/>
      <c r="D38" s="1027" t="s">
        <v>47</v>
      </c>
      <c r="E38" s="1027"/>
      <c r="F38" s="1027"/>
      <c r="G38" s="1027"/>
      <c r="H38" s="1042">
        <f>SUM(H35:H37)</f>
        <v>2250</v>
      </c>
      <c r="I38" s="1064">
        <v>0</v>
      </c>
      <c r="J38" s="1065">
        <f>SUM(J35:J37)</f>
        <v>0</v>
      </c>
      <c r="K38" s="1042"/>
      <c r="L38" s="1042"/>
      <c r="M38" s="1042"/>
      <c r="N38" s="1042">
        <f>SUM(N35:N37)</f>
        <v>0</v>
      </c>
      <c r="O38" s="1047"/>
      <c r="P38" s="1048"/>
      <c r="Q38" s="1042">
        <f>SUM(Q35:Q37)</f>
        <v>2250</v>
      </c>
      <c r="R38" s="1023">
        <v>0</v>
      </c>
      <c r="S38" s="1065">
        <f>SUM(S35:S37)</f>
        <v>0</v>
      </c>
      <c r="T38" s="1065">
        <f>SUBTOTAL(9,T35:T37)</f>
        <v>2195</v>
      </c>
      <c r="U38" s="1045">
        <f t="shared" si="0"/>
        <v>0.97555555555555551</v>
      </c>
      <c r="V38" s="1042"/>
    </row>
    <row r="39" spans="1:28" s="1071" customFormat="1" ht="21" customHeight="1">
      <c r="A39" s="2613" t="s">
        <v>642</v>
      </c>
      <c r="B39" s="2614"/>
      <c r="C39" s="2615"/>
      <c r="D39" s="1066"/>
      <c r="E39" s="1066"/>
      <c r="F39" s="1066"/>
      <c r="G39" s="1066"/>
      <c r="H39" s="1067">
        <f>H15+H21+H28+H34+H38</f>
        <v>93538.6</v>
      </c>
      <c r="I39" s="1068">
        <f>J39/H39*100</f>
        <v>21.361892309698881</v>
      </c>
      <c r="J39" s="1067">
        <f>J15+J21+J28+J34+J38</f>
        <v>19981.614999999998</v>
      </c>
      <c r="K39" s="1067">
        <f>K15+K21+K28+K34+K38</f>
        <v>0</v>
      </c>
      <c r="L39" s="1067">
        <f>L15+L21+L28+L34+L38</f>
        <v>0</v>
      </c>
      <c r="M39" s="1067">
        <f>M15+M21+M28+M34+M38</f>
        <v>0</v>
      </c>
      <c r="N39" s="1067">
        <f>N21+N28+N34+N38</f>
        <v>23820</v>
      </c>
      <c r="O39" s="1068">
        <f>P39/N39*100</f>
        <v>20.273719563392106</v>
      </c>
      <c r="P39" s="1067">
        <f>P21+P28+P34+P38</f>
        <v>4829.2</v>
      </c>
      <c r="Q39" s="1067">
        <f>Q15+Q21+Q28+Q34+Q38</f>
        <v>117358.6</v>
      </c>
      <c r="R39" s="1068">
        <f>S39/Q39*100</f>
        <v>21.156621670674326</v>
      </c>
      <c r="S39" s="1067">
        <f>S15+S21+S28+S34+S38</f>
        <v>24829.114999999998</v>
      </c>
      <c r="T39" s="1067">
        <f>T38+T34+T28+T21+T15</f>
        <v>90551.45</v>
      </c>
      <c r="U39" s="1069">
        <f>+T39/H39</f>
        <v>0.9680650554958059</v>
      </c>
      <c r="V39" s="1067"/>
      <c r="W39" s="1070"/>
      <c r="X39" s="1070"/>
      <c r="Y39" s="1070"/>
      <c r="Z39" s="1070"/>
      <c r="AA39" s="1070"/>
      <c r="AB39" s="1070"/>
    </row>
    <row r="40" spans="1:28" s="1071" customFormat="1" ht="21" customHeight="1">
      <c r="A40" s="2616" t="s">
        <v>643</v>
      </c>
      <c r="B40" s="2617"/>
      <c r="C40" s="2617"/>
      <c r="D40" s="2617"/>
      <c r="E40" s="2617"/>
      <c r="F40" s="2617"/>
      <c r="G40" s="2617"/>
      <c r="H40" s="2617"/>
      <c r="I40" s="2618"/>
      <c r="J40" s="2617"/>
      <c r="K40" s="2617"/>
      <c r="L40" s="2617"/>
      <c r="M40" s="2617"/>
      <c r="N40" s="2617"/>
      <c r="O40" s="2619"/>
      <c r="P40" s="2617"/>
      <c r="Q40" s="2617"/>
      <c r="R40" s="2619"/>
      <c r="S40" s="2617"/>
      <c r="T40" s="2617"/>
      <c r="U40" s="2617"/>
      <c r="V40" s="2620"/>
      <c r="W40" s="1070"/>
      <c r="X40" s="1070"/>
      <c r="Y40" s="1070"/>
      <c r="Z40" s="1070"/>
      <c r="AA40" s="1070"/>
      <c r="AB40" s="1070"/>
    </row>
    <row r="41" spans="1:28" s="1071" customFormat="1" ht="25.5" customHeight="1">
      <c r="A41" s="1072" t="s">
        <v>644</v>
      </c>
      <c r="B41" s="2617" t="s">
        <v>645</v>
      </c>
      <c r="C41" s="2617"/>
      <c r="D41" s="2617"/>
      <c r="E41" s="2617"/>
      <c r="F41" s="2617"/>
      <c r="G41" s="2617"/>
      <c r="H41" s="2617"/>
      <c r="I41" s="1073"/>
      <c r="J41" s="1074"/>
      <c r="K41" s="1075"/>
      <c r="L41" s="1075"/>
      <c r="M41" s="1075"/>
      <c r="N41" s="1075"/>
      <c r="O41" s="1073"/>
      <c r="P41" s="1074"/>
      <c r="Q41" s="1075"/>
      <c r="R41" s="1073"/>
      <c r="S41" s="1075"/>
      <c r="T41" s="1075"/>
      <c r="U41" s="1075"/>
      <c r="V41" s="1076"/>
      <c r="W41" s="1070"/>
      <c r="X41" s="1070"/>
      <c r="Y41" s="1070"/>
      <c r="Z41" s="1070"/>
      <c r="AA41" s="1070"/>
      <c r="AB41" s="1070"/>
    </row>
    <row r="42" spans="1:28" s="1071" customFormat="1" ht="80.25" customHeight="1">
      <c r="A42" s="2621" t="s">
        <v>646</v>
      </c>
      <c r="B42" s="1077" t="s">
        <v>647</v>
      </c>
      <c r="C42" s="1078" t="s">
        <v>33</v>
      </c>
      <c r="D42" s="1079" t="s">
        <v>611</v>
      </c>
      <c r="E42" s="1080">
        <v>1</v>
      </c>
      <c r="F42" s="1080">
        <v>5000</v>
      </c>
      <c r="G42" s="1080">
        <v>1</v>
      </c>
      <c r="H42" s="1081">
        <f>E42*F42*G42</f>
        <v>5000</v>
      </c>
      <c r="I42" s="1082">
        <v>0.5</v>
      </c>
      <c r="J42" s="1083">
        <f>H42*I42</f>
        <v>2500</v>
      </c>
      <c r="K42" s="1084">
        <v>0</v>
      </c>
      <c r="L42" s="1084">
        <v>0</v>
      </c>
      <c r="M42" s="1084">
        <v>0</v>
      </c>
      <c r="N42" s="1085">
        <v>0</v>
      </c>
      <c r="O42" s="1086">
        <f>N42*30%</f>
        <v>0</v>
      </c>
      <c r="P42" s="1087"/>
      <c r="Q42" s="1081">
        <f>H42+N42</f>
        <v>5000</v>
      </c>
      <c r="R42" s="1082">
        <v>0.5</v>
      </c>
      <c r="S42" s="1088">
        <f>Q42*R42</f>
        <v>2500</v>
      </c>
      <c r="T42" s="1017">
        <f>5000</f>
        <v>5000</v>
      </c>
      <c r="U42" s="1018">
        <f>+T42/H42</f>
        <v>1</v>
      </c>
      <c r="V42" s="1089" t="s">
        <v>648</v>
      </c>
      <c r="W42" s="1090" t="s">
        <v>649</v>
      </c>
      <c r="X42" s="1070"/>
      <c r="Y42" s="1070"/>
      <c r="Z42" s="1070"/>
      <c r="AA42" s="1070"/>
      <c r="AB42" s="1070"/>
    </row>
    <row r="43" spans="1:28" s="1071" customFormat="1" ht="66" customHeight="1">
      <c r="A43" s="2622"/>
      <c r="B43" s="1077" t="s">
        <v>650</v>
      </c>
      <c r="C43" s="1078" t="s">
        <v>50</v>
      </c>
      <c r="D43" s="1079" t="s">
        <v>611</v>
      </c>
      <c r="E43" s="1091">
        <v>7</v>
      </c>
      <c r="F43" s="1091">
        <v>800</v>
      </c>
      <c r="G43" s="1091">
        <v>1</v>
      </c>
      <c r="H43" s="1081">
        <f t="shared" ref="H43:H51" si="5">E43*F43*G43</f>
        <v>5600</v>
      </c>
      <c r="I43" s="1082">
        <v>0.15</v>
      </c>
      <c r="J43" s="1083">
        <f t="shared" ref="J43:J51" si="6">H43*I43</f>
        <v>840</v>
      </c>
      <c r="K43" s="1084">
        <v>0</v>
      </c>
      <c r="L43" s="1084">
        <v>0</v>
      </c>
      <c r="M43" s="1084">
        <v>0</v>
      </c>
      <c r="N43" s="1085">
        <v>0</v>
      </c>
      <c r="O43" s="1086">
        <f t="shared" ref="O43:O51" si="7">N43*30%</f>
        <v>0</v>
      </c>
      <c r="P43" s="1087"/>
      <c r="Q43" s="1081">
        <f t="shared" ref="Q43:R51" si="8">H43+N43</f>
        <v>5600</v>
      </c>
      <c r="R43" s="1082">
        <v>0.15</v>
      </c>
      <c r="S43" s="1088">
        <f t="shared" ref="S43:S51" si="9">Q43*R43</f>
        <v>840</v>
      </c>
      <c r="T43" s="1017">
        <f>2800+2800</f>
        <v>5600</v>
      </c>
      <c r="U43" s="1018">
        <f t="shared" ref="U43:U64" si="10">+T43/H43</f>
        <v>1</v>
      </c>
      <c r="V43" s="1089" t="s">
        <v>651</v>
      </c>
      <c r="W43" s="1070"/>
      <c r="X43" s="1070"/>
      <c r="Y43" s="1070"/>
      <c r="Z43" s="1070"/>
      <c r="AA43" s="1070"/>
      <c r="AB43" s="1070"/>
    </row>
    <row r="44" spans="1:28" s="1071" customFormat="1" ht="52.5" customHeight="1">
      <c r="A44" s="2622"/>
      <c r="B44" s="1092" t="s">
        <v>652</v>
      </c>
      <c r="C44" s="1078" t="s">
        <v>40</v>
      </c>
      <c r="D44" s="1079" t="s">
        <v>611</v>
      </c>
      <c r="E44" s="1091">
        <v>7</v>
      </c>
      <c r="F44" s="1091">
        <v>400</v>
      </c>
      <c r="G44" s="1091">
        <v>1</v>
      </c>
      <c r="H44" s="1081">
        <f t="shared" si="5"/>
        <v>2800</v>
      </c>
      <c r="I44" s="1082">
        <v>0.5</v>
      </c>
      <c r="J44" s="1083">
        <f t="shared" si="6"/>
        <v>1400</v>
      </c>
      <c r="K44" s="1084">
        <v>0</v>
      </c>
      <c r="L44" s="1084">
        <v>0</v>
      </c>
      <c r="M44" s="1084">
        <v>0</v>
      </c>
      <c r="N44" s="1085">
        <v>0</v>
      </c>
      <c r="O44" s="1086">
        <f t="shared" si="7"/>
        <v>0</v>
      </c>
      <c r="P44" s="1087"/>
      <c r="Q44" s="1081">
        <f t="shared" si="8"/>
        <v>2800</v>
      </c>
      <c r="R44" s="1082">
        <v>0.5</v>
      </c>
      <c r="S44" s="1088">
        <f t="shared" si="9"/>
        <v>1400</v>
      </c>
      <c r="T44" s="1017">
        <f>1620+1180</f>
        <v>2800</v>
      </c>
      <c r="U44" s="1018">
        <f t="shared" si="10"/>
        <v>1</v>
      </c>
      <c r="V44" s="1089" t="s">
        <v>653</v>
      </c>
      <c r="W44" s="1070"/>
      <c r="X44" s="1070"/>
      <c r="Y44" s="1070"/>
      <c r="Z44" s="1070"/>
      <c r="AA44" s="1070"/>
      <c r="AB44" s="1070"/>
    </row>
    <row r="45" spans="1:28" s="1071" customFormat="1" ht="47.25" customHeight="1">
      <c r="A45" s="2622"/>
      <c r="B45" s="1077" t="s">
        <v>654</v>
      </c>
      <c r="C45" s="1078" t="s">
        <v>40</v>
      </c>
      <c r="D45" s="1079" t="s">
        <v>611</v>
      </c>
      <c r="E45" s="1091">
        <v>7</v>
      </c>
      <c r="F45" s="1091">
        <v>400</v>
      </c>
      <c r="G45" s="1091">
        <v>1</v>
      </c>
      <c r="H45" s="1081">
        <f t="shared" si="5"/>
        <v>2800</v>
      </c>
      <c r="I45" s="1082">
        <v>0.5</v>
      </c>
      <c r="J45" s="1083">
        <f t="shared" si="6"/>
        <v>1400</v>
      </c>
      <c r="K45" s="1084">
        <v>0</v>
      </c>
      <c r="L45" s="1084">
        <v>0</v>
      </c>
      <c r="M45" s="1084">
        <v>0</v>
      </c>
      <c r="N45" s="1085">
        <v>0</v>
      </c>
      <c r="O45" s="1086">
        <f t="shared" si="7"/>
        <v>0</v>
      </c>
      <c r="P45" s="1087"/>
      <c r="Q45" s="1081">
        <f t="shared" si="8"/>
        <v>2800</v>
      </c>
      <c r="R45" s="1082">
        <v>0.5</v>
      </c>
      <c r="S45" s="1088">
        <f t="shared" si="9"/>
        <v>1400</v>
      </c>
      <c r="T45" s="1017">
        <v>2800</v>
      </c>
      <c r="U45" s="1018">
        <f t="shared" si="10"/>
        <v>1</v>
      </c>
      <c r="V45" s="1089" t="s">
        <v>655</v>
      </c>
      <c r="W45" s="1070"/>
      <c r="X45" s="1070"/>
      <c r="Y45" s="1070"/>
      <c r="Z45" s="1070"/>
      <c r="AA45" s="1070"/>
      <c r="AB45" s="1070"/>
    </row>
    <row r="46" spans="1:28" s="1071" customFormat="1" ht="51.75" customHeight="1">
      <c r="A46" s="2622"/>
      <c r="B46" s="1093"/>
      <c r="C46" s="1078" t="s">
        <v>50</v>
      </c>
      <c r="D46" s="1079" t="s">
        <v>611</v>
      </c>
      <c r="E46" s="1094">
        <v>1</v>
      </c>
      <c r="F46" s="1094">
        <v>32150</v>
      </c>
      <c r="G46" s="1094">
        <v>1</v>
      </c>
      <c r="H46" s="1095">
        <f t="shared" si="5"/>
        <v>32150</v>
      </c>
      <c r="I46" s="1096">
        <v>0</v>
      </c>
      <c r="J46" s="1083">
        <f t="shared" si="6"/>
        <v>0</v>
      </c>
      <c r="K46" s="1097">
        <v>0</v>
      </c>
      <c r="L46" s="1097">
        <v>0</v>
      </c>
      <c r="M46" s="1097">
        <v>0</v>
      </c>
      <c r="N46" s="1098">
        <v>0</v>
      </c>
      <c r="O46" s="1099">
        <f t="shared" si="7"/>
        <v>0</v>
      </c>
      <c r="P46" s="1100"/>
      <c r="Q46" s="1095">
        <f t="shared" si="8"/>
        <v>32150</v>
      </c>
      <c r="R46" s="1096">
        <f t="shared" si="8"/>
        <v>0</v>
      </c>
      <c r="S46" s="1088">
        <f t="shared" si="9"/>
        <v>0</v>
      </c>
      <c r="T46" s="1017">
        <v>0</v>
      </c>
      <c r="U46" s="1018">
        <f t="shared" si="10"/>
        <v>0</v>
      </c>
      <c r="V46" s="1101" t="s">
        <v>656</v>
      </c>
      <c r="W46" s="1070"/>
      <c r="X46" s="1070"/>
      <c r="Y46" s="1070"/>
      <c r="Z46" s="1070"/>
      <c r="AA46" s="1070"/>
      <c r="AB46" s="1070"/>
    </row>
    <row r="47" spans="1:28" s="1071" customFormat="1" ht="63.75">
      <c r="A47" s="2622"/>
      <c r="B47" s="1089" t="s">
        <v>657</v>
      </c>
      <c r="C47" s="1078" t="s">
        <v>50</v>
      </c>
      <c r="D47" s="1079" t="s">
        <v>611</v>
      </c>
      <c r="E47" s="1091">
        <v>5</v>
      </c>
      <c r="F47" s="1091">
        <v>7900</v>
      </c>
      <c r="G47" s="1091">
        <v>1</v>
      </c>
      <c r="H47" s="1081">
        <f t="shared" si="5"/>
        <v>39500</v>
      </c>
      <c r="I47" s="1082">
        <v>0</v>
      </c>
      <c r="J47" s="1083">
        <f t="shared" si="6"/>
        <v>0</v>
      </c>
      <c r="K47" s="1084">
        <v>0</v>
      </c>
      <c r="L47" s="1084">
        <v>0</v>
      </c>
      <c r="M47" s="1084">
        <v>0</v>
      </c>
      <c r="N47" s="1085">
        <v>0</v>
      </c>
      <c r="O47" s="1086">
        <f t="shared" si="7"/>
        <v>0</v>
      </c>
      <c r="P47" s="1087"/>
      <c r="Q47" s="1081">
        <f t="shared" si="8"/>
        <v>39500</v>
      </c>
      <c r="R47" s="1082">
        <f t="shared" si="8"/>
        <v>0</v>
      </c>
      <c r="S47" s="1088">
        <f t="shared" si="9"/>
        <v>0</v>
      </c>
      <c r="T47" s="1017">
        <v>31200</v>
      </c>
      <c r="U47" s="1018">
        <f t="shared" si="10"/>
        <v>0.78987341772151898</v>
      </c>
      <c r="V47" s="1102" t="s">
        <v>658</v>
      </c>
      <c r="W47" s="1070"/>
      <c r="X47" s="1070"/>
      <c r="Y47" s="1070"/>
      <c r="Z47" s="1070"/>
      <c r="AA47" s="1070"/>
      <c r="AB47" s="1070"/>
    </row>
    <row r="48" spans="1:28" s="1071" customFormat="1" ht="35.25" customHeight="1">
      <c r="A48" s="2622"/>
      <c r="B48" s="1092" t="s">
        <v>659</v>
      </c>
      <c r="C48" s="1078"/>
      <c r="D48" s="1079"/>
      <c r="E48" s="1091"/>
      <c r="F48" s="1091"/>
      <c r="G48" s="1091"/>
      <c r="H48" s="1081"/>
      <c r="I48" s="1082"/>
      <c r="J48" s="1083">
        <f t="shared" si="6"/>
        <v>0</v>
      </c>
      <c r="K48" s="1084"/>
      <c r="L48" s="1084"/>
      <c r="M48" s="1084"/>
      <c r="N48" s="1085"/>
      <c r="O48" s="1086"/>
      <c r="P48" s="1087"/>
      <c r="Q48" s="1081"/>
      <c r="R48" s="1082"/>
      <c r="S48" s="1088">
        <f t="shared" si="9"/>
        <v>0</v>
      </c>
      <c r="T48" s="1017">
        <v>0</v>
      </c>
      <c r="U48" s="1018" t="e">
        <f t="shared" si="10"/>
        <v>#DIV/0!</v>
      </c>
      <c r="V48" s="1103"/>
      <c r="W48" s="1070"/>
      <c r="X48" s="1070"/>
      <c r="Y48" s="1070"/>
      <c r="Z48" s="1070"/>
      <c r="AA48" s="1070"/>
      <c r="AB48" s="1070"/>
    </row>
    <row r="49" spans="1:28" s="1071" customFormat="1" ht="36.75" customHeight="1">
      <c r="A49" s="2622"/>
      <c r="B49" s="1104" t="s">
        <v>660</v>
      </c>
      <c r="C49" s="1078" t="s">
        <v>50</v>
      </c>
      <c r="D49" s="1079" t="s">
        <v>611</v>
      </c>
      <c r="E49" s="1091">
        <f>3*6</f>
        <v>18</v>
      </c>
      <c r="F49" s="1091">
        <v>500</v>
      </c>
      <c r="G49" s="1091">
        <v>4</v>
      </c>
      <c r="H49" s="1081">
        <f t="shared" si="5"/>
        <v>36000</v>
      </c>
      <c r="I49" s="1082">
        <v>0.16</v>
      </c>
      <c r="J49" s="1083">
        <f t="shared" si="6"/>
        <v>5760</v>
      </c>
      <c r="K49" s="1084">
        <v>0</v>
      </c>
      <c r="L49" s="1084">
        <v>0</v>
      </c>
      <c r="M49" s="1084">
        <v>0</v>
      </c>
      <c r="N49" s="1085">
        <v>0</v>
      </c>
      <c r="O49" s="1086">
        <f t="shared" si="7"/>
        <v>0</v>
      </c>
      <c r="P49" s="1087"/>
      <c r="Q49" s="1081">
        <f t="shared" si="8"/>
        <v>36000</v>
      </c>
      <c r="R49" s="1082">
        <f t="shared" si="8"/>
        <v>0.16</v>
      </c>
      <c r="S49" s="1088">
        <f t="shared" si="9"/>
        <v>5760</v>
      </c>
      <c r="T49" s="1017">
        <v>0</v>
      </c>
      <c r="U49" s="1018">
        <f t="shared" si="10"/>
        <v>0</v>
      </c>
      <c r="V49" s="1089" t="s">
        <v>661</v>
      </c>
      <c r="W49" s="1070"/>
      <c r="X49" s="1070"/>
      <c r="Y49" s="1070"/>
      <c r="Z49" s="1070"/>
      <c r="AA49" s="1070"/>
      <c r="AB49" s="1070"/>
    </row>
    <row r="50" spans="1:28" s="1071" customFormat="1" ht="29.25" customHeight="1">
      <c r="A50" s="2622"/>
      <c r="B50" s="1104" t="s">
        <v>662</v>
      </c>
      <c r="C50" s="1078" t="s">
        <v>50</v>
      </c>
      <c r="D50" s="1079" t="s">
        <v>611</v>
      </c>
      <c r="E50" s="1091">
        <v>560</v>
      </c>
      <c r="F50" s="1091">
        <v>1.5</v>
      </c>
      <c r="G50" s="1091">
        <f>2*25</f>
        <v>50</v>
      </c>
      <c r="H50" s="1081">
        <f t="shared" si="5"/>
        <v>42000</v>
      </c>
      <c r="I50" s="1082">
        <v>0.3</v>
      </c>
      <c r="J50" s="1083">
        <f t="shared" si="6"/>
        <v>12600</v>
      </c>
      <c r="K50" s="1084">
        <v>0</v>
      </c>
      <c r="L50" s="1084">
        <v>0</v>
      </c>
      <c r="M50" s="1084">
        <v>0</v>
      </c>
      <c r="N50" s="1085">
        <v>0</v>
      </c>
      <c r="O50" s="1086">
        <f t="shared" si="7"/>
        <v>0</v>
      </c>
      <c r="P50" s="1087"/>
      <c r="Q50" s="1081">
        <f t="shared" si="8"/>
        <v>42000</v>
      </c>
      <c r="R50" s="1082">
        <f t="shared" si="8"/>
        <v>0.3</v>
      </c>
      <c r="S50" s="1088">
        <f t="shared" si="9"/>
        <v>12600</v>
      </c>
      <c r="T50" s="1017">
        <v>0</v>
      </c>
      <c r="U50" s="1018">
        <f t="shared" si="10"/>
        <v>0</v>
      </c>
      <c r="V50" s="1089" t="s">
        <v>663</v>
      </c>
      <c r="W50" s="1070"/>
      <c r="X50" s="1070"/>
      <c r="Y50" s="1070"/>
      <c r="Z50" s="1070"/>
      <c r="AA50" s="1070"/>
      <c r="AB50" s="1070"/>
    </row>
    <row r="51" spans="1:28" s="1071" customFormat="1" ht="42.75" customHeight="1">
      <c r="A51" s="2622"/>
      <c r="B51" s="1104" t="s">
        <v>664</v>
      </c>
      <c r="C51" s="1078" t="s">
        <v>38</v>
      </c>
      <c r="D51" s="1079" t="s">
        <v>611</v>
      </c>
      <c r="E51" s="1091">
        <f>6*3</f>
        <v>18</v>
      </c>
      <c r="F51" s="1091">
        <v>350</v>
      </c>
      <c r="G51" s="1091">
        <v>2</v>
      </c>
      <c r="H51" s="1081">
        <f t="shared" si="5"/>
        <v>12600</v>
      </c>
      <c r="I51" s="1082">
        <v>0.3</v>
      </c>
      <c r="J51" s="1083">
        <f t="shared" si="6"/>
        <v>3780</v>
      </c>
      <c r="K51" s="1084">
        <v>0</v>
      </c>
      <c r="L51" s="1084">
        <v>0</v>
      </c>
      <c r="M51" s="1084">
        <v>0</v>
      </c>
      <c r="N51" s="1085">
        <v>0</v>
      </c>
      <c r="O51" s="1086">
        <f t="shared" si="7"/>
        <v>0</v>
      </c>
      <c r="P51" s="1087"/>
      <c r="Q51" s="1081">
        <f t="shared" si="8"/>
        <v>12600</v>
      </c>
      <c r="R51" s="1082">
        <v>0.3</v>
      </c>
      <c r="S51" s="1088">
        <f t="shared" si="9"/>
        <v>3780</v>
      </c>
      <c r="T51" s="1017">
        <v>0</v>
      </c>
      <c r="U51" s="1018">
        <f t="shared" si="10"/>
        <v>0</v>
      </c>
      <c r="V51" s="1089" t="s">
        <v>665</v>
      </c>
      <c r="W51" s="1070"/>
      <c r="X51" s="1070"/>
      <c r="Y51" s="1070"/>
      <c r="Z51" s="1070"/>
      <c r="AA51" s="1070"/>
      <c r="AB51" s="1070"/>
    </row>
    <row r="52" spans="1:28" s="1071" customFormat="1" ht="19.5" customHeight="1">
      <c r="A52" s="2623"/>
      <c r="B52" s="1105"/>
      <c r="C52" s="1105"/>
      <c r="D52" s="1106" t="s">
        <v>47</v>
      </c>
      <c r="E52" s="1107"/>
      <c r="F52" s="1107"/>
      <c r="G52" s="1107"/>
      <c r="H52" s="1108">
        <f>SUM(H42:H51)</f>
        <v>178450</v>
      </c>
      <c r="I52" s="1109">
        <f>J52/H52*100</f>
        <v>15.847576351919304</v>
      </c>
      <c r="J52" s="1108">
        <f>SUM(J42:J51)</f>
        <v>28280</v>
      </c>
      <c r="K52" s="1110"/>
      <c r="L52" s="1110"/>
      <c r="M52" s="1110"/>
      <c r="N52" s="1110">
        <f>SUM(N42:N51)</f>
        <v>0</v>
      </c>
      <c r="O52" s="1111">
        <f>SUM(O42:O51)</f>
        <v>0</v>
      </c>
      <c r="P52" s="1112"/>
      <c r="Q52" s="1108">
        <f>SUM(Q42:Q51)</f>
        <v>178450</v>
      </c>
      <c r="R52" s="1113">
        <f>S52/Q52*100</f>
        <v>15.847576351919304</v>
      </c>
      <c r="S52" s="1114">
        <f>SUM(S42:S51)</f>
        <v>28280</v>
      </c>
      <c r="T52" s="1114">
        <f>SUBTOTAL(9,T42:T51)</f>
        <v>47400</v>
      </c>
      <c r="U52" s="1045">
        <f t="shared" si="10"/>
        <v>0.26562062202297565</v>
      </c>
      <c r="V52" s="1108"/>
      <c r="W52" s="1070"/>
      <c r="X52" s="1070"/>
      <c r="Y52" s="1070"/>
      <c r="Z52" s="1070"/>
      <c r="AA52" s="1070"/>
      <c r="AB52" s="1070"/>
    </row>
    <row r="53" spans="1:28" s="1071" customFormat="1" ht="51">
      <c r="A53" s="2587" t="s">
        <v>666</v>
      </c>
      <c r="B53" s="1092" t="s">
        <v>667</v>
      </c>
      <c r="C53" s="1078"/>
      <c r="D53" s="1079" t="s">
        <v>611</v>
      </c>
      <c r="E53" s="1080"/>
      <c r="F53" s="1080"/>
      <c r="G53" s="1080"/>
      <c r="H53" s="1085">
        <f>E53*F53*G53</f>
        <v>0</v>
      </c>
      <c r="I53" s="1115"/>
      <c r="J53" s="1116"/>
      <c r="K53" s="1084"/>
      <c r="L53" s="1084"/>
      <c r="M53" s="1084"/>
      <c r="N53" s="1085">
        <v>0</v>
      </c>
      <c r="O53" s="1117"/>
      <c r="P53" s="1118"/>
      <c r="Q53" s="1081"/>
      <c r="R53" s="1119"/>
      <c r="S53" s="1103"/>
      <c r="T53" s="1017">
        <v>0</v>
      </c>
      <c r="U53" s="1018" t="e">
        <f t="shared" si="10"/>
        <v>#DIV/0!</v>
      </c>
      <c r="V53" s="1103"/>
      <c r="W53" s="1070"/>
      <c r="X53" s="1070"/>
      <c r="Y53" s="1070"/>
      <c r="Z53" s="1070"/>
      <c r="AA53" s="1070"/>
      <c r="AB53" s="1070"/>
    </row>
    <row r="54" spans="1:28" s="1071" customFormat="1" ht="52.5" customHeight="1">
      <c r="A54" s="2587"/>
      <c r="B54" s="1120" t="s">
        <v>668</v>
      </c>
      <c r="C54" s="1078" t="s">
        <v>40</v>
      </c>
      <c r="D54" s="1079" t="s">
        <v>611</v>
      </c>
      <c r="E54" s="1080">
        <v>3</v>
      </c>
      <c r="F54" s="1080">
        <v>300</v>
      </c>
      <c r="G54" s="1080">
        <v>3</v>
      </c>
      <c r="H54" s="1081">
        <f t="shared" ref="H54:H59" si="11">E54*F54*G54</f>
        <v>2700</v>
      </c>
      <c r="I54" s="1082">
        <v>0.3</v>
      </c>
      <c r="J54" s="1083">
        <f t="shared" ref="J54:J59" si="12">I54*H54</f>
        <v>810</v>
      </c>
      <c r="K54" s="1080">
        <v>3</v>
      </c>
      <c r="L54" s="1080">
        <v>300</v>
      </c>
      <c r="M54" s="1080">
        <v>3</v>
      </c>
      <c r="N54" s="1081">
        <f t="shared" ref="N54:N59" si="13">K54*L54*M54</f>
        <v>2700</v>
      </c>
      <c r="O54" s="1121">
        <v>0.5</v>
      </c>
      <c r="P54" s="1122">
        <f t="shared" ref="P54:P59" si="14">N54*O54</f>
        <v>1350</v>
      </c>
      <c r="Q54" s="1081">
        <f t="shared" ref="Q54:Q59" si="15">H54+N54</f>
        <v>5400</v>
      </c>
      <c r="R54" s="1082">
        <v>0.5</v>
      </c>
      <c r="S54" s="1103">
        <f t="shared" ref="S54:S59" si="16">R54*Q54</f>
        <v>2700</v>
      </c>
      <c r="T54" s="1017">
        <v>2699.42</v>
      </c>
      <c r="U54" s="1018">
        <f t="shared" si="10"/>
        <v>0.99978518518518522</v>
      </c>
      <c r="V54" s="1089" t="s">
        <v>669</v>
      </c>
      <c r="W54" s="1070"/>
      <c r="X54" s="1070"/>
      <c r="Y54" s="1070"/>
      <c r="Z54" s="1070"/>
      <c r="AA54" s="1070"/>
      <c r="AB54" s="1070"/>
    </row>
    <row r="55" spans="1:28" s="1071" customFormat="1" ht="42.75" customHeight="1">
      <c r="A55" s="2587"/>
      <c r="B55" s="1120" t="s">
        <v>670</v>
      </c>
      <c r="C55" s="1078" t="s">
        <v>50</v>
      </c>
      <c r="D55" s="1079" t="s">
        <v>611</v>
      </c>
      <c r="E55" s="1080">
        <v>3</v>
      </c>
      <c r="F55" s="1080">
        <v>300</v>
      </c>
      <c r="G55" s="1080">
        <v>1</v>
      </c>
      <c r="H55" s="1081">
        <f t="shared" si="11"/>
        <v>900</v>
      </c>
      <c r="I55" s="1082">
        <v>0</v>
      </c>
      <c r="J55" s="1083">
        <f t="shared" si="12"/>
        <v>0</v>
      </c>
      <c r="K55" s="1080">
        <v>4</v>
      </c>
      <c r="L55" s="1080">
        <v>300</v>
      </c>
      <c r="M55" s="1080">
        <v>1</v>
      </c>
      <c r="N55" s="1081">
        <f t="shared" si="13"/>
        <v>1200</v>
      </c>
      <c r="O55" s="1121">
        <v>0</v>
      </c>
      <c r="P55" s="1122">
        <f t="shared" si="14"/>
        <v>0</v>
      </c>
      <c r="Q55" s="1081">
        <f t="shared" si="15"/>
        <v>2100</v>
      </c>
      <c r="R55" s="1082">
        <v>0</v>
      </c>
      <c r="S55" s="1103">
        <f t="shared" si="16"/>
        <v>0</v>
      </c>
      <c r="T55" s="1017">
        <v>0</v>
      </c>
      <c r="U55" s="1018">
        <f t="shared" si="10"/>
        <v>0</v>
      </c>
      <c r="V55" s="1089" t="s">
        <v>671</v>
      </c>
      <c r="W55" s="1070"/>
      <c r="X55" s="1070"/>
      <c r="Y55" s="1070"/>
      <c r="Z55" s="1070"/>
      <c r="AA55" s="1070"/>
      <c r="AB55" s="1070"/>
    </row>
    <row r="56" spans="1:28" s="1071" customFormat="1" ht="43.5" customHeight="1">
      <c r="A56" s="2587"/>
      <c r="B56" s="1077" t="s">
        <v>672</v>
      </c>
      <c r="C56" s="1078"/>
      <c r="D56" s="1079" t="s">
        <v>611</v>
      </c>
      <c r="E56" s="1091"/>
      <c r="F56" s="1091"/>
      <c r="G56" s="1091"/>
      <c r="H56" s="1085">
        <f t="shared" si="11"/>
        <v>0</v>
      </c>
      <c r="I56" s="1119"/>
      <c r="J56" s="1083">
        <f t="shared" si="12"/>
        <v>0</v>
      </c>
      <c r="K56" s="1091"/>
      <c r="L56" s="1091"/>
      <c r="M56" s="1091"/>
      <c r="N56" s="1085">
        <f t="shared" si="13"/>
        <v>0</v>
      </c>
      <c r="O56" s="1086"/>
      <c r="P56" s="1122">
        <f t="shared" si="14"/>
        <v>0</v>
      </c>
      <c r="Q56" s="1085">
        <f t="shared" si="15"/>
        <v>0</v>
      </c>
      <c r="R56" s="1119"/>
      <c r="S56" s="1103">
        <f t="shared" si="16"/>
        <v>0</v>
      </c>
      <c r="T56" s="1017">
        <v>0</v>
      </c>
      <c r="U56" s="1018" t="e">
        <f t="shared" si="10"/>
        <v>#DIV/0!</v>
      </c>
      <c r="V56" s="1089"/>
      <c r="W56" s="1070"/>
      <c r="X56" s="1070"/>
      <c r="Y56" s="1070"/>
      <c r="Z56" s="1070"/>
      <c r="AA56" s="1070"/>
      <c r="AB56" s="1070"/>
    </row>
    <row r="57" spans="1:28" s="1071" customFormat="1" ht="79.5" customHeight="1">
      <c r="A57" s="2587"/>
      <c r="B57" s="1077" t="s">
        <v>673</v>
      </c>
      <c r="C57" s="1078" t="s">
        <v>38</v>
      </c>
      <c r="D57" s="1079" t="s">
        <v>611</v>
      </c>
      <c r="E57" s="1091">
        <v>1</v>
      </c>
      <c r="F57" s="1091">
        <v>850</v>
      </c>
      <c r="G57" s="1091">
        <v>3</v>
      </c>
      <c r="H57" s="1081">
        <f t="shared" si="11"/>
        <v>2550</v>
      </c>
      <c r="I57" s="1082">
        <v>0.3</v>
      </c>
      <c r="J57" s="1083">
        <f t="shared" si="12"/>
        <v>765</v>
      </c>
      <c r="K57" s="1091">
        <v>1</v>
      </c>
      <c r="L57" s="1091">
        <v>850</v>
      </c>
      <c r="M57" s="1091">
        <v>3</v>
      </c>
      <c r="N57" s="1081">
        <f t="shared" si="13"/>
        <v>2550</v>
      </c>
      <c r="O57" s="1121">
        <v>0.3</v>
      </c>
      <c r="P57" s="1122">
        <f t="shared" si="14"/>
        <v>765</v>
      </c>
      <c r="Q57" s="1081">
        <f t="shared" si="15"/>
        <v>5100</v>
      </c>
      <c r="R57" s="1082">
        <v>0.3</v>
      </c>
      <c r="S57" s="1103">
        <f t="shared" si="16"/>
        <v>1530</v>
      </c>
      <c r="T57" s="1017">
        <v>0</v>
      </c>
      <c r="U57" s="1018">
        <f t="shared" si="10"/>
        <v>0</v>
      </c>
      <c r="V57" s="1089" t="s">
        <v>674</v>
      </c>
      <c r="W57" s="1070"/>
      <c r="X57" s="1070"/>
      <c r="Y57" s="1070"/>
      <c r="Z57" s="1070"/>
      <c r="AA57" s="1070"/>
      <c r="AB57" s="1070"/>
    </row>
    <row r="58" spans="1:28" s="1071" customFormat="1" ht="36.75" customHeight="1">
      <c r="A58" s="2587"/>
      <c r="B58" s="1077" t="s">
        <v>675</v>
      </c>
      <c r="C58" s="1078"/>
      <c r="D58" s="1079" t="s">
        <v>611</v>
      </c>
      <c r="E58" s="1091"/>
      <c r="F58" s="1091"/>
      <c r="G58" s="1091"/>
      <c r="H58" s="1085">
        <f t="shared" si="11"/>
        <v>0</v>
      </c>
      <c r="I58" s="1123">
        <v>0</v>
      </c>
      <c r="J58" s="1083">
        <f t="shared" si="12"/>
        <v>0</v>
      </c>
      <c r="K58" s="1124"/>
      <c r="L58" s="1124"/>
      <c r="M58" s="1124"/>
      <c r="N58" s="1085">
        <f t="shared" si="13"/>
        <v>0</v>
      </c>
      <c r="O58" s="1086"/>
      <c r="P58" s="1125">
        <f t="shared" si="14"/>
        <v>0</v>
      </c>
      <c r="Q58" s="1085">
        <f t="shared" si="15"/>
        <v>0</v>
      </c>
      <c r="R58" s="1126">
        <v>0</v>
      </c>
      <c r="S58" s="1103">
        <f t="shared" si="16"/>
        <v>0</v>
      </c>
      <c r="T58" s="1017">
        <v>0</v>
      </c>
      <c r="U58" s="1018" t="e">
        <f t="shared" si="10"/>
        <v>#DIV/0!</v>
      </c>
      <c r="V58" s="1103"/>
      <c r="W58" s="1070"/>
      <c r="X58" s="1070"/>
      <c r="Y58" s="1070"/>
      <c r="Z58" s="1070"/>
      <c r="AA58" s="1070"/>
      <c r="AB58" s="1070"/>
    </row>
    <row r="59" spans="1:28" s="1071" customFormat="1" ht="72" customHeight="1">
      <c r="A59" s="2587"/>
      <c r="B59" s="1104" t="s">
        <v>676</v>
      </c>
      <c r="C59" s="1078" t="s">
        <v>50</v>
      </c>
      <c r="D59" s="1079" t="s">
        <v>611</v>
      </c>
      <c r="E59" s="1091">
        <v>0</v>
      </c>
      <c r="F59" s="1091">
        <v>0</v>
      </c>
      <c r="G59" s="1091">
        <v>0</v>
      </c>
      <c r="H59" s="1085">
        <f t="shared" si="11"/>
        <v>0</v>
      </c>
      <c r="I59" s="1123">
        <v>0</v>
      </c>
      <c r="J59" s="1083">
        <f t="shared" si="12"/>
        <v>0</v>
      </c>
      <c r="K59" s="1091">
        <v>36</v>
      </c>
      <c r="L59" s="1091">
        <f>(150+50)*15</f>
        <v>3000</v>
      </c>
      <c r="M59" s="1091">
        <v>1</v>
      </c>
      <c r="N59" s="1081">
        <f t="shared" si="13"/>
        <v>108000</v>
      </c>
      <c r="O59" s="1127">
        <v>0.3</v>
      </c>
      <c r="P59" s="1122">
        <f t="shared" si="14"/>
        <v>32400</v>
      </c>
      <c r="Q59" s="1081">
        <f t="shared" si="15"/>
        <v>108000</v>
      </c>
      <c r="R59" s="1082">
        <v>0.3</v>
      </c>
      <c r="S59" s="1103">
        <f t="shared" si="16"/>
        <v>32400</v>
      </c>
      <c r="T59" s="1017">
        <v>0</v>
      </c>
      <c r="U59" s="1018" t="e">
        <f t="shared" si="10"/>
        <v>#DIV/0!</v>
      </c>
      <c r="V59" s="1089" t="s">
        <v>677</v>
      </c>
      <c r="W59" s="1070"/>
      <c r="X59" s="1070"/>
      <c r="Y59" s="1070"/>
      <c r="Z59" s="1070"/>
      <c r="AA59" s="1070"/>
      <c r="AB59" s="1070"/>
    </row>
    <row r="60" spans="1:28" s="1071" customFormat="1" ht="28.5" customHeight="1">
      <c r="A60" s="2587"/>
      <c r="B60" s="1105"/>
      <c r="C60" s="1105"/>
      <c r="D60" s="1106" t="s">
        <v>47</v>
      </c>
      <c r="E60" s="1107"/>
      <c r="F60" s="1107"/>
      <c r="G60" s="1107"/>
      <c r="H60" s="1108">
        <f>SUM(H53:H59)</f>
        <v>6150</v>
      </c>
      <c r="I60" s="1109">
        <f>J60/H60*100</f>
        <v>25.609756097560975</v>
      </c>
      <c r="J60" s="1108">
        <f>SUM(J53:J59)</f>
        <v>1575</v>
      </c>
      <c r="K60" s="1108"/>
      <c r="L60" s="1108"/>
      <c r="M60" s="1108"/>
      <c r="N60" s="1108">
        <f>SUM(N53:N59)</f>
        <v>114450</v>
      </c>
      <c r="O60" s="1109">
        <f>P60/N60*100</f>
        <v>30.157273918741804</v>
      </c>
      <c r="P60" s="1108">
        <f>SUM(P53:P59)</f>
        <v>34515</v>
      </c>
      <c r="Q60" s="1108">
        <f>SUM(Q54:Q59)</f>
        <v>120600</v>
      </c>
      <c r="R60" s="1109">
        <f>S60/Q60*100</f>
        <v>30.373134328358208</v>
      </c>
      <c r="S60" s="1108">
        <f>SUM(S54:S59)</f>
        <v>36630</v>
      </c>
      <c r="T60" s="1108">
        <f>SUBTOTAL(9,T53:T59)</f>
        <v>2699.42</v>
      </c>
      <c r="U60" s="1018">
        <f t="shared" si="10"/>
        <v>0.43893008130081301</v>
      </c>
      <c r="V60" s="1108"/>
      <c r="W60" s="1070"/>
      <c r="X60" s="1070"/>
      <c r="Y60" s="1070"/>
      <c r="Z60" s="1070"/>
      <c r="AA60" s="1070"/>
      <c r="AB60" s="1070"/>
    </row>
    <row r="61" spans="1:28" s="1071" customFormat="1" ht="68.25" customHeight="1">
      <c r="A61" s="2587" t="s">
        <v>678</v>
      </c>
      <c r="B61" s="1077" t="s">
        <v>679</v>
      </c>
      <c r="C61" s="1078" t="s">
        <v>40</v>
      </c>
      <c r="D61" s="1079" t="s">
        <v>611</v>
      </c>
      <c r="E61" s="1080">
        <v>0</v>
      </c>
      <c r="F61" s="1080">
        <v>0</v>
      </c>
      <c r="G61" s="1080">
        <v>0</v>
      </c>
      <c r="H61" s="1085">
        <f>E61*F61*G61</f>
        <v>0</v>
      </c>
      <c r="I61" s="1119"/>
      <c r="J61" s="1128"/>
      <c r="K61" s="1080">
        <v>6</v>
      </c>
      <c r="L61" s="1080">
        <v>300</v>
      </c>
      <c r="M61" s="1080">
        <v>3</v>
      </c>
      <c r="N61" s="1081">
        <f>K61*L61*M61</f>
        <v>5400</v>
      </c>
      <c r="O61" s="1127">
        <v>0.3</v>
      </c>
      <c r="P61" s="1118">
        <f>N61*O61</f>
        <v>1620</v>
      </c>
      <c r="Q61" s="1081">
        <f>H61+N61</f>
        <v>5400</v>
      </c>
      <c r="R61" s="1129">
        <v>0.3</v>
      </c>
      <c r="S61" s="1103">
        <f>R61*Q61/100</f>
        <v>16.2</v>
      </c>
      <c r="T61" s="1017">
        <v>0</v>
      </c>
      <c r="U61" s="1018" t="e">
        <f t="shared" si="10"/>
        <v>#DIV/0!</v>
      </c>
      <c r="V61" s="1077" t="s">
        <v>680</v>
      </c>
      <c r="W61" s="1070"/>
      <c r="X61" s="1070"/>
      <c r="Y61" s="1070"/>
      <c r="Z61" s="1070"/>
      <c r="AA61" s="1070"/>
      <c r="AB61" s="1070"/>
    </row>
    <row r="62" spans="1:28" s="1071" customFormat="1" ht="51">
      <c r="A62" s="2587"/>
      <c r="B62" s="1092" t="s">
        <v>681</v>
      </c>
      <c r="C62" s="1078" t="s">
        <v>40</v>
      </c>
      <c r="D62" s="1079" t="s">
        <v>611</v>
      </c>
      <c r="E62" s="1091">
        <v>0</v>
      </c>
      <c r="F62" s="1091">
        <v>0</v>
      </c>
      <c r="G62" s="1091">
        <v>0</v>
      </c>
      <c r="H62" s="1085">
        <f>E62*F62*G62</f>
        <v>0</v>
      </c>
      <c r="I62" s="1119"/>
      <c r="J62" s="1128"/>
      <c r="K62" s="1091">
        <v>3</v>
      </c>
      <c r="L62" s="1091">
        <v>900</v>
      </c>
      <c r="M62" s="1091">
        <v>2</v>
      </c>
      <c r="N62" s="1081">
        <f>K62*L62*M62</f>
        <v>5400</v>
      </c>
      <c r="O62" s="1127">
        <v>0.3</v>
      </c>
      <c r="P62" s="1118">
        <f>N62*O62</f>
        <v>1620</v>
      </c>
      <c r="Q62" s="1081">
        <f>H62+N62</f>
        <v>5400</v>
      </c>
      <c r="R62" s="1129">
        <v>0.3</v>
      </c>
      <c r="S62" s="1103">
        <f>R62*Q62/100</f>
        <v>16.2</v>
      </c>
      <c r="T62" s="1017">
        <v>0</v>
      </c>
      <c r="U62" s="1018" t="e">
        <f t="shared" si="10"/>
        <v>#DIV/0!</v>
      </c>
      <c r="V62" s="1089" t="s">
        <v>682</v>
      </c>
      <c r="W62" s="1070"/>
      <c r="X62" s="1070"/>
      <c r="Y62" s="1070"/>
      <c r="Z62" s="1070"/>
      <c r="AA62" s="1070"/>
      <c r="AB62" s="1070"/>
    </row>
    <row r="63" spans="1:28" s="1071" customFormat="1" ht="27.75" customHeight="1">
      <c r="A63" s="2587"/>
      <c r="B63" s="1130"/>
      <c r="C63" s="1130"/>
      <c r="D63" s="1131" t="s">
        <v>47</v>
      </c>
      <c r="E63" s="1107"/>
      <c r="F63" s="1107"/>
      <c r="G63" s="1107"/>
      <c r="H63" s="1108">
        <f>SUM(H61:H62)</f>
        <v>0</v>
      </c>
      <c r="I63" s="1113">
        <f>SUM(I61:I62)</f>
        <v>0</v>
      </c>
      <c r="J63" s="1132"/>
      <c r="K63" s="1108"/>
      <c r="L63" s="1108"/>
      <c r="M63" s="1108"/>
      <c r="N63" s="1108">
        <f>SUM(N61:N62)</f>
        <v>10800</v>
      </c>
      <c r="O63" s="1109">
        <f>P63/N63*100</f>
        <v>30</v>
      </c>
      <c r="P63" s="1108">
        <f>SUM(P61:P62)</f>
        <v>3240</v>
      </c>
      <c r="Q63" s="1108">
        <f>SUM(Q61:Q62)</f>
        <v>10800</v>
      </c>
      <c r="R63" s="1113">
        <v>30</v>
      </c>
      <c r="S63" s="1114">
        <f>R63*Q63/100</f>
        <v>3240</v>
      </c>
      <c r="T63" s="1114">
        <f>SUBTOTAL(9,T61:T62)</f>
        <v>0</v>
      </c>
      <c r="U63" s="1045" t="e">
        <f t="shared" si="10"/>
        <v>#DIV/0!</v>
      </c>
      <c r="V63" s="1114"/>
      <c r="W63" s="1070"/>
      <c r="X63" s="1070"/>
      <c r="Y63" s="1070"/>
      <c r="Z63" s="1070"/>
      <c r="AA63" s="1070"/>
      <c r="AB63" s="1070"/>
    </row>
    <row r="64" spans="1:28" s="1071" customFormat="1" ht="51">
      <c r="A64" s="2587" t="s">
        <v>683</v>
      </c>
      <c r="B64" s="1092" t="s">
        <v>684</v>
      </c>
      <c r="C64" s="1078"/>
      <c r="D64" s="1079"/>
      <c r="E64" s="1080"/>
      <c r="F64" s="1080"/>
      <c r="G64" s="1080"/>
      <c r="H64" s="1081"/>
      <c r="I64" s="1119"/>
      <c r="J64" s="1128"/>
      <c r="K64" s="1124"/>
      <c r="L64" s="1124"/>
      <c r="M64" s="1124"/>
      <c r="N64" s="1081"/>
      <c r="O64" s="1117"/>
      <c r="P64" s="1118"/>
      <c r="Q64" s="1081"/>
      <c r="R64" s="1119"/>
      <c r="S64" s="1103"/>
      <c r="T64" s="1017">
        <v>0</v>
      </c>
      <c r="U64" s="1018" t="e">
        <f t="shared" si="10"/>
        <v>#DIV/0!</v>
      </c>
      <c r="V64" s="1103"/>
      <c r="W64" s="1070"/>
      <c r="X64" s="1070"/>
      <c r="Y64" s="1070"/>
      <c r="Z64" s="1070"/>
      <c r="AA64" s="1070"/>
      <c r="AB64" s="1070"/>
    </row>
    <row r="65" spans="1:28" s="1071" customFormat="1" ht="76.5">
      <c r="A65" s="2587"/>
      <c r="B65" s="1133" t="s">
        <v>685</v>
      </c>
      <c r="C65" s="1134" t="s">
        <v>38</v>
      </c>
      <c r="D65" s="1104" t="s">
        <v>592</v>
      </c>
      <c r="E65" s="1091">
        <v>7</v>
      </c>
      <c r="F65" s="1135">
        <v>100</v>
      </c>
      <c r="G65" s="1091">
        <v>4</v>
      </c>
      <c r="H65" s="1081">
        <f>E65*F65*G65</f>
        <v>2800</v>
      </c>
      <c r="I65" s="1136">
        <v>0.3</v>
      </c>
      <c r="J65" s="1136"/>
      <c r="K65" s="1091">
        <v>7</v>
      </c>
      <c r="L65" s="1137">
        <v>100</v>
      </c>
      <c r="M65" s="1091">
        <v>6</v>
      </c>
      <c r="N65" s="1081">
        <f>K65*L65*M65</f>
        <v>4200</v>
      </c>
      <c r="O65" s="1138">
        <v>0.3</v>
      </c>
      <c r="P65" s="1138"/>
      <c r="Q65" s="1081">
        <f>H65+N65</f>
        <v>7000</v>
      </c>
      <c r="R65" s="1136">
        <v>0.3</v>
      </c>
      <c r="S65" s="1103">
        <f>R65*Q65/100</f>
        <v>21</v>
      </c>
      <c r="T65" s="1139"/>
      <c r="U65" s="1103"/>
      <c r="V65" s="1089" t="s">
        <v>686</v>
      </c>
      <c r="W65" s="1070"/>
      <c r="X65" s="1070"/>
      <c r="Y65" s="1070"/>
      <c r="Z65" s="1070"/>
      <c r="AA65" s="1070"/>
      <c r="AB65" s="1070"/>
    </row>
    <row r="66" spans="1:28" s="1071" customFormat="1" ht="73.5" customHeight="1">
      <c r="A66" s="2587"/>
      <c r="B66" s="1133" t="s">
        <v>687</v>
      </c>
      <c r="C66" s="1134" t="s">
        <v>38</v>
      </c>
      <c r="D66" s="1104" t="s">
        <v>592</v>
      </c>
      <c r="E66" s="1091">
        <v>7</v>
      </c>
      <c r="F66" s="1135">
        <v>120</v>
      </c>
      <c r="G66" s="1091">
        <v>2</v>
      </c>
      <c r="H66" s="1081">
        <f>E66*F66*G66</f>
        <v>1680</v>
      </c>
      <c r="I66" s="1136">
        <v>0.3</v>
      </c>
      <c r="J66" s="1136"/>
      <c r="K66" s="1091">
        <v>7</v>
      </c>
      <c r="L66" s="1137">
        <v>120</v>
      </c>
      <c r="M66" s="1091">
        <v>2</v>
      </c>
      <c r="N66" s="1081">
        <f>K66*L66*M66</f>
        <v>1680</v>
      </c>
      <c r="O66" s="1138">
        <v>0.3</v>
      </c>
      <c r="P66" s="1138"/>
      <c r="Q66" s="1081">
        <f>H66+N66</f>
        <v>3360</v>
      </c>
      <c r="R66" s="1136">
        <v>0.3</v>
      </c>
      <c r="S66" s="1103">
        <f>R66*Q66/100</f>
        <v>10.08</v>
      </c>
      <c r="T66" s="1139"/>
      <c r="U66" s="1103"/>
      <c r="V66" s="1089" t="s">
        <v>688</v>
      </c>
      <c r="W66" s="1070"/>
      <c r="X66" s="1070"/>
      <c r="Y66" s="1070"/>
      <c r="Z66" s="1070"/>
      <c r="AA66" s="1070"/>
      <c r="AB66" s="1070"/>
    </row>
    <row r="67" spans="1:28" s="1071" customFormat="1" ht="54.75" customHeight="1">
      <c r="A67" s="2587"/>
      <c r="B67" s="1140" t="s">
        <v>689</v>
      </c>
      <c r="C67" s="1141" t="s">
        <v>50</v>
      </c>
      <c r="D67" s="1142" t="s">
        <v>690</v>
      </c>
      <c r="E67" s="1143">
        <v>3</v>
      </c>
      <c r="F67" s="1144">
        <v>300</v>
      </c>
      <c r="G67" s="1143">
        <v>0</v>
      </c>
      <c r="H67" s="1081">
        <f>E67*F67*G67</f>
        <v>0</v>
      </c>
      <c r="I67" s="1145">
        <v>0</v>
      </c>
      <c r="J67" s="1146">
        <f>H67*I67</f>
        <v>0</v>
      </c>
      <c r="K67" s="1143">
        <v>4</v>
      </c>
      <c r="L67" s="1144">
        <v>300</v>
      </c>
      <c r="M67" s="1143">
        <v>0</v>
      </c>
      <c r="N67" s="1081">
        <f>K67*L67*M67</f>
        <v>0</v>
      </c>
      <c r="O67" s="1147">
        <v>30</v>
      </c>
      <c r="P67" s="1148">
        <f>O67*N67</f>
        <v>0</v>
      </c>
      <c r="Q67" s="1081">
        <f>H67+N67</f>
        <v>0</v>
      </c>
      <c r="R67" s="1149">
        <v>30</v>
      </c>
      <c r="S67" s="1150">
        <f>R67*Q67/100</f>
        <v>0</v>
      </c>
      <c r="T67" s="1017">
        <v>0</v>
      </c>
      <c r="U67" s="1018" t="e">
        <f t="shared" ref="U67:U73" si="17">+T67/H67</f>
        <v>#DIV/0!</v>
      </c>
      <c r="V67" s="1151" t="s">
        <v>691</v>
      </c>
      <c r="W67" s="1070"/>
      <c r="X67" s="1070"/>
      <c r="Y67" s="1070"/>
      <c r="Z67" s="1070"/>
      <c r="AA67" s="1070"/>
      <c r="AB67" s="1070"/>
    </row>
    <row r="68" spans="1:28" s="1071" customFormat="1" ht="85.5" customHeight="1">
      <c r="A68" s="2587"/>
      <c r="B68" s="1140" t="s">
        <v>692</v>
      </c>
      <c r="C68" s="1141" t="s">
        <v>38</v>
      </c>
      <c r="D68" s="1142" t="s">
        <v>690</v>
      </c>
      <c r="E68" s="1143">
        <v>7</v>
      </c>
      <c r="F68" s="1144">
        <v>250</v>
      </c>
      <c r="G68" s="1143">
        <v>0</v>
      </c>
      <c r="H68" s="1081">
        <f>E68*F68*G68</f>
        <v>0</v>
      </c>
      <c r="I68" s="1145">
        <v>0</v>
      </c>
      <c r="J68" s="1146">
        <f t="shared" ref="J68:J73" si="18">H68*I68</f>
        <v>0</v>
      </c>
      <c r="K68" s="1143">
        <v>7</v>
      </c>
      <c r="L68" s="1144">
        <v>250</v>
      </c>
      <c r="M68" s="1143">
        <v>0</v>
      </c>
      <c r="N68" s="1081">
        <f>K68*L68*M68</f>
        <v>0</v>
      </c>
      <c r="O68" s="1147">
        <v>30</v>
      </c>
      <c r="P68" s="1148">
        <f t="shared" ref="P68:P73" si="19">O68*N68</f>
        <v>0</v>
      </c>
      <c r="Q68" s="1081">
        <f>H68+N68</f>
        <v>0</v>
      </c>
      <c r="R68" s="1149">
        <v>30</v>
      </c>
      <c r="S68" s="1150">
        <f>R68*Q68/100</f>
        <v>0</v>
      </c>
      <c r="T68" s="1017">
        <v>0</v>
      </c>
      <c r="U68" s="1018" t="e">
        <f t="shared" si="17"/>
        <v>#DIV/0!</v>
      </c>
      <c r="V68" s="1151" t="s">
        <v>693</v>
      </c>
      <c r="W68" s="1070"/>
      <c r="X68" s="1070"/>
      <c r="Y68" s="1070"/>
      <c r="Z68" s="1070"/>
      <c r="AA68" s="1070"/>
      <c r="AB68" s="1070"/>
    </row>
    <row r="69" spans="1:28" s="1071" customFormat="1" ht="38.25" customHeight="1">
      <c r="A69" s="2587"/>
      <c r="B69" s="1092" t="s">
        <v>694</v>
      </c>
      <c r="C69" s="1078"/>
      <c r="D69" s="1079" t="s">
        <v>611</v>
      </c>
      <c r="E69" s="1152"/>
      <c r="F69" s="1152"/>
      <c r="G69" s="1152"/>
      <c r="H69" s="1081"/>
      <c r="I69" s="1119"/>
      <c r="J69" s="1146">
        <f t="shared" si="18"/>
        <v>0</v>
      </c>
      <c r="K69" s="1124"/>
      <c r="L69" s="1124"/>
      <c r="M69" s="1124"/>
      <c r="N69" s="1081"/>
      <c r="O69" s="1117"/>
      <c r="P69" s="1148">
        <f t="shared" si="19"/>
        <v>0</v>
      </c>
      <c r="Q69" s="1081"/>
      <c r="R69" s="1119"/>
      <c r="S69" s="1103"/>
      <c r="T69" s="1017">
        <v>0</v>
      </c>
      <c r="U69" s="1018" t="e">
        <f t="shared" si="17"/>
        <v>#DIV/0!</v>
      </c>
      <c r="V69" s="1103"/>
      <c r="W69" s="1070"/>
      <c r="X69" s="1070"/>
      <c r="Y69" s="1070"/>
      <c r="Z69" s="1070"/>
      <c r="AA69" s="1070"/>
      <c r="AB69" s="1070"/>
    </row>
    <row r="70" spans="1:28" s="1071" customFormat="1" ht="51" customHeight="1">
      <c r="A70" s="2587"/>
      <c r="B70" s="1133" t="s">
        <v>695</v>
      </c>
      <c r="C70" s="1134" t="s">
        <v>38</v>
      </c>
      <c r="D70" s="1104" t="s">
        <v>592</v>
      </c>
      <c r="E70" s="1091">
        <v>1</v>
      </c>
      <c r="F70" s="1135">
        <v>2400</v>
      </c>
      <c r="G70" s="1091">
        <v>1</v>
      </c>
      <c r="H70" s="1081">
        <f>E70*F70*G70</f>
        <v>2400</v>
      </c>
      <c r="I70" s="1082">
        <v>0.4</v>
      </c>
      <c r="J70" s="1146">
        <f t="shared" si="18"/>
        <v>960</v>
      </c>
      <c r="K70" s="1091">
        <v>1</v>
      </c>
      <c r="L70" s="1137">
        <v>2400</v>
      </c>
      <c r="M70" s="1091">
        <v>1</v>
      </c>
      <c r="N70" s="1081">
        <f>K70*L70*M70</f>
        <v>2400</v>
      </c>
      <c r="O70" s="1121">
        <v>0.4</v>
      </c>
      <c r="P70" s="1148">
        <f t="shared" si="19"/>
        <v>960</v>
      </c>
      <c r="Q70" s="1081">
        <f>H70+N70</f>
        <v>4800</v>
      </c>
      <c r="R70" s="1082">
        <v>0.4</v>
      </c>
      <c r="S70" s="1088">
        <f>Q70*R70</f>
        <v>1920</v>
      </c>
      <c r="T70" s="1017">
        <v>0</v>
      </c>
      <c r="U70" s="1018">
        <f t="shared" si="17"/>
        <v>0</v>
      </c>
      <c r="V70" s="1089" t="s">
        <v>696</v>
      </c>
      <c r="W70" s="1070"/>
      <c r="X70" s="1070"/>
      <c r="Y70" s="1070"/>
      <c r="Z70" s="1070"/>
      <c r="AA70" s="1070"/>
      <c r="AB70" s="1070"/>
    </row>
    <row r="71" spans="1:28" s="1071" customFormat="1" ht="56.25" customHeight="1">
      <c r="A71" s="2587"/>
      <c r="B71" s="1133" t="s">
        <v>697</v>
      </c>
      <c r="C71" s="1153" t="s">
        <v>38</v>
      </c>
      <c r="D71" s="1104" t="s">
        <v>592</v>
      </c>
      <c r="E71" s="1091">
        <v>2</v>
      </c>
      <c r="F71" s="1135">
        <v>950</v>
      </c>
      <c r="G71" s="1091">
        <v>1</v>
      </c>
      <c r="H71" s="1081">
        <f>E71*F71*G71</f>
        <v>1900</v>
      </c>
      <c r="I71" s="1082">
        <v>0.15</v>
      </c>
      <c r="J71" s="1146">
        <f t="shared" si="18"/>
        <v>285</v>
      </c>
      <c r="K71" s="1091">
        <v>5</v>
      </c>
      <c r="L71" s="1137">
        <v>950</v>
      </c>
      <c r="M71" s="1091">
        <v>1</v>
      </c>
      <c r="N71" s="1081">
        <f t="shared" ref="N71:N80" si="20">K71*L71*M71</f>
        <v>4750</v>
      </c>
      <c r="O71" s="1121">
        <v>0.15</v>
      </c>
      <c r="P71" s="1148">
        <f t="shared" si="19"/>
        <v>712.5</v>
      </c>
      <c r="Q71" s="1081">
        <f t="shared" ref="Q71:Q80" si="21">H71+N71</f>
        <v>6650</v>
      </c>
      <c r="R71" s="1082">
        <v>0.15</v>
      </c>
      <c r="S71" s="1088">
        <f>Q71*R71</f>
        <v>997.5</v>
      </c>
      <c r="T71" s="1017">
        <v>0</v>
      </c>
      <c r="U71" s="1018">
        <f t="shared" si="17"/>
        <v>0</v>
      </c>
      <c r="V71" s="1089" t="s">
        <v>698</v>
      </c>
      <c r="W71" s="1070"/>
      <c r="X71" s="1070"/>
      <c r="Y71" s="1070"/>
      <c r="Z71" s="1070"/>
      <c r="AA71" s="1070"/>
      <c r="AB71" s="1070"/>
    </row>
    <row r="72" spans="1:28" s="1071" customFormat="1" ht="42.75" customHeight="1">
      <c r="A72" s="2587"/>
      <c r="B72" s="1154" t="s">
        <v>699</v>
      </c>
      <c r="C72" s="1155" t="s">
        <v>38</v>
      </c>
      <c r="D72" s="1154" t="s">
        <v>592</v>
      </c>
      <c r="E72" s="1156">
        <v>7</v>
      </c>
      <c r="F72" s="1157">
        <v>200</v>
      </c>
      <c r="G72" s="1156">
        <v>1</v>
      </c>
      <c r="H72" s="1081">
        <f>E72*F72*G72</f>
        <v>1400</v>
      </c>
      <c r="I72" s="1082">
        <v>0.3</v>
      </c>
      <c r="J72" s="1146">
        <f t="shared" si="18"/>
        <v>420</v>
      </c>
      <c r="K72" s="1156">
        <v>7</v>
      </c>
      <c r="L72" s="1158">
        <v>200</v>
      </c>
      <c r="M72" s="1156">
        <v>1</v>
      </c>
      <c r="N72" s="1081">
        <f t="shared" si="20"/>
        <v>1400</v>
      </c>
      <c r="O72" s="1121">
        <v>0.3</v>
      </c>
      <c r="P72" s="1148">
        <f t="shared" si="19"/>
        <v>420</v>
      </c>
      <c r="Q72" s="1081">
        <f t="shared" si="21"/>
        <v>2800</v>
      </c>
      <c r="R72" s="1082">
        <v>0.3</v>
      </c>
      <c r="S72" s="1088">
        <f>Q72*R72</f>
        <v>840</v>
      </c>
      <c r="T72" s="1017">
        <v>0</v>
      </c>
      <c r="U72" s="1018">
        <f t="shared" si="17"/>
        <v>0</v>
      </c>
      <c r="V72" s="1089" t="s">
        <v>700</v>
      </c>
      <c r="W72" s="1070"/>
      <c r="X72" s="1070"/>
      <c r="Y72" s="1070"/>
      <c r="Z72" s="1070"/>
      <c r="AA72" s="1070"/>
      <c r="AB72" s="1070"/>
    </row>
    <row r="73" spans="1:28" s="1071" customFormat="1" ht="54" customHeight="1">
      <c r="A73" s="2587"/>
      <c r="B73" s="1159" t="s">
        <v>701</v>
      </c>
      <c r="C73" s="1078"/>
      <c r="D73" s="1079" t="s">
        <v>611</v>
      </c>
      <c r="E73" s="1152"/>
      <c r="F73" s="1152"/>
      <c r="G73" s="1152"/>
      <c r="H73" s="1081"/>
      <c r="I73" s="1119"/>
      <c r="J73" s="1146">
        <f t="shared" si="18"/>
        <v>0</v>
      </c>
      <c r="K73" s="1124"/>
      <c r="L73" s="1124"/>
      <c r="M73" s="1124"/>
      <c r="N73" s="1081"/>
      <c r="O73" s="1117"/>
      <c r="P73" s="1148">
        <f t="shared" si="19"/>
        <v>0</v>
      </c>
      <c r="Q73" s="1081"/>
      <c r="R73" s="1119"/>
      <c r="S73" s="1103"/>
      <c r="T73" s="1017">
        <v>0</v>
      </c>
      <c r="U73" s="1018" t="e">
        <f t="shared" si="17"/>
        <v>#DIV/0!</v>
      </c>
      <c r="V73" s="1103"/>
      <c r="W73" s="1070"/>
      <c r="X73" s="1070"/>
      <c r="Y73" s="1070"/>
      <c r="Z73" s="1070"/>
      <c r="AA73" s="1070"/>
      <c r="AB73" s="1070"/>
    </row>
    <row r="74" spans="1:28" s="1071" customFormat="1" ht="63.75">
      <c r="A74" s="2587"/>
      <c r="B74" s="1155" t="s">
        <v>702</v>
      </c>
      <c r="C74" s="1078" t="s">
        <v>40</v>
      </c>
      <c r="D74" s="1079" t="s">
        <v>611</v>
      </c>
      <c r="E74" s="1156">
        <v>7</v>
      </c>
      <c r="F74" s="1157">
        <f>50*3</f>
        <v>150</v>
      </c>
      <c r="G74" s="1156">
        <v>2</v>
      </c>
      <c r="H74" s="1081">
        <f t="shared" ref="H74:H80" si="22">E74*F74*G74</f>
        <v>2100</v>
      </c>
      <c r="I74" s="1136">
        <v>0.3</v>
      </c>
      <c r="J74" s="1136"/>
      <c r="K74" s="1124">
        <v>0</v>
      </c>
      <c r="L74" s="1124">
        <v>0</v>
      </c>
      <c r="M74" s="1124">
        <v>0</v>
      </c>
      <c r="N74" s="1081">
        <f t="shared" si="20"/>
        <v>0</v>
      </c>
      <c r="O74" s="1138">
        <v>0.3</v>
      </c>
      <c r="P74" s="1138"/>
      <c r="Q74" s="1081">
        <f t="shared" si="21"/>
        <v>2100</v>
      </c>
      <c r="R74" s="1136">
        <v>0.3</v>
      </c>
      <c r="S74" s="1088">
        <f>Q74*R74</f>
        <v>630</v>
      </c>
      <c r="T74" s="1139"/>
      <c r="U74" s="1088"/>
      <c r="V74" s="1089" t="s">
        <v>703</v>
      </c>
      <c r="W74" s="1070"/>
      <c r="X74" s="1070"/>
      <c r="Y74" s="1070"/>
      <c r="Z74" s="1070"/>
      <c r="AA74" s="1070"/>
      <c r="AB74" s="1070"/>
    </row>
    <row r="75" spans="1:28" s="1071" customFormat="1" ht="63.75">
      <c r="A75" s="2587"/>
      <c r="B75" s="1155" t="s">
        <v>704</v>
      </c>
      <c r="C75" s="1078" t="s">
        <v>38</v>
      </c>
      <c r="D75" s="1079" t="s">
        <v>611</v>
      </c>
      <c r="E75" s="1103">
        <v>0</v>
      </c>
      <c r="F75" s="1103">
        <v>0</v>
      </c>
      <c r="G75" s="1103">
        <v>0</v>
      </c>
      <c r="H75" s="1081">
        <f t="shared" si="22"/>
        <v>0</v>
      </c>
      <c r="I75" s="1119">
        <v>0</v>
      </c>
      <c r="J75" s="1146">
        <f t="shared" ref="J75:J80" si="23">H75*I75</f>
        <v>0</v>
      </c>
      <c r="K75" s="1156">
        <v>1</v>
      </c>
      <c r="L75" s="1158">
        <v>4156</v>
      </c>
      <c r="M75" s="1156">
        <v>1</v>
      </c>
      <c r="N75" s="1081">
        <f t="shared" si="20"/>
        <v>4156</v>
      </c>
      <c r="O75" s="1127">
        <v>0.5</v>
      </c>
      <c r="P75" s="1148">
        <f t="shared" ref="P75:P80" si="24">O75*N75</f>
        <v>2078</v>
      </c>
      <c r="Q75" s="1081">
        <f t="shared" si="21"/>
        <v>4156</v>
      </c>
      <c r="R75" s="1082">
        <v>0.5</v>
      </c>
      <c r="S75" s="1088">
        <f t="shared" ref="S75:S80" si="25">Q75*R75</f>
        <v>2078</v>
      </c>
      <c r="T75" s="1017">
        <v>0</v>
      </c>
      <c r="U75" s="1018" t="e">
        <f t="shared" ref="U75:U83" si="26">+T75/H75</f>
        <v>#DIV/0!</v>
      </c>
      <c r="V75" s="1089" t="s">
        <v>705</v>
      </c>
      <c r="W75" s="1070"/>
      <c r="X75" s="1070"/>
      <c r="Y75" s="1070"/>
      <c r="Z75" s="1070"/>
      <c r="AA75" s="1070"/>
      <c r="AB75" s="1070"/>
    </row>
    <row r="76" spans="1:28" s="1071" customFormat="1" ht="84" customHeight="1">
      <c r="A76" s="2587"/>
      <c r="B76" s="1155" t="s">
        <v>706</v>
      </c>
      <c r="C76" s="1078" t="s">
        <v>40</v>
      </c>
      <c r="D76" s="1079" t="s">
        <v>611</v>
      </c>
      <c r="E76" s="1103">
        <v>0</v>
      </c>
      <c r="F76" s="1103">
        <v>0</v>
      </c>
      <c r="G76" s="1103">
        <v>0</v>
      </c>
      <c r="H76" s="1081">
        <f t="shared" si="22"/>
        <v>0</v>
      </c>
      <c r="I76" s="1119">
        <v>0</v>
      </c>
      <c r="J76" s="1146">
        <f t="shared" si="23"/>
        <v>0</v>
      </c>
      <c r="K76" s="1156">
        <v>7</v>
      </c>
      <c r="L76" s="1158">
        <v>100</v>
      </c>
      <c r="M76" s="1156">
        <v>3</v>
      </c>
      <c r="N76" s="1081">
        <f t="shared" si="20"/>
        <v>2100</v>
      </c>
      <c r="O76" s="1127">
        <v>0.5</v>
      </c>
      <c r="P76" s="1148">
        <f t="shared" si="24"/>
        <v>1050</v>
      </c>
      <c r="Q76" s="1081">
        <f t="shared" si="21"/>
        <v>2100</v>
      </c>
      <c r="R76" s="1082">
        <v>0.5</v>
      </c>
      <c r="S76" s="1088">
        <f t="shared" si="25"/>
        <v>1050</v>
      </c>
      <c r="T76" s="1017">
        <v>0</v>
      </c>
      <c r="U76" s="1018" t="e">
        <f t="shared" si="26"/>
        <v>#DIV/0!</v>
      </c>
      <c r="V76" s="1089" t="s">
        <v>707</v>
      </c>
      <c r="W76" s="1070"/>
      <c r="X76" s="1070"/>
      <c r="Y76" s="1070"/>
      <c r="Z76" s="1070"/>
      <c r="AA76" s="1070"/>
      <c r="AB76" s="1070"/>
    </row>
    <row r="77" spans="1:28" s="1071" customFormat="1" ht="83.25" customHeight="1">
      <c r="A77" s="2587"/>
      <c r="B77" s="1155" t="s">
        <v>708</v>
      </c>
      <c r="C77" s="1078" t="s">
        <v>50</v>
      </c>
      <c r="D77" s="1079" t="s">
        <v>611</v>
      </c>
      <c r="E77" s="1103">
        <v>0</v>
      </c>
      <c r="F77" s="1103">
        <v>0</v>
      </c>
      <c r="G77" s="1103">
        <v>0</v>
      </c>
      <c r="H77" s="1081">
        <f t="shared" si="22"/>
        <v>0</v>
      </c>
      <c r="I77" s="1119">
        <v>0</v>
      </c>
      <c r="J77" s="1146">
        <f t="shared" si="23"/>
        <v>0</v>
      </c>
      <c r="K77" s="1156">
        <f>2*7</f>
        <v>14</v>
      </c>
      <c r="L77" s="1158">
        <v>60</v>
      </c>
      <c r="M77" s="1156">
        <v>10</v>
      </c>
      <c r="N77" s="1081">
        <f t="shared" si="20"/>
        <v>8400</v>
      </c>
      <c r="O77" s="1127">
        <v>0.5</v>
      </c>
      <c r="P77" s="1148">
        <f t="shared" si="24"/>
        <v>4200</v>
      </c>
      <c r="Q77" s="1081">
        <f t="shared" si="21"/>
        <v>8400</v>
      </c>
      <c r="R77" s="1082">
        <v>0.5</v>
      </c>
      <c r="S77" s="1088">
        <f t="shared" si="25"/>
        <v>4200</v>
      </c>
      <c r="T77" s="1017">
        <v>0</v>
      </c>
      <c r="U77" s="1018" t="e">
        <f t="shared" si="26"/>
        <v>#DIV/0!</v>
      </c>
      <c r="V77" s="1160" t="s">
        <v>709</v>
      </c>
      <c r="W77" s="1070"/>
      <c r="X77" s="1070"/>
      <c r="Y77" s="1070"/>
      <c r="Z77" s="1070"/>
      <c r="AA77" s="1070"/>
      <c r="AB77" s="1070"/>
    </row>
    <row r="78" spans="1:28" s="1071" customFormat="1" ht="58.5" customHeight="1">
      <c r="A78" s="2587"/>
      <c r="B78" s="1155" t="s">
        <v>710</v>
      </c>
      <c r="C78" s="1078" t="s">
        <v>40</v>
      </c>
      <c r="D78" s="1079" t="s">
        <v>611</v>
      </c>
      <c r="E78" s="1103">
        <v>0</v>
      </c>
      <c r="F78" s="1103">
        <v>0</v>
      </c>
      <c r="G78" s="1103">
        <v>0</v>
      </c>
      <c r="H78" s="1081">
        <f t="shared" si="22"/>
        <v>0</v>
      </c>
      <c r="I78" s="1119">
        <v>0</v>
      </c>
      <c r="J78" s="1146">
        <f t="shared" si="23"/>
        <v>0</v>
      </c>
      <c r="K78" s="1156">
        <f>7*5</f>
        <v>35</v>
      </c>
      <c r="L78" s="1158">
        <v>100</v>
      </c>
      <c r="M78" s="1156">
        <v>1</v>
      </c>
      <c r="N78" s="1081">
        <f t="shared" si="20"/>
        <v>3500</v>
      </c>
      <c r="O78" s="1127">
        <v>0.5</v>
      </c>
      <c r="P78" s="1148">
        <f t="shared" si="24"/>
        <v>1750</v>
      </c>
      <c r="Q78" s="1081">
        <f t="shared" si="21"/>
        <v>3500</v>
      </c>
      <c r="R78" s="1082">
        <v>0.5</v>
      </c>
      <c r="S78" s="1088">
        <f t="shared" si="25"/>
        <v>1750</v>
      </c>
      <c r="T78" s="1017">
        <v>0</v>
      </c>
      <c r="U78" s="1018" t="e">
        <f t="shared" si="26"/>
        <v>#DIV/0!</v>
      </c>
      <c r="V78" s="1089" t="s">
        <v>711</v>
      </c>
      <c r="W78" s="1070"/>
      <c r="X78" s="1070"/>
      <c r="Y78" s="1070"/>
      <c r="Z78" s="1070"/>
      <c r="AA78" s="1070"/>
      <c r="AB78" s="1070"/>
    </row>
    <row r="79" spans="1:28" s="1071" customFormat="1" ht="59.25" customHeight="1">
      <c r="A79" s="2587"/>
      <c r="B79" s="1155" t="s">
        <v>712</v>
      </c>
      <c r="C79" s="1078" t="s">
        <v>38</v>
      </c>
      <c r="D79" s="1079" t="s">
        <v>611</v>
      </c>
      <c r="E79" s="1103">
        <v>0</v>
      </c>
      <c r="F79" s="1103">
        <v>0</v>
      </c>
      <c r="G79" s="1103">
        <v>0</v>
      </c>
      <c r="H79" s="1081">
        <f t="shared" si="22"/>
        <v>0</v>
      </c>
      <c r="I79" s="1119">
        <v>0</v>
      </c>
      <c r="J79" s="1146">
        <f t="shared" si="23"/>
        <v>0</v>
      </c>
      <c r="K79" s="1156">
        <v>7</v>
      </c>
      <c r="L79" s="1157">
        <v>180</v>
      </c>
      <c r="M79" s="1156">
        <v>3</v>
      </c>
      <c r="N79" s="1081">
        <f>K79*L79*M79</f>
        <v>3780</v>
      </c>
      <c r="O79" s="1127">
        <v>0.3</v>
      </c>
      <c r="P79" s="1148">
        <f t="shared" si="24"/>
        <v>1134</v>
      </c>
      <c r="Q79" s="1081">
        <f t="shared" si="21"/>
        <v>3780</v>
      </c>
      <c r="R79" s="1082">
        <v>0.3</v>
      </c>
      <c r="S79" s="1088">
        <f>Q79*R79</f>
        <v>1134</v>
      </c>
      <c r="T79" s="1017">
        <v>0</v>
      </c>
      <c r="U79" s="1018" t="e">
        <f t="shared" si="26"/>
        <v>#DIV/0!</v>
      </c>
      <c r="V79" s="1089" t="s">
        <v>713</v>
      </c>
      <c r="W79" s="1070"/>
      <c r="X79" s="1070"/>
      <c r="Y79" s="1070"/>
      <c r="Z79" s="1070"/>
      <c r="AA79" s="1070"/>
      <c r="AB79" s="1070"/>
    </row>
    <row r="80" spans="1:28" s="1071" customFormat="1" ht="51">
      <c r="A80" s="2587"/>
      <c r="B80" s="1155" t="s">
        <v>714</v>
      </c>
      <c r="C80" s="1078" t="s">
        <v>38</v>
      </c>
      <c r="D80" s="1079" t="s">
        <v>611</v>
      </c>
      <c r="E80" s="1103">
        <v>0</v>
      </c>
      <c r="F80" s="1103">
        <v>0</v>
      </c>
      <c r="G80" s="1103">
        <v>0</v>
      </c>
      <c r="H80" s="1081">
        <f t="shared" si="22"/>
        <v>0</v>
      </c>
      <c r="I80" s="1119">
        <v>0</v>
      </c>
      <c r="J80" s="1146">
        <f t="shared" si="23"/>
        <v>0</v>
      </c>
      <c r="K80" s="1156">
        <v>1</v>
      </c>
      <c r="L80" s="1157">
        <v>315</v>
      </c>
      <c r="M80" s="1156">
        <v>2</v>
      </c>
      <c r="N80" s="1081">
        <f t="shared" si="20"/>
        <v>630</v>
      </c>
      <c r="O80" s="1127">
        <v>0.4</v>
      </c>
      <c r="P80" s="1148">
        <f t="shared" si="24"/>
        <v>252</v>
      </c>
      <c r="Q80" s="1081">
        <f t="shared" si="21"/>
        <v>630</v>
      </c>
      <c r="R80" s="1082">
        <v>0.4</v>
      </c>
      <c r="S80" s="1088">
        <f t="shared" si="25"/>
        <v>252</v>
      </c>
      <c r="T80" s="1017">
        <v>0</v>
      </c>
      <c r="U80" s="1018" t="e">
        <f t="shared" si="26"/>
        <v>#DIV/0!</v>
      </c>
      <c r="V80" s="1089" t="s">
        <v>715</v>
      </c>
      <c r="W80" s="1070"/>
      <c r="X80" s="1070"/>
      <c r="Y80" s="1070"/>
      <c r="Z80" s="1070"/>
      <c r="AA80" s="1070"/>
      <c r="AB80" s="1070"/>
    </row>
    <row r="81" spans="1:29" s="1071" customFormat="1" ht="15.75">
      <c r="A81" s="2587"/>
      <c r="B81" s="1078"/>
      <c r="C81" s="1078"/>
      <c r="D81" s="1106" t="s">
        <v>47</v>
      </c>
      <c r="E81" s="1107"/>
      <c r="F81" s="1107"/>
      <c r="G81" s="1107"/>
      <c r="H81" s="1108">
        <f>SUM(H65:H80)</f>
        <v>12280</v>
      </c>
      <c r="I81" s="1113">
        <f>J81/H81*100</f>
        <v>13.558631921824105</v>
      </c>
      <c r="J81" s="1108">
        <f>SUM(J65:J80)</f>
        <v>1665</v>
      </c>
      <c r="K81" s="1108"/>
      <c r="L81" s="1108"/>
      <c r="M81" s="1108"/>
      <c r="N81" s="1108">
        <f>SUM(N65:N80)</f>
        <v>36996</v>
      </c>
      <c r="O81" s="1132">
        <f>P81/N81*100</f>
        <v>33.940155692507297</v>
      </c>
      <c r="P81" s="1108">
        <f>SUM(P65:P80)</f>
        <v>12556.5</v>
      </c>
      <c r="Q81" s="1108">
        <f>SUM(Q65:Q80)</f>
        <v>49276</v>
      </c>
      <c r="R81" s="1109">
        <f>S81/Q81*100</f>
        <v>30.202492085396543</v>
      </c>
      <c r="S81" s="1108">
        <f>SUM(S65:S80)</f>
        <v>14882.58</v>
      </c>
      <c r="T81" s="1108">
        <f>SUBTOTAL(9,T64:T80)</f>
        <v>0</v>
      </c>
      <c r="U81" s="1045">
        <f>+T81/H81</f>
        <v>0</v>
      </c>
      <c r="V81" s="1161"/>
      <c r="W81" s="1070"/>
      <c r="X81" s="1070"/>
      <c r="Y81" s="1070"/>
      <c r="Z81" s="1070"/>
      <c r="AA81" s="1070"/>
      <c r="AB81" s="1070"/>
    </row>
    <row r="82" spans="1:29" s="1071" customFormat="1" ht="21" customHeight="1">
      <c r="A82" s="2588" t="s">
        <v>716</v>
      </c>
      <c r="B82" s="2589"/>
      <c r="C82" s="1162"/>
      <c r="D82" s="1163"/>
      <c r="E82" s="1164"/>
      <c r="F82" s="1164"/>
      <c r="G82" s="1164"/>
      <c r="H82" s="1165">
        <f>H52+H60+H63+H81</f>
        <v>196880</v>
      </c>
      <c r="I82" s="1166">
        <f>J82/H82*100</f>
        <v>16.009752133279154</v>
      </c>
      <c r="J82" s="1165">
        <f>J52+J60+J63+J81</f>
        <v>31520</v>
      </c>
      <c r="K82" s="1165"/>
      <c r="L82" s="1165"/>
      <c r="M82" s="1165"/>
      <c r="N82" s="1165">
        <f>N52+N60+N63+N81</f>
        <v>162246</v>
      </c>
      <c r="O82" s="1167">
        <f>P82/N82*100</f>
        <v>31.009393143744685</v>
      </c>
      <c r="P82" s="1165">
        <f>P52+P60+P63+P81</f>
        <v>50311.5</v>
      </c>
      <c r="Q82" s="1165">
        <f>Q52+Q60+Q63+Q81</f>
        <v>359126</v>
      </c>
      <c r="R82" s="1168">
        <f>S82/Q82*100</f>
        <v>23.120737568430023</v>
      </c>
      <c r="S82" s="1169">
        <f>S81+S63+S60+S52</f>
        <v>83032.58</v>
      </c>
      <c r="T82" s="1170">
        <f>T81+T63+T60+T52</f>
        <v>50099.42</v>
      </c>
      <c r="U82" s="1069">
        <f t="shared" si="26"/>
        <v>0.25446678179601789</v>
      </c>
      <c r="V82" s="1171"/>
      <c r="W82" s="1070"/>
      <c r="X82" s="1070"/>
      <c r="Y82" s="1070"/>
      <c r="Z82" s="1070"/>
      <c r="AA82" s="1070"/>
      <c r="AB82" s="1070"/>
    </row>
    <row r="83" spans="1:29" s="1071" customFormat="1" ht="21" customHeight="1">
      <c r="A83" s="2590" t="s">
        <v>227</v>
      </c>
      <c r="B83" s="2591"/>
      <c r="C83" s="2592"/>
      <c r="D83" s="1172"/>
      <c r="E83" s="1172"/>
      <c r="F83" s="1172"/>
      <c r="G83" s="1172"/>
      <c r="H83" s="1173">
        <f>H39+H82</f>
        <v>290418.59999999998</v>
      </c>
      <c r="I83" s="1174">
        <f>J83/H83*100</f>
        <v>17.733580080614672</v>
      </c>
      <c r="J83" s="1173">
        <f>J39+J82</f>
        <v>51501.614999999998</v>
      </c>
      <c r="K83" s="1175"/>
      <c r="L83" s="1175"/>
      <c r="M83" s="1175"/>
      <c r="N83" s="1176">
        <f>N39+N82</f>
        <v>186066</v>
      </c>
      <c r="O83" s="1177">
        <f>P83/N83*100</f>
        <v>29.635021981447441</v>
      </c>
      <c r="P83" s="1176">
        <f>P39+P82</f>
        <v>55140.7</v>
      </c>
      <c r="Q83" s="1176">
        <f>Q39+Q82</f>
        <v>476484.6</v>
      </c>
      <c r="R83" s="1178">
        <f>S83/Q83*100</f>
        <v>22.636973996641238</v>
      </c>
      <c r="S83" s="1176">
        <f>S39+S82</f>
        <v>107861.69500000001</v>
      </c>
      <c r="T83" s="1176">
        <f>T82+T39</f>
        <v>140650.87</v>
      </c>
      <c r="U83" s="1179">
        <f t="shared" si="26"/>
        <v>0.4843039323238939</v>
      </c>
      <c r="V83" s="1175">
        <f>Q83/Q130*100</f>
        <v>62.285549550974814</v>
      </c>
      <c r="W83" s="1070"/>
      <c r="X83" s="1070"/>
      <c r="Y83" s="1070"/>
      <c r="Z83" s="1070"/>
      <c r="AA83" s="1070"/>
      <c r="AB83" s="1070"/>
    </row>
    <row r="84" spans="1:29" s="1186" customFormat="1" ht="22.5" customHeight="1">
      <c r="A84" s="2593" t="s">
        <v>228</v>
      </c>
      <c r="B84" s="2594"/>
      <c r="C84" s="1180"/>
      <c r="D84" s="1180"/>
      <c r="E84" s="1180"/>
      <c r="F84" s="1180"/>
      <c r="G84" s="1180"/>
      <c r="H84" s="1180"/>
      <c r="I84" s="1181"/>
      <c r="J84" s="1180"/>
      <c r="K84" s="1180"/>
      <c r="L84" s="1180"/>
      <c r="M84" s="1180"/>
      <c r="N84" s="1180"/>
      <c r="O84" s="1181"/>
      <c r="P84" s="1180"/>
      <c r="Q84" s="1180"/>
      <c r="R84" s="1181"/>
      <c r="S84" s="1180"/>
      <c r="T84" s="1180"/>
      <c r="U84" s="1182"/>
      <c r="V84" s="1183"/>
      <c r="W84" s="1184"/>
      <c r="X84" s="1184"/>
      <c r="Y84" s="1184"/>
      <c r="Z84" s="1184"/>
      <c r="AA84" s="1184"/>
      <c r="AB84" s="1184"/>
      <c r="AC84" s="1185"/>
    </row>
    <row r="85" spans="1:29" s="1193" customFormat="1" ht="23.25" customHeight="1">
      <c r="A85" s="2595" t="s">
        <v>229</v>
      </c>
      <c r="B85" s="2596"/>
      <c r="C85" s="2596"/>
      <c r="D85" s="1187"/>
      <c r="E85" s="1187"/>
      <c r="F85" s="1187"/>
      <c r="G85" s="1187"/>
      <c r="H85" s="1187"/>
      <c r="I85" s="1188"/>
      <c r="J85" s="1187"/>
      <c r="K85" s="1187"/>
      <c r="L85" s="1187"/>
      <c r="M85" s="1187"/>
      <c r="N85" s="1187"/>
      <c r="O85" s="1188"/>
      <c r="P85" s="1187"/>
      <c r="Q85" s="1189"/>
      <c r="R85" s="1188"/>
      <c r="S85" s="1187"/>
      <c r="T85" s="1187"/>
      <c r="U85" s="1187"/>
      <c r="V85" s="1190"/>
      <c r="W85" s="1191"/>
      <c r="X85" s="1191"/>
      <c r="Y85" s="1191"/>
      <c r="Z85" s="1191"/>
      <c r="AA85" s="1191"/>
      <c r="AB85" s="1191"/>
      <c r="AC85" s="1192"/>
    </row>
    <row r="86" spans="1:29" s="1203" customFormat="1" ht="78" customHeight="1">
      <c r="A86" s="1194"/>
      <c r="B86" s="1195" t="s">
        <v>717</v>
      </c>
      <c r="C86" s="1196" t="s">
        <v>231</v>
      </c>
      <c r="D86" s="1133" t="s">
        <v>611</v>
      </c>
      <c r="E86" s="1197">
        <f>1*0.4</f>
        <v>0.4</v>
      </c>
      <c r="F86" s="1197">
        <v>1262</v>
      </c>
      <c r="G86" s="1197">
        <v>12</v>
      </c>
      <c r="H86" s="1198">
        <f>E86*F86*G86</f>
        <v>6057.6</v>
      </c>
      <c r="I86" s="1199">
        <v>0</v>
      </c>
      <c r="J86" s="1200">
        <f>H86*I86</f>
        <v>0</v>
      </c>
      <c r="K86" s="1197">
        <f>1*0.4</f>
        <v>0.4</v>
      </c>
      <c r="L86" s="1197">
        <v>1262</v>
      </c>
      <c r="M86" s="1197">
        <v>12</v>
      </c>
      <c r="N86" s="1198">
        <f t="shared" ref="N86:N95" si="27">K86*L86*M86</f>
        <v>6057.6</v>
      </c>
      <c r="O86" s="1199">
        <v>0</v>
      </c>
      <c r="P86" s="1200">
        <f>O86*N86</f>
        <v>0</v>
      </c>
      <c r="Q86" s="1198">
        <f>H86+N86</f>
        <v>12115.2</v>
      </c>
      <c r="R86" s="1199">
        <f>I86+O86</f>
        <v>0</v>
      </c>
      <c r="S86" s="1133">
        <f t="shared" ref="S86:S95" si="28">R86*Q86</f>
        <v>0</v>
      </c>
      <c r="T86" s="1201">
        <f>1514.4+1514.4+439+2084.98</f>
        <v>5552.7800000000007</v>
      </c>
      <c r="U86" s="1018">
        <f>+T86/H86</f>
        <v>0.91666336502905443</v>
      </c>
      <c r="V86" s="1202" t="s">
        <v>718</v>
      </c>
    </row>
    <row r="87" spans="1:29" s="1203" customFormat="1" ht="81" customHeight="1">
      <c r="A87" s="1194"/>
      <c r="B87" s="1197" t="s">
        <v>719</v>
      </c>
      <c r="C87" s="1196" t="s">
        <v>231</v>
      </c>
      <c r="D87" s="1133" t="s">
        <v>611</v>
      </c>
      <c r="E87" s="1197">
        <f>1*1</f>
        <v>1</v>
      </c>
      <c r="F87" s="1197">
        <v>830.91</v>
      </c>
      <c r="G87" s="1197">
        <v>12</v>
      </c>
      <c r="H87" s="1198">
        <f>E87*F87*G87</f>
        <v>9970.92</v>
      </c>
      <c r="I87" s="1199">
        <v>0</v>
      </c>
      <c r="J87" s="1200">
        <f t="shared" ref="J87:J95" si="29">H87*I87</f>
        <v>0</v>
      </c>
      <c r="K87" s="1197">
        <f>1*1</f>
        <v>1</v>
      </c>
      <c r="L87" s="1197">
        <v>830.91</v>
      </c>
      <c r="M87" s="1197">
        <v>12</v>
      </c>
      <c r="N87" s="1198">
        <f t="shared" si="27"/>
        <v>9970.92</v>
      </c>
      <c r="O87" s="1199">
        <v>0</v>
      </c>
      <c r="P87" s="1200">
        <f t="shared" ref="P87:P95" si="30">O87*N87</f>
        <v>0</v>
      </c>
      <c r="Q87" s="1198">
        <f t="shared" ref="Q87:R95" si="31">H87+N87</f>
        <v>19941.84</v>
      </c>
      <c r="R87" s="1199">
        <f t="shared" si="31"/>
        <v>0</v>
      </c>
      <c r="S87" s="1133">
        <f t="shared" si="28"/>
        <v>0</v>
      </c>
      <c r="T87" s="1201">
        <f>2492.73+2493.42+711+3443.11</f>
        <v>9140.26</v>
      </c>
      <c r="U87" s="1018">
        <f t="shared" ref="U87:U96" si="32">+T87/H87</f>
        <v>0.91669173957869488</v>
      </c>
      <c r="V87" s="1133" t="s">
        <v>720</v>
      </c>
    </row>
    <row r="88" spans="1:29" s="1216" customFormat="1" ht="78" customHeight="1">
      <c r="A88" s="1204"/>
      <c r="B88" s="1205" t="s">
        <v>721</v>
      </c>
      <c r="C88" s="1206" t="s">
        <v>231</v>
      </c>
      <c r="D88" s="1207" t="s">
        <v>603</v>
      </c>
      <c r="E88" s="1208">
        <v>1</v>
      </c>
      <c r="F88" s="1209">
        <v>680</v>
      </c>
      <c r="G88" s="1208">
        <v>12</v>
      </c>
      <c r="H88" s="1210">
        <f>E88*F88*G88</f>
        <v>8160</v>
      </c>
      <c r="I88" s="1211">
        <v>0</v>
      </c>
      <c r="J88" s="1200">
        <f t="shared" si="29"/>
        <v>0</v>
      </c>
      <c r="K88" s="1212">
        <v>1</v>
      </c>
      <c r="L88" s="1213">
        <v>680</v>
      </c>
      <c r="M88" s="1214">
        <v>12</v>
      </c>
      <c r="N88" s="1210">
        <f t="shared" si="27"/>
        <v>8160</v>
      </c>
      <c r="O88" s="1038">
        <v>0</v>
      </c>
      <c r="P88" s="1200">
        <f t="shared" si="30"/>
        <v>0</v>
      </c>
      <c r="Q88" s="1210">
        <f t="shared" si="31"/>
        <v>16320</v>
      </c>
      <c r="R88" s="1215">
        <v>0</v>
      </c>
      <c r="S88" s="1133">
        <f t="shared" si="28"/>
        <v>0</v>
      </c>
      <c r="T88" s="1201">
        <f>2040+2040.27+584.64+2815.41</f>
        <v>7480.32</v>
      </c>
      <c r="U88" s="1018">
        <f t="shared" si="32"/>
        <v>0.91670588235294115</v>
      </c>
      <c r="V88" s="1133" t="s">
        <v>722</v>
      </c>
    </row>
    <row r="89" spans="1:29" s="1203" customFormat="1" ht="116.25" customHeight="1">
      <c r="A89" s="1194"/>
      <c r="B89" s="1197" t="s">
        <v>723</v>
      </c>
      <c r="C89" s="1196" t="s">
        <v>231</v>
      </c>
      <c r="D89" s="1133" t="s">
        <v>611</v>
      </c>
      <c r="E89" s="1197">
        <v>1</v>
      </c>
      <c r="F89" s="1209">
        <v>680</v>
      </c>
      <c r="G89" s="1197">
        <v>10</v>
      </c>
      <c r="H89" s="1198">
        <f t="shared" ref="H89:H95" si="33">E89*F89*G89</f>
        <v>6800</v>
      </c>
      <c r="I89" s="1199">
        <v>0</v>
      </c>
      <c r="J89" s="1200">
        <f t="shared" si="29"/>
        <v>0</v>
      </c>
      <c r="K89" s="1197">
        <v>1</v>
      </c>
      <c r="L89" s="1213">
        <v>680</v>
      </c>
      <c r="M89" s="1197">
        <v>12</v>
      </c>
      <c r="N89" s="1198">
        <f t="shared" si="27"/>
        <v>8160</v>
      </c>
      <c r="O89" s="1199">
        <v>0</v>
      </c>
      <c r="P89" s="1200">
        <f t="shared" si="30"/>
        <v>0</v>
      </c>
      <c r="Q89" s="1198">
        <f t="shared" si="31"/>
        <v>14960</v>
      </c>
      <c r="R89" s="1199">
        <f t="shared" si="31"/>
        <v>0</v>
      </c>
      <c r="S89" s="1133">
        <f t="shared" si="28"/>
        <v>0</v>
      </c>
      <c r="T89" s="1201">
        <f>680+2624.91+584.64+2814.49</f>
        <v>6704.0399999999991</v>
      </c>
      <c r="U89" s="1018">
        <f t="shared" si="32"/>
        <v>0.98588823529411751</v>
      </c>
      <c r="V89" s="1133" t="s">
        <v>724</v>
      </c>
    </row>
    <row r="90" spans="1:29" s="1203" customFormat="1" ht="103.5" customHeight="1">
      <c r="A90" s="1194"/>
      <c r="B90" s="1197" t="s">
        <v>725</v>
      </c>
      <c r="C90" s="1196" t="s">
        <v>231</v>
      </c>
      <c r="D90" s="1133" t="s">
        <v>611</v>
      </c>
      <c r="E90" s="1197">
        <f>1*0.4</f>
        <v>0.4</v>
      </c>
      <c r="F90" s="1209">
        <v>680</v>
      </c>
      <c r="G90" s="1197">
        <v>10</v>
      </c>
      <c r="H90" s="1198">
        <f t="shared" si="33"/>
        <v>2720</v>
      </c>
      <c r="I90" s="1217">
        <v>1</v>
      </c>
      <c r="J90" s="1200">
        <f t="shared" si="29"/>
        <v>2720</v>
      </c>
      <c r="K90" s="1197">
        <f>1*0.4</f>
        <v>0.4</v>
      </c>
      <c r="L90" s="1213">
        <v>680</v>
      </c>
      <c r="M90" s="1197">
        <v>12</v>
      </c>
      <c r="N90" s="1198">
        <f t="shared" si="27"/>
        <v>3264</v>
      </c>
      <c r="O90" s="1217">
        <v>1</v>
      </c>
      <c r="P90" s="1200">
        <f t="shared" si="30"/>
        <v>3264</v>
      </c>
      <c r="Q90" s="1198">
        <f t="shared" si="31"/>
        <v>5984</v>
      </c>
      <c r="R90" s="1217">
        <v>1</v>
      </c>
      <c r="S90" s="1133">
        <f t="shared" si="28"/>
        <v>5984</v>
      </c>
      <c r="T90" s="1201">
        <f>937.82+243.58+1115.78</f>
        <v>2297.1800000000003</v>
      </c>
      <c r="U90" s="1018">
        <f t="shared" si="32"/>
        <v>0.84455147058823543</v>
      </c>
      <c r="V90" s="1133" t="s">
        <v>726</v>
      </c>
    </row>
    <row r="91" spans="1:29" s="1216" customFormat="1" ht="78.75" customHeight="1">
      <c r="A91" s="1204"/>
      <c r="B91" s="1218" t="s">
        <v>727</v>
      </c>
      <c r="C91" s="1206" t="s">
        <v>231</v>
      </c>
      <c r="D91" s="1207" t="s">
        <v>603</v>
      </c>
      <c r="E91" s="1208">
        <v>2</v>
      </c>
      <c r="F91" s="1209">
        <v>500</v>
      </c>
      <c r="G91" s="1208">
        <v>12</v>
      </c>
      <c r="H91" s="1210">
        <f t="shared" si="33"/>
        <v>12000</v>
      </c>
      <c r="I91" s="1219">
        <v>0.5</v>
      </c>
      <c r="J91" s="1200">
        <f t="shared" si="29"/>
        <v>6000</v>
      </c>
      <c r="K91" s="1212">
        <v>0</v>
      </c>
      <c r="L91" s="1212">
        <v>0</v>
      </c>
      <c r="M91" s="1214">
        <v>0</v>
      </c>
      <c r="N91" s="1210">
        <f t="shared" si="27"/>
        <v>0</v>
      </c>
      <c r="O91" s="1041">
        <v>0.5</v>
      </c>
      <c r="P91" s="1200">
        <f t="shared" si="30"/>
        <v>0</v>
      </c>
      <c r="Q91" s="1210">
        <f t="shared" si="31"/>
        <v>12000</v>
      </c>
      <c r="R91" s="1220">
        <v>0.5</v>
      </c>
      <c r="S91" s="1133">
        <f t="shared" si="28"/>
        <v>6000</v>
      </c>
      <c r="T91" s="1201">
        <f>2999.94+3001.26+870.44+4129.5</f>
        <v>11001.140000000001</v>
      </c>
      <c r="U91" s="1018">
        <f t="shared" si="32"/>
        <v>0.91676166666666681</v>
      </c>
      <c r="V91" s="1221" t="s">
        <v>728</v>
      </c>
    </row>
    <row r="92" spans="1:29" s="1216" customFormat="1" ht="103.5" customHeight="1">
      <c r="A92" s="1204"/>
      <c r="B92" s="1222" t="s">
        <v>729</v>
      </c>
      <c r="C92" s="1206" t="s">
        <v>231</v>
      </c>
      <c r="D92" s="1200" t="s">
        <v>611</v>
      </c>
      <c r="E92" s="1222">
        <f>2*1</f>
        <v>2</v>
      </c>
      <c r="F92" s="1197">
        <v>500</v>
      </c>
      <c r="G92" s="1222">
        <v>8</v>
      </c>
      <c r="H92" s="1210">
        <f>E92*F92*G92</f>
        <v>8000</v>
      </c>
      <c r="I92" s="1217">
        <v>0.5</v>
      </c>
      <c r="J92" s="1200">
        <f t="shared" si="29"/>
        <v>4000</v>
      </c>
      <c r="K92" s="1222">
        <f>2*1</f>
        <v>2</v>
      </c>
      <c r="L92" s="1197">
        <v>500</v>
      </c>
      <c r="M92" s="1222">
        <v>10</v>
      </c>
      <c r="N92" s="1210">
        <f t="shared" si="27"/>
        <v>10000</v>
      </c>
      <c r="O92" s="1217">
        <v>0.5</v>
      </c>
      <c r="P92" s="1200">
        <f t="shared" si="30"/>
        <v>5000</v>
      </c>
      <c r="Q92" s="1210">
        <f>H92+N92</f>
        <v>18000</v>
      </c>
      <c r="R92" s="1217">
        <v>0.5</v>
      </c>
      <c r="S92" s="1133">
        <f t="shared" si="28"/>
        <v>9000</v>
      </c>
      <c r="T92" s="1201">
        <f>3436.69+870.44+3257.74</f>
        <v>7564.87</v>
      </c>
      <c r="U92" s="1018">
        <f t="shared" si="32"/>
        <v>0.94560875</v>
      </c>
      <c r="V92" s="1200" t="s">
        <v>730</v>
      </c>
    </row>
    <row r="93" spans="1:29" s="1216" customFormat="1" ht="69.75" customHeight="1">
      <c r="A93" s="1204"/>
      <c r="B93" s="1218" t="s">
        <v>731</v>
      </c>
      <c r="C93" s="1206" t="s">
        <v>231</v>
      </c>
      <c r="D93" s="1207" t="s">
        <v>603</v>
      </c>
      <c r="E93" s="1208">
        <f>1*0.3</f>
        <v>0.3</v>
      </c>
      <c r="F93" s="1209">
        <v>1200</v>
      </c>
      <c r="G93" s="1208">
        <v>12</v>
      </c>
      <c r="H93" s="1210">
        <f t="shared" si="33"/>
        <v>4320</v>
      </c>
      <c r="I93" s="1211">
        <v>0</v>
      </c>
      <c r="J93" s="1200">
        <f t="shared" si="29"/>
        <v>0</v>
      </c>
      <c r="K93" s="1212">
        <f>1*0.3</f>
        <v>0.3</v>
      </c>
      <c r="L93" s="1213">
        <v>1200</v>
      </c>
      <c r="M93" s="1214">
        <v>12</v>
      </c>
      <c r="N93" s="1210">
        <f t="shared" si="27"/>
        <v>4320</v>
      </c>
      <c r="O93" s="1038">
        <v>0</v>
      </c>
      <c r="P93" s="1200">
        <f t="shared" si="30"/>
        <v>0</v>
      </c>
      <c r="Q93" s="1210">
        <f t="shared" si="31"/>
        <v>8640</v>
      </c>
      <c r="R93" s="1223">
        <v>0</v>
      </c>
      <c r="S93" s="1133">
        <f t="shared" si="28"/>
        <v>0</v>
      </c>
      <c r="T93" s="1201">
        <f>1079.97+1080+316.73+1483.31</f>
        <v>3960.01</v>
      </c>
      <c r="U93" s="1018">
        <f t="shared" si="32"/>
        <v>0.91666898148148157</v>
      </c>
      <c r="V93" s="1221" t="s">
        <v>732</v>
      </c>
    </row>
    <row r="94" spans="1:29" s="1203" customFormat="1" ht="57.75" customHeight="1">
      <c r="A94" s="1194"/>
      <c r="B94" s="1088" t="s">
        <v>733</v>
      </c>
      <c r="C94" s="1196" t="s">
        <v>231</v>
      </c>
      <c r="D94" s="1133" t="s">
        <v>611</v>
      </c>
      <c r="E94" s="1088">
        <f>1*0.25</f>
        <v>0.25</v>
      </c>
      <c r="F94" s="1224">
        <v>680</v>
      </c>
      <c r="G94" s="1224">
        <v>12</v>
      </c>
      <c r="H94" s="1198">
        <f t="shared" si="33"/>
        <v>2040</v>
      </c>
      <c r="I94" s="1217">
        <v>1</v>
      </c>
      <c r="J94" s="1200">
        <f t="shared" si="29"/>
        <v>2040</v>
      </c>
      <c r="K94" s="1088">
        <f>1*0.25</f>
        <v>0.25</v>
      </c>
      <c r="L94" s="1224">
        <v>680</v>
      </c>
      <c r="M94" s="1224">
        <v>12</v>
      </c>
      <c r="N94" s="1198">
        <f t="shared" si="27"/>
        <v>2040</v>
      </c>
      <c r="O94" s="1217">
        <v>1</v>
      </c>
      <c r="P94" s="1200">
        <f t="shared" si="30"/>
        <v>2040</v>
      </c>
      <c r="Q94" s="1198">
        <f t="shared" si="31"/>
        <v>4080</v>
      </c>
      <c r="R94" s="1217">
        <v>1</v>
      </c>
      <c r="S94" s="1133">
        <f t="shared" si="28"/>
        <v>4080</v>
      </c>
      <c r="T94" s="1201">
        <f>510+510+154.53+695.42</f>
        <v>1869.9499999999998</v>
      </c>
      <c r="U94" s="1018">
        <f t="shared" si="32"/>
        <v>0.91664215686274497</v>
      </c>
      <c r="V94" s="1225" t="s">
        <v>734</v>
      </c>
    </row>
    <row r="95" spans="1:29" s="1203" customFormat="1" ht="54.75" customHeight="1">
      <c r="A95" s="1194"/>
      <c r="B95" s="1088" t="s">
        <v>735</v>
      </c>
      <c r="C95" s="1196" t="s">
        <v>231</v>
      </c>
      <c r="D95" s="1133" t="s">
        <v>611</v>
      </c>
      <c r="E95" s="1197">
        <f>1*0.25</f>
        <v>0.25</v>
      </c>
      <c r="F95" s="1224">
        <v>680</v>
      </c>
      <c r="G95" s="1224">
        <v>4</v>
      </c>
      <c r="H95" s="1198">
        <f t="shared" si="33"/>
        <v>680</v>
      </c>
      <c r="I95" s="1226">
        <v>0</v>
      </c>
      <c r="J95" s="1200">
        <f t="shared" si="29"/>
        <v>0</v>
      </c>
      <c r="K95" s="1197">
        <f>1*0.25</f>
        <v>0.25</v>
      </c>
      <c r="L95" s="1224">
        <v>680</v>
      </c>
      <c r="M95" s="1224">
        <v>2</v>
      </c>
      <c r="N95" s="1198">
        <f t="shared" si="27"/>
        <v>340</v>
      </c>
      <c r="O95" s="1226">
        <v>0</v>
      </c>
      <c r="P95" s="1200">
        <f t="shared" si="30"/>
        <v>0</v>
      </c>
      <c r="Q95" s="1198">
        <f t="shared" si="31"/>
        <v>1020</v>
      </c>
      <c r="R95" s="1199">
        <f t="shared" si="31"/>
        <v>0</v>
      </c>
      <c r="S95" s="1133">
        <f t="shared" si="28"/>
        <v>0</v>
      </c>
      <c r="T95" s="1201">
        <f>340</f>
        <v>340</v>
      </c>
      <c r="U95" s="1018">
        <f t="shared" si="32"/>
        <v>0.5</v>
      </c>
      <c r="V95" s="1225" t="s">
        <v>736</v>
      </c>
    </row>
    <row r="96" spans="1:29" s="1203" customFormat="1" ht="15.75">
      <c r="A96" s="1227"/>
      <c r="B96" s="1228"/>
      <c r="C96" s="1229"/>
      <c r="D96" s="169" t="s">
        <v>47</v>
      </c>
      <c r="E96" s="169"/>
      <c r="F96" s="169"/>
      <c r="G96" s="169"/>
      <c r="H96" s="1230">
        <f>SUM(H86:H95)</f>
        <v>60748.520000000004</v>
      </c>
      <c r="I96" s="1231">
        <f>J96/H96*100</f>
        <v>24.296888220486686</v>
      </c>
      <c r="J96" s="1230">
        <f>SUM(J86:J95)</f>
        <v>14760</v>
      </c>
      <c r="K96" s="1232"/>
      <c r="L96" s="1232"/>
      <c r="M96" s="1232"/>
      <c r="N96" s="1232">
        <f>SUM(N86:N95)</f>
        <v>52312.520000000004</v>
      </c>
      <c r="O96" s="1233">
        <f>P96/N96*100</f>
        <v>19.697005611658547</v>
      </c>
      <c r="P96" s="1232">
        <f>SUM(P86:P95)</f>
        <v>10304</v>
      </c>
      <c r="Q96" s="1232">
        <f>SUM(Q86:Q95)</f>
        <v>113061.04000000001</v>
      </c>
      <c r="R96" s="1233">
        <f>S96/Q96*100</f>
        <v>22.168556029557131</v>
      </c>
      <c r="S96" s="1232">
        <f>SUM(S86:S95)</f>
        <v>25064</v>
      </c>
      <c r="T96" s="1232">
        <f>SUBTOTAL(9,T86:T95)</f>
        <v>55910.55</v>
      </c>
      <c r="U96" s="1045">
        <f t="shared" si="32"/>
        <v>0.92036069356092953</v>
      </c>
      <c r="V96" s="1234"/>
    </row>
    <row r="97" spans="1:22" s="1203" customFormat="1">
      <c r="A97" s="2597" t="s">
        <v>240</v>
      </c>
      <c r="B97" s="2598"/>
      <c r="C97" s="2598"/>
      <c r="D97" s="2598"/>
      <c r="E97" s="2598"/>
      <c r="F97" s="2598"/>
      <c r="G97" s="2598"/>
      <c r="H97" s="2598"/>
      <c r="I97" s="2599"/>
      <c r="J97" s="2598"/>
      <c r="K97" s="2598"/>
      <c r="L97" s="2598"/>
      <c r="M97" s="2598"/>
      <c r="N97" s="2598"/>
      <c r="O97" s="2600"/>
      <c r="P97" s="2598"/>
      <c r="Q97" s="2598"/>
      <c r="R97" s="2600"/>
      <c r="S97" s="2598"/>
      <c r="T97" s="2598"/>
      <c r="U97" s="2598"/>
      <c r="V97" s="2601"/>
    </row>
    <row r="98" spans="1:22" s="1244" customFormat="1" ht="39.75" customHeight="1">
      <c r="A98" s="1235" t="s">
        <v>737</v>
      </c>
      <c r="B98" s="1205" t="s">
        <v>738</v>
      </c>
      <c r="C98" s="1196" t="s">
        <v>38</v>
      </c>
      <c r="D98" s="1236" t="s">
        <v>611</v>
      </c>
      <c r="E98" s="1004">
        <v>1</v>
      </c>
      <c r="F98" s="1004">
        <v>100</v>
      </c>
      <c r="G98" s="1004">
        <v>12</v>
      </c>
      <c r="H98" s="1007">
        <f>E98*F98*G98</f>
        <v>1200</v>
      </c>
      <c r="I98" s="1237"/>
      <c r="J98" s="1011"/>
      <c r="K98" s="1213">
        <v>1</v>
      </c>
      <c r="L98" s="1213">
        <v>100</v>
      </c>
      <c r="M98" s="1213">
        <v>12</v>
      </c>
      <c r="N98" s="1198">
        <f>K98*L98*M98</f>
        <v>1200</v>
      </c>
      <c r="O98" s="1238"/>
      <c r="P98" s="1239"/>
      <c r="Q98" s="1198">
        <f>H98+N98</f>
        <v>2400</v>
      </c>
      <c r="R98" s="1240"/>
      <c r="S98" s="1241"/>
      <c r="T98" s="1242">
        <f>300+280+20+300</f>
        <v>900</v>
      </c>
      <c r="U98" s="1018">
        <f>+T98/H98</f>
        <v>0.75</v>
      </c>
      <c r="V98" s="1243" t="s">
        <v>739</v>
      </c>
    </row>
    <row r="99" spans="1:22" s="1244" customFormat="1" ht="59.25" customHeight="1">
      <c r="A99" s="1235" t="s">
        <v>740</v>
      </c>
      <c r="B99" s="1205" t="s">
        <v>741</v>
      </c>
      <c r="C99" s="1196" t="s">
        <v>38</v>
      </c>
      <c r="D99" s="1236" t="s">
        <v>611</v>
      </c>
      <c r="E99" s="1209">
        <v>1</v>
      </c>
      <c r="F99" s="1209">
        <v>4900</v>
      </c>
      <c r="G99" s="1209">
        <v>1</v>
      </c>
      <c r="H99" s="1198">
        <f>E99*F99*G99</f>
        <v>4900</v>
      </c>
      <c r="I99" s="1245"/>
      <c r="J99" s="1245"/>
      <c r="K99" s="1213">
        <v>1</v>
      </c>
      <c r="L99" s="1213">
        <v>3700</v>
      </c>
      <c r="M99" s="1213">
        <v>1</v>
      </c>
      <c r="N99" s="1198">
        <f>K99*L99*M99</f>
        <v>3700</v>
      </c>
      <c r="O99" s="1246"/>
      <c r="P99" s="1246"/>
      <c r="Q99" s="1198">
        <f>H99+N99</f>
        <v>8600</v>
      </c>
      <c r="R99" s="1136"/>
      <c r="S99" s="1124"/>
      <c r="T99" s="1247">
        <v>0</v>
      </c>
      <c r="U99" s="1018">
        <f t="shared" ref="U99:U100" si="34">+T99/H99</f>
        <v>0</v>
      </c>
      <c r="V99" s="1248" t="s">
        <v>742</v>
      </c>
    </row>
    <row r="100" spans="1:22" s="1203" customFormat="1" ht="21.75" customHeight="1">
      <c r="A100" s="1235"/>
      <c r="B100" s="1249"/>
      <c r="C100" s="1250"/>
      <c r="D100" s="1251" t="s">
        <v>47</v>
      </c>
      <c r="E100" s="1251"/>
      <c r="F100" s="1251"/>
      <c r="G100" s="1251"/>
      <c r="H100" s="1034">
        <f>SUM(H98:H99)</f>
        <v>6100</v>
      </c>
      <c r="I100" s="1035"/>
      <c r="J100" s="1034"/>
      <c r="K100" s="1034"/>
      <c r="L100" s="1034"/>
      <c r="M100" s="1034"/>
      <c r="N100" s="1034">
        <f>SUM(N98:N99)</f>
        <v>4900</v>
      </c>
      <c r="O100" s="1252"/>
      <c r="P100" s="1253"/>
      <c r="Q100" s="1034">
        <f>SUM(Q98:Q99)</f>
        <v>11000</v>
      </c>
      <c r="R100" s="1035"/>
      <c r="S100" s="1034"/>
      <c r="T100" s="1034">
        <f>SUBTOTAL(9,T98:T99)</f>
        <v>900</v>
      </c>
      <c r="U100" s="1045">
        <f t="shared" si="34"/>
        <v>0.14754098360655737</v>
      </c>
      <c r="V100" s="1034"/>
    </row>
    <row r="101" spans="1:22" s="1203" customFormat="1" ht="20.25" customHeight="1">
      <c r="A101" s="2582" t="s">
        <v>244</v>
      </c>
      <c r="B101" s="2583"/>
      <c r="C101" s="2583"/>
      <c r="D101" s="2583"/>
      <c r="E101" s="2583"/>
      <c r="F101" s="2583"/>
      <c r="G101" s="2583"/>
      <c r="H101" s="2583"/>
      <c r="I101" s="2584"/>
      <c r="J101" s="2583"/>
      <c r="K101" s="2583"/>
      <c r="L101" s="2583"/>
      <c r="M101" s="2583"/>
      <c r="N101" s="2583"/>
      <c r="O101" s="2585"/>
      <c r="P101" s="2583"/>
      <c r="Q101" s="2583"/>
      <c r="R101" s="2585"/>
      <c r="S101" s="2583"/>
      <c r="T101" s="2583"/>
      <c r="U101" s="2583"/>
      <c r="V101" s="2586"/>
    </row>
    <row r="102" spans="1:22" s="1244" customFormat="1" ht="24" customHeight="1">
      <c r="A102" s="1235" t="s">
        <v>743</v>
      </c>
      <c r="B102" s="1205" t="s">
        <v>744</v>
      </c>
      <c r="C102" s="1196" t="s">
        <v>246</v>
      </c>
      <c r="D102" s="1236" t="s">
        <v>603</v>
      </c>
      <c r="E102" s="1209">
        <v>800</v>
      </c>
      <c r="F102" s="1209">
        <v>1</v>
      </c>
      <c r="G102" s="1209">
        <v>1</v>
      </c>
      <c r="H102" s="1198">
        <f>E102*F102*G102</f>
        <v>800</v>
      </c>
      <c r="I102" s="1240"/>
      <c r="J102" s="1241"/>
      <c r="K102" s="1241"/>
      <c r="L102" s="1241"/>
      <c r="M102" s="1241"/>
      <c r="N102" s="1254">
        <v>0</v>
      </c>
      <c r="O102" s="1255"/>
      <c r="P102" s="1256"/>
      <c r="Q102" s="1198">
        <f>H102+N102</f>
        <v>800</v>
      </c>
      <c r="R102" s="1240"/>
      <c r="S102" s="1241"/>
      <c r="T102" s="1242">
        <f>800</f>
        <v>800</v>
      </c>
      <c r="U102" s="1018">
        <f>+T102/H102</f>
        <v>1</v>
      </c>
      <c r="V102" s="1243" t="s">
        <v>745</v>
      </c>
    </row>
    <row r="103" spans="1:22" s="1244" customFormat="1" ht="21.75" customHeight="1">
      <c r="A103" s="1235" t="s">
        <v>746</v>
      </c>
      <c r="B103" s="1205" t="s">
        <v>744</v>
      </c>
      <c r="C103" s="1196" t="s">
        <v>246</v>
      </c>
      <c r="D103" s="1236" t="s">
        <v>603</v>
      </c>
      <c r="E103" s="1209">
        <v>5000</v>
      </c>
      <c r="F103" s="1209">
        <v>1</v>
      </c>
      <c r="G103" s="1209">
        <v>1</v>
      </c>
      <c r="H103" s="1198">
        <f>E103*F103*G103</f>
        <v>5000</v>
      </c>
      <c r="I103" s="1240"/>
      <c r="J103" s="1241"/>
      <c r="K103" s="1241"/>
      <c r="L103" s="1241"/>
      <c r="M103" s="1241"/>
      <c r="N103" s="1254">
        <v>0</v>
      </c>
      <c r="O103" s="1255"/>
      <c r="P103" s="1256"/>
      <c r="Q103" s="1198">
        <f>H103+N103</f>
        <v>5000</v>
      </c>
      <c r="R103" s="1240"/>
      <c r="S103" s="1241"/>
      <c r="T103" s="1242">
        <f>5000</f>
        <v>5000</v>
      </c>
      <c r="U103" s="1018">
        <f t="shared" ref="U103:U106" si="35">+T103/H103</f>
        <v>1</v>
      </c>
      <c r="V103" s="1243" t="s">
        <v>747</v>
      </c>
    </row>
    <row r="104" spans="1:22" s="1244" customFormat="1" ht="38.25" customHeight="1">
      <c r="A104" s="1235" t="s">
        <v>748</v>
      </c>
      <c r="B104" s="1257" t="s">
        <v>749</v>
      </c>
      <c r="C104" s="1196" t="s">
        <v>246</v>
      </c>
      <c r="D104" s="1236" t="s">
        <v>603</v>
      </c>
      <c r="E104" s="1209">
        <v>1</v>
      </c>
      <c r="F104" s="1209">
        <v>3000</v>
      </c>
      <c r="G104" s="1209">
        <v>1</v>
      </c>
      <c r="H104" s="1198">
        <f>+E104*F104*G104</f>
        <v>3000</v>
      </c>
      <c r="I104" s="1136"/>
      <c r="J104" s="1136"/>
      <c r="K104" s="1258">
        <v>0</v>
      </c>
      <c r="L104" s="1258">
        <v>0</v>
      </c>
      <c r="M104" s="1258">
        <v>0</v>
      </c>
      <c r="N104" s="1259">
        <f>K104*L104*M104</f>
        <v>0</v>
      </c>
      <c r="O104" s="1260"/>
      <c r="P104" s="1260"/>
      <c r="Q104" s="1198">
        <f>H104+N104</f>
        <v>3000</v>
      </c>
      <c r="R104" s="1245"/>
      <c r="S104" s="1124"/>
      <c r="T104" s="1247">
        <f>3000</f>
        <v>3000</v>
      </c>
      <c r="U104" s="1018">
        <f t="shared" si="35"/>
        <v>1</v>
      </c>
      <c r="V104" s="1261" t="s">
        <v>750</v>
      </c>
    </row>
    <row r="105" spans="1:22" s="1244" customFormat="1" ht="33.75" customHeight="1">
      <c r="A105" s="1235" t="s">
        <v>751</v>
      </c>
      <c r="B105" s="1262" t="s">
        <v>752</v>
      </c>
      <c r="C105" s="1196" t="s">
        <v>246</v>
      </c>
      <c r="D105" s="1236" t="s">
        <v>603</v>
      </c>
      <c r="E105" s="1209">
        <v>3</v>
      </c>
      <c r="F105" s="1209">
        <v>5000</v>
      </c>
      <c r="G105" s="1209">
        <v>1</v>
      </c>
      <c r="H105" s="1198">
        <f>+E105*F105*G105</f>
        <v>15000</v>
      </c>
      <c r="I105" s="1136"/>
      <c r="J105" s="1136"/>
      <c r="K105" s="1258">
        <v>0</v>
      </c>
      <c r="L105" s="1258">
        <v>0</v>
      </c>
      <c r="M105" s="1258">
        <v>0</v>
      </c>
      <c r="N105" s="1259">
        <f>K105*L105*M105</f>
        <v>0</v>
      </c>
      <c r="O105" s="1260"/>
      <c r="P105" s="1260"/>
      <c r="Q105" s="1198">
        <f>H105+N105</f>
        <v>15000</v>
      </c>
      <c r="R105" s="1245"/>
      <c r="S105" s="1124"/>
      <c r="T105" s="1247">
        <f>15000</f>
        <v>15000</v>
      </c>
      <c r="U105" s="1018">
        <f t="shared" si="35"/>
        <v>1</v>
      </c>
      <c r="V105" s="1261" t="s">
        <v>753</v>
      </c>
    </row>
    <row r="106" spans="1:22" s="1244" customFormat="1" ht="25.5" customHeight="1">
      <c r="A106" s="1235"/>
      <c r="B106" s="1263"/>
      <c r="C106" s="1264"/>
      <c r="D106" s="1251" t="s">
        <v>47</v>
      </c>
      <c r="E106" s="1251"/>
      <c r="F106" s="1251"/>
      <c r="G106" s="1251"/>
      <c r="H106" s="1034">
        <f>SUM(H102:H105)</f>
        <v>23800</v>
      </c>
      <c r="I106" s="1035"/>
      <c r="J106" s="1034"/>
      <c r="K106" s="1034"/>
      <c r="L106" s="1034"/>
      <c r="M106" s="1034"/>
      <c r="N106" s="1265">
        <f>SUM(N102:N105)</f>
        <v>0</v>
      </c>
      <c r="O106" s="1252"/>
      <c r="P106" s="1253"/>
      <c r="Q106" s="1034">
        <f>SUM(Q102:Q105)</f>
        <v>23800</v>
      </c>
      <c r="R106" s="1035"/>
      <c r="S106" s="1034"/>
      <c r="T106" s="1034">
        <f>SUBTOTAL(9,T102:T105)</f>
        <v>23800</v>
      </c>
      <c r="U106" s="1045">
        <f t="shared" si="35"/>
        <v>1</v>
      </c>
      <c r="V106" s="1034"/>
    </row>
    <row r="107" spans="1:22" s="1244" customFormat="1" ht="21.75" customHeight="1">
      <c r="A107" s="2582" t="s">
        <v>249</v>
      </c>
      <c r="B107" s="2583"/>
      <c r="C107" s="2583"/>
      <c r="D107" s="2583"/>
      <c r="E107" s="2583"/>
      <c r="F107" s="2583"/>
      <c r="G107" s="2583"/>
      <c r="H107" s="2583"/>
      <c r="I107" s="2584"/>
      <c r="J107" s="2583"/>
      <c r="K107" s="2583"/>
      <c r="L107" s="2583"/>
      <c r="M107" s="2583"/>
      <c r="N107" s="2583"/>
      <c r="O107" s="2585"/>
      <c r="P107" s="2583"/>
      <c r="Q107" s="2583"/>
      <c r="R107" s="2585"/>
      <c r="S107" s="2583"/>
      <c r="T107" s="2583"/>
      <c r="U107" s="2583"/>
      <c r="V107" s="2586"/>
    </row>
    <row r="108" spans="1:22" s="1244" customFormat="1" ht="47.25">
      <c r="A108" s="1235" t="s">
        <v>754</v>
      </c>
      <c r="B108" s="1205" t="s">
        <v>755</v>
      </c>
      <c r="C108" s="1196" t="s">
        <v>33</v>
      </c>
      <c r="D108" s="1266" t="s">
        <v>603</v>
      </c>
      <c r="E108" s="1209">
        <v>3</v>
      </c>
      <c r="F108" s="1209">
        <v>3000</v>
      </c>
      <c r="G108" s="1209">
        <v>1</v>
      </c>
      <c r="H108" s="1198">
        <f>E108*F108*G108</f>
        <v>9000</v>
      </c>
      <c r="I108" s="1267"/>
      <c r="J108" s="1268"/>
      <c r="K108" s="1268"/>
      <c r="L108" s="1268"/>
      <c r="M108" s="1268"/>
      <c r="N108" s="1269">
        <v>0</v>
      </c>
      <c r="O108" s="1238"/>
      <c r="P108" s="1239"/>
      <c r="Q108" s="1198">
        <f>H108+N108</f>
        <v>9000</v>
      </c>
      <c r="R108" s="1240"/>
      <c r="S108" s="1241"/>
      <c r="T108" s="1242">
        <f>9000</f>
        <v>9000</v>
      </c>
      <c r="U108" s="1018">
        <f>+T108/H108</f>
        <v>1</v>
      </c>
      <c r="V108" s="1243" t="s">
        <v>756</v>
      </c>
    </row>
    <row r="109" spans="1:22" s="1244" customFormat="1" ht="27" customHeight="1">
      <c r="A109" s="1235" t="s">
        <v>757</v>
      </c>
      <c r="B109" s="1205" t="s">
        <v>755</v>
      </c>
      <c r="C109" s="1196" t="s">
        <v>33</v>
      </c>
      <c r="D109" s="1266" t="s">
        <v>603</v>
      </c>
      <c r="E109" s="1209">
        <v>3</v>
      </c>
      <c r="F109" s="1209">
        <v>3000</v>
      </c>
      <c r="G109" s="1209">
        <v>1</v>
      </c>
      <c r="H109" s="1198">
        <f>E109*F109*G109</f>
        <v>9000</v>
      </c>
      <c r="I109" s="1267"/>
      <c r="J109" s="1268"/>
      <c r="K109" s="1268"/>
      <c r="L109" s="1268"/>
      <c r="M109" s="1268"/>
      <c r="N109" s="1269">
        <v>0</v>
      </c>
      <c r="O109" s="1238"/>
      <c r="P109" s="1239"/>
      <c r="Q109" s="1198">
        <f>H109+N109</f>
        <v>9000</v>
      </c>
      <c r="R109" s="1240"/>
      <c r="S109" s="1241"/>
      <c r="T109" s="1242">
        <f>9000</f>
        <v>9000</v>
      </c>
      <c r="U109" s="1018">
        <f t="shared" ref="U109:U110" si="36">+T109/H109</f>
        <v>1</v>
      </c>
      <c r="V109" s="1011" t="s">
        <v>758</v>
      </c>
    </row>
    <row r="110" spans="1:22" s="1244" customFormat="1" ht="21.75" customHeight="1">
      <c r="A110" s="1235"/>
      <c r="B110" s="1270"/>
      <c r="C110" s="1235"/>
      <c r="D110" s="1251" t="s">
        <v>47</v>
      </c>
      <c r="E110" s="1251"/>
      <c r="F110" s="1251"/>
      <c r="G110" s="1251"/>
      <c r="H110" s="1034">
        <f>SUM(H108:H109)</f>
        <v>18000</v>
      </c>
      <c r="I110" s="1035"/>
      <c r="J110" s="1034"/>
      <c r="K110" s="1034"/>
      <c r="L110" s="1034"/>
      <c r="M110" s="1034"/>
      <c r="N110" s="1265">
        <v>0</v>
      </c>
      <c r="O110" s="1252"/>
      <c r="P110" s="1253"/>
      <c r="Q110" s="1034">
        <f>SUM(Q108:Q109)</f>
        <v>18000</v>
      </c>
      <c r="R110" s="1035"/>
      <c r="S110" s="1034"/>
      <c r="T110" s="1034">
        <f>SUBTOTAL(9,T108:T109)</f>
        <v>18000</v>
      </c>
      <c r="U110" s="1045">
        <f t="shared" si="36"/>
        <v>1</v>
      </c>
      <c r="V110" s="1034"/>
    </row>
    <row r="111" spans="1:22" s="1244" customFormat="1" ht="24" customHeight="1">
      <c r="A111" s="2582" t="s">
        <v>255</v>
      </c>
      <c r="B111" s="2583"/>
      <c r="C111" s="2583"/>
      <c r="D111" s="2583"/>
      <c r="E111" s="2583"/>
      <c r="F111" s="2583"/>
      <c r="G111" s="2583"/>
      <c r="H111" s="2583"/>
      <c r="I111" s="2584"/>
      <c r="J111" s="2583"/>
      <c r="K111" s="2583"/>
      <c r="L111" s="2583"/>
      <c r="M111" s="2583"/>
      <c r="N111" s="2583"/>
      <c r="O111" s="2585"/>
      <c r="P111" s="2583"/>
      <c r="Q111" s="2583"/>
      <c r="R111" s="2585"/>
      <c r="S111" s="2583"/>
      <c r="T111" s="2583"/>
      <c r="U111" s="2583"/>
      <c r="V111" s="2586"/>
    </row>
    <row r="112" spans="1:22" s="1244" customFormat="1" ht="30.75" customHeight="1">
      <c r="A112" s="1235" t="s">
        <v>759</v>
      </c>
      <c r="B112" s="1271" t="s">
        <v>760</v>
      </c>
      <c r="C112" s="1196" t="s">
        <v>40</v>
      </c>
      <c r="D112" s="1266" t="s">
        <v>603</v>
      </c>
      <c r="E112" s="1209">
        <v>1</v>
      </c>
      <c r="F112" s="1209">
        <v>6569</v>
      </c>
      <c r="G112" s="1209">
        <v>1</v>
      </c>
      <c r="H112" s="1198">
        <f>E112*F112*G112</f>
        <v>6569</v>
      </c>
      <c r="I112" s="1267"/>
      <c r="J112" s="1268"/>
      <c r="K112" s="1213">
        <v>1</v>
      </c>
      <c r="L112" s="1213">
        <v>600</v>
      </c>
      <c r="M112" s="1272">
        <v>1</v>
      </c>
      <c r="N112" s="1198">
        <f>K112*L112*M112</f>
        <v>600</v>
      </c>
      <c r="O112" s="1238"/>
      <c r="P112" s="1256"/>
      <c r="Q112" s="1198">
        <f>H112+N112</f>
        <v>7169</v>
      </c>
      <c r="R112" s="1240"/>
      <c r="S112" s="1241"/>
      <c r="T112" s="1242">
        <f>2700+3060+480+680</f>
        <v>6920</v>
      </c>
      <c r="U112" s="1018">
        <f>+T112/H112</f>
        <v>1.053432790379053</v>
      </c>
      <c r="V112" s="1011" t="s">
        <v>761</v>
      </c>
    </row>
    <row r="113" spans="1:28" s="1244" customFormat="1" ht="62.25" customHeight="1">
      <c r="A113" s="1235" t="s">
        <v>762</v>
      </c>
      <c r="B113" s="1271" t="s">
        <v>763</v>
      </c>
      <c r="C113" s="1196" t="s">
        <v>40</v>
      </c>
      <c r="D113" s="1266" t="s">
        <v>603</v>
      </c>
      <c r="E113" s="1209">
        <v>1</v>
      </c>
      <c r="F113" s="1209">
        <v>2717.5</v>
      </c>
      <c r="G113" s="1209">
        <v>2</v>
      </c>
      <c r="H113" s="1198">
        <f>E113*F113*G113</f>
        <v>5435</v>
      </c>
      <c r="I113" s="1136">
        <v>0.3</v>
      </c>
      <c r="J113" s="1136"/>
      <c r="K113" s="1133">
        <v>1</v>
      </c>
      <c r="L113" s="1133">
        <v>2717.5</v>
      </c>
      <c r="M113" s="1133">
        <v>2</v>
      </c>
      <c r="N113" s="1198">
        <f>K113*L113*M113</f>
        <v>5435</v>
      </c>
      <c r="O113" s="1136"/>
      <c r="P113" s="1136"/>
      <c r="Q113" s="1198">
        <f>H113+N113</f>
        <v>10870</v>
      </c>
      <c r="R113" s="1136"/>
      <c r="S113" s="1124"/>
      <c r="T113" s="1247">
        <f>1606+940+709</f>
        <v>3255</v>
      </c>
      <c r="U113" s="1018">
        <f t="shared" ref="U113:U114" si="37">+T113/H113</f>
        <v>0.59889604415823372</v>
      </c>
      <c r="V113" s="1248" t="s">
        <v>764</v>
      </c>
    </row>
    <row r="114" spans="1:28" s="1244" customFormat="1" ht="19.5" customHeight="1">
      <c r="A114" s="1235"/>
      <c r="B114" s="1270"/>
      <c r="C114" s="1235"/>
      <c r="D114" s="1251" t="s">
        <v>47</v>
      </c>
      <c r="E114" s="1251"/>
      <c r="F114" s="1251"/>
      <c r="G114" s="1251"/>
      <c r="H114" s="1034">
        <f>SUM(H112:H113)</f>
        <v>12004</v>
      </c>
      <c r="I114" s="1035"/>
      <c r="J114" s="1034"/>
      <c r="K114" s="1034"/>
      <c r="L114" s="1034"/>
      <c r="M114" s="1034"/>
      <c r="N114" s="1034">
        <f>SUM(N112:N113)</f>
        <v>6035</v>
      </c>
      <c r="O114" s="1252"/>
      <c r="P114" s="1253"/>
      <c r="Q114" s="1034">
        <f>SUM(Q112:Q113)</f>
        <v>18039</v>
      </c>
      <c r="R114" s="1035"/>
      <c r="S114" s="1034"/>
      <c r="T114" s="1034">
        <f>SUBTOTAL(9,T112:T113)</f>
        <v>10175</v>
      </c>
      <c r="U114" s="1045">
        <f t="shared" si="37"/>
        <v>0.84763412195934684</v>
      </c>
      <c r="V114" s="1034"/>
    </row>
    <row r="115" spans="1:28" s="1244" customFormat="1" ht="21.75" customHeight="1">
      <c r="A115" s="2582" t="s">
        <v>260</v>
      </c>
      <c r="B115" s="2583"/>
      <c r="C115" s="2583"/>
      <c r="D115" s="2583"/>
      <c r="E115" s="2583"/>
      <c r="F115" s="2583"/>
      <c r="G115" s="2583"/>
      <c r="H115" s="2583"/>
      <c r="I115" s="2584"/>
      <c r="J115" s="2583"/>
      <c r="K115" s="2583"/>
      <c r="L115" s="2583"/>
      <c r="M115" s="2583"/>
      <c r="N115" s="2583"/>
      <c r="O115" s="2585"/>
      <c r="P115" s="2583"/>
      <c r="Q115" s="2583"/>
      <c r="R115" s="2585"/>
      <c r="S115" s="2583"/>
      <c r="T115" s="2583"/>
      <c r="U115" s="2583"/>
      <c r="V115" s="2586"/>
    </row>
    <row r="116" spans="1:28" s="1244" customFormat="1" ht="21" customHeight="1">
      <c r="A116" s="1235"/>
      <c r="B116" s="1249"/>
      <c r="C116" s="1250"/>
      <c r="D116" s="1273"/>
      <c r="E116" s="1274"/>
      <c r="F116" s="1274"/>
      <c r="G116" s="1274"/>
      <c r="H116" s="1254">
        <v>0</v>
      </c>
      <c r="I116" s="1240"/>
      <c r="J116" s="1241"/>
      <c r="K116" s="1241"/>
      <c r="L116" s="1241"/>
      <c r="M116" s="1241"/>
      <c r="N116" s="1254">
        <v>0</v>
      </c>
      <c r="O116" s="1255"/>
      <c r="P116" s="1256"/>
      <c r="Q116" s="1254">
        <f>H116+N116</f>
        <v>0</v>
      </c>
      <c r="R116" s="1240"/>
      <c r="S116" s="1241"/>
      <c r="T116" s="1275"/>
      <c r="U116" s="1241"/>
      <c r="V116" s="1241"/>
    </row>
    <row r="117" spans="1:28" s="1244" customFormat="1" ht="18.75" customHeight="1">
      <c r="A117" s="1235"/>
      <c r="B117" s="1249"/>
      <c r="C117" s="1250"/>
      <c r="D117" s="1273"/>
      <c r="E117" s="1274"/>
      <c r="F117" s="1274"/>
      <c r="G117" s="1274"/>
      <c r="H117" s="1254">
        <v>0</v>
      </c>
      <c r="I117" s="1240"/>
      <c r="J117" s="1241"/>
      <c r="K117" s="1241"/>
      <c r="L117" s="1241"/>
      <c r="M117" s="1241"/>
      <c r="N117" s="1254">
        <v>0</v>
      </c>
      <c r="O117" s="1255"/>
      <c r="P117" s="1256"/>
      <c r="Q117" s="1254">
        <f>H117+N117</f>
        <v>0</v>
      </c>
      <c r="R117" s="1240"/>
      <c r="S117" s="1241"/>
      <c r="T117" s="1275"/>
      <c r="U117" s="1241"/>
      <c r="V117" s="1241"/>
    </row>
    <row r="118" spans="1:28" s="1244" customFormat="1" ht="19.5" customHeight="1">
      <c r="A118" s="1235"/>
      <c r="B118" s="1263"/>
      <c r="C118" s="1264"/>
      <c r="D118" s="1251" t="s">
        <v>47</v>
      </c>
      <c r="E118" s="1251"/>
      <c r="F118" s="1251"/>
      <c r="G118" s="1251"/>
      <c r="H118" s="1265">
        <f>SUM(H116:H117)</f>
        <v>0</v>
      </c>
      <c r="I118" s="1035"/>
      <c r="J118" s="1034"/>
      <c r="K118" s="1034"/>
      <c r="L118" s="1034"/>
      <c r="M118" s="1034"/>
      <c r="N118" s="1265">
        <f>SUM(N116:N117)</f>
        <v>0</v>
      </c>
      <c r="O118" s="1252"/>
      <c r="P118" s="1253"/>
      <c r="Q118" s="1265">
        <f>SUM(Q116:Q117)</f>
        <v>0</v>
      </c>
      <c r="R118" s="1035"/>
      <c r="S118" s="1034"/>
      <c r="T118" s="1034">
        <f>SUBTOTAL(9,T116:T117)</f>
        <v>0</v>
      </c>
      <c r="U118" s="1034"/>
      <c r="V118" s="1034"/>
    </row>
    <row r="119" spans="1:28" s="1244" customFormat="1" ht="24.75" customHeight="1">
      <c r="A119" s="2582" t="s">
        <v>262</v>
      </c>
      <c r="B119" s="2583"/>
      <c r="C119" s="2583"/>
      <c r="D119" s="2583"/>
      <c r="E119" s="2583"/>
      <c r="F119" s="2583"/>
      <c r="G119" s="2583"/>
      <c r="H119" s="2583"/>
      <c r="I119" s="2584"/>
      <c r="J119" s="2583"/>
      <c r="K119" s="2583"/>
      <c r="L119" s="2583"/>
      <c r="M119" s="2583"/>
      <c r="N119" s="2583"/>
      <c r="O119" s="2585"/>
      <c r="P119" s="2583"/>
      <c r="Q119" s="2583"/>
      <c r="R119" s="2585"/>
      <c r="S119" s="2583"/>
      <c r="T119" s="2583"/>
      <c r="U119" s="2583"/>
      <c r="V119" s="2586"/>
    </row>
    <row r="120" spans="1:28" s="1244" customFormat="1" ht="72.75" customHeight="1">
      <c r="A120" s="1235" t="s">
        <v>765</v>
      </c>
      <c r="B120" s="1205" t="s">
        <v>766</v>
      </c>
      <c r="C120" s="1276" t="s">
        <v>263</v>
      </c>
      <c r="D120" s="1236" t="s">
        <v>611</v>
      </c>
      <c r="E120" s="1209">
        <v>1</v>
      </c>
      <c r="F120" s="1209">
        <v>90</v>
      </c>
      <c r="G120" s="1209">
        <v>12</v>
      </c>
      <c r="H120" s="1198">
        <f>E120*F120*G120</f>
        <v>1080</v>
      </c>
      <c r="I120" s="1240"/>
      <c r="J120" s="1241"/>
      <c r="K120" s="1209"/>
      <c r="L120" s="1209"/>
      <c r="M120" s="1209"/>
      <c r="N120" s="1198">
        <v>0</v>
      </c>
      <c r="O120" s="1255"/>
      <c r="P120" s="1256"/>
      <c r="Q120" s="1198">
        <f>H120+N120</f>
        <v>1080</v>
      </c>
      <c r="R120" s="1240"/>
      <c r="S120" s="1241"/>
      <c r="T120" s="1242">
        <f>2831.85+728.16+546.62+149.91</f>
        <v>4256.54</v>
      </c>
      <c r="U120" s="1018">
        <f>+T120/H120</f>
        <v>3.9412407407407408</v>
      </c>
      <c r="V120" s="1243" t="s">
        <v>767</v>
      </c>
    </row>
    <row r="121" spans="1:28" s="1244" customFormat="1" ht="46.5" customHeight="1">
      <c r="A121" s="1235" t="s">
        <v>768</v>
      </c>
      <c r="B121" s="1205" t="s">
        <v>769</v>
      </c>
      <c r="C121" s="1277" t="s">
        <v>263</v>
      </c>
      <c r="D121" s="1236" t="s">
        <v>611</v>
      </c>
      <c r="E121" s="1209">
        <v>1</v>
      </c>
      <c r="F121" s="1209">
        <v>875</v>
      </c>
      <c r="G121" s="1209">
        <v>4</v>
      </c>
      <c r="H121" s="1198">
        <f>E121*F121*G121</f>
        <v>3500</v>
      </c>
      <c r="I121" s="1082"/>
      <c r="J121" s="1136"/>
      <c r="K121" s="1209">
        <v>1</v>
      </c>
      <c r="L121" s="1209">
        <v>875</v>
      </c>
      <c r="M121" s="1209">
        <v>4</v>
      </c>
      <c r="N121" s="1198">
        <f>K121*L121*M121</f>
        <v>3500</v>
      </c>
      <c r="O121" s="1082"/>
      <c r="P121" s="1136"/>
      <c r="Q121" s="1198">
        <f>H121+N121</f>
        <v>7000</v>
      </c>
      <c r="R121" s="1082"/>
      <c r="S121" s="1124">
        <f>Q121*R121</f>
        <v>0</v>
      </c>
      <c r="T121" s="1247">
        <f>606+110+1585+810</f>
        <v>3111</v>
      </c>
      <c r="U121" s="1018">
        <f t="shared" ref="U121:U126" si="38">+T121/H121</f>
        <v>0.8888571428571429</v>
      </c>
      <c r="V121" s="1248" t="s">
        <v>770</v>
      </c>
    </row>
    <row r="122" spans="1:28" s="1244" customFormat="1" ht="101.25" customHeight="1">
      <c r="A122" s="1235" t="s">
        <v>771</v>
      </c>
      <c r="B122" s="1271" t="s">
        <v>772</v>
      </c>
      <c r="C122" s="1277" t="s">
        <v>263</v>
      </c>
      <c r="D122" s="1236" t="s">
        <v>611</v>
      </c>
      <c r="E122" s="1209">
        <v>1</v>
      </c>
      <c r="F122" s="1209">
        <v>1600</v>
      </c>
      <c r="G122" s="1209">
        <v>4</v>
      </c>
      <c r="H122" s="1198">
        <f>E122*F122*G122</f>
        <v>6400</v>
      </c>
      <c r="I122" s="1082"/>
      <c r="J122" s="1136"/>
      <c r="K122" s="1209">
        <v>1</v>
      </c>
      <c r="L122" s="1209">
        <v>1600</v>
      </c>
      <c r="M122" s="1209">
        <v>4</v>
      </c>
      <c r="N122" s="1198">
        <f>K122*L122*M122</f>
        <v>6400</v>
      </c>
      <c r="O122" s="1082"/>
      <c r="P122" s="1136"/>
      <c r="Q122" s="1198">
        <f>H122+N122</f>
        <v>12800</v>
      </c>
      <c r="R122" s="1082"/>
      <c r="S122" s="1124">
        <f>Q122*R122</f>
        <v>0</v>
      </c>
      <c r="T122" s="1247">
        <f>1672+3128+1000</f>
        <v>5800</v>
      </c>
      <c r="U122" s="1018">
        <f t="shared" si="38"/>
        <v>0.90625</v>
      </c>
      <c r="V122" s="1248" t="s">
        <v>773</v>
      </c>
    </row>
    <row r="123" spans="1:28" s="1244" customFormat="1" ht="54.75" customHeight="1">
      <c r="A123" s="1235" t="s">
        <v>774</v>
      </c>
      <c r="B123" s="1205" t="s">
        <v>775</v>
      </c>
      <c r="C123" s="1277" t="s">
        <v>263</v>
      </c>
      <c r="D123" s="1236" t="s">
        <v>611</v>
      </c>
      <c r="E123" s="1209">
        <v>7</v>
      </c>
      <c r="F123" s="1209">
        <v>737.8</v>
      </c>
      <c r="G123" s="1209">
        <v>1</v>
      </c>
      <c r="H123" s="1198">
        <f>E123*F123*G123</f>
        <v>5164.5999999999995</v>
      </c>
      <c r="I123" s="1082"/>
      <c r="J123" s="1136"/>
      <c r="K123" s="1209">
        <v>7</v>
      </c>
      <c r="L123" s="1209">
        <v>737.75</v>
      </c>
      <c r="M123" s="1209">
        <v>1</v>
      </c>
      <c r="N123" s="1198">
        <f>K123*L123*M123</f>
        <v>5164.25</v>
      </c>
      <c r="O123" s="1082"/>
      <c r="P123" s="1136"/>
      <c r="Q123" s="1198">
        <f>H123+N123</f>
        <v>10328.849999999999</v>
      </c>
      <c r="R123" s="1082"/>
      <c r="S123" s="1124">
        <f>Q123*R123</f>
        <v>0</v>
      </c>
      <c r="T123" s="1247">
        <f>150</f>
        <v>150</v>
      </c>
      <c r="U123" s="1018">
        <f t="shared" si="38"/>
        <v>2.9043875614762037E-2</v>
      </c>
      <c r="V123" s="1261" t="s">
        <v>776</v>
      </c>
    </row>
    <row r="124" spans="1:28" s="1244" customFormat="1" ht="81.75" customHeight="1">
      <c r="A124" s="1235" t="s">
        <v>777</v>
      </c>
      <c r="B124" s="1271" t="s">
        <v>778</v>
      </c>
      <c r="C124" s="1277" t="s">
        <v>263</v>
      </c>
      <c r="D124" s="1236" t="s">
        <v>611</v>
      </c>
      <c r="E124" s="1209">
        <v>1</v>
      </c>
      <c r="F124" s="1209">
        <v>2920</v>
      </c>
      <c r="G124" s="1209">
        <v>4</v>
      </c>
      <c r="H124" s="1198">
        <f>E124*F124*G124</f>
        <v>11680</v>
      </c>
      <c r="I124" s="1082"/>
      <c r="J124" s="1136"/>
      <c r="K124" s="1209">
        <v>1</v>
      </c>
      <c r="L124" s="1209">
        <v>2920</v>
      </c>
      <c r="M124" s="1209">
        <v>4</v>
      </c>
      <c r="N124" s="1198">
        <f>K124*L124*M124</f>
        <v>11680</v>
      </c>
      <c r="O124" s="1082"/>
      <c r="P124" s="1136"/>
      <c r="Q124" s="1198">
        <f>H124+N124</f>
        <v>23360</v>
      </c>
      <c r="R124" s="1082"/>
      <c r="S124" s="1124">
        <f>Q124*R124</f>
        <v>0</v>
      </c>
      <c r="T124" s="1247">
        <f>2725+120+3250+3000</f>
        <v>9095</v>
      </c>
      <c r="U124" s="1018">
        <f t="shared" si="38"/>
        <v>0.77868150684931503</v>
      </c>
      <c r="V124" s="1278" t="s">
        <v>779</v>
      </c>
    </row>
    <row r="125" spans="1:28" s="1203" customFormat="1" ht="19.5" customHeight="1">
      <c r="A125" s="1227"/>
      <c r="B125" s="1228"/>
      <c r="C125" s="1229"/>
      <c r="D125" s="169" t="s">
        <v>47</v>
      </c>
      <c r="E125" s="169"/>
      <c r="F125" s="169"/>
      <c r="G125" s="169"/>
      <c r="H125" s="1232">
        <f>SUM(H120:H124)</f>
        <v>27824.6</v>
      </c>
      <c r="I125" s="1233"/>
      <c r="J125" s="1232"/>
      <c r="K125" s="1232"/>
      <c r="L125" s="1232"/>
      <c r="M125" s="1232"/>
      <c r="N125" s="1279">
        <f>SUM(N120:N124)</f>
        <v>26744.25</v>
      </c>
      <c r="O125" s="1280"/>
      <c r="P125" s="1281"/>
      <c r="Q125" s="1232">
        <f>SUM(Q120:Q124)</f>
        <v>54568.85</v>
      </c>
      <c r="R125" s="1282"/>
      <c r="S125" s="1283"/>
      <c r="T125" s="1034">
        <f>SUBTOTAL(9,T120:T124)</f>
        <v>22412.54</v>
      </c>
      <c r="U125" s="1045">
        <f t="shared" si="38"/>
        <v>0.80549369981958419</v>
      </c>
      <c r="V125" s="1234"/>
    </row>
    <row r="126" spans="1:28" s="1289" customFormat="1" ht="23.25" customHeight="1">
      <c r="A126" s="2518" t="s">
        <v>265</v>
      </c>
      <c r="B126" s="2519"/>
      <c r="C126" s="2520"/>
      <c r="D126" s="1284"/>
      <c r="E126" s="1284"/>
      <c r="F126" s="1284"/>
      <c r="G126" s="1284"/>
      <c r="H126" s="1285">
        <f>H96+H100+H106+H110+H114+H118+H125</f>
        <v>148477.12</v>
      </c>
      <c r="I126" s="1285">
        <f>J126/H126*100</f>
        <v>9.9409255782978558</v>
      </c>
      <c r="J126" s="1285">
        <f>J96+J100+J106+J110+J114+J118+J125</f>
        <v>14760</v>
      </c>
      <c r="K126" s="1286"/>
      <c r="L126" s="1286"/>
      <c r="M126" s="1286"/>
      <c r="N126" s="1285">
        <f>N96+N100+N106+N110+N114+N118+N125</f>
        <v>89991.77</v>
      </c>
      <c r="O126" s="1285">
        <f>P126/N126*100</f>
        <v>11.449935921918193</v>
      </c>
      <c r="P126" s="1285">
        <f>P96+P100+P106+P110+P114+P118+P125</f>
        <v>10304</v>
      </c>
      <c r="Q126" s="1285">
        <f>Q96+Q100+Q106+Q110+Q114+Q118+Q125</f>
        <v>238468.89</v>
      </c>
      <c r="R126" s="1285">
        <f>S126/Q126*100</f>
        <v>10.510385652401032</v>
      </c>
      <c r="S126" s="1285">
        <f>S96+S100+S106+S110+S114+S118+S125</f>
        <v>25064</v>
      </c>
      <c r="T126" s="1285">
        <f>T96+T100+T106+T110+T114+T118+T125</f>
        <v>131198.09</v>
      </c>
      <c r="U126" s="1179">
        <f t="shared" si="38"/>
        <v>0.88362496524717071</v>
      </c>
      <c r="V126" s="1287"/>
      <c r="W126" s="1288"/>
      <c r="X126" s="1288"/>
      <c r="Y126" s="1288"/>
      <c r="Z126" s="1288"/>
      <c r="AA126" s="1288"/>
      <c r="AB126" s="1288"/>
    </row>
    <row r="127" spans="1:28">
      <c r="A127" s="2571"/>
      <c r="B127" s="2572"/>
      <c r="C127" s="2572"/>
      <c r="D127" s="2575" t="s">
        <v>780</v>
      </c>
      <c r="E127" s="1290"/>
      <c r="F127" s="1290"/>
      <c r="G127" s="1290"/>
      <c r="H127" s="1291" t="s">
        <v>267</v>
      </c>
      <c r="I127" s="1292"/>
      <c r="J127" s="1291"/>
      <c r="K127" s="1291"/>
      <c r="L127" s="1291"/>
      <c r="M127" s="1291"/>
      <c r="N127" s="1293" t="s">
        <v>268</v>
      </c>
      <c r="O127" s="1294"/>
      <c r="P127" s="1295"/>
      <c r="Q127" s="1293"/>
      <c r="R127" s="1292"/>
      <c r="S127" s="1293"/>
      <c r="T127" s="1293"/>
      <c r="U127" s="1293"/>
      <c r="V127" s="1293"/>
    </row>
    <row r="128" spans="1:28" ht="27" customHeight="1">
      <c r="A128" s="2573"/>
      <c r="B128" s="2574"/>
      <c r="C128" s="2574"/>
      <c r="D128" s="2576"/>
      <c r="E128" s="1290"/>
      <c r="F128" s="1290"/>
      <c r="G128" s="1290"/>
      <c r="H128" s="1296">
        <f>H83+H126</f>
        <v>438895.72</v>
      </c>
      <c r="I128" s="1296">
        <f>J128/H128*100</f>
        <v>15.097348181021223</v>
      </c>
      <c r="J128" s="1296">
        <f>J83+J126</f>
        <v>66261.614999999991</v>
      </c>
      <c r="K128" s="1297"/>
      <c r="L128" s="1297"/>
      <c r="M128" s="1297"/>
      <c r="N128" s="1298">
        <f>N83+N126</f>
        <v>276057.77</v>
      </c>
      <c r="O128" s="1298">
        <f>P128/N128*100</f>
        <v>23.706885700047494</v>
      </c>
      <c r="P128" s="1298">
        <f>P83+P126</f>
        <v>65444.7</v>
      </c>
      <c r="Q128" s="1299">
        <f>Q83+Q126</f>
        <v>714953.49</v>
      </c>
      <c r="R128" s="1299">
        <f>S128/Q128*100</f>
        <v>18.592215697835115</v>
      </c>
      <c r="S128" s="1299">
        <f>S83+S126</f>
        <v>132925.69500000001</v>
      </c>
      <c r="T128" s="1299">
        <f>T83+T126</f>
        <v>271848.95999999996</v>
      </c>
      <c r="U128" s="1300">
        <f>+T128/H128</f>
        <v>0.61939305309242931</v>
      </c>
      <c r="V128" s="1301"/>
    </row>
    <row r="129" spans="1:25" ht="26.25" customHeight="1">
      <c r="A129" s="2577"/>
      <c r="B129" s="2578"/>
      <c r="C129" s="2578"/>
      <c r="D129" s="1302" t="s">
        <v>781</v>
      </c>
      <c r="E129" s="1302"/>
      <c r="F129" s="1302"/>
      <c r="G129" s="1302"/>
      <c r="H129" s="1303">
        <f>H128*0.07</f>
        <v>30722.700400000002</v>
      </c>
      <c r="I129" s="1304"/>
      <c r="J129" s="1305"/>
      <c r="K129" s="1305"/>
      <c r="L129" s="1305"/>
      <c r="M129" s="1305"/>
      <c r="N129" s="1306">
        <f>N128*0.07</f>
        <v>19324.043900000004</v>
      </c>
      <c r="O129" s="1307"/>
      <c r="P129" s="1308"/>
      <c r="Q129" s="1309">
        <f>Q128*0.07</f>
        <v>50046.744300000006</v>
      </c>
      <c r="R129" s="1304"/>
      <c r="S129" s="1305"/>
      <c r="T129" s="1305">
        <f>5005+8032.5+8861.5</f>
        <v>21899</v>
      </c>
      <c r="U129" s="1069">
        <f t="shared" ref="U129:U130" si="39">+T129/H129</f>
        <v>0.71279541560090198</v>
      </c>
      <c r="V129" s="1305"/>
    </row>
    <row r="130" spans="1:25" ht="34.5" customHeight="1">
      <c r="A130" s="2577"/>
      <c r="B130" s="2578"/>
      <c r="C130" s="2578"/>
      <c r="D130" s="1310" t="s">
        <v>273</v>
      </c>
      <c r="E130" s="1311"/>
      <c r="F130" s="1311"/>
      <c r="G130" s="1311"/>
      <c r="H130" s="1303">
        <f>H128+H129</f>
        <v>469618.42039999994</v>
      </c>
      <c r="I130" s="1303">
        <f>J130/H130*100</f>
        <v>14.109671197216095</v>
      </c>
      <c r="J130" s="1303">
        <f>J128+J129</f>
        <v>66261.614999999991</v>
      </c>
      <c r="K130" s="1305"/>
      <c r="L130" s="1305"/>
      <c r="M130" s="1305"/>
      <c r="N130" s="1306">
        <f>N128+N129</f>
        <v>295381.81390000001</v>
      </c>
      <c r="O130" s="1306">
        <f>P130/N130*100</f>
        <v>22.155967943969618</v>
      </c>
      <c r="P130" s="1306">
        <f>P128+P129</f>
        <v>65444.7</v>
      </c>
      <c r="Q130" s="1309">
        <f>Q128+Q129</f>
        <v>765000.23430000001</v>
      </c>
      <c r="R130" s="1309">
        <f>S130/Q130*100</f>
        <v>17.375902521341228</v>
      </c>
      <c r="S130" s="1309">
        <f>S128+S129</f>
        <v>132925.69500000001</v>
      </c>
      <c r="T130" s="1312">
        <f>T128+T129</f>
        <v>293747.95999999996</v>
      </c>
      <c r="U130" s="1069">
        <f t="shared" si="39"/>
        <v>0.62550348802289013</v>
      </c>
      <c r="V130" s="1313" t="s">
        <v>782</v>
      </c>
      <c r="X130" s="1314"/>
      <c r="Y130" s="1314"/>
    </row>
    <row r="131" spans="1:25">
      <c r="A131" s="1051"/>
      <c r="V131" s="1316"/>
    </row>
    <row r="132" spans="1:25" ht="16.5" thickBot="1">
      <c r="A132" s="1317" t="s">
        <v>783</v>
      </c>
      <c r="B132" s="1318"/>
      <c r="C132" s="1318"/>
      <c r="D132" s="1318"/>
      <c r="E132" s="1319"/>
      <c r="F132" s="1051"/>
      <c r="G132" s="1051">
        <v>33051</v>
      </c>
      <c r="H132" s="1320"/>
      <c r="I132" s="1321"/>
      <c r="J132" s="1051"/>
      <c r="K132" s="1051"/>
      <c r="L132" s="1051"/>
      <c r="M132" s="1051"/>
      <c r="N132" s="987"/>
      <c r="O132" s="986"/>
      <c r="P132" s="987"/>
      <c r="Q132" s="1322"/>
      <c r="T132" s="1323"/>
      <c r="U132" s="983"/>
    </row>
    <row r="133" spans="1:25" ht="16.5" thickBot="1">
      <c r="A133" s="1324" t="s">
        <v>784</v>
      </c>
      <c r="B133" s="982"/>
      <c r="C133" s="982"/>
      <c r="D133" s="982"/>
      <c r="E133" s="1325"/>
      <c r="F133" s="1051"/>
      <c r="G133" s="1051">
        <v>30494</v>
      </c>
      <c r="H133" s="1326"/>
      <c r="I133" s="1321"/>
      <c r="J133" s="1051"/>
      <c r="K133" s="1051"/>
      <c r="L133" s="1051"/>
      <c r="M133" s="1051"/>
      <c r="N133" s="987"/>
      <c r="O133" s="1327"/>
      <c r="P133" s="1328"/>
      <c r="Q133" s="1329"/>
      <c r="T133" s="1323"/>
      <c r="U133" s="983"/>
    </row>
    <row r="134" spans="1:25" ht="38.25" customHeight="1">
      <c r="A134" s="2579" t="s">
        <v>785</v>
      </c>
      <c r="B134" s="2580"/>
      <c r="C134" s="2580"/>
      <c r="D134" s="2580"/>
      <c r="E134" s="2581"/>
      <c r="F134" s="982"/>
      <c r="G134" s="982">
        <v>1500</v>
      </c>
      <c r="H134" s="1330"/>
      <c r="I134" s="1331"/>
      <c r="J134" s="982"/>
      <c r="K134" s="982"/>
      <c r="L134" s="982"/>
      <c r="M134" s="982"/>
      <c r="N134" s="982"/>
      <c r="O134" s="1331"/>
      <c r="P134" s="982"/>
      <c r="Q134" s="1332"/>
      <c r="R134" s="1331"/>
      <c r="S134" s="982"/>
      <c r="T134" s="1323"/>
      <c r="U134" s="1333"/>
      <c r="V134" s="1334"/>
    </row>
    <row r="135" spans="1:25">
      <c r="A135" s="1324" t="s">
        <v>786</v>
      </c>
      <c r="B135" s="983"/>
      <c r="C135" s="983"/>
      <c r="D135" s="994"/>
      <c r="E135" s="1325"/>
      <c r="G135" s="987">
        <v>28060</v>
      </c>
      <c r="Q135" s="1335"/>
      <c r="R135" s="1336"/>
      <c r="S135" s="1314"/>
      <c r="T135" s="1314"/>
      <c r="U135" s="1314"/>
    </row>
    <row r="136" spans="1:25">
      <c r="A136" s="1324"/>
      <c r="B136" s="983" t="s">
        <v>787</v>
      </c>
      <c r="C136" s="983"/>
      <c r="D136" s="982"/>
      <c r="E136" s="1325"/>
      <c r="G136" s="987">
        <v>21186</v>
      </c>
      <c r="Q136" s="1337"/>
      <c r="R136" s="1336"/>
      <c r="S136" s="1314"/>
      <c r="T136" s="1314"/>
      <c r="U136" s="1314"/>
    </row>
    <row r="137" spans="1:25">
      <c r="A137" s="1324"/>
      <c r="B137" s="983" t="s">
        <v>788</v>
      </c>
      <c r="C137" s="983"/>
      <c r="D137" s="982"/>
      <c r="E137" s="1325"/>
      <c r="G137" s="987">
        <v>630</v>
      </c>
      <c r="Q137" s="1335"/>
    </row>
    <row r="138" spans="1:25" ht="28.5" customHeight="1">
      <c r="A138" s="2568" t="s">
        <v>789</v>
      </c>
      <c r="B138" s="2569"/>
      <c r="C138" s="2569"/>
      <c r="D138" s="2569"/>
      <c r="E138" s="2570"/>
      <c r="G138" s="987">
        <v>11000</v>
      </c>
      <c r="Q138" s="1338"/>
      <c r="V138" s="1329"/>
    </row>
    <row r="139" spans="1:25">
      <c r="G139" s="987">
        <f>SUBTOTAL(9,G132:G138)</f>
        <v>125921</v>
      </c>
      <c r="Q139" s="1339"/>
      <c r="R139" s="1340"/>
    </row>
    <row r="140" spans="1:25">
      <c r="A140" s="1318" t="s">
        <v>790</v>
      </c>
      <c r="B140" s="1341"/>
      <c r="C140" s="1341"/>
      <c r="D140" s="1342"/>
      <c r="E140" s="1343"/>
    </row>
    <row r="141" spans="1:25">
      <c r="A141" s="982" t="s">
        <v>231</v>
      </c>
      <c r="B141" s="983"/>
      <c r="C141" s="983"/>
      <c r="D141" s="982"/>
      <c r="E141" s="1325"/>
    </row>
    <row r="142" spans="1:25">
      <c r="A142" s="982" t="s">
        <v>38</v>
      </c>
      <c r="B142" s="983"/>
      <c r="C142" s="983"/>
      <c r="D142" s="982"/>
      <c r="E142" s="1325"/>
    </row>
    <row r="143" spans="1:25">
      <c r="A143" s="982" t="s">
        <v>246</v>
      </c>
      <c r="B143" s="983"/>
      <c r="C143" s="983"/>
      <c r="D143" s="982"/>
      <c r="E143" s="1325"/>
    </row>
    <row r="144" spans="1:25">
      <c r="A144" s="982" t="s">
        <v>33</v>
      </c>
      <c r="B144" s="983"/>
      <c r="C144" s="983"/>
      <c r="D144" s="982"/>
      <c r="E144" s="1325"/>
    </row>
    <row r="145" spans="1:15" s="987" customFormat="1">
      <c r="A145" s="982" t="s">
        <v>40</v>
      </c>
      <c r="B145" s="983"/>
      <c r="C145" s="983"/>
      <c r="D145" s="982"/>
      <c r="E145" s="1325"/>
      <c r="I145" s="986"/>
      <c r="O145" s="986"/>
    </row>
    <row r="146" spans="1:15" s="987" customFormat="1">
      <c r="A146" s="982" t="s">
        <v>50</v>
      </c>
      <c r="B146" s="983"/>
      <c r="C146" s="983"/>
      <c r="D146" s="982"/>
      <c r="E146" s="1325"/>
      <c r="I146" s="986"/>
      <c r="O146" s="986"/>
    </row>
    <row r="147" spans="1:15" s="987" customFormat="1">
      <c r="A147" s="1344" t="s">
        <v>263</v>
      </c>
      <c r="B147" s="1345"/>
      <c r="C147" s="1345"/>
      <c r="D147" s="1344"/>
      <c r="E147" s="1346"/>
      <c r="I147" s="986"/>
      <c r="O147" s="986"/>
    </row>
    <row r="192" spans="9:15" s="987" customFormat="1">
      <c r="I192" s="986"/>
      <c r="O192" s="986"/>
    </row>
  </sheetData>
  <mergeCells count="31">
    <mergeCell ref="A53:A60"/>
    <mergeCell ref="A10:V10"/>
    <mergeCell ref="A11:V11"/>
    <mergeCell ref="A12:A14"/>
    <mergeCell ref="A16:A21"/>
    <mergeCell ref="A22:A28"/>
    <mergeCell ref="A29:A34"/>
    <mergeCell ref="A35:A38"/>
    <mergeCell ref="A39:C39"/>
    <mergeCell ref="A40:V40"/>
    <mergeCell ref="B41:H41"/>
    <mergeCell ref="A42:A52"/>
    <mergeCell ref="A119:V119"/>
    <mergeCell ref="A61:A63"/>
    <mergeCell ref="A64:A81"/>
    <mergeCell ref="A82:B82"/>
    <mergeCell ref="A83:C83"/>
    <mergeCell ref="A84:B84"/>
    <mergeCell ref="A85:C85"/>
    <mergeCell ref="A97:V97"/>
    <mergeCell ref="A101:V101"/>
    <mergeCell ref="A107:V107"/>
    <mergeCell ref="A111:V111"/>
    <mergeCell ref="A115:V115"/>
    <mergeCell ref="A138:E138"/>
    <mergeCell ref="A126:C126"/>
    <mergeCell ref="A127:C128"/>
    <mergeCell ref="D127:D128"/>
    <mergeCell ref="A129:C129"/>
    <mergeCell ref="A130:C130"/>
    <mergeCell ref="A134:E134"/>
  </mergeCells>
  <dataValidations count="3">
    <dataValidation type="list" allowBlank="1" showInputMessage="1" showErrorMessage="1" sqref="C42:C81" xr:uid="{00000000-0002-0000-0300-000000000000}">
      <formula1>categorie2</formula1>
    </dataValidation>
    <dataValidation type="list" allowBlank="1" showInputMessage="1" showErrorMessage="1" sqref="C114 C112 C108:C110 C98:C100 C102:C106 C120:C125 C116:C118 C12:C38 C86:C96" xr:uid="{00000000-0002-0000-0300-000001000000}">
      <formula1>categorie</formula1>
    </dataValidation>
    <dataValidation type="list" allowBlank="1" showInputMessage="1" showErrorMessage="1" sqref="C113" xr:uid="{00000000-0002-0000-0300-000002000000}">
      <formula1>categorie.</formula1>
    </dataValidation>
  </dataValidation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94"/>
  <sheetViews>
    <sheetView topLeftCell="A87" workbookViewId="0">
      <selection activeCell="D94" sqref="D94"/>
    </sheetView>
  </sheetViews>
  <sheetFormatPr defaultColWidth="18.42578125" defaultRowHeight="12.75"/>
  <cols>
    <col min="1" max="1" width="18.42578125" style="833"/>
    <col min="2" max="2" width="18.42578125" style="2"/>
    <col min="3" max="3" width="18.42578125" style="5"/>
    <col min="4" max="16384" width="18.42578125" style="1"/>
  </cols>
  <sheetData>
    <row r="1" spans="1:8" ht="38.25" customHeight="1">
      <c r="A1" s="2632" t="s">
        <v>387</v>
      </c>
      <c r="B1" s="2633"/>
      <c r="C1" s="2633"/>
    </row>
    <row r="2" spans="1:8" s="7" customFormat="1" ht="25.5">
      <c r="A2" s="749" t="s">
        <v>10</v>
      </c>
      <c r="B2" s="749" t="s">
        <v>11</v>
      </c>
      <c r="C2" s="750" t="s">
        <v>17</v>
      </c>
      <c r="D2" s="750" t="s">
        <v>791</v>
      </c>
      <c r="E2" s="750" t="s">
        <v>388</v>
      </c>
      <c r="F2" s="750" t="s">
        <v>792</v>
      </c>
      <c r="G2" s="751" t="s">
        <v>389</v>
      </c>
      <c r="H2" s="752" t="s">
        <v>390</v>
      </c>
    </row>
    <row r="3" spans="1:8" ht="29.1" customHeight="1">
      <c r="A3" s="2634" t="s">
        <v>391</v>
      </c>
      <c r="B3" s="2634"/>
      <c r="C3" s="2634"/>
      <c r="H3" s="752"/>
    </row>
    <row r="4" spans="1:8" ht="76.5">
      <c r="A4" s="2635" t="s">
        <v>392</v>
      </c>
      <c r="B4" s="159" t="s">
        <v>393</v>
      </c>
      <c r="C4" s="753">
        <v>2665</v>
      </c>
      <c r="D4" s="753">
        <v>0</v>
      </c>
      <c r="E4" s="753">
        <f>C4-D4</f>
        <v>2665</v>
      </c>
      <c r="F4" s="753">
        <f>D4*100/C4</f>
        <v>0</v>
      </c>
      <c r="G4" s="754" t="s">
        <v>394</v>
      </c>
      <c r="H4" s="752">
        <v>100</v>
      </c>
    </row>
    <row r="5" spans="1:8" ht="89.25">
      <c r="A5" s="2636"/>
      <c r="B5" s="159" t="s">
        <v>395</v>
      </c>
      <c r="C5" s="753">
        <v>6539</v>
      </c>
      <c r="D5" s="753">
        <v>0</v>
      </c>
      <c r="E5" s="753">
        <f t="shared" ref="E5:E15" si="0">C5-D5</f>
        <v>6539</v>
      </c>
      <c r="F5" s="753">
        <f>D5*100/C5</f>
        <v>0</v>
      </c>
      <c r="G5" s="755" t="s">
        <v>396</v>
      </c>
      <c r="H5" s="752">
        <v>105</v>
      </c>
    </row>
    <row r="6" spans="1:8" ht="89.25">
      <c r="A6" s="2636"/>
      <c r="B6" s="159" t="s">
        <v>397</v>
      </c>
      <c r="C6" s="753">
        <v>1500</v>
      </c>
      <c r="D6" s="753">
        <v>0</v>
      </c>
      <c r="E6" s="753">
        <f t="shared" si="0"/>
        <v>1500</v>
      </c>
      <c r="F6" s="753">
        <f>D6*100/C6</f>
        <v>0</v>
      </c>
      <c r="G6" s="755" t="s">
        <v>398</v>
      </c>
      <c r="H6" s="752">
        <v>110</v>
      </c>
    </row>
    <row r="7" spans="1:8" ht="21" customHeight="1">
      <c r="A7" s="2637"/>
      <c r="B7" s="189"/>
      <c r="C7" s="756">
        <v>10704</v>
      </c>
      <c r="D7" s="756">
        <f>SUM(D4:D6)</f>
        <v>0</v>
      </c>
      <c r="E7" s="756">
        <f t="shared" si="0"/>
        <v>10704</v>
      </c>
      <c r="F7" s="756">
        <f t="shared" ref="F7:F70" si="1">D7*100/C7</f>
        <v>0</v>
      </c>
      <c r="G7" s="757"/>
      <c r="H7" s="752"/>
    </row>
    <row r="8" spans="1:8" ht="63.75">
      <c r="A8" s="2638" t="s">
        <v>399</v>
      </c>
      <c r="B8" s="159" t="s">
        <v>400</v>
      </c>
      <c r="C8" s="753">
        <v>8550</v>
      </c>
      <c r="D8" s="753">
        <v>3316.45</v>
      </c>
      <c r="E8" s="753">
        <f t="shared" si="0"/>
        <v>5233.55</v>
      </c>
      <c r="F8" s="753">
        <f t="shared" si="1"/>
        <v>38.788888888888891</v>
      </c>
      <c r="G8" s="755" t="s">
        <v>401</v>
      </c>
      <c r="H8" s="752">
        <v>115</v>
      </c>
    </row>
    <row r="9" spans="1:8" ht="89.25">
      <c r="A9" s="2638"/>
      <c r="B9" s="159" t="s">
        <v>402</v>
      </c>
      <c r="C9" s="753">
        <v>3000</v>
      </c>
      <c r="D9" s="753">
        <v>150</v>
      </c>
      <c r="E9" s="753">
        <f t="shared" si="0"/>
        <v>2850</v>
      </c>
      <c r="F9" s="753">
        <f t="shared" si="1"/>
        <v>5</v>
      </c>
      <c r="G9" s="755" t="s">
        <v>403</v>
      </c>
      <c r="H9" s="752">
        <v>120</v>
      </c>
    </row>
    <row r="10" spans="1:8" ht="102">
      <c r="A10" s="2638"/>
      <c r="B10" s="159" t="s">
        <v>404</v>
      </c>
      <c r="C10" s="753">
        <v>6000</v>
      </c>
      <c r="D10" s="753">
        <v>95</v>
      </c>
      <c r="E10" s="753">
        <f t="shared" si="0"/>
        <v>5905</v>
      </c>
      <c r="F10" s="753">
        <f t="shared" si="1"/>
        <v>1.5833333333333333</v>
      </c>
      <c r="G10" s="758" t="s">
        <v>405</v>
      </c>
      <c r="H10" s="752">
        <v>125</v>
      </c>
    </row>
    <row r="11" spans="1:8" ht="102">
      <c r="A11" s="2638"/>
      <c r="B11" s="159" t="s">
        <v>406</v>
      </c>
      <c r="C11" s="753">
        <v>2025</v>
      </c>
      <c r="D11" s="753">
        <v>1431</v>
      </c>
      <c r="E11" s="753">
        <f t="shared" si="0"/>
        <v>594</v>
      </c>
      <c r="F11" s="753">
        <f t="shared" si="1"/>
        <v>70.666666666666671</v>
      </c>
      <c r="G11" s="758" t="s">
        <v>407</v>
      </c>
      <c r="H11" s="752">
        <v>130</v>
      </c>
    </row>
    <row r="12" spans="1:8" ht="66" customHeight="1">
      <c r="A12" s="2638"/>
      <c r="B12" s="159" t="s">
        <v>408</v>
      </c>
      <c r="C12" s="753">
        <v>1980</v>
      </c>
      <c r="D12" s="753">
        <v>3105.49</v>
      </c>
      <c r="E12" s="753">
        <f t="shared" si="0"/>
        <v>-1125.4899999999998</v>
      </c>
      <c r="F12" s="753">
        <f t="shared" si="1"/>
        <v>156.84292929292928</v>
      </c>
      <c r="G12" s="755" t="s">
        <v>409</v>
      </c>
      <c r="H12" s="752">
        <v>135</v>
      </c>
    </row>
    <row r="13" spans="1:8" ht="15.6" customHeight="1">
      <c r="A13" s="2638"/>
      <c r="B13" s="159"/>
      <c r="C13" s="759">
        <v>21555</v>
      </c>
      <c r="D13" s="756">
        <f>SUM(D8:D12)</f>
        <v>8097.94</v>
      </c>
      <c r="E13" s="756">
        <f>SUM(E8:E12)</f>
        <v>13457.06</v>
      </c>
      <c r="F13" s="756">
        <f t="shared" si="1"/>
        <v>37.568731152864764</v>
      </c>
      <c r="G13" s="757"/>
      <c r="H13" s="752"/>
    </row>
    <row r="14" spans="1:8" customFormat="1" ht="41.25" customHeight="1">
      <c r="A14" s="2639" t="s">
        <v>410</v>
      </c>
      <c r="B14" s="760" t="s">
        <v>411</v>
      </c>
      <c r="C14" s="753">
        <v>9600</v>
      </c>
      <c r="D14" s="753">
        <v>8001.4499999999989</v>
      </c>
      <c r="E14" s="753">
        <f t="shared" si="0"/>
        <v>1598.5500000000011</v>
      </c>
      <c r="F14" s="753">
        <f>D14*100/C14</f>
        <v>83.348437499999989</v>
      </c>
      <c r="G14" s="758" t="s">
        <v>412</v>
      </c>
      <c r="H14" s="761">
        <v>140</v>
      </c>
    </row>
    <row r="15" spans="1:8" customFormat="1" ht="90">
      <c r="A15" s="2640"/>
      <c r="B15" s="762" t="s">
        <v>413</v>
      </c>
      <c r="C15" s="753">
        <v>6197.0999999999995</v>
      </c>
      <c r="D15" s="753">
        <v>3856.7799999999997</v>
      </c>
      <c r="E15" s="753">
        <f t="shared" si="0"/>
        <v>2340.3199999999997</v>
      </c>
      <c r="F15" s="753">
        <f t="shared" si="1"/>
        <v>62.2352390634329</v>
      </c>
      <c r="G15" s="755" t="s">
        <v>414</v>
      </c>
      <c r="H15" s="761">
        <v>145</v>
      </c>
    </row>
    <row r="16" spans="1:8" ht="15" customHeight="1">
      <c r="A16" s="2641"/>
      <c r="B16" s="159"/>
      <c r="C16" s="759">
        <v>15797.099999999999</v>
      </c>
      <c r="D16" s="756">
        <f>SUM(D14:D15)</f>
        <v>11858.23</v>
      </c>
      <c r="E16" s="756">
        <f>SUM(E14:E15)</f>
        <v>3938.8700000000008</v>
      </c>
      <c r="F16" s="756">
        <f t="shared" si="1"/>
        <v>75.065866519804274</v>
      </c>
      <c r="G16" s="757"/>
      <c r="H16" s="752"/>
    </row>
    <row r="17" spans="1:8" s="766" customFormat="1" ht="17.25" customHeight="1">
      <c r="A17" s="2628" t="s">
        <v>415</v>
      </c>
      <c r="B17" s="2628"/>
      <c r="C17" s="763">
        <v>48056.1</v>
      </c>
      <c r="D17" s="763">
        <f>D7+D13+D16</f>
        <v>19956.169999999998</v>
      </c>
      <c r="E17" s="763">
        <f>E7+E13+E16</f>
        <v>28099.93</v>
      </c>
      <c r="F17" s="763">
        <f t="shared" si="1"/>
        <v>41.526819696146795</v>
      </c>
      <c r="G17" s="764"/>
      <c r="H17" s="765"/>
    </row>
    <row r="18" spans="1:8" ht="36.75" customHeight="1">
      <c r="A18" s="2642" t="s">
        <v>416</v>
      </c>
      <c r="B18" s="2643"/>
      <c r="C18" s="2643"/>
      <c r="D18" s="2643"/>
      <c r="E18" s="2643"/>
      <c r="F18" s="2643"/>
      <c r="G18" s="2643"/>
      <c r="H18" s="752"/>
    </row>
    <row r="19" spans="1:8" ht="27.6" customHeight="1">
      <c r="A19" s="2627" t="s">
        <v>417</v>
      </c>
      <c r="B19" s="159" t="s">
        <v>418</v>
      </c>
      <c r="C19" s="753">
        <v>10800</v>
      </c>
      <c r="D19" s="753">
        <v>0</v>
      </c>
      <c r="E19" s="753">
        <f>C19-D19</f>
        <v>10800</v>
      </c>
      <c r="F19" s="753">
        <f t="shared" si="1"/>
        <v>0</v>
      </c>
      <c r="G19" s="755" t="s">
        <v>419</v>
      </c>
      <c r="H19" s="767">
        <v>203</v>
      </c>
    </row>
    <row r="20" spans="1:8" ht="19.5" customHeight="1">
      <c r="A20" s="2627"/>
      <c r="B20" s="159"/>
      <c r="C20" s="759">
        <v>10800</v>
      </c>
      <c r="D20" s="756">
        <f>D19</f>
        <v>0</v>
      </c>
      <c r="E20" s="756">
        <f>E19</f>
        <v>10800</v>
      </c>
      <c r="F20" s="756">
        <f t="shared" si="1"/>
        <v>0</v>
      </c>
      <c r="G20" s="757"/>
      <c r="H20" s="767"/>
    </row>
    <row r="21" spans="1:8" ht="30.75" customHeight="1">
      <c r="A21" s="2627" t="s">
        <v>417</v>
      </c>
      <c r="B21" s="159" t="s">
        <v>420</v>
      </c>
      <c r="C21" s="768">
        <v>5600</v>
      </c>
      <c r="D21" s="768">
        <v>0</v>
      </c>
      <c r="E21" s="768">
        <f>C21-D21</f>
        <v>5600</v>
      </c>
      <c r="F21" s="768">
        <f t="shared" si="1"/>
        <v>0</v>
      </c>
      <c r="G21" s="769" t="s">
        <v>419</v>
      </c>
      <c r="H21" s="767">
        <v>205</v>
      </c>
    </row>
    <row r="22" spans="1:8" ht="25.5" customHeight="1">
      <c r="A22" s="2627"/>
      <c r="B22" s="159" t="s">
        <v>421</v>
      </c>
      <c r="C22" s="768">
        <v>3000</v>
      </c>
      <c r="D22" s="768">
        <v>3000</v>
      </c>
      <c r="E22" s="768">
        <f t="shared" ref="E22:E31" si="2">C22-D22</f>
        <v>0</v>
      </c>
      <c r="F22" s="768">
        <f t="shared" si="1"/>
        <v>100</v>
      </c>
      <c r="G22" s="769" t="s">
        <v>422</v>
      </c>
      <c r="H22" s="767">
        <v>210</v>
      </c>
    </row>
    <row r="23" spans="1:8" ht="16.5" customHeight="1">
      <c r="A23" s="2627"/>
      <c r="B23" s="159"/>
      <c r="C23" s="759">
        <v>8600</v>
      </c>
      <c r="D23" s="756">
        <f>SUM(D21:D22)</f>
        <v>3000</v>
      </c>
      <c r="E23" s="756">
        <f t="shared" si="2"/>
        <v>5600</v>
      </c>
      <c r="F23" s="756">
        <f t="shared" si="1"/>
        <v>34.883720930232556</v>
      </c>
      <c r="G23" s="757"/>
      <c r="H23" s="752"/>
    </row>
    <row r="24" spans="1:8" ht="45.6" customHeight="1">
      <c r="A24" s="2627" t="s">
        <v>423</v>
      </c>
      <c r="B24" s="34" t="s">
        <v>424</v>
      </c>
      <c r="C24" s="770">
        <v>5100</v>
      </c>
      <c r="D24" s="770">
        <v>5897</v>
      </c>
      <c r="E24" s="770">
        <f t="shared" si="2"/>
        <v>-797</v>
      </c>
      <c r="F24" s="753">
        <f t="shared" si="1"/>
        <v>115.62745098039215</v>
      </c>
      <c r="G24" s="755" t="s">
        <v>425</v>
      </c>
      <c r="H24" s="771">
        <v>215</v>
      </c>
    </row>
    <row r="25" spans="1:8" ht="285">
      <c r="A25" s="2627"/>
      <c r="B25" s="34" t="s">
        <v>426</v>
      </c>
      <c r="C25" s="753">
        <v>6000</v>
      </c>
      <c r="D25" s="753">
        <v>761</v>
      </c>
      <c r="E25" s="753">
        <f t="shared" si="2"/>
        <v>5239</v>
      </c>
      <c r="F25" s="753">
        <f t="shared" si="1"/>
        <v>12.683333333333334</v>
      </c>
      <c r="G25" s="772" t="s">
        <v>427</v>
      </c>
      <c r="H25" s="771">
        <v>220</v>
      </c>
    </row>
    <row r="26" spans="1:8" ht="76.150000000000006" customHeight="1">
      <c r="A26" s="2627"/>
      <c r="B26" s="34" t="s">
        <v>428</v>
      </c>
      <c r="C26" s="768">
        <v>1350</v>
      </c>
      <c r="D26" s="768">
        <v>200</v>
      </c>
      <c r="E26" s="768">
        <f t="shared" si="2"/>
        <v>1150</v>
      </c>
      <c r="F26" s="768">
        <f t="shared" si="1"/>
        <v>14.814814814814815</v>
      </c>
      <c r="G26" s="769" t="s">
        <v>429</v>
      </c>
      <c r="H26" s="771">
        <v>225</v>
      </c>
    </row>
    <row r="27" spans="1:8" s="21" customFormat="1" ht="19.5" customHeight="1">
      <c r="A27" s="2627"/>
      <c r="B27" s="159"/>
      <c r="C27" s="759">
        <v>12450</v>
      </c>
      <c r="D27" s="756">
        <f>SUM(D24:D26)</f>
        <v>6858</v>
      </c>
      <c r="E27" s="756">
        <f t="shared" si="2"/>
        <v>5592</v>
      </c>
      <c r="F27" s="756">
        <f t="shared" si="1"/>
        <v>55.084337349397593</v>
      </c>
      <c r="G27" s="757"/>
      <c r="H27" s="752"/>
    </row>
    <row r="28" spans="1:8" ht="127.5">
      <c r="A28" s="2627" t="s">
        <v>430</v>
      </c>
      <c r="B28" s="34" t="s">
        <v>431</v>
      </c>
      <c r="C28" s="753">
        <v>2700</v>
      </c>
      <c r="D28" s="753">
        <v>0</v>
      </c>
      <c r="E28" s="753">
        <f t="shared" si="2"/>
        <v>2700</v>
      </c>
      <c r="F28" s="753">
        <f t="shared" si="1"/>
        <v>0</v>
      </c>
      <c r="G28" s="773" t="s">
        <v>432</v>
      </c>
      <c r="H28" s="767">
        <v>230</v>
      </c>
    </row>
    <row r="29" spans="1:8" ht="89.25">
      <c r="A29" s="2627"/>
      <c r="B29" s="34" t="s">
        <v>433</v>
      </c>
      <c r="C29" s="753">
        <v>4500</v>
      </c>
      <c r="D29" s="753">
        <v>0</v>
      </c>
      <c r="E29" s="753">
        <f t="shared" si="2"/>
        <v>4500</v>
      </c>
      <c r="F29" s="753">
        <f t="shared" si="1"/>
        <v>0</v>
      </c>
      <c r="G29" s="773" t="s">
        <v>419</v>
      </c>
      <c r="H29" s="767">
        <v>235</v>
      </c>
    </row>
    <row r="30" spans="1:8" ht="114.75">
      <c r="A30" s="2627"/>
      <c r="B30" s="34" t="s">
        <v>434</v>
      </c>
      <c r="C30" s="753">
        <v>1350</v>
      </c>
      <c r="D30" s="753">
        <v>1592</v>
      </c>
      <c r="E30" s="753">
        <f t="shared" si="2"/>
        <v>-242</v>
      </c>
      <c r="F30" s="753">
        <f t="shared" si="1"/>
        <v>117.92592592592592</v>
      </c>
      <c r="G30" s="774" t="s">
        <v>435</v>
      </c>
      <c r="H30" s="767">
        <v>240</v>
      </c>
    </row>
    <row r="31" spans="1:8" ht="127.5">
      <c r="A31" s="2627"/>
      <c r="B31" s="34" t="s">
        <v>436</v>
      </c>
      <c r="C31" s="753">
        <v>450</v>
      </c>
      <c r="D31" s="753">
        <v>0</v>
      </c>
      <c r="E31" s="753">
        <f t="shared" si="2"/>
        <v>450</v>
      </c>
      <c r="F31" s="753">
        <f t="shared" si="1"/>
        <v>0</v>
      </c>
      <c r="G31" s="755" t="s">
        <v>437</v>
      </c>
      <c r="H31" s="767">
        <v>245</v>
      </c>
    </row>
    <row r="32" spans="1:8" s="775" customFormat="1" ht="18.75" customHeight="1">
      <c r="A32" s="2627"/>
      <c r="B32" s="55"/>
      <c r="C32" s="759">
        <v>9000</v>
      </c>
      <c r="D32" s="756">
        <f>SUM(D28:D31)</f>
        <v>1592</v>
      </c>
      <c r="E32" s="756">
        <f>SUM(E28:E31)</f>
        <v>7408</v>
      </c>
      <c r="F32" s="756">
        <f t="shared" si="1"/>
        <v>17.68888888888889</v>
      </c>
      <c r="G32" s="757"/>
      <c r="H32" s="765"/>
    </row>
    <row r="33" spans="1:8" ht="127.5">
      <c r="A33" s="2627" t="s">
        <v>438</v>
      </c>
      <c r="B33" s="34" t="s">
        <v>439</v>
      </c>
      <c r="C33" s="753">
        <v>8700</v>
      </c>
      <c r="D33" s="753">
        <v>0</v>
      </c>
      <c r="E33" s="753">
        <f>C33-D33</f>
        <v>8700</v>
      </c>
      <c r="F33" s="753">
        <f t="shared" si="1"/>
        <v>0</v>
      </c>
      <c r="G33" s="755" t="s">
        <v>437</v>
      </c>
      <c r="H33" s="771">
        <v>250</v>
      </c>
    </row>
    <row r="34" spans="1:8" ht="17.25" customHeight="1">
      <c r="A34" s="2627"/>
      <c r="B34" s="776"/>
      <c r="C34" s="759">
        <v>8700</v>
      </c>
      <c r="D34" s="756">
        <f>SUM(D33)</f>
        <v>0</v>
      </c>
      <c r="E34" s="756">
        <f t="shared" ref="E34:E45" si="3">C34-D34</f>
        <v>8700</v>
      </c>
      <c r="F34" s="756">
        <f t="shared" si="1"/>
        <v>0</v>
      </c>
      <c r="G34" s="757"/>
      <c r="H34" s="752"/>
    </row>
    <row r="35" spans="1:8" ht="165.75">
      <c r="A35" s="2624" t="s">
        <v>438</v>
      </c>
      <c r="B35" s="34" t="s">
        <v>440</v>
      </c>
      <c r="C35" s="753">
        <v>5600</v>
      </c>
      <c r="D35" s="753">
        <v>625</v>
      </c>
      <c r="E35" s="753">
        <f t="shared" si="3"/>
        <v>4975</v>
      </c>
      <c r="F35" s="753">
        <f t="shared" si="1"/>
        <v>11.160714285714286</v>
      </c>
      <c r="G35" s="755" t="s">
        <v>441</v>
      </c>
      <c r="H35" s="767">
        <v>260</v>
      </c>
    </row>
    <row r="36" spans="1:8" ht="165.75">
      <c r="A36" s="2625"/>
      <c r="B36" s="34" t="s">
        <v>442</v>
      </c>
      <c r="C36" s="753">
        <v>8000</v>
      </c>
      <c r="D36" s="753">
        <v>14405.51</v>
      </c>
      <c r="E36" s="753">
        <f t="shared" si="3"/>
        <v>-6405.51</v>
      </c>
      <c r="F36" s="753">
        <f t="shared" si="1"/>
        <v>180.06887499999999</v>
      </c>
      <c r="G36" s="755" t="s">
        <v>443</v>
      </c>
      <c r="H36" s="767">
        <v>265</v>
      </c>
    </row>
    <row r="37" spans="1:8" ht="178.5">
      <c r="A37" s="2625"/>
      <c r="B37" s="34" t="s">
        <v>444</v>
      </c>
      <c r="C37" s="753">
        <v>1800</v>
      </c>
      <c r="D37" s="753">
        <v>200</v>
      </c>
      <c r="E37" s="753">
        <f t="shared" si="3"/>
        <v>1600</v>
      </c>
      <c r="F37" s="753">
        <f t="shared" si="1"/>
        <v>11.111111111111111</v>
      </c>
      <c r="G37" s="755" t="s">
        <v>445</v>
      </c>
      <c r="H37" s="767">
        <v>270</v>
      </c>
    </row>
    <row r="38" spans="1:8" ht="178.5">
      <c r="A38" s="2625"/>
      <c r="B38" s="776" t="s">
        <v>446</v>
      </c>
      <c r="C38" s="753">
        <v>3600</v>
      </c>
      <c r="D38" s="753">
        <v>420</v>
      </c>
      <c r="E38" s="753">
        <f t="shared" si="3"/>
        <v>3180</v>
      </c>
      <c r="F38" s="753">
        <f t="shared" si="1"/>
        <v>11.666666666666666</v>
      </c>
      <c r="G38" s="755" t="s">
        <v>445</v>
      </c>
      <c r="H38" s="767">
        <v>275</v>
      </c>
    </row>
    <row r="39" spans="1:8">
      <c r="A39" s="2626"/>
      <c r="B39" s="159"/>
      <c r="C39" s="759">
        <v>19000</v>
      </c>
      <c r="D39" s="759">
        <f>SUM(D35:D38)</f>
        <v>15650.51</v>
      </c>
      <c r="E39" s="756">
        <f t="shared" si="3"/>
        <v>3349.49</v>
      </c>
      <c r="F39" s="756">
        <f t="shared" si="1"/>
        <v>82.371105263157901</v>
      </c>
      <c r="G39" s="757"/>
      <c r="H39" s="752"/>
    </row>
    <row r="40" spans="1:8" ht="51">
      <c r="A40" s="2627" t="s">
        <v>447</v>
      </c>
      <c r="B40" s="777" t="s">
        <v>448</v>
      </c>
      <c r="C40" s="753">
        <v>7800</v>
      </c>
      <c r="D40" s="753">
        <v>4240.2999999999993</v>
      </c>
      <c r="E40" s="753">
        <f t="shared" si="3"/>
        <v>3559.7000000000007</v>
      </c>
      <c r="F40" s="753">
        <f t="shared" si="1"/>
        <v>54.362820512820505</v>
      </c>
      <c r="G40" s="755" t="s">
        <v>449</v>
      </c>
      <c r="H40" s="771">
        <v>280</v>
      </c>
    </row>
    <row r="41" spans="1:8" ht="37.5" customHeight="1">
      <c r="A41" s="2627"/>
      <c r="B41" s="777" t="s">
        <v>450</v>
      </c>
      <c r="C41" s="753">
        <v>10200</v>
      </c>
      <c r="D41" s="753">
        <v>7845.3500000000013</v>
      </c>
      <c r="E41" s="753">
        <f t="shared" si="3"/>
        <v>2354.6499999999987</v>
      </c>
      <c r="F41" s="753">
        <f t="shared" si="1"/>
        <v>76.915196078431379</v>
      </c>
      <c r="G41" s="755" t="s">
        <v>451</v>
      </c>
      <c r="H41" s="752">
        <v>285</v>
      </c>
    </row>
    <row r="42" spans="1:8" ht="267.75">
      <c r="A42" s="2627"/>
      <c r="B42" s="777" t="s">
        <v>452</v>
      </c>
      <c r="C42" s="753">
        <v>49200</v>
      </c>
      <c r="D42" s="753">
        <v>31716</v>
      </c>
      <c r="E42" s="753">
        <f t="shared" si="3"/>
        <v>17484</v>
      </c>
      <c r="F42" s="753">
        <f t="shared" si="1"/>
        <v>64.463414634146346</v>
      </c>
      <c r="G42" s="778" t="s">
        <v>453</v>
      </c>
      <c r="H42" s="752">
        <v>290</v>
      </c>
    </row>
    <row r="43" spans="1:8">
      <c r="A43" s="2627"/>
      <c r="B43" s="159"/>
      <c r="C43" s="759">
        <v>67200</v>
      </c>
      <c r="D43" s="759">
        <f>SUM(D40:D42)</f>
        <v>43801.65</v>
      </c>
      <c r="E43" s="756">
        <f t="shared" si="3"/>
        <v>23398.35</v>
      </c>
      <c r="F43" s="756">
        <f t="shared" si="1"/>
        <v>65.18102678571428</v>
      </c>
      <c r="G43" s="757"/>
      <c r="H43" s="752"/>
    </row>
    <row r="44" spans="1:8" s="766" customFormat="1">
      <c r="A44" s="2628" t="s">
        <v>454</v>
      </c>
      <c r="B44" s="2628"/>
      <c r="C44" s="763">
        <v>135750</v>
      </c>
      <c r="D44" s="763">
        <f>D20+D23+D27+D32+D34+D39+D43</f>
        <v>70902.16</v>
      </c>
      <c r="E44" s="763">
        <f t="shared" si="3"/>
        <v>64847.839999999997</v>
      </c>
      <c r="F44" s="763">
        <f t="shared" si="1"/>
        <v>52.229952117863718</v>
      </c>
      <c r="G44" s="764"/>
      <c r="H44" s="765"/>
    </row>
    <row r="45" spans="1:8" s="766" customFormat="1">
      <c r="A45" s="779" t="s">
        <v>227</v>
      </c>
      <c r="B45" s="780"/>
      <c r="C45" s="763">
        <v>183806.1</v>
      </c>
      <c r="D45" s="763">
        <f>D17+D44</f>
        <v>90858.33</v>
      </c>
      <c r="E45" s="763">
        <f t="shared" si="3"/>
        <v>92947.77</v>
      </c>
      <c r="F45" s="763">
        <f t="shared" si="1"/>
        <v>49.431618428332897</v>
      </c>
      <c r="G45" s="764"/>
      <c r="H45" s="765"/>
    </row>
    <row r="46" spans="1:8" s="784" customFormat="1">
      <c r="A46" s="2629" t="s">
        <v>228</v>
      </c>
      <c r="B46" s="2629"/>
      <c r="C46" s="781"/>
      <c r="D46" s="781"/>
      <c r="E46" s="781"/>
      <c r="F46" s="781"/>
      <c r="G46" s="782"/>
      <c r="H46" s="783"/>
    </row>
    <row r="47" spans="1:8" s="788" customFormat="1">
      <c r="A47" s="2630" t="s">
        <v>229</v>
      </c>
      <c r="B47" s="2631"/>
      <c r="C47" s="785"/>
      <c r="D47" s="785"/>
      <c r="E47" s="785"/>
      <c r="F47" s="785"/>
      <c r="G47" s="786"/>
      <c r="H47" s="787"/>
    </row>
    <row r="48" spans="1:8" s="792" customFormat="1" ht="76.5">
      <c r="A48" s="789"/>
      <c r="B48" s="790" t="s">
        <v>455</v>
      </c>
      <c r="C48" s="791">
        <v>1064.2499999999998</v>
      </c>
      <c r="D48" s="753">
        <v>1832.37</v>
      </c>
      <c r="E48" s="753">
        <f>C48-D48</f>
        <v>-768.12000000000012</v>
      </c>
      <c r="F48" s="753">
        <f t="shared" si="1"/>
        <v>172.17477096546867</v>
      </c>
      <c r="G48" s="755" t="s">
        <v>456</v>
      </c>
      <c r="H48" s="761">
        <v>300</v>
      </c>
    </row>
    <row r="49" spans="1:8" s="792" customFormat="1">
      <c r="A49" s="789"/>
      <c r="B49" s="790" t="s">
        <v>457</v>
      </c>
      <c r="C49" s="791">
        <v>880</v>
      </c>
      <c r="D49" s="753">
        <v>973.41</v>
      </c>
      <c r="E49" s="753">
        <f t="shared" ref="E49:E60" si="4">C49-D49</f>
        <v>-93.409999999999968</v>
      </c>
      <c r="F49" s="753">
        <f t="shared" si="1"/>
        <v>110.61477272727272</v>
      </c>
      <c r="G49" s="793" t="s">
        <v>458</v>
      </c>
      <c r="H49" s="761">
        <v>305</v>
      </c>
    </row>
    <row r="50" spans="1:8" s="792" customFormat="1">
      <c r="A50" s="789"/>
      <c r="B50" s="790" t="s">
        <v>459</v>
      </c>
      <c r="C50" s="791">
        <v>1540</v>
      </c>
      <c r="D50" s="753">
        <v>3927.2200000000003</v>
      </c>
      <c r="E50" s="753">
        <f t="shared" si="4"/>
        <v>-2387.2200000000003</v>
      </c>
      <c r="F50" s="753">
        <f t="shared" si="1"/>
        <v>255.01428571428571</v>
      </c>
      <c r="G50" s="793" t="s">
        <v>458</v>
      </c>
      <c r="H50" s="761">
        <v>310</v>
      </c>
    </row>
    <row r="51" spans="1:8" s="792" customFormat="1">
      <c r="A51" s="789"/>
      <c r="B51" s="790" t="s">
        <v>460</v>
      </c>
      <c r="C51" s="791">
        <v>880</v>
      </c>
      <c r="D51" s="753">
        <v>0</v>
      </c>
      <c r="E51" s="753">
        <f t="shared" si="4"/>
        <v>880</v>
      </c>
      <c r="F51" s="753">
        <f t="shared" si="1"/>
        <v>0</v>
      </c>
      <c r="G51" s="793" t="s">
        <v>458</v>
      </c>
      <c r="H51" s="761">
        <v>315</v>
      </c>
    </row>
    <row r="52" spans="1:8" s="792" customFormat="1">
      <c r="A52" s="789"/>
      <c r="B52" s="790" t="s">
        <v>461</v>
      </c>
      <c r="C52" s="791">
        <v>1100</v>
      </c>
      <c r="D52" s="753">
        <v>0</v>
      </c>
      <c r="E52" s="753">
        <f t="shared" si="4"/>
        <v>1100</v>
      </c>
      <c r="F52" s="753">
        <f t="shared" si="1"/>
        <v>0</v>
      </c>
      <c r="G52" s="793" t="s">
        <v>458</v>
      </c>
      <c r="H52" s="761">
        <v>320</v>
      </c>
    </row>
    <row r="53" spans="1:8">
      <c r="A53" s="789"/>
      <c r="B53" s="777" t="s">
        <v>462</v>
      </c>
      <c r="C53" s="753">
        <v>3850</v>
      </c>
      <c r="D53" s="753">
        <v>387.54</v>
      </c>
      <c r="E53" s="753">
        <f t="shared" si="4"/>
        <v>3462.46</v>
      </c>
      <c r="F53" s="753">
        <f t="shared" si="1"/>
        <v>10.065974025974025</v>
      </c>
      <c r="G53" s="793" t="s">
        <v>458</v>
      </c>
      <c r="H53" s="752">
        <v>325</v>
      </c>
    </row>
    <row r="54" spans="1:8">
      <c r="A54" s="789"/>
      <c r="B54" s="777" t="s">
        <v>463</v>
      </c>
      <c r="C54" s="753">
        <v>2550</v>
      </c>
      <c r="D54" s="753">
        <v>2086.83</v>
      </c>
      <c r="E54" s="753">
        <f t="shared" si="4"/>
        <v>463.17000000000007</v>
      </c>
      <c r="F54" s="753">
        <f t="shared" si="1"/>
        <v>81.836470588235301</v>
      </c>
      <c r="G54" s="793" t="s">
        <v>458</v>
      </c>
      <c r="H54" s="752">
        <v>330</v>
      </c>
    </row>
    <row r="55" spans="1:8" s="792" customFormat="1" ht="63.75">
      <c r="A55" s="789"/>
      <c r="B55" s="790" t="s">
        <v>464</v>
      </c>
      <c r="C55" s="791">
        <v>3000</v>
      </c>
      <c r="D55" s="753">
        <v>4349.93</v>
      </c>
      <c r="E55" s="753">
        <f t="shared" si="4"/>
        <v>-1349.9300000000003</v>
      </c>
      <c r="F55" s="753">
        <f t="shared" si="1"/>
        <v>144.99766666666667</v>
      </c>
      <c r="G55" s="773" t="s">
        <v>465</v>
      </c>
      <c r="H55" s="761">
        <v>340</v>
      </c>
    </row>
    <row r="56" spans="1:8" s="792" customFormat="1" ht="63.75">
      <c r="A56" s="789"/>
      <c r="B56" s="790" t="s">
        <v>466</v>
      </c>
      <c r="C56" s="791">
        <v>1680</v>
      </c>
      <c r="D56" s="753">
        <v>1690.1899999999998</v>
      </c>
      <c r="E56" s="753">
        <f t="shared" si="4"/>
        <v>-10.189999999999827</v>
      </c>
      <c r="F56" s="753">
        <f t="shared" si="1"/>
        <v>100.6065476190476</v>
      </c>
      <c r="G56" s="774" t="s">
        <v>467</v>
      </c>
      <c r="H56" s="761">
        <v>345</v>
      </c>
    </row>
    <row r="57" spans="1:8" s="792" customFormat="1" ht="89.25">
      <c r="A57" s="789"/>
      <c r="B57" s="790" t="s">
        <v>468</v>
      </c>
      <c r="C57" s="791">
        <v>5100</v>
      </c>
      <c r="D57" s="753">
        <v>1313.08</v>
      </c>
      <c r="E57" s="753">
        <f t="shared" si="4"/>
        <v>3786.92</v>
      </c>
      <c r="F57" s="753">
        <f t="shared" si="1"/>
        <v>25.746666666666666</v>
      </c>
      <c r="G57" s="755" t="s">
        <v>469</v>
      </c>
      <c r="H57" s="761">
        <v>350</v>
      </c>
    </row>
    <row r="58" spans="1:8" s="792" customFormat="1" ht="89.25">
      <c r="A58" s="789"/>
      <c r="B58" s="790" t="s">
        <v>470</v>
      </c>
      <c r="C58" s="791">
        <v>3900</v>
      </c>
      <c r="D58" s="753">
        <v>1799.69</v>
      </c>
      <c r="E58" s="753">
        <f t="shared" si="4"/>
        <v>2100.31</v>
      </c>
      <c r="F58" s="753">
        <f t="shared" si="1"/>
        <v>46.145897435897439</v>
      </c>
      <c r="G58" s="755" t="s">
        <v>469</v>
      </c>
      <c r="H58" s="761">
        <v>355</v>
      </c>
    </row>
    <row r="59" spans="1:8" s="792" customFormat="1" ht="89.25">
      <c r="A59" s="789"/>
      <c r="B59" s="790" t="s">
        <v>471</v>
      </c>
      <c r="C59" s="791">
        <v>3600</v>
      </c>
      <c r="D59" s="753">
        <v>721.66</v>
      </c>
      <c r="E59" s="753">
        <f t="shared" si="4"/>
        <v>2878.34</v>
      </c>
      <c r="F59" s="753">
        <f t="shared" si="1"/>
        <v>20.046111111111109</v>
      </c>
      <c r="G59" s="755" t="s">
        <v>469</v>
      </c>
      <c r="H59" s="761">
        <v>360</v>
      </c>
    </row>
    <row r="60" spans="1:8" s="12" customFormat="1">
      <c r="A60" s="794" t="s">
        <v>472</v>
      </c>
      <c r="B60" s="794"/>
      <c r="C60" s="795">
        <v>29144.25</v>
      </c>
      <c r="D60" s="795">
        <f>SUM(D48:D59)</f>
        <v>19081.919999999998</v>
      </c>
      <c r="E60" s="795">
        <f t="shared" si="4"/>
        <v>10062.330000000002</v>
      </c>
      <c r="F60" s="795">
        <f t="shared" si="1"/>
        <v>65.474047196273702</v>
      </c>
      <c r="G60" s="796"/>
      <c r="H60" s="761"/>
    </row>
    <row r="61" spans="1:8" s="792" customFormat="1">
      <c r="A61" s="797" t="s">
        <v>240</v>
      </c>
      <c r="B61" s="797"/>
      <c r="C61" s="798"/>
      <c r="D61" s="798"/>
      <c r="E61" s="798"/>
      <c r="F61" s="798"/>
      <c r="G61" s="799"/>
      <c r="H61" s="761"/>
    </row>
    <row r="62" spans="1:8" s="2" customFormat="1" ht="114.75">
      <c r="A62" s="790"/>
      <c r="B62" s="790" t="s">
        <v>473</v>
      </c>
      <c r="C62" s="753">
        <v>1800</v>
      </c>
      <c r="D62" s="753">
        <v>885</v>
      </c>
      <c r="E62" s="753">
        <f>C62-D62</f>
        <v>915</v>
      </c>
      <c r="F62" s="753">
        <f t="shared" si="1"/>
        <v>49.166666666666664</v>
      </c>
      <c r="G62" s="800" t="s">
        <v>474</v>
      </c>
      <c r="H62" s="761">
        <v>365</v>
      </c>
    </row>
    <row r="63" spans="1:8" s="2" customFormat="1" ht="114.75">
      <c r="A63" s="790"/>
      <c r="B63" s="790" t="s">
        <v>475</v>
      </c>
      <c r="C63" s="753">
        <v>3000</v>
      </c>
      <c r="D63" s="753">
        <v>589</v>
      </c>
      <c r="E63" s="753">
        <f>C63-D63</f>
        <v>2411</v>
      </c>
      <c r="F63" s="753">
        <f t="shared" si="1"/>
        <v>19.633333333333333</v>
      </c>
      <c r="G63" s="800" t="s">
        <v>476</v>
      </c>
      <c r="H63" s="761">
        <v>370</v>
      </c>
    </row>
    <row r="64" spans="1:8" s="12" customFormat="1">
      <c r="A64" s="794" t="s">
        <v>477</v>
      </c>
      <c r="B64" s="794"/>
      <c r="C64" s="795">
        <v>4800</v>
      </c>
      <c r="D64" s="795">
        <f>SUM(D62:D63)</f>
        <v>1474</v>
      </c>
      <c r="E64" s="795">
        <f>SUM(E62:E63)</f>
        <v>3326</v>
      </c>
      <c r="F64" s="795">
        <f t="shared" si="1"/>
        <v>30.708333333333332</v>
      </c>
      <c r="G64" s="796"/>
      <c r="H64" s="761"/>
    </row>
    <row r="65" spans="1:8" s="792" customFormat="1">
      <c r="A65" s="797" t="s">
        <v>244</v>
      </c>
      <c r="B65" s="797"/>
      <c r="C65" s="798"/>
      <c r="D65" s="798"/>
      <c r="E65" s="798"/>
      <c r="F65" s="798"/>
      <c r="G65" s="799"/>
      <c r="H65" s="761"/>
    </row>
    <row r="66" spans="1:8" s="792" customFormat="1" ht="63.75">
      <c r="A66" s="801"/>
      <c r="B66" s="790" t="s">
        <v>478</v>
      </c>
      <c r="C66" s="753">
        <v>4200</v>
      </c>
      <c r="D66" s="753">
        <v>8848.5</v>
      </c>
      <c r="E66" s="753">
        <f>C66-D66</f>
        <v>-4648.5</v>
      </c>
      <c r="F66" s="753">
        <f t="shared" si="1"/>
        <v>210.67857142857142</v>
      </c>
      <c r="G66" s="774" t="s">
        <v>479</v>
      </c>
      <c r="H66" s="761">
        <v>375</v>
      </c>
    </row>
    <row r="67" spans="1:8" s="12" customFormat="1">
      <c r="A67" s="794" t="s">
        <v>480</v>
      </c>
      <c r="B67" s="794"/>
      <c r="C67" s="795">
        <v>4200</v>
      </c>
      <c r="D67" s="795">
        <f>SUM(D66)</f>
        <v>8848.5</v>
      </c>
      <c r="E67" s="795">
        <f>E66</f>
        <v>-4648.5</v>
      </c>
      <c r="F67" s="795">
        <f t="shared" si="1"/>
        <v>210.67857142857142</v>
      </c>
      <c r="G67" s="796"/>
      <c r="H67" s="761"/>
    </row>
    <row r="68" spans="1:8" s="792" customFormat="1">
      <c r="A68" s="797" t="s">
        <v>249</v>
      </c>
      <c r="B68" s="797"/>
      <c r="C68" s="798"/>
      <c r="D68" s="798"/>
      <c r="E68" s="798"/>
      <c r="F68" s="798"/>
      <c r="G68" s="799"/>
      <c r="H68" s="761"/>
    </row>
    <row r="69" spans="1:8" s="792" customFormat="1" ht="127.5">
      <c r="A69" s="801"/>
      <c r="B69" s="790" t="s">
        <v>481</v>
      </c>
      <c r="C69" s="753">
        <v>3300</v>
      </c>
      <c r="D69" s="753">
        <v>5608.7</v>
      </c>
      <c r="E69" s="753">
        <f>C69-D69</f>
        <v>-2308.6999999999998</v>
      </c>
      <c r="F69" s="753">
        <f t="shared" si="1"/>
        <v>169.96060606060607</v>
      </c>
      <c r="G69" s="755" t="s">
        <v>482</v>
      </c>
      <c r="H69" s="761">
        <v>380</v>
      </c>
    </row>
    <row r="70" spans="1:8" s="792" customFormat="1" ht="76.5">
      <c r="A70" s="801"/>
      <c r="B70" s="790" t="s">
        <v>483</v>
      </c>
      <c r="C70" s="753">
        <v>900</v>
      </c>
      <c r="D70" s="753">
        <v>-4780</v>
      </c>
      <c r="E70" s="753">
        <f t="shared" ref="E70:E71" si="5">C70-D70</f>
        <v>5680</v>
      </c>
      <c r="F70" s="753">
        <f t="shared" si="1"/>
        <v>-531.11111111111109</v>
      </c>
      <c r="G70" s="755" t="s">
        <v>484</v>
      </c>
      <c r="H70" s="761">
        <v>385</v>
      </c>
    </row>
    <row r="71" spans="1:8" s="12" customFormat="1">
      <c r="A71" s="794" t="s">
        <v>485</v>
      </c>
      <c r="B71" s="802"/>
      <c r="C71" s="803">
        <v>4200</v>
      </c>
      <c r="D71" s="803">
        <f>SUM(D69:D70)</f>
        <v>828.69999999999982</v>
      </c>
      <c r="E71" s="803">
        <f t="shared" si="5"/>
        <v>3371.3</v>
      </c>
      <c r="F71" s="803">
        <f t="shared" ref="F71:F94" si="6">D71*100/C71</f>
        <v>19.730952380952377</v>
      </c>
      <c r="G71" s="804"/>
      <c r="H71" s="761"/>
    </row>
    <row r="72" spans="1:8" s="792" customFormat="1">
      <c r="A72" s="797" t="s">
        <v>255</v>
      </c>
      <c r="B72" s="797"/>
      <c r="C72" s="798"/>
      <c r="D72" s="798"/>
      <c r="E72" s="798"/>
      <c r="F72" s="798"/>
      <c r="G72" s="799"/>
      <c r="H72" s="761"/>
    </row>
    <row r="73" spans="1:8" s="792" customFormat="1" ht="127.5">
      <c r="A73" s="801"/>
      <c r="B73" s="805" t="s">
        <v>486</v>
      </c>
      <c r="C73" s="806">
        <v>9000</v>
      </c>
      <c r="D73" s="753">
        <v>17960</v>
      </c>
      <c r="E73" s="806">
        <f>C73-D73</f>
        <v>-8960</v>
      </c>
      <c r="F73" s="806">
        <f t="shared" si="6"/>
        <v>199.55555555555554</v>
      </c>
      <c r="G73" s="807" t="s">
        <v>487</v>
      </c>
      <c r="H73" s="761">
        <v>390</v>
      </c>
    </row>
    <row r="74" spans="1:8" s="792" customFormat="1" ht="127.5">
      <c r="A74" s="801"/>
      <c r="B74" s="805" t="s">
        <v>488</v>
      </c>
      <c r="C74" s="806">
        <v>2500</v>
      </c>
      <c r="D74" s="753">
        <v>5011.1499999999996</v>
      </c>
      <c r="E74" s="806">
        <f>C74-D74</f>
        <v>-2511.1499999999996</v>
      </c>
      <c r="F74" s="806">
        <f t="shared" si="6"/>
        <v>200.44599999999997</v>
      </c>
      <c r="G74" s="807" t="s">
        <v>489</v>
      </c>
      <c r="H74" s="761">
        <v>395</v>
      </c>
    </row>
    <row r="75" spans="1:8" s="12" customFormat="1">
      <c r="A75" s="794" t="s">
        <v>490</v>
      </c>
      <c r="B75" s="794"/>
      <c r="C75" s="795">
        <v>11500</v>
      </c>
      <c r="D75" s="795">
        <f>SUM(D73:D74)</f>
        <v>22971.15</v>
      </c>
      <c r="E75" s="795">
        <f>SUM(E73:E74)</f>
        <v>-11471.15</v>
      </c>
      <c r="F75" s="795">
        <f t="shared" si="6"/>
        <v>199.74913043478261</v>
      </c>
      <c r="G75" s="808"/>
      <c r="H75" s="761"/>
    </row>
    <row r="76" spans="1:8" s="792" customFormat="1">
      <c r="A76" s="797" t="s">
        <v>260</v>
      </c>
      <c r="B76" s="797"/>
      <c r="C76" s="798"/>
      <c r="D76" s="798"/>
      <c r="E76" s="798"/>
      <c r="F76" s="798"/>
      <c r="G76" s="799"/>
      <c r="H76" s="761"/>
    </row>
    <row r="77" spans="1:8" s="792" customFormat="1">
      <c r="A77" s="801"/>
      <c r="B77" s="801"/>
      <c r="C77" s="809"/>
      <c r="D77" s="809"/>
      <c r="E77" s="809"/>
      <c r="F77" s="809"/>
      <c r="G77" s="810"/>
      <c r="H77" s="761"/>
    </row>
    <row r="78" spans="1:8" s="792" customFormat="1">
      <c r="A78" s="801"/>
      <c r="B78" s="801"/>
      <c r="C78" s="809"/>
      <c r="D78" s="809"/>
      <c r="E78" s="809"/>
      <c r="F78" s="809"/>
      <c r="G78" s="810"/>
      <c r="H78" s="761"/>
    </row>
    <row r="79" spans="1:8" s="792" customFormat="1">
      <c r="A79" s="801"/>
      <c r="B79" s="801"/>
      <c r="C79" s="759">
        <v>0</v>
      </c>
      <c r="D79" s="759"/>
      <c r="E79" s="759"/>
      <c r="F79" s="759"/>
      <c r="G79" s="811"/>
      <c r="H79" s="761"/>
    </row>
    <row r="80" spans="1:8" s="792" customFormat="1">
      <c r="A80" s="797" t="s">
        <v>262</v>
      </c>
      <c r="B80" s="797"/>
      <c r="C80" s="798"/>
      <c r="D80" s="798"/>
      <c r="E80" s="798"/>
      <c r="F80" s="798"/>
      <c r="G80" s="799"/>
      <c r="H80" s="761"/>
    </row>
    <row r="81" spans="1:8" s="2" customFormat="1" ht="127.5">
      <c r="A81" s="790"/>
      <c r="B81" s="790" t="s">
        <v>491</v>
      </c>
      <c r="C81" s="753">
        <v>3000</v>
      </c>
      <c r="D81" s="753">
        <v>5367.3099999999995</v>
      </c>
      <c r="E81" s="753">
        <f>C81-D81</f>
        <v>-2367.3099999999995</v>
      </c>
      <c r="F81" s="753">
        <f t="shared" si="6"/>
        <v>178.91033333333334</v>
      </c>
      <c r="G81" s="755" t="s">
        <v>492</v>
      </c>
      <c r="H81" s="761">
        <v>400</v>
      </c>
    </row>
    <row r="82" spans="1:8" s="792" customFormat="1" ht="114.75">
      <c r="A82" s="801"/>
      <c r="B82" s="790" t="s">
        <v>493</v>
      </c>
      <c r="C82" s="753">
        <v>5400</v>
      </c>
      <c r="D82" s="753">
        <v>889.5</v>
      </c>
      <c r="E82" s="753">
        <f t="shared" ref="E82:E89" si="7">C82-D82</f>
        <v>4510.5</v>
      </c>
      <c r="F82" s="753">
        <f t="shared" si="6"/>
        <v>16.472222222222221</v>
      </c>
      <c r="G82" s="755" t="s">
        <v>494</v>
      </c>
      <c r="H82" s="761">
        <v>405</v>
      </c>
    </row>
    <row r="83" spans="1:8" s="792" customFormat="1">
      <c r="A83" s="801"/>
      <c r="B83" s="790" t="s">
        <v>495</v>
      </c>
      <c r="C83" s="753">
        <v>4032.0000000000009</v>
      </c>
      <c r="D83" s="753">
        <v>5048.72</v>
      </c>
      <c r="E83" s="753">
        <f t="shared" si="7"/>
        <v>-1016.7199999999993</v>
      </c>
      <c r="F83" s="753">
        <f t="shared" si="6"/>
        <v>125.21626984126981</v>
      </c>
      <c r="G83" s="793" t="s">
        <v>496</v>
      </c>
      <c r="H83" s="761">
        <v>410</v>
      </c>
    </row>
    <row r="84" spans="1:8" s="792" customFormat="1" ht="140.25">
      <c r="A84" s="801"/>
      <c r="B84" s="790" t="s">
        <v>497</v>
      </c>
      <c r="C84" s="753">
        <v>3000</v>
      </c>
      <c r="D84" s="753">
        <v>5860.07</v>
      </c>
      <c r="E84" s="753">
        <f t="shared" si="7"/>
        <v>-2860.0699999999997</v>
      </c>
      <c r="F84" s="753">
        <f t="shared" si="6"/>
        <v>195.33566666666667</v>
      </c>
      <c r="G84" s="774" t="s">
        <v>498</v>
      </c>
      <c r="H84" s="761">
        <v>415</v>
      </c>
    </row>
    <row r="85" spans="1:8" s="792" customFormat="1">
      <c r="A85" s="801"/>
      <c r="B85" s="790" t="s">
        <v>499</v>
      </c>
      <c r="C85" s="753">
        <v>5400</v>
      </c>
      <c r="D85" s="753">
        <v>1935.31</v>
      </c>
      <c r="E85" s="753">
        <f t="shared" si="7"/>
        <v>3464.69</v>
      </c>
      <c r="F85" s="753">
        <f t="shared" si="6"/>
        <v>35.839074074074077</v>
      </c>
      <c r="G85" s="793" t="s">
        <v>500</v>
      </c>
      <c r="H85" s="761">
        <v>420</v>
      </c>
    </row>
    <row r="86" spans="1:8" s="792" customFormat="1" ht="51">
      <c r="A86" s="789"/>
      <c r="B86" s="790" t="s">
        <v>501</v>
      </c>
      <c r="C86" s="791">
        <v>7740</v>
      </c>
      <c r="D86" s="753">
        <v>7016.9699999999993</v>
      </c>
      <c r="E86" s="753">
        <f t="shared" si="7"/>
        <v>723.03000000000065</v>
      </c>
      <c r="F86" s="753">
        <f t="shared" si="6"/>
        <v>90.658527131782932</v>
      </c>
      <c r="G86" s="755" t="s">
        <v>502</v>
      </c>
      <c r="H86" s="761">
        <v>425</v>
      </c>
    </row>
    <row r="87" spans="1:8" s="792" customFormat="1" ht="63.75">
      <c r="A87" s="789"/>
      <c r="B87" s="790" t="s">
        <v>503</v>
      </c>
      <c r="C87" s="791">
        <v>2256</v>
      </c>
      <c r="D87" s="753">
        <v>365.08</v>
      </c>
      <c r="E87" s="753">
        <f t="shared" si="7"/>
        <v>1890.92</v>
      </c>
      <c r="F87" s="753">
        <f t="shared" si="6"/>
        <v>16.182624113475178</v>
      </c>
      <c r="G87" s="755" t="s">
        <v>504</v>
      </c>
      <c r="H87" s="761">
        <v>430</v>
      </c>
    </row>
    <row r="88" spans="1:8" s="12" customFormat="1">
      <c r="A88" s="794" t="s">
        <v>505</v>
      </c>
      <c r="B88" s="794"/>
      <c r="C88" s="795">
        <v>30828</v>
      </c>
      <c r="D88" s="795">
        <f>SUM(D81:D87)</f>
        <v>26482.959999999999</v>
      </c>
      <c r="E88" s="795">
        <f>SUM(E81:E87)</f>
        <v>4345.0400000000027</v>
      </c>
      <c r="F88" s="795">
        <f t="shared" si="6"/>
        <v>85.905540417802001</v>
      </c>
      <c r="G88" s="754"/>
      <c r="H88" s="761"/>
    </row>
    <row r="89" spans="1:8" s="814" customFormat="1">
      <c r="A89" s="779" t="s">
        <v>265</v>
      </c>
      <c r="B89" s="780"/>
      <c r="C89" s="812">
        <v>84672.25</v>
      </c>
      <c r="D89" s="812">
        <f>D60+D64+D67+D71+D75+D88</f>
        <v>79687.23000000001</v>
      </c>
      <c r="E89" s="812">
        <f t="shared" si="7"/>
        <v>4985.0199999999895</v>
      </c>
      <c r="F89" s="812">
        <f t="shared" si="6"/>
        <v>94.112569348281184</v>
      </c>
      <c r="G89" s="813"/>
      <c r="H89" s="765"/>
    </row>
    <row r="90" spans="1:8" s="775" customFormat="1">
      <c r="A90" s="815" t="s">
        <v>266</v>
      </c>
      <c r="B90" s="816"/>
      <c r="C90" s="817" t="s">
        <v>267</v>
      </c>
      <c r="D90" s="817"/>
      <c r="E90" s="817"/>
      <c r="F90" s="817"/>
      <c r="G90" s="818"/>
      <c r="H90" s="765"/>
    </row>
    <row r="91" spans="1:8" s="775" customFormat="1">
      <c r="A91" s="815"/>
      <c r="B91" s="816"/>
      <c r="C91" s="817">
        <v>268478.34999999998</v>
      </c>
      <c r="D91" s="817">
        <f>D45+D89</f>
        <v>170545.56</v>
      </c>
      <c r="E91" s="817">
        <f>E45+E89</f>
        <v>97932.79</v>
      </c>
      <c r="F91" s="817">
        <f t="shared" si="6"/>
        <v>63.523021502478699</v>
      </c>
      <c r="G91" s="818"/>
      <c r="H91" s="765"/>
    </row>
    <row r="92" spans="1:8" s="821" customFormat="1">
      <c r="A92" s="819"/>
      <c r="B92" s="819"/>
      <c r="C92" s="820"/>
      <c r="F92" s="822"/>
      <c r="H92" s="823"/>
    </row>
    <row r="93" spans="1:8" ht="25.5">
      <c r="A93" s="824" t="s">
        <v>270</v>
      </c>
      <c r="B93" s="825"/>
      <c r="C93" s="826">
        <v>18793.484499999999</v>
      </c>
      <c r="D93" s="826">
        <f>D91*0.07</f>
        <v>11938.189200000001</v>
      </c>
      <c r="E93" s="826">
        <f>C93-D93</f>
        <v>6855.295299999998</v>
      </c>
      <c r="F93" s="826">
        <f t="shared" si="6"/>
        <v>63.523021502478706</v>
      </c>
      <c r="G93" s="827"/>
      <c r="H93" s="828" t="s">
        <v>506</v>
      </c>
    </row>
    <row r="94" spans="1:8">
      <c r="A94" s="829" t="s">
        <v>271</v>
      </c>
      <c r="B94" s="830"/>
      <c r="C94" s="831">
        <f>C91+C93</f>
        <v>287271.8345</v>
      </c>
      <c r="D94" s="831">
        <f>D91+D93</f>
        <v>182483.74919999999</v>
      </c>
      <c r="E94" s="831">
        <f>E91+E93</f>
        <v>104788.08529999999</v>
      </c>
      <c r="F94" s="831">
        <f t="shared" si="6"/>
        <v>63.523021502478684</v>
      </c>
      <c r="G94" s="832"/>
      <c r="H94" s="752"/>
    </row>
  </sheetData>
  <mergeCells count="17">
    <mergeCell ref="A33:A34"/>
    <mergeCell ref="A1:C1"/>
    <mergeCell ref="A3:C3"/>
    <mergeCell ref="A4:A7"/>
    <mergeCell ref="A8:A13"/>
    <mergeCell ref="A14:A16"/>
    <mergeCell ref="A17:B17"/>
    <mergeCell ref="A18:G18"/>
    <mergeCell ref="A19:A20"/>
    <mergeCell ref="A21:A23"/>
    <mergeCell ref="A24:A27"/>
    <mergeCell ref="A28:A32"/>
    <mergeCell ref="A35:A39"/>
    <mergeCell ref="A40:A43"/>
    <mergeCell ref="A44:B44"/>
    <mergeCell ref="A46:B46"/>
    <mergeCell ref="A47:B47"/>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categories.</xm:f>
          </x14:formula1>
          <xm:sqref>IE77:IE79 SA77:SA79 ABW77:ABW79 ALS77:ALS79 AVO77:AVO79 BFK77:BFK79 BPG77:BPG79 BZC77:BZC79 CIY77:CIY79 CSU77:CSU79 DCQ77:DCQ79 DMM77:DMM79 DWI77:DWI79 EGE77:EGE79 EQA77:EQA79 EZW77:EZW79 FJS77:FJS79 FTO77:FTO79 GDK77:GDK79 GNG77:GNG79 GXC77:GXC79 HGY77:HGY79 HQU77:HQU79 IAQ77:IAQ79 IKM77:IKM79 IUI77:IUI79 JEE77:JEE79 JOA77:JOA79 JXW77:JXW79 KHS77:KHS79 KRO77:KRO79 LBK77:LBK79 LLG77:LLG79 LVC77:LVC79 MEY77:MEY79 MOU77:MOU79 MYQ77:MYQ79 NIM77:NIM79 NSI77:NSI79 OCE77:OCE79 OMA77:OMA79 OVW77:OVW79 PFS77:PFS79 PPO77:PPO79 PZK77:PZK79 QJG77:QJG79 QTC77:QTC79 RCY77:RCY79 RMU77:RMU79 RWQ77:RWQ79 SGM77:SGM79 SQI77:SQI79 TAE77:TAE79 TKA77:TKA79 TTW77:TTW79 UDS77:UDS79 UNO77:UNO79 UXK77:UXK79 VHG77:VHG79 VRC77:VRC79 WAY77:WAY79 WKU77:WKU79 WUQ77:WUQ79 IE65589:IE65591 SA65589:SA65591 ABW65589:ABW65591 ALS65589:ALS65591 AVO65589:AVO65591 BFK65589:BFK65591 BPG65589:BPG65591 BZC65589:BZC65591 CIY65589:CIY65591 CSU65589:CSU65591 DCQ65589:DCQ65591 DMM65589:DMM65591 DWI65589:DWI65591 EGE65589:EGE65591 EQA65589:EQA65591 EZW65589:EZW65591 FJS65589:FJS65591 FTO65589:FTO65591 GDK65589:GDK65591 GNG65589:GNG65591 GXC65589:GXC65591 HGY65589:HGY65591 HQU65589:HQU65591 IAQ65589:IAQ65591 IKM65589:IKM65591 IUI65589:IUI65591 JEE65589:JEE65591 JOA65589:JOA65591 JXW65589:JXW65591 KHS65589:KHS65591 KRO65589:KRO65591 LBK65589:LBK65591 LLG65589:LLG65591 LVC65589:LVC65591 MEY65589:MEY65591 MOU65589:MOU65591 MYQ65589:MYQ65591 NIM65589:NIM65591 NSI65589:NSI65591 OCE65589:OCE65591 OMA65589:OMA65591 OVW65589:OVW65591 PFS65589:PFS65591 PPO65589:PPO65591 PZK65589:PZK65591 QJG65589:QJG65591 QTC65589:QTC65591 RCY65589:RCY65591 RMU65589:RMU65591 RWQ65589:RWQ65591 SGM65589:SGM65591 SQI65589:SQI65591 TAE65589:TAE65591 TKA65589:TKA65591 TTW65589:TTW65591 UDS65589:UDS65591 UNO65589:UNO65591 UXK65589:UXK65591 VHG65589:VHG65591 VRC65589:VRC65591 WAY65589:WAY65591 WKU65589:WKU65591 WUQ65589:WUQ65591 IE131125:IE131127 SA131125:SA131127 ABW131125:ABW131127 ALS131125:ALS131127 AVO131125:AVO131127 BFK131125:BFK131127 BPG131125:BPG131127 BZC131125:BZC131127 CIY131125:CIY131127 CSU131125:CSU131127 DCQ131125:DCQ131127 DMM131125:DMM131127 DWI131125:DWI131127 EGE131125:EGE131127 EQA131125:EQA131127 EZW131125:EZW131127 FJS131125:FJS131127 FTO131125:FTO131127 GDK131125:GDK131127 GNG131125:GNG131127 GXC131125:GXC131127 HGY131125:HGY131127 HQU131125:HQU131127 IAQ131125:IAQ131127 IKM131125:IKM131127 IUI131125:IUI131127 JEE131125:JEE131127 JOA131125:JOA131127 JXW131125:JXW131127 KHS131125:KHS131127 KRO131125:KRO131127 LBK131125:LBK131127 LLG131125:LLG131127 LVC131125:LVC131127 MEY131125:MEY131127 MOU131125:MOU131127 MYQ131125:MYQ131127 NIM131125:NIM131127 NSI131125:NSI131127 OCE131125:OCE131127 OMA131125:OMA131127 OVW131125:OVW131127 PFS131125:PFS131127 PPO131125:PPO131127 PZK131125:PZK131127 QJG131125:QJG131127 QTC131125:QTC131127 RCY131125:RCY131127 RMU131125:RMU131127 RWQ131125:RWQ131127 SGM131125:SGM131127 SQI131125:SQI131127 TAE131125:TAE131127 TKA131125:TKA131127 TTW131125:TTW131127 UDS131125:UDS131127 UNO131125:UNO131127 UXK131125:UXK131127 VHG131125:VHG131127 VRC131125:VRC131127 WAY131125:WAY131127 WKU131125:WKU131127 WUQ131125:WUQ131127 IE196661:IE196663 SA196661:SA196663 ABW196661:ABW196663 ALS196661:ALS196663 AVO196661:AVO196663 BFK196661:BFK196663 BPG196661:BPG196663 BZC196661:BZC196663 CIY196661:CIY196663 CSU196661:CSU196663 DCQ196661:DCQ196663 DMM196661:DMM196663 DWI196661:DWI196663 EGE196661:EGE196663 EQA196661:EQA196663 EZW196661:EZW196663 FJS196661:FJS196663 FTO196661:FTO196663 GDK196661:GDK196663 GNG196661:GNG196663 GXC196661:GXC196663 HGY196661:HGY196663 HQU196661:HQU196663 IAQ196661:IAQ196663 IKM196661:IKM196663 IUI196661:IUI196663 JEE196661:JEE196663 JOA196661:JOA196663 JXW196661:JXW196663 KHS196661:KHS196663 KRO196661:KRO196663 LBK196661:LBK196663 LLG196661:LLG196663 LVC196661:LVC196663 MEY196661:MEY196663 MOU196661:MOU196663 MYQ196661:MYQ196663 NIM196661:NIM196663 NSI196661:NSI196663 OCE196661:OCE196663 OMA196661:OMA196663 OVW196661:OVW196663 PFS196661:PFS196663 PPO196661:PPO196663 PZK196661:PZK196663 QJG196661:QJG196663 QTC196661:QTC196663 RCY196661:RCY196663 RMU196661:RMU196663 RWQ196661:RWQ196663 SGM196661:SGM196663 SQI196661:SQI196663 TAE196661:TAE196663 TKA196661:TKA196663 TTW196661:TTW196663 UDS196661:UDS196663 UNO196661:UNO196663 UXK196661:UXK196663 VHG196661:VHG196663 VRC196661:VRC196663 WAY196661:WAY196663 WKU196661:WKU196663 WUQ196661:WUQ196663 IE262197:IE262199 SA262197:SA262199 ABW262197:ABW262199 ALS262197:ALS262199 AVO262197:AVO262199 BFK262197:BFK262199 BPG262197:BPG262199 BZC262197:BZC262199 CIY262197:CIY262199 CSU262197:CSU262199 DCQ262197:DCQ262199 DMM262197:DMM262199 DWI262197:DWI262199 EGE262197:EGE262199 EQA262197:EQA262199 EZW262197:EZW262199 FJS262197:FJS262199 FTO262197:FTO262199 GDK262197:GDK262199 GNG262197:GNG262199 GXC262197:GXC262199 HGY262197:HGY262199 HQU262197:HQU262199 IAQ262197:IAQ262199 IKM262197:IKM262199 IUI262197:IUI262199 JEE262197:JEE262199 JOA262197:JOA262199 JXW262197:JXW262199 KHS262197:KHS262199 KRO262197:KRO262199 LBK262197:LBK262199 LLG262197:LLG262199 LVC262197:LVC262199 MEY262197:MEY262199 MOU262197:MOU262199 MYQ262197:MYQ262199 NIM262197:NIM262199 NSI262197:NSI262199 OCE262197:OCE262199 OMA262197:OMA262199 OVW262197:OVW262199 PFS262197:PFS262199 PPO262197:PPO262199 PZK262197:PZK262199 QJG262197:QJG262199 QTC262197:QTC262199 RCY262197:RCY262199 RMU262197:RMU262199 RWQ262197:RWQ262199 SGM262197:SGM262199 SQI262197:SQI262199 TAE262197:TAE262199 TKA262197:TKA262199 TTW262197:TTW262199 UDS262197:UDS262199 UNO262197:UNO262199 UXK262197:UXK262199 VHG262197:VHG262199 VRC262197:VRC262199 WAY262197:WAY262199 WKU262197:WKU262199 WUQ262197:WUQ262199 IE327733:IE327735 SA327733:SA327735 ABW327733:ABW327735 ALS327733:ALS327735 AVO327733:AVO327735 BFK327733:BFK327735 BPG327733:BPG327735 BZC327733:BZC327735 CIY327733:CIY327735 CSU327733:CSU327735 DCQ327733:DCQ327735 DMM327733:DMM327735 DWI327733:DWI327735 EGE327733:EGE327735 EQA327733:EQA327735 EZW327733:EZW327735 FJS327733:FJS327735 FTO327733:FTO327735 GDK327733:GDK327735 GNG327733:GNG327735 GXC327733:GXC327735 HGY327733:HGY327735 HQU327733:HQU327735 IAQ327733:IAQ327735 IKM327733:IKM327735 IUI327733:IUI327735 JEE327733:JEE327735 JOA327733:JOA327735 JXW327733:JXW327735 KHS327733:KHS327735 KRO327733:KRO327735 LBK327733:LBK327735 LLG327733:LLG327735 LVC327733:LVC327735 MEY327733:MEY327735 MOU327733:MOU327735 MYQ327733:MYQ327735 NIM327733:NIM327735 NSI327733:NSI327735 OCE327733:OCE327735 OMA327733:OMA327735 OVW327733:OVW327735 PFS327733:PFS327735 PPO327733:PPO327735 PZK327733:PZK327735 QJG327733:QJG327735 QTC327733:QTC327735 RCY327733:RCY327735 RMU327733:RMU327735 RWQ327733:RWQ327735 SGM327733:SGM327735 SQI327733:SQI327735 TAE327733:TAE327735 TKA327733:TKA327735 TTW327733:TTW327735 UDS327733:UDS327735 UNO327733:UNO327735 UXK327733:UXK327735 VHG327733:VHG327735 VRC327733:VRC327735 WAY327733:WAY327735 WKU327733:WKU327735 WUQ327733:WUQ327735 IE393269:IE393271 SA393269:SA393271 ABW393269:ABW393271 ALS393269:ALS393271 AVO393269:AVO393271 BFK393269:BFK393271 BPG393269:BPG393271 BZC393269:BZC393271 CIY393269:CIY393271 CSU393269:CSU393271 DCQ393269:DCQ393271 DMM393269:DMM393271 DWI393269:DWI393271 EGE393269:EGE393271 EQA393269:EQA393271 EZW393269:EZW393271 FJS393269:FJS393271 FTO393269:FTO393271 GDK393269:GDK393271 GNG393269:GNG393271 GXC393269:GXC393271 HGY393269:HGY393271 HQU393269:HQU393271 IAQ393269:IAQ393271 IKM393269:IKM393271 IUI393269:IUI393271 JEE393269:JEE393271 JOA393269:JOA393271 JXW393269:JXW393271 KHS393269:KHS393271 KRO393269:KRO393271 LBK393269:LBK393271 LLG393269:LLG393271 LVC393269:LVC393271 MEY393269:MEY393271 MOU393269:MOU393271 MYQ393269:MYQ393271 NIM393269:NIM393271 NSI393269:NSI393271 OCE393269:OCE393271 OMA393269:OMA393271 OVW393269:OVW393271 PFS393269:PFS393271 PPO393269:PPO393271 PZK393269:PZK393271 QJG393269:QJG393271 QTC393269:QTC393271 RCY393269:RCY393271 RMU393269:RMU393271 RWQ393269:RWQ393271 SGM393269:SGM393271 SQI393269:SQI393271 TAE393269:TAE393271 TKA393269:TKA393271 TTW393269:TTW393271 UDS393269:UDS393271 UNO393269:UNO393271 UXK393269:UXK393271 VHG393269:VHG393271 VRC393269:VRC393271 WAY393269:WAY393271 WKU393269:WKU393271 WUQ393269:WUQ393271 IE458805:IE458807 SA458805:SA458807 ABW458805:ABW458807 ALS458805:ALS458807 AVO458805:AVO458807 BFK458805:BFK458807 BPG458805:BPG458807 BZC458805:BZC458807 CIY458805:CIY458807 CSU458805:CSU458807 DCQ458805:DCQ458807 DMM458805:DMM458807 DWI458805:DWI458807 EGE458805:EGE458807 EQA458805:EQA458807 EZW458805:EZW458807 FJS458805:FJS458807 FTO458805:FTO458807 GDK458805:GDK458807 GNG458805:GNG458807 GXC458805:GXC458807 HGY458805:HGY458807 HQU458805:HQU458807 IAQ458805:IAQ458807 IKM458805:IKM458807 IUI458805:IUI458807 JEE458805:JEE458807 JOA458805:JOA458807 JXW458805:JXW458807 KHS458805:KHS458807 KRO458805:KRO458807 LBK458805:LBK458807 LLG458805:LLG458807 LVC458805:LVC458807 MEY458805:MEY458807 MOU458805:MOU458807 MYQ458805:MYQ458807 NIM458805:NIM458807 NSI458805:NSI458807 OCE458805:OCE458807 OMA458805:OMA458807 OVW458805:OVW458807 PFS458805:PFS458807 PPO458805:PPO458807 PZK458805:PZK458807 QJG458805:QJG458807 QTC458805:QTC458807 RCY458805:RCY458807 RMU458805:RMU458807 RWQ458805:RWQ458807 SGM458805:SGM458807 SQI458805:SQI458807 TAE458805:TAE458807 TKA458805:TKA458807 TTW458805:TTW458807 UDS458805:UDS458807 UNO458805:UNO458807 UXK458805:UXK458807 VHG458805:VHG458807 VRC458805:VRC458807 WAY458805:WAY458807 WKU458805:WKU458807 WUQ458805:WUQ458807 IE524341:IE524343 SA524341:SA524343 ABW524341:ABW524343 ALS524341:ALS524343 AVO524341:AVO524343 BFK524341:BFK524343 BPG524341:BPG524343 BZC524341:BZC524343 CIY524341:CIY524343 CSU524341:CSU524343 DCQ524341:DCQ524343 DMM524341:DMM524343 DWI524341:DWI524343 EGE524341:EGE524343 EQA524341:EQA524343 EZW524341:EZW524343 FJS524341:FJS524343 FTO524341:FTO524343 GDK524341:GDK524343 GNG524341:GNG524343 GXC524341:GXC524343 HGY524341:HGY524343 HQU524341:HQU524343 IAQ524341:IAQ524343 IKM524341:IKM524343 IUI524341:IUI524343 JEE524341:JEE524343 JOA524341:JOA524343 JXW524341:JXW524343 KHS524341:KHS524343 KRO524341:KRO524343 LBK524341:LBK524343 LLG524341:LLG524343 LVC524341:LVC524343 MEY524341:MEY524343 MOU524341:MOU524343 MYQ524341:MYQ524343 NIM524341:NIM524343 NSI524341:NSI524343 OCE524341:OCE524343 OMA524341:OMA524343 OVW524341:OVW524343 PFS524341:PFS524343 PPO524341:PPO524343 PZK524341:PZK524343 QJG524341:QJG524343 QTC524341:QTC524343 RCY524341:RCY524343 RMU524341:RMU524343 RWQ524341:RWQ524343 SGM524341:SGM524343 SQI524341:SQI524343 TAE524341:TAE524343 TKA524341:TKA524343 TTW524341:TTW524343 UDS524341:UDS524343 UNO524341:UNO524343 UXK524341:UXK524343 VHG524341:VHG524343 VRC524341:VRC524343 WAY524341:WAY524343 WKU524341:WKU524343 WUQ524341:WUQ524343 IE589877:IE589879 SA589877:SA589879 ABW589877:ABW589879 ALS589877:ALS589879 AVO589877:AVO589879 BFK589877:BFK589879 BPG589877:BPG589879 BZC589877:BZC589879 CIY589877:CIY589879 CSU589877:CSU589879 DCQ589877:DCQ589879 DMM589877:DMM589879 DWI589877:DWI589879 EGE589877:EGE589879 EQA589877:EQA589879 EZW589877:EZW589879 FJS589877:FJS589879 FTO589877:FTO589879 GDK589877:GDK589879 GNG589877:GNG589879 GXC589877:GXC589879 HGY589877:HGY589879 HQU589877:HQU589879 IAQ589877:IAQ589879 IKM589877:IKM589879 IUI589877:IUI589879 JEE589877:JEE589879 JOA589877:JOA589879 JXW589877:JXW589879 KHS589877:KHS589879 KRO589877:KRO589879 LBK589877:LBK589879 LLG589877:LLG589879 LVC589877:LVC589879 MEY589877:MEY589879 MOU589877:MOU589879 MYQ589877:MYQ589879 NIM589877:NIM589879 NSI589877:NSI589879 OCE589877:OCE589879 OMA589877:OMA589879 OVW589877:OVW589879 PFS589877:PFS589879 PPO589877:PPO589879 PZK589877:PZK589879 QJG589877:QJG589879 QTC589877:QTC589879 RCY589877:RCY589879 RMU589877:RMU589879 RWQ589877:RWQ589879 SGM589877:SGM589879 SQI589877:SQI589879 TAE589877:TAE589879 TKA589877:TKA589879 TTW589877:TTW589879 UDS589877:UDS589879 UNO589877:UNO589879 UXK589877:UXK589879 VHG589877:VHG589879 VRC589877:VRC589879 WAY589877:WAY589879 WKU589877:WKU589879 WUQ589877:WUQ589879 IE655413:IE655415 SA655413:SA655415 ABW655413:ABW655415 ALS655413:ALS655415 AVO655413:AVO655415 BFK655413:BFK655415 BPG655413:BPG655415 BZC655413:BZC655415 CIY655413:CIY655415 CSU655413:CSU655415 DCQ655413:DCQ655415 DMM655413:DMM655415 DWI655413:DWI655415 EGE655413:EGE655415 EQA655413:EQA655415 EZW655413:EZW655415 FJS655413:FJS655415 FTO655413:FTO655415 GDK655413:GDK655415 GNG655413:GNG655415 GXC655413:GXC655415 HGY655413:HGY655415 HQU655413:HQU655415 IAQ655413:IAQ655415 IKM655413:IKM655415 IUI655413:IUI655415 JEE655413:JEE655415 JOA655413:JOA655415 JXW655413:JXW655415 KHS655413:KHS655415 KRO655413:KRO655415 LBK655413:LBK655415 LLG655413:LLG655415 LVC655413:LVC655415 MEY655413:MEY655415 MOU655413:MOU655415 MYQ655413:MYQ655415 NIM655413:NIM655415 NSI655413:NSI655415 OCE655413:OCE655415 OMA655413:OMA655415 OVW655413:OVW655415 PFS655413:PFS655415 PPO655413:PPO655415 PZK655413:PZK655415 QJG655413:QJG655415 QTC655413:QTC655415 RCY655413:RCY655415 RMU655413:RMU655415 RWQ655413:RWQ655415 SGM655413:SGM655415 SQI655413:SQI655415 TAE655413:TAE655415 TKA655413:TKA655415 TTW655413:TTW655415 UDS655413:UDS655415 UNO655413:UNO655415 UXK655413:UXK655415 VHG655413:VHG655415 VRC655413:VRC655415 WAY655413:WAY655415 WKU655413:WKU655415 WUQ655413:WUQ655415 IE720949:IE720951 SA720949:SA720951 ABW720949:ABW720951 ALS720949:ALS720951 AVO720949:AVO720951 BFK720949:BFK720951 BPG720949:BPG720951 BZC720949:BZC720951 CIY720949:CIY720951 CSU720949:CSU720951 DCQ720949:DCQ720951 DMM720949:DMM720951 DWI720949:DWI720951 EGE720949:EGE720951 EQA720949:EQA720951 EZW720949:EZW720951 FJS720949:FJS720951 FTO720949:FTO720951 GDK720949:GDK720951 GNG720949:GNG720951 GXC720949:GXC720951 HGY720949:HGY720951 HQU720949:HQU720951 IAQ720949:IAQ720951 IKM720949:IKM720951 IUI720949:IUI720951 JEE720949:JEE720951 JOA720949:JOA720951 JXW720949:JXW720951 KHS720949:KHS720951 KRO720949:KRO720951 LBK720949:LBK720951 LLG720949:LLG720951 LVC720949:LVC720951 MEY720949:MEY720951 MOU720949:MOU720951 MYQ720949:MYQ720951 NIM720949:NIM720951 NSI720949:NSI720951 OCE720949:OCE720951 OMA720949:OMA720951 OVW720949:OVW720951 PFS720949:PFS720951 PPO720949:PPO720951 PZK720949:PZK720951 QJG720949:QJG720951 QTC720949:QTC720951 RCY720949:RCY720951 RMU720949:RMU720951 RWQ720949:RWQ720951 SGM720949:SGM720951 SQI720949:SQI720951 TAE720949:TAE720951 TKA720949:TKA720951 TTW720949:TTW720951 UDS720949:UDS720951 UNO720949:UNO720951 UXK720949:UXK720951 VHG720949:VHG720951 VRC720949:VRC720951 WAY720949:WAY720951 WKU720949:WKU720951 WUQ720949:WUQ720951 IE786485:IE786487 SA786485:SA786487 ABW786485:ABW786487 ALS786485:ALS786487 AVO786485:AVO786487 BFK786485:BFK786487 BPG786485:BPG786487 BZC786485:BZC786487 CIY786485:CIY786487 CSU786485:CSU786487 DCQ786485:DCQ786487 DMM786485:DMM786487 DWI786485:DWI786487 EGE786485:EGE786487 EQA786485:EQA786487 EZW786485:EZW786487 FJS786485:FJS786487 FTO786485:FTO786487 GDK786485:GDK786487 GNG786485:GNG786487 GXC786485:GXC786487 HGY786485:HGY786487 HQU786485:HQU786487 IAQ786485:IAQ786487 IKM786485:IKM786487 IUI786485:IUI786487 JEE786485:JEE786487 JOA786485:JOA786487 JXW786485:JXW786487 KHS786485:KHS786487 KRO786485:KRO786487 LBK786485:LBK786487 LLG786485:LLG786487 LVC786485:LVC786487 MEY786485:MEY786487 MOU786485:MOU786487 MYQ786485:MYQ786487 NIM786485:NIM786487 NSI786485:NSI786487 OCE786485:OCE786487 OMA786485:OMA786487 OVW786485:OVW786487 PFS786485:PFS786487 PPO786485:PPO786487 PZK786485:PZK786487 QJG786485:QJG786487 QTC786485:QTC786487 RCY786485:RCY786487 RMU786485:RMU786487 RWQ786485:RWQ786487 SGM786485:SGM786487 SQI786485:SQI786487 TAE786485:TAE786487 TKA786485:TKA786487 TTW786485:TTW786487 UDS786485:UDS786487 UNO786485:UNO786487 UXK786485:UXK786487 VHG786485:VHG786487 VRC786485:VRC786487 WAY786485:WAY786487 WKU786485:WKU786487 WUQ786485:WUQ786487 IE852021:IE852023 SA852021:SA852023 ABW852021:ABW852023 ALS852021:ALS852023 AVO852021:AVO852023 BFK852021:BFK852023 BPG852021:BPG852023 BZC852021:BZC852023 CIY852021:CIY852023 CSU852021:CSU852023 DCQ852021:DCQ852023 DMM852021:DMM852023 DWI852021:DWI852023 EGE852021:EGE852023 EQA852021:EQA852023 EZW852021:EZW852023 FJS852021:FJS852023 FTO852021:FTO852023 GDK852021:GDK852023 GNG852021:GNG852023 GXC852021:GXC852023 HGY852021:HGY852023 HQU852021:HQU852023 IAQ852021:IAQ852023 IKM852021:IKM852023 IUI852021:IUI852023 JEE852021:JEE852023 JOA852021:JOA852023 JXW852021:JXW852023 KHS852021:KHS852023 KRO852021:KRO852023 LBK852021:LBK852023 LLG852021:LLG852023 LVC852021:LVC852023 MEY852021:MEY852023 MOU852021:MOU852023 MYQ852021:MYQ852023 NIM852021:NIM852023 NSI852021:NSI852023 OCE852021:OCE852023 OMA852021:OMA852023 OVW852021:OVW852023 PFS852021:PFS852023 PPO852021:PPO852023 PZK852021:PZK852023 QJG852021:QJG852023 QTC852021:QTC852023 RCY852021:RCY852023 RMU852021:RMU852023 RWQ852021:RWQ852023 SGM852021:SGM852023 SQI852021:SQI852023 TAE852021:TAE852023 TKA852021:TKA852023 TTW852021:TTW852023 UDS852021:UDS852023 UNO852021:UNO852023 UXK852021:UXK852023 VHG852021:VHG852023 VRC852021:VRC852023 WAY852021:WAY852023 WKU852021:WKU852023 WUQ852021:WUQ852023 IE917557:IE917559 SA917557:SA917559 ABW917557:ABW917559 ALS917557:ALS917559 AVO917557:AVO917559 BFK917557:BFK917559 BPG917557:BPG917559 BZC917557:BZC917559 CIY917557:CIY917559 CSU917557:CSU917559 DCQ917557:DCQ917559 DMM917557:DMM917559 DWI917557:DWI917559 EGE917557:EGE917559 EQA917557:EQA917559 EZW917557:EZW917559 FJS917557:FJS917559 FTO917557:FTO917559 GDK917557:GDK917559 GNG917557:GNG917559 GXC917557:GXC917559 HGY917557:HGY917559 HQU917557:HQU917559 IAQ917557:IAQ917559 IKM917557:IKM917559 IUI917557:IUI917559 JEE917557:JEE917559 JOA917557:JOA917559 JXW917557:JXW917559 KHS917557:KHS917559 KRO917557:KRO917559 LBK917557:LBK917559 LLG917557:LLG917559 LVC917557:LVC917559 MEY917557:MEY917559 MOU917557:MOU917559 MYQ917557:MYQ917559 NIM917557:NIM917559 NSI917557:NSI917559 OCE917557:OCE917559 OMA917557:OMA917559 OVW917557:OVW917559 PFS917557:PFS917559 PPO917557:PPO917559 PZK917557:PZK917559 QJG917557:QJG917559 QTC917557:QTC917559 RCY917557:RCY917559 RMU917557:RMU917559 RWQ917557:RWQ917559 SGM917557:SGM917559 SQI917557:SQI917559 TAE917557:TAE917559 TKA917557:TKA917559 TTW917557:TTW917559 UDS917557:UDS917559 UNO917557:UNO917559 UXK917557:UXK917559 VHG917557:VHG917559 VRC917557:VRC917559 WAY917557:WAY917559 WKU917557:WKU917559 WUQ917557:WUQ917559 IE983093:IE983095 SA983093:SA983095 ABW983093:ABW983095 ALS983093:ALS983095 AVO983093:AVO983095 BFK983093:BFK983095 BPG983093:BPG983095 BZC983093:BZC983095 CIY983093:CIY983095 CSU983093:CSU983095 DCQ983093:DCQ983095 DMM983093:DMM983095 DWI983093:DWI983095 EGE983093:EGE983095 EQA983093:EQA983095 EZW983093:EZW983095 FJS983093:FJS983095 FTO983093:FTO983095 GDK983093:GDK983095 GNG983093:GNG983095 GXC983093:GXC983095 HGY983093:HGY983095 HQU983093:HQU983095 IAQ983093:IAQ983095 IKM983093:IKM983095 IUI983093:IUI983095 JEE983093:JEE983095 JOA983093:JOA983095 JXW983093:JXW983095 KHS983093:KHS983095 KRO983093:KRO983095 LBK983093:LBK983095 LLG983093:LLG983095 LVC983093:LVC983095 MEY983093:MEY983095 MOU983093:MOU983095 MYQ983093:MYQ983095 NIM983093:NIM983095 NSI983093:NSI983095 OCE983093:OCE983095 OMA983093:OMA983095 OVW983093:OVW983095 PFS983093:PFS983095 PPO983093:PPO983095 PZK983093:PZK983095 QJG983093:QJG983095 QTC983093:QTC983095 RCY983093:RCY983095 RMU983093:RMU983095 RWQ983093:RWQ983095 SGM983093:SGM983095 SQI983093:SQI983095 TAE983093:TAE983095 TKA983093:TKA983095 TTW983093:TTW983095 UDS983093:UDS983095 UNO983093:UNO983095 UXK983093:UXK983095 VHG983093:VHG983095 VRC983093:VRC983095 WAY983093:WAY983095 WKU983093:WKU983095 WUQ983093:WUQ983095 IE65518:IE65520 SA65518:SA65520 ABW65518:ABW65520 ALS65518:ALS65520 AVO65518:AVO65520 BFK65518:BFK65520 BPG65518:BPG65520 BZC65518:BZC65520 CIY65518:CIY65520 CSU65518:CSU65520 DCQ65518:DCQ65520 DMM65518:DMM65520 DWI65518:DWI65520 EGE65518:EGE65520 EQA65518:EQA65520 EZW65518:EZW65520 FJS65518:FJS65520 FTO65518:FTO65520 GDK65518:GDK65520 GNG65518:GNG65520 GXC65518:GXC65520 HGY65518:HGY65520 HQU65518:HQU65520 IAQ65518:IAQ65520 IKM65518:IKM65520 IUI65518:IUI65520 JEE65518:JEE65520 JOA65518:JOA65520 JXW65518:JXW65520 KHS65518:KHS65520 KRO65518:KRO65520 LBK65518:LBK65520 LLG65518:LLG65520 LVC65518:LVC65520 MEY65518:MEY65520 MOU65518:MOU65520 MYQ65518:MYQ65520 NIM65518:NIM65520 NSI65518:NSI65520 OCE65518:OCE65520 OMA65518:OMA65520 OVW65518:OVW65520 PFS65518:PFS65520 PPO65518:PPO65520 PZK65518:PZK65520 QJG65518:QJG65520 QTC65518:QTC65520 RCY65518:RCY65520 RMU65518:RMU65520 RWQ65518:RWQ65520 SGM65518:SGM65520 SQI65518:SQI65520 TAE65518:TAE65520 TKA65518:TKA65520 TTW65518:TTW65520 UDS65518:UDS65520 UNO65518:UNO65520 UXK65518:UXK65520 VHG65518:VHG65520 VRC65518:VRC65520 WAY65518:WAY65520 WKU65518:WKU65520 WUQ65518:WUQ65520 IE131054:IE131056 SA131054:SA131056 ABW131054:ABW131056 ALS131054:ALS131056 AVO131054:AVO131056 BFK131054:BFK131056 BPG131054:BPG131056 BZC131054:BZC131056 CIY131054:CIY131056 CSU131054:CSU131056 DCQ131054:DCQ131056 DMM131054:DMM131056 DWI131054:DWI131056 EGE131054:EGE131056 EQA131054:EQA131056 EZW131054:EZW131056 FJS131054:FJS131056 FTO131054:FTO131056 GDK131054:GDK131056 GNG131054:GNG131056 GXC131054:GXC131056 HGY131054:HGY131056 HQU131054:HQU131056 IAQ131054:IAQ131056 IKM131054:IKM131056 IUI131054:IUI131056 JEE131054:JEE131056 JOA131054:JOA131056 JXW131054:JXW131056 KHS131054:KHS131056 KRO131054:KRO131056 LBK131054:LBK131056 LLG131054:LLG131056 LVC131054:LVC131056 MEY131054:MEY131056 MOU131054:MOU131056 MYQ131054:MYQ131056 NIM131054:NIM131056 NSI131054:NSI131056 OCE131054:OCE131056 OMA131054:OMA131056 OVW131054:OVW131056 PFS131054:PFS131056 PPO131054:PPO131056 PZK131054:PZK131056 QJG131054:QJG131056 QTC131054:QTC131056 RCY131054:RCY131056 RMU131054:RMU131056 RWQ131054:RWQ131056 SGM131054:SGM131056 SQI131054:SQI131056 TAE131054:TAE131056 TKA131054:TKA131056 TTW131054:TTW131056 UDS131054:UDS131056 UNO131054:UNO131056 UXK131054:UXK131056 VHG131054:VHG131056 VRC131054:VRC131056 WAY131054:WAY131056 WKU131054:WKU131056 WUQ131054:WUQ131056 IE196590:IE196592 SA196590:SA196592 ABW196590:ABW196592 ALS196590:ALS196592 AVO196590:AVO196592 BFK196590:BFK196592 BPG196590:BPG196592 BZC196590:BZC196592 CIY196590:CIY196592 CSU196590:CSU196592 DCQ196590:DCQ196592 DMM196590:DMM196592 DWI196590:DWI196592 EGE196590:EGE196592 EQA196590:EQA196592 EZW196590:EZW196592 FJS196590:FJS196592 FTO196590:FTO196592 GDK196590:GDK196592 GNG196590:GNG196592 GXC196590:GXC196592 HGY196590:HGY196592 HQU196590:HQU196592 IAQ196590:IAQ196592 IKM196590:IKM196592 IUI196590:IUI196592 JEE196590:JEE196592 JOA196590:JOA196592 JXW196590:JXW196592 KHS196590:KHS196592 KRO196590:KRO196592 LBK196590:LBK196592 LLG196590:LLG196592 LVC196590:LVC196592 MEY196590:MEY196592 MOU196590:MOU196592 MYQ196590:MYQ196592 NIM196590:NIM196592 NSI196590:NSI196592 OCE196590:OCE196592 OMA196590:OMA196592 OVW196590:OVW196592 PFS196590:PFS196592 PPO196590:PPO196592 PZK196590:PZK196592 QJG196590:QJG196592 QTC196590:QTC196592 RCY196590:RCY196592 RMU196590:RMU196592 RWQ196590:RWQ196592 SGM196590:SGM196592 SQI196590:SQI196592 TAE196590:TAE196592 TKA196590:TKA196592 TTW196590:TTW196592 UDS196590:UDS196592 UNO196590:UNO196592 UXK196590:UXK196592 VHG196590:VHG196592 VRC196590:VRC196592 WAY196590:WAY196592 WKU196590:WKU196592 WUQ196590:WUQ196592 IE262126:IE262128 SA262126:SA262128 ABW262126:ABW262128 ALS262126:ALS262128 AVO262126:AVO262128 BFK262126:BFK262128 BPG262126:BPG262128 BZC262126:BZC262128 CIY262126:CIY262128 CSU262126:CSU262128 DCQ262126:DCQ262128 DMM262126:DMM262128 DWI262126:DWI262128 EGE262126:EGE262128 EQA262126:EQA262128 EZW262126:EZW262128 FJS262126:FJS262128 FTO262126:FTO262128 GDK262126:GDK262128 GNG262126:GNG262128 GXC262126:GXC262128 HGY262126:HGY262128 HQU262126:HQU262128 IAQ262126:IAQ262128 IKM262126:IKM262128 IUI262126:IUI262128 JEE262126:JEE262128 JOA262126:JOA262128 JXW262126:JXW262128 KHS262126:KHS262128 KRO262126:KRO262128 LBK262126:LBK262128 LLG262126:LLG262128 LVC262126:LVC262128 MEY262126:MEY262128 MOU262126:MOU262128 MYQ262126:MYQ262128 NIM262126:NIM262128 NSI262126:NSI262128 OCE262126:OCE262128 OMA262126:OMA262128 OVW262126:OVW262128 PFS262126:PFS262128 PPO262126:PPO262128 PZK262126:PZK262128 QJG262126:QJG262128 QTC262126:QTC262128 RCY262126:RCY262128 RMU262126:RMU262128 RWQ262126:RWQ262128 SGM262126:SGM262128 SQI262126:SQI262128 TAE262126:TAE262128 TKA262126:TKA262128 TTW262126:TTW262128 UDS262126:UDS262128 UNO262126:UNO262128 UXK262126:UXK262128 VHG262126:VHG262128 VRC262126:VRC262128 WAY262126:WAY262128 WKU262126:WKU262128 WUQ262126:WUQ262128 IE327662:IE327664 SA327662:SA327664 ABW327662:ABW327664 ALS327662:ALS327664 AVO327662:AVO327664 BFK327662:BFK327664 BPG327662:BPG327664 BZC327662:BZC327664 CIY327662:CIY327664 CSU327662:CSU327664 DCQ327662:DCQ327664 DMM327662:DMM327664 DWI327662:DWI327664 EGE327662:EGE327664 EQA327662:EQA327664 EZW327662:EZW327664 FJS327662:FJS327664 FTO327662:FTO327664 GDK327662:GDK327664 GNG327662:GNG327664 GXC327662:GXC327664 HGY327662:HGY327664 HQU327662:HQU327664 IAQ327662:IAQ327664 IKM327662:IKM327664 IUI327662:IUI327664 JEE327662:JEE327664 JOA327662:JOA327664 JXW327662:JXW327664 KHS327662:KHS327664 KRO327662:KRO327664 LBK327662:LBK327664 LLG327662:LLG327664 LVC327662:LVC327664 MEY327662:MEY327664 MOU327662:MOU327664 MYQ327662:MYQ327664 NIM327662:NIM327664 NSI327662:NSI327664 OCE327662:OCE327664 OMA327662:OMA327664 OVW327662:OVW327664 PFS327662:PFS327664 PPO327662:PPO327664 PZK327662:PZK327664 QJG327662:QJG327664 QTC327662:QTC327664 RCY327662:RCY327664 RMU327662:RMU327664 RWQ327662:RWQ327664 SGM327662:SGM327664 SQI327662:SQI327664 TAE327662:TAE327664 TKA327662:TKA327664 TTW327662:TTW327664 UDS327662:UDS327664 UNO327662:UNO327664 UXK327662:UXK327664 VHG327662:VHG327664 VRC327662:VRC327664 WAY327662:WAY327664 WKU327662:WKU327664 WUQ327662:WUQ327664 IE393198:IE393200 SA393198:SA393200 ABW393198:ABW393200 ALS393198:ALS393200 AVO393198:AVO393200 BFK393198:BFK393200 BPG393198:BPG393200 BZC393198:BZC393200 CIY393198:CIY393200 CSU393198:CSU393200 DCQ393198:DCQ393200 DMM393198:DMM393200 DWI393198:DWI393200 EGE393198:EGE393200 EQA393198:EQA393200 EZW393198:EZW393200 FJS393198:FJS393200 FTO393198:FTO393200 GDK393198:GDK393200 GNG393198:GNG393200 GXC393198:GXC393200 HGY393198:HGY393200 HQU393198:HQU393200 IAQ393198:IAQ393200 IKM393198:IKM393200 IUI393198:IUI393200 JEE393198:JEE393200 JOA393198:JOA393200 JXW393198:JXW393200 KHS393198:KHS393200 KRO393198:KRO393200 LBK393198:LBK393200 LLG393198:LLG393200 LVC393198:LVC393200 MEY393198:MEY393200 MOU393198:MOU393200 MYQ393198:MYQ393200 NIM393198:NIM393200 NSI393198:NSI393200 OCE393198:OCE393200 OMA393198:OMA393200 OVW393198:OVW393200 PFS393198:PFS393200 PPO393198:PPO393200 PZK393198:PZK393200 QJG393198:QJG393200 QTC393198:QTC393200 RCY393198:RCY393200 RMU393198:RMU393200 RWQ393198:RWQ393200 SGM393198:SGM393200 SQI393198:SQI393200 TAE393198:TAE393200 TKA393198:TKA393200 TTW393198:TTW393200 UDS393198:UDS393200 UNO393198:UNO393200 UXK393198:UXK393200 VHG393198:VHG393200 VRC393198:VRC393200 WAY393198:WAY393200 WKU393198:WKU393200 WUQ393198:WUQ393200 IE458734:IE458736 SA458734:SA458736 ABW458734:ABW458736 ALS458734:ALS458736 AVO458734:AVO458736 BFK458734:BFK458736 BPG458734:BPG458736 BZC458734:BZC458736 CIY458734:CIY458736 CSU458734:CSU458736 DCQ458734:DCQ458736 DMM458734:DMM458736 DWI458734:DWI458736 EGE458734:EGE458736 EQA458734:EQA458736 EZW458734:EZW458736 FJS458734:FJS458736 FTO458734:FTO458736 GDK458734:GDK458736 GNG458734:GNG458736 GXC458734:GXC458736 HGY458734:HGY458736 HQU458734:HQU458736 IAQ458734:IAQ458736 IKM458734:IKM458736 IUI458734:IUI458736 JEE458734:JEE458736 JOA458734:JOA458736 JXW458734:JXW458736 KHS458734:KHS458736 KRO458734:KRO458736 LBK458734:LBK458736 LLG458734:LLG458736 LVC458734:LVC458736 MEY458734:MEY458736 MOU458734:MOU458736 MYQ458734:MYQ458736 NIM458734:NIM458736 NSI458734:NSI458736 OCE458734:OCE458736 OMA458734:OMA458736 OVW458734:OVW458736 PFS458734:PFS458736 PPO458734:PPO458736 PZK458734:PZK458736 QJG458734:QJG458736 QTC458734:QTC458736 RCY458734:RCY458736 RMU458734:RMU458736 RWQ458734:RWQ458736 SGM458734:SGM458736 SQI458734:SQI458736 TAE458734:TAE458736 TKA458734:TKA458736 TTW458734:TTW458736 UDS458734:UDS458736 UNO458734:UNO458736 UXK458734:UXK458736 VHG458734:VHG458736 VRC458734:VRC458736 WAY458734:WAY458736 WKU458734:WKU458736 WUQ458734:WUQ458736 IE524270:IE524272 SA524270:SA524272 ABW524270:ABW524272 ALS524270:ALS524272 AVO524270:AVO524272 BFK524270:BFK524272 BPG524270:BPG524272 BZC524270:BZC524272 CIY524270:CIY524272 CSU524270:CSU524272 DCQ524270:DCQ524272 DMM524270:DMM524272 DWI524270:DWI524272 EGE524270:EGE524272 EQA524270:EQA524272 EZW524270:EZW524272 FJS524270:FJS524272 FTO524270:FTO524272 GDK524270:GDK524272 GNG524270:GNG524272 GXC524270:GXC524272 HGY524270:HGY524272 HQU524270:HQU524272 IAQ524270:IAQ524272 IKM524270:IKM524272 IUI524270:IUI524272 JEE524270:JEE524272 JOA524270:JOA524272 JXW524270:JXW524272 KHS524270:KHS524272 KRO524270:KRO524272 LBK524270:LBK524272 LLG524270:LLG524272 LVC524270:LVC524272 MEY524270:MEY524272 MOU524270:MOU524272 MYQ524270:MYQ524272 NIM524270:NIM524272 NSI524270:NSI524272 OCE524270:OCE524272 OMA524270:OMA524272 OVW524270:OVW524272 PFS524270:PFS524272 PPO524270:PPO524272 PZK524270:PZK524272 QJG524270:QJG524272 QTC524270:QTC524272 RCY524270:RCY524272 RMU524270:RMU524272 RWQ524270:RWQ524272 SGM524270:SGM524272 SQI524270:SQI524272 TAE524270:TAE524272 TKA524270:TKA524272 TTW524270:TTW524272 UDS524270:UDS524272 UNO524270:UNO524272 UXK524270:UXK524272 VHG524270:VHG524272 VRC524270:VRC524272 WAY524270:WAY524272 WKU524270:WKU524272 WUQ524270:WUQ524272 IE589806:IE589808 SA589806:SA589808 ABW589806:ABW589808 ALS589806:ALS589808 AVO589806:AVO589808 BFK589806:BFK589808 BPG589806:BPG589808 BZC589806:BZC589808 CIY589806:CIY589808 CSU589806:CSU589808 DCQ589806:DCQ589808 DMM589806:DMM589808 DWI589806:DWI589808 EGE589806:EGE589808 EQA589806:EQA589808 EZW589806:EZW589808 FJS589806:FJS589808 FTO589806:FTO589808 GDK589806:GDK589808 GNG589806:GNG589808 GXC589806:GXC589808 HGY589806:HGY589808 HQU589806:HQU589808 IAQ589806:IAQ589808 IKM589806:IKM589808 IUI589806:IUI589808 JEE589806:JEE589808 JOA589806:JOA589808 JXW589806:JXW589808 KHS589806:KHS589808 KRO589806:KRO589808 LBK589806:LBK589808 LLG589806:LLG589808 LVC589806:LVC589808 MEY589806:MEY589808 MOU589806:MOU589808 MYQ589806:MYQ589808 NIM589806:NIM589808 NSI589806:NSI589808 OCE589806:OCE589808 OMA589806:OMA589808 OVW589806:OVW589808 PFS589806:PFS589808 PPO589806:PPO589808 PZK589806:PZK589808 QJG589806:QJG589808 QTC589806:QTC589808 RCY589806:RCY589808 RMU589806:RMU589808 RWQ589806:RWQ589808 SGM589806:SGM589808 SQI589806:SQI589808 TAE589806:TAE589808 TKA589806:TKA589808 TTW589806:TTW589808 UDS589806:UDS589808 UNO589806:UNO589808 UXK589806:UXK589808 VHG589806:VHG589808 VRC589806:VRC589808 WAY589806:WAY589808 WKU589806:WKU589808 WUQ589806:WUQ589808 IE655342:IE655344 SA655342:SA655344 ABW655342:ABW655344 ALS655342:ALS655344 AVO655342:AVO655344 BFK655342:BFK655344 BPG655342:BPG655344 BZC655342:BZC655344 CIY655342:CIY655344 CSU655342:CSU655344 DCQ655342:DCQ655344 DMM655342:DMM655344 DWI655342:DWI655344 EGE655342:EGE655344 EQA655342:EQA655344 EZW655342:EZW655344 FJS655342:FJS655344 FTO655342:FTO655344 GDK655342:GDK655344 GNG655342:GNG655344 GXC655342:GXC655344 HGY655342:HGY655344 HQU655342:HQU655344 IAQ655342:IAQ655344 IKM655342:IKM655344 IUI655342:IUI655344 JEE655342:JEE655344 JOA655342:JOA655344 JXW655342:JXW655344 KHS655342:KHS655344 KRO655342:KRO655344 LBK655342:LBK655344 LLG655342:LLG655344 LVC655342:LVC655344 MEY655342:MEY655344 MOU655342:MOU655344 MYQ655342:MYQ655344 NIM655342:NIM655344 NSI655342:NSI655344 OCE655342:OCE655344 OMA655342:OMA655344 OVW655342:OVW655344 PFS655342:PFS655344 PPO655342:PPO655344 PZK655342:PZK655344 QJG655342:QJG655344 QTC655342:QTC655344 RCY655342:RCY655344 RMU655342:RMU655344 RWQ655342:RWQ655344 SGM655342:SGM655344 SQI655342:SQI655344 TAE655342:TAE655344 TKA655342:TKA655344 TTW655342:TTW655344 UDS655342:UDS655344 UNO655342:UNO655344 UXK655342:UXK655344 VHG655342:VHG655344 VRC655342:VRC655344 WAY655342:WAY655344 WKU655342:WKU655344 WUQ655342:WUQ655344 IE720878:IE720880 SA720878:SA720880 ABW720878:ABW720880 ALS720878:ALS720880 AVO720878:AVO720880 BFK720878:BFK720880 BPG720878:BPG720880 BZC720878:BZC720880 CIY720878:CIY720880 CSU720878:CSU720880 DCQ720878:DCQ720880 DMM720878:DMM720880 DWI720878:DWI720880 EGE720878:EGE720880 EQA720878:EQA720880 EZW720878:EZW720880 FJS720878:FJS720880 FTO720878:FTO720880 GDK720878:GDK720880 GNG720878:GNG720880 GXC720878:GXC720880 HGY720878:HGY720880 HQU720878:HQU720880 IAQ720878:IAQ720880 IKM720878:IKM720880 IUI720878:IUI720880 JEE720878:JEE720880 JOA720878:JOA720880 JXW720878:JXW720880 KHS720878:KHS720880 KRO720878:KRO720880 LBK720878:LBK720880 LLG720878:LLG720880 LVC720878:LVC720880 MEY720878:MEY720880 MOU720878:MOU720880 MYQ720878:MYQ720880 NIM720878:NIM720880 NSI720878:NSI720880 OCE720878:OCE720880 OMA720878:OMA720880 OVW720878:OVW720880 PFS720878:PFS720880 PPO720878:PPO720880 PZK720878:PZK720880 QJG720878:QJG720880 QTC720878:QTC720880 RCY720878:RCY720880 RMU720878:RMU720880 RWQ720878:RWQ720880 SGM720878:SGM720880 SQI720878:SQI720880 TAE720878:TAE720880 TKA720878:TKA720880 TTW720878:TTW720880 UDS720878:UDS720880 UNO720878:UNO720880 UXK720878:UXK720880 VHG720878:VHG720880 VRC720878:VRC720880 WAY720878:WAY720880 WKU720878:WKU720880 WUQ720878:WUQ720880 IE786414:IE786416 SA786414:SA786416 ABW786414:ABW786416 ALS786414:ALS786416 AVO786414:AVO786416 BFK786414:BFK786416 BPG786414:BPG786416 BZC786414:BZC786416 CIY786414:CIY786416 CSU786414:CSU786416 DCQ786414:DCQ786416 DMM786414:DMM786416 DWI786414:DWI786416 EGE786414:EGE786416 EQA786414:EQA786416 EZW786414:EZW786416 FJS786414:FJS786416 FTO786414:FTO786416 GDK786414:GDK786416 GNG786414:GNG786416 GXC786414:GXC786416 HGY786414:HGY786416 HQU786414:HQU786416 IAQ786414:IAQ786416 IKM786414:IKM786416 IUI786414:IUI786416 JEE786414:JEE786416 JOA786414:JOA786416 JXW786414:JXW786416 KHS786414:KHS786416 KRO786414:KRO786416 LBK786414:LBK786416 LLG786414:LLG786416 LVC786414:LVC786416 MEY786414:MEY786416 MOU786414:MOU786416 MYQ786414:MYQ786416 NIM786414:NIM786416 NSI786414:NSI786416 OCE786414:OCE786416 OMA786414:OMA786416 OVW786414:OVW786416 PFS786414:PFS786416 PPO786414:PPO786416 PZK786414:PZK786416 QJG786414:QJG786416 QTC786414:QTC786416 RCY786414:RCY786416 RMU786414:RMU786416 RWQ786414:RWQ786416 SGM786414:SGM786416 SQI786414:SQI786416 TAE786414:TAE786416 TKA786414:TKA786416 TTW786414:TTW786416 UDS786414:UDS786416 UNO786414:UNO786416 UXK786414:UXK786416 VHG786414:VHG786416 VRC786414:VRC786416 WAY786414:WAY786416 WKU786414:WKU786416 WUQ786414:WUQ786416 IE851950:IE851952 SA851950:SA851952 ABW851950:ABW851952 ALS851950:ALS851952 AVO851950:AVO851952 BFK851950:BFK851952 BPG851950:BPG851952 BZC851950:BZC851952 CIY851950:CIY851952 CSU851950:CSU851952 DCQ851950:DCQ851952 DMM851950:DMM851952 DWI851950:DWI851952 EGE851950:EGE851952 EQA851950:EQA851952 EZW851950:EZW851952 FJS851950:FJS851952 FTO851950:FTO851952 GDK851950:GDK851952 GNG851950:GNG851952 GXC851950:GXC851952 HGY851950:HGY851952 HQU851950:HQU851952 IAQ851950:IAQ851952 IKM851950:IKM851952 IUI851950:IUI851952 JEE851950:JEE851952 JOA851950:JOA851952 JXW851950:JXW851952 KHS851950:KHS851952 KRO851950:KRO851952 LBK851950:LBK851952 LLG851950:LLG851952 LVC851950:LVC851952 MEY851950:MEY851952 MOU851950:MOU851952 MYQ851950:MYQ851952 NIM851950:NIM851952 NSI851950:NSI851952 OCE851950:OCE851952 OMA851950:OMA851952 OVW851950:OVW851952 PFS851950:PFS851952 PPO851950:PPO851952 PZK851950:PZK851952 QJG851950:QJG851952 QTC851950:QTC851952 RCY851950:RCY851952 RMU851950:RMU851952 RWQ851950:RWQ851952 SGM851950:SGM851952 SQI851950:SQI851952 TAE851950:TAE851952 TKA851950:TKA851952 TTW851950:TTW851952 UDS851950:UDS851952 UNO851950:UNO851952 UXK851950:UXK851952 VHG851950:VHG851952 VRC851950:VRC851952 WAY851950:WAY851952 WKU851950:WKU851952 WUQ851950:WUQ851952 IE917486:IE917488 SA917486:SA917488 ABW917486:ABW917488 ALS917486:ALS917488 AVO917486:AVO917488 BFK917486:BFK917488 BPG917486:BPG917488 BZC917486:BZC917488 CIY917486:CIY917488 CSU917486:CSU917488 DCQ917486:DCQ917488 DMM917486:DMM917488 DWI917486:DWI917488 EGE917486:EGE917488 EQA917486:EQA917488 EZW917486:EZW917488 FJS917486:FJS917488 FTO917486:FTO917488 GDK917486:GDK917488 GNG917486:GNG917488 GXC917486:GXC917488 HGY917486:HGY917488 HQU917486:HQU917488 IAQ917486:IAQ917488 IKM917486:IKM917488 IUI917486:IUI917488 JEE917486:JEE917488 JOA917486:JOA917488 JXW917486:JXW917488 KHS917486:KHS917488 KRO917486:KRO917488 LBK917486:LBK917488 LLG917486:LLG917488 LVC917486:LVC917488 MEY917486:MEY917488 MOU917486:MOU917488 MYQ917486:MYQ917488 NIM917486:NIM917488 NSI917486:NSI917488 OCE917486:OCE917488 OMA917486:OMA917488 OVW917486:OVW917488 PFS917486:PFS917488 PPO917486:PPO917488 PZK917486:PZK917488 QJG917486:QJG917488 QTC917486:QTC917488 RCY917486:RCY917488 RMU917486:RMU917488 RWQ917486:RWQ917488 SGM917486:SGM917488 SQI917486:SQI917488 TAE917486:TAE917488 TKA917486:TKA917488 TTW917486:TTW917488 UDS917486:UDS917488 UNO917486:UNO917488 UXK917486:UXK917488 VHG917486:VHG917488 VRC917486:VRC917488 WAY917486:WAY917488 WKU917486:WKU917488 WUQ917486:WUQ917488 IE983022:IE983024 SA983022:SA983024 ABW983022:ABW983024 ALS983022:ALS983024 AVO983022:AVO983024 BFK983022:BFK983024 BPG983022:BPG983024 BZC983022:BZC983024 CIY983022:CIY983024 CSU983022:CSU983024 DCQ983022:DCQ983024 DMM983022:DMM983024 DWI983022:DWI983024 EGE983022:EGE983024 EQA983022:EQA983024 EZW983022:EZW983024 FJS983022:FJS983024 FTO983022:FTO983024 GDK983022:GDK983024 GNG983022:GNG983024 GXC983022:GXC983024 HGY983022:HGY983024 HQU983022:HQU983024 IAQ983022:IAQ983024 IKM983022:IKM983024 IUI983022:IUI983024 JEE983022:JEE983024 JOA983022:JOA983024 JXW983022:JXW983024 KHS983022:KHS983024 KRO983022:KRO983024 LBK983022:LBK983024 LLG983022:LLG983024 LVC983022:LVC983024 MEY983022:MEY983024 MOU983022:MOU983024 MYQ983022:MYQ983024 NIM983022:NIM983024 NSI983022:NSI983024 OCE983022:OCE983024 OMA983022:OMA983024 OVW983022:OVW983024 PFS983022:PFS983024 PPO983022:PPO983024 PZK983022:PZK983024 QJG983022:QJG983024 QTC983022:QTC983024 RCY983022:RCY983024 RMU983022:RMU983024 RWQ983022:RWQ983024 SGM983022:SGM983024 SQI983022:SQI983024 TAE983022:TAE983024 TKA983022:TKA983024 TTW983022:TTW983024 UDS983022:UDS983024 UNO983022:UNO983024 UXK983022:UXK983024 VHG983022:VHG983024 VRC983022:VRC983024 WAY983022:WAY983024 WKU983022:WKU983024 WUQ983022:WUQ983024 IE65535:IE65537 SA65535:SA65537 ABW65535:ABW65537 ALS65535:ALS65537 AVO65535:AVO65537 BFK65535:BFK65537 BPG65535:BPG65537 BZC65535:BZC65537 CIY65535:CIY65537 CSU65535:CSU65537 DCQ65535:DCQ65537 DMM65535:DMM65537 DWI65535:DWI65537 EGE65535:EGE65537 EQA65535:EQA65537 EZW65535:EZW65537 FJS65535:FJS65537 FTO65535:FTO65537 GDK65535:GDK65537 GNG65535:GNG65537 GXC65535:GXC65537 HGY65535:HGY65537 HQU65535:HQU65537 IAQ65535:IAQ65537 IKM65535:IKM65537 IUI65535:IUI65537 JEE65535:JEE65537 JOA65535:JOA65537 JXW65535:JXW65537 KHS65535:KHS65537 KRO65535:KRO65537 LBK65535:LBK65537 LLG65535:LLG65537 LVC65535:LVC65537 MEY65535:MEY65537 MOU65535:MOU65537 MYQ65535:MYQ65537 NIM65535:NIM65537 NSI65535:NSI65537 OCE65535:OCE65537 OMA65535:OMA65537 OVW65535:OVW65537 PFS65535:PFS65537 PPO65535:PPO65537 PZK65535:PZK65537 QJG65535:QJG65537 QTC65535:QTC65537 RCY65535:RCY65537 RMU65535:RMU65537 RWQ65535:RWQ65537 SGM65535:SGM65537 SQI65535:SQI65537 TAE65535:TAE65537 TKA65535:TKA65537 TTW65535:TTW65537 UDS65535:UDS65537 UNO65535:UNO65537 UXK65535:UXK65537 VHG65535:VHG65537 VRC65535:VRC65537 WAY65535:WAY65537 WKU65535:WKU65537 WUQ65535:WUQ65537 IE131071:IE131073 SA131071:SA131073 ABW131071:ABW131073 ALS131071:ALS131073 AVO131071:AVO131073 BFK131071:BFK131073 BPG131071:BPG131073 BZC131071:BZC131073 CIY131071:CIY131073 CSU131071:CSU131073 DCQ131071:DCQ131073 DMM131071:DMM131073 DWI131071:DWI131073 EGE131071:EGE131073 EQA131071:EQA131073 EZW131071:EZW131073 FJS131071:FJS131073 FTO131071:FTO131073 GDK131071:GDK131073 GNG131071:GNG131073 GXC131071:GXC131073 HGY131071:HGY131073 HQU131071:HQU131073 IAQ131071:IAQ131073 IKM131071:IKM131073 IUI131071:IUI131073 JEE131071:JEE131073 JOA131071:JOA131073 JXW131071:JXW131073 KHS131071:KHS131073 KRO131071:KRO131073 LBK131071:LBK131073 LLG131071:LLG131073 LVC131071:LVC131073 MEY131071:MEY131073 MOU131071:MOU131073 MYQ131071:MYQ131073 NIM131071:NIM131073 NSI131071:NSI131073 OCE131071:OCE131073 OMA131071:OMA131073 OVW131071:OVW131073 PFS131071:PFS131073 PPO131071:PPO131073 PZK131071:PZK131073 QJG131071:QJG131073 QTC131071:QTC131073 RCY131071:RCY131073 RMU131071:RMU131073 RWQ131071:RWQ131073 SGM131071:SGM131073 SQI131071:SQI131073 TAE131071:TAE131073 TKA131071:TKA131073 TTW131071:TTW131073 UDS131071:UDS131073 UNO131071:UNO131073 UXK131071:UXK131073 VHG131071:VHG131073 VRC131071:VRC131073 WAY131071:WAY131073 WKU131071:WKU131073 WUQ131071:WUQ131073 IE196607:IE196609 SA196607:SA196609 ABW196607:ABW196609 ALS196607:ALS196609 AVO196607:AVO196609 BFK196607:BFK196609 BPG196607:BPG196609 BZC196607:BZC196609 CIY196607:CIY196609 CSU196607:CSU196609 DCQ196607:DCQ196609 DMM196607:DMM196609 DWI196607:DWI196609 EGE196607:EGE196609 EQA196607:EQA196609 EZW196607:EZW196609 FJS196607:FJS196609 FTO196607:FTO196609 GDK196607:GDK196609 GNG196607:GNG196609 GXC196607:GXC196609 HGY196607:HGY196609 HQU196607:HQU196609 IAQ196607:IAQ196609 IKM196607:IKM196609 IUI196607:IUI196609 JEE196607:JEE196609 JOA196607:JOA196609 JXW196607:JXW196609 KHS196607:KHS196609 KRO196607:KRO196609 LBK196607:LBK196609 LLG196607:LLG196609 LVC196607:LVC196609 MEY196607:MEY196609 MOU196607:MOU196609 MYQ196607:MYQ196609 NIM196607:NIM196609 NSI196607:NSI196609 OCE196607:OCE196609 OMA196607:OMA196609 OVW196607:OVW196609 PFS196607:PFS196609 PPO196607:PPO196609 PZK196607:PZK196609 QJG196607:QJG196609 QTC196607:QTC196609 RCY196607:RCY196609 RMU196607:RMU196609 RWQ196607:RWQ196609 SGM196607:SGM196609 SQI196607:SQI196609 TAE196607:TAE196609 TKA196607:TKA196609 TTW196607:TTW196609 UDS196607:UDS196609 UNO196607:UNO196609 UXK196607:UXK196609 VHG196607:VHG196609 VRC196607:VRC196609 WAY196607:WAY196609 WKU196607:WKU196609 WUQ196607:WUQ196609 IE262143:IE262145 SA262143:SA262145 ABW262143:ABW262145 ALS262143:ALS262145 AVO262143:AVO262145 BFK262143:BFK262145 BPG262143:BPG262145 BZC262143:BZC262145 CIY262143:CIY262145 CSU262143:CSU262145 DCQ262143:DCQ262145 DMM262143:DMM262145 DWI262143:DWI262145 EGE262143:EGE262145 EQA262143:EQA262145 EZW262143:EZW262145 FJS262143:FJS262145 FTO262143:FTO262145 GDK262143:GDK262145 GNG262143:GNG262145 GXC262143:GXC262145 HGY262143:HGY262145 HQU262143:HQU262145 IAQ262143:IAQ262145 IKM262143:IKM262145 IUI262143:IUI262145 JEE262143:JEE262145 JOA262143:JOA262145 JXW262143:JXW262145 KHS262143:KHS262145 KRO262143:KRO262145 LBK262143:LBK262145 LLG262143:LLG262145 LVC262143:LVC262145 MEY262143:MEY262145 MOU262143:MOU262145 MYQ262143:MYQ262145 NIM262143:NIM262145 NSI262143:NSI262145 OCE262143:OCE262145 OMA262143:OMA262145 OVW262143:OVW262145 PFS262143:PFS262145 PPO262143:PPO262145 PZK262143:PZK262145 QJG262143:QJG262145 QTC262143:QTC262145 RCY262143:RCY262145 RMU262143:RMU262145 RWQ262143:RWQ262145 SGM262143:SGM262145 SQI262143:SQI262145 TAE262143:TAE262145 TKA262143:TKA262145 TTW262143:TTW262145 UDS262143:UDS262145 UNO262143:UNO262145 UXK262143:UXK262145 VHG262143:VHG262145 VRC262143:VRC262145 WAY262143:WAY262145 WKU262143:WKU262145 WUQ262143:WUQ262145 IE327679:IE327681 SA327679:SA327681 ABW327679:ABW327681 ALS327679:ALS327681 AVO327679:AVO327681 BFK327679:BFK327681 BPG327679:BPG327681 BZC327679:BZC327681 CIY327679:CIY327681 CSU327679:CSU327681 DCQ327679:DCQ327681 DMM327679:DMM327681 DWI327679:DWI327681 EGE327679:EGE327681 EQA327679:EQA327681 EZW327679:EZW327681 FJS327679:FJS327681 FTO327679:FTO327681 GDK327679:GDK327681 GNG327679:GNG327681 GXC327679:GXC327681 HGY327679:HGY327681 HQU327679:HQU327681 IAQ327679:IAQ327681 IKM327679:IKM327681 IUI327679:IUI327681 JEE327679:JEE327681 JOA327679:JOA327681 JXW327679:JXW327681 KHS327679:KHS327681 KRO327679:KRO327681 LBK327679:LBK327681 LLG327679:LLG327681 LVC327679:LVC327681 MEY327679:MEY327681 MOU327679:MOU327681 MYQ327679:MYQ327681 NIM327679:NIM327681 NSI327679:NSI327681 OCE327679:OCE327681 OMA327679:OMA327681 OVW327679:OVW327681 PFS327679:PFS327681 PPO327679:PPO327681 PZK327679:PZK327681 QJG327679:QJG327681 QTC327679:QTC327681 RCY327679:RCY327681 RMU327679:RMU327681 RWQ327679:RWQ327681 SGM327679:SGM327681 SQI327679:SQI327681 TAE327679:TAE327681 TKA327679:TKA327681 TTW327679:TTW327681 UDS327679:UDS327681 UNO327679:UNO327681 UXK327679:UXK327681 VHG327679:VHG327681 VRC327679:VRC327681 WAY327679:WAY327681 WKU327679:WKU327681 WUQ327679:WUQ327681 IE393215:IE393217 SA393215:SA393217 ABW393215:ABW393217 ALS393215:ALS393217 AVO393215:AVO393217 BFK393215:BFK393217 BPG393215:BPG393217 BZC393215:BZC393217 CIY393215:CIY393217 CSU393215:CSU393217 DCQ393215:DCQ393217 DMM393215:DMM393217 DWI393215:DWI393217 EGE393215:EGE393217 EQA393215:EQA393217 EZW393215:EZW393217 FJS393215:FJS393217 FTO393215:FTO393217 GDK393215:GDK393217 GNG393215:GNG393217 GXC393215:GXC393217 HGY393215:HGY393217 HQU393215:HQU393217 IAQ393215:IAQ393217 IKM393215:IKM393217 IUI393215:IUI393217 JEE393215:JEE393217 JOA393215:JOA393217 JXW393215:JXW393217 KHS393215:KHS393217 KRO393215:KRO393217 LBK393215:LBK393217 LLG393215:LLG393217 LVC393215:LVC393217 MEY393215:MEY393217 MOU393215:MOU393217 MYQ393215:MYQ393217 NIM393215:NIM393217 NSI393215:NSI393217 OCE393215:OCE393217 OMA393215:OMA393217 OVW393215:OVW393217 PFS393215:PFS393217 PPO393215:PPO393217 PZK393215:PZK393217 QJG393215:QJG393217 QTC393215:QTC393217 RCY393215:RCY393217 RMU393215:RMU393217 RWQ393215:RWQ393217 SGM393215:SGM393217 SQI393215:SQI393217 TAE393215:TAE393217 TKA393215:TKA393217 TTW393215:TTW393217 UDS393215:UDS393217 UNO393215:UNO393217 UXK393215:UXK393217 VHG393215:VHG393217 VRC393215:VRC393217 WAY393215:WAY393217 WKU393215:WKU393217 WUQ393215:WUQ393217 IE458751:IE458753 SA458751:SA458753 ABW458751:ABW458753 ALS458751:ALS458753 AVO458751:AVO458753 BFK458751:BFK458753 BPG458751:BPG458753 BZC458751:BZC458753 CIY458751:CIY458753 CSU458751:CSU458753 DCQ458751:DCQ458753 DMM458751:DMM458753 DWI458751:DWI458753 EGE458751:EGE458753 EQA458751:EQA458753 EZW458751:EZW458753 FJS458751:FJS458753 FTO458751:FTO458753 GDK458751:GDK458753 GNG458751:GNG458753 GXC458751:GXC458753 HGY458751:HGY458753 HQU458751:HQU458753 IAQ458751:IAQ458753 IKM458751:IKM458753 IUI458751:IUI458753 JEE458751:JEE458753 JOA458751:JOA458753 JXW458751:JXW458753 KHS458751:KHS458753 KRO458751:KRO458753 LBK458751:LBK458753 LLG458751:LLG458753 LVC458751:LVC458753 MEY458751:MEY458753 MOU458751:MOU458753 MYQ458751:MYQ458753 NIM458751:NIM458753 NSI458751:NSI458753 OCE458751:OCE458753 OMA458751:OMA458753 OVW458751:OVW458753 PFS458751:PFS458753 PPO458751:PPO458753 PZK458751:PZK458753 QJG458751:QJG458753 QTC458751:QTC458753 RCY458751:RCY458753 RMU458751:RMU458753 RWQ458751:RWQ458753 SGM458751:SGM458753 SQI458751:SQI458753 TAE458751:TAE458753 TKA458751:TKA458753 TTW458751:TTW458753 UDS458751:UDS458753 UNO458751:UNO458753 UXK458751:UXK458753 VHG458751:VHG458753 VRC458751:VRC458753 WAY458751:WAY458753 WKU458751:WKU458753 WUQ458751:WUQ458753 IE524287:IE524289 SA524287:SA524289 ABW524287:ABW524289 ALS524287:ALS524289 AVO524287:AVO524289 BFK524287:BFK524289 BPG524287:BPG524289 BZC524287:BZC524289 CIY524287:CIY524289 CSU524287:CSU524289 DCQ524287:DCQ524289 DMM524287:DMM524289 DWI524287:DWI524289 EGE524287:EGE524289 EQA524287:EQA524289 EZW524287:EZW524289 FJS524287:FJS524289 FTO524287:FTO524289 GDK524287:GDK524289 GNG524287:GNG524289 GXC524287:GXC524289 HGY524287:HGY524289 HQU524287:HQU524289 IAQ524287:IAQ524289 IKM524287:IKM524289 IUI524287:IUI524289 JEE524287:JEE524289 JOA524287:JOA524289 JXW524287:JXW524289 KHS524287:KHS524289 KRO524287:KRO524289 LBK524287:LBK524289 LLG524287:LLG524289 LVC524287:LVC524289 MEY524287:MEY524289 MOU524287:MOU524289 MYQ524287:MYQ524289 NIM524287:NIM524289 NSI524287:NSI524289 OCE524287:OCE524289 OMA524287:OMA524289 OVW524287:OVW524289 PFS524287:PFS524289 PPO524287:PPO524289 PZK524287:PZK524289 QJG524287:QJG524289 QTC524287:QTC524289 RCY524287:RCY524289 RMU524287:RMU524289 RWQ524287:RWQ524289 SGM524287:SGM524289 SQI524287:SQI524289 TAE524287:TAE524289 TKA524287:TKA524289 TTW524287:TTW524289 UDS524287:UDS524289 UNO524287:UNO524289 UXK524287:UXK524289 VHG524287:VHG524289 VRC524287:VRC524289 WAY524287:WAY524289 WKU524287:WKU524289 WUQ524287:WUQ524289 IE589823:IE589825 SA589823:SA589825 ABW589823:ABW589825 ALS589823:ALS589825 AVO589823:AVO589825 BFK589823:BFK589825 BPG589823:BPG589825 BZC589823:BZC589825 CIY589823:CIY589825 CSU589823:CSU589825 DCQ589823:DCQ589825 DMM589823:DMM589825 DWI589823:DWI589825 EGE589823:EGE589825 EQA589823:EQA589825 EZW589823:EZW589825 FJS589823:FJS589825 FTO589823:FTO589825 GDK589823:GDK589825 GNG589823:GNG589825 GXC589823:GXC589825 HGY589823:HGY589825 HQU589823:HQU589825 IAQ589823:IAQ589825 IKM589823:IKM589825 IUI589823:IUI589825 JEE589823:JEE589825 JOA589823:JOA589825 JXW589823:JXW589825 KHS589823:KHS589825 KRO589823:KRO589825 LBK589823:LBK589825 LLG589823:LLG589825 LVC589823:LVC589825 MEY589823:MEY589825 MOU589823:MOU589825 MYQ589823:MYQ589825 NIM589823:NIM589825 NSI589823:NSI589825 OCE589823:OCE589825 OMA589823:OMA589825 OVW589823:OVW589825 PFS589823:PFS589825 PPO589823:PPO589825 PZK589823:PZK589825 QJG589823:QJG589825 QTC589823:QTC589825 RCY589823:RCY589825 RMU589823:RMU589825 RWQ589823:RWQ589825 SGM589823:SGM589825 SQI589823:SQI589825 TAE589823:TAE589825 TKA589823:TKA589825 TTW589823:TTW589825 UDS589823:UDS589825 UNO589823:UNO589825 UXK589823:UXK589825 VHG589823:VHG589825 VRC589823:VRC589825 WAY589823:WAY589825 WKU589823:WKU589825 WUQ589823:WUQ589825 IE655359:IE655361 SA655359:SA655361 ABW655359:ABW655361 ALS655359:ALS655361 AVO655359:AVO655361 BFK655359:BFK655361 BPG655359:BPG655361 BZC655359:BZC655361 CIY655359:CIY655361 CSU655359:CSU655361 DCQ655359:DCQ655361 DMM655359:DMM655361 DWI655359:DWI655361 EGE655359:EGE655361 EQA655359:EQA655361 EZW655359:EZW655361 FJS655359:FJS655361 FTO655359:FTO655361 GDK655359:GDK655361 GNG655359:GNG655361 GXC655359:GXC655361 HGY655359:HGY655361 HQU655359:HQU655361 IAQ655359:IAQ655361 IKM655359:IKM655361 IUI655359:IUI655361 JEE655359:JEE655361 JOA655359:JOA655361 JXW655359:JXW655361 KHS655359:KHS655361 KRO655359:KRO655361 LBK655359:LBK655361 LLG655359:LLG655361 LVC655359:LVC655361 MEY655359:MEY655361 MOU655359:MOU655361 MYQ655359:MYQ655361 NIM655359:NIM655361 NSI655359:NSI655361 OCE655359:OCE655361 OMA655359:OMA655361 OVW655359:OVW655361 PFS655359:PFS655361 PPO655359:PPO655361 PZK655359:PZK655361 QJG655359:QJG655361 QTC655359:QTC655361 RCY655359:RCY655361 RMU655359:RMU655361 RWQ655359:RWQ655361 SGM655359:SGM655361 SQI655359:SQI655361 TAE655359:TAE655361 TKA655359:TKA655361 TTW655359:TTW655361 UDS655359:UDS655361 UNO655359:UNO655361 UXK655359:UXK655361 VHG655359:VHG655361 VRC655359:VRC655361 WAY655359:WAY655361 WKU655359:WKU655361 WUQ655359:WUQ655361 IE720895:IE720897 SA720895:SA720897 ABW720895:ABW720897 ALS720895:ALS720897 AVO720895:AVO720897 BFK720895:BFK720897 BPG720895:BPG720897 BZC720895:BZC720897 CIY720895:CIY720897 CSU720895:CSU720897 DCQ720895:DCQ720897 DMM720895:DMM720897 DWI720895:DWI720897 EGE720895:EGE720897 EQA720895:EQA720897 EZW720895:EZW720897 FJS720895:FJS720897 FTO720895:FTO720897 GDK720895:GDK720897 GNG720895:GNG720897 GXC720895:GXC720897 HGY720895:HGY720897 HQU720895:HQU720897 IAQ720895:IAQ720897 IKM720895:IKM720897 IUI720895:IUI720897 JEE720895:JEE720897 JOA720895:JOA720897 JXW720895:JXW720897 KHS720895:KHS720897 KRO720895:KRO720897 LBK720895:LBK720897 LLG720895:LLG720897 LVC720895:LVC720897 MEY720895:MEY720897 MOU720895:MOU720897 MYQ720895:MYQ720897 NIM720895:NIM720897 NSI720895:NSI720897 OCE720895:OCE720897 OMA720895:OMA720897 OVW720895:OVW720897 PFS720895:PFS720897 PPO720895:PPO720897 PZK720895:PZK720897 QJG720895:QJG720897 QTC720895:QTC720897 RCY720895:RCY720897 RMU720895:RMU720897 RWQ720895:RWQ720897 SGM720895:SGM720897 SQI720895:SQI720897 TAE720895:TAE720897 TKA720895:TKA720897 TTW720895:TTW720897 UDS720895:UDS720897 UNO720895:UNO720897 UXK720895:UXK720897 VHG720895:VHG720897 VRC720895:VRC720897 WAY720895:WAY720897 WKU720895:WKU720897 WUQ720895:WUQ720897 IE786431:IE786433 SA786431:SA786433 ABW786431:ABW786433 ALS786431:ALS786433 AVO786431:AVO786433 BFK786431:BFK786433 BPG786431:BPG786433 BZC786431:BZC786433 CIY786431:CIY786433 CSU786431:CSU786433 DCQ786431:DCQ786433 DMM786431:DMM786433 DWI786431:DWI786433 EGE786431:EGE786433 EQA786431:EQA786433 EZW786431:EZW786433 FJS786431:FJS786433 FTO786431:FTO786433 GDK786431:GDK786433 GNG786431:GNG786433 GXC786431:GXC786433 HGY786431:HGY786433 HQU786431:HQU786433 IAQ786431:IAQ786433 IKM786431:IKM786433 IUI786431:IUI786433 JEE786431:JEE786433 JOA786431:JOA786433 JXW786431:JXW786433 KHS786431:KHS786433 KRO786431:KRO786433 LBK786431:LBK786433 LLG786431:LLG786433 LVC786431:LVC786433 MEY786431:MEY786433 MOU786431:MOU786433 MYQ786431:MYQ786433 NIM786431:NIM786433 NSI786431:NSI786433 OCE786431:OCE786433 OMA786431:OMA786433 OVW786431:OVW786433 PFS786431:PFS786433 PPO786431:PPO786433 PZK786431:PZK786433 QJG786431:QJG786433 QTC786431:QTC786433 RCY786431:RCY786433 RMU786431:RMU786433 RWQ786431:RWQ786433 SGM786431:SGM786433 SQI786431:SQI786433 TAE786431:TAE786433 TKA786431:TKA786433 TTW786431:TTW786433 UDS786431:UDS786433 UNO786431:UNO786433 UXK786431:UXK786433 VHG786431:VHG786433 VRC786431:VRC786433 WAY786431:WAY786433 WKU786431:WKU786433 WUQ786431:WUQ786433 IE851967:IE851969 SA851967:SA851969 ABW851967:ABW851969 ALS851967:ALS851969 AVO851967:AVO851969 BFK851967:BFK851969 BPG851967:BPG851969 BZC851967:BZC851969 CIY851967:CIY851969 CSU851967:CSU851969 DCQ851967:DCQ851969 DMM851967:DMM851969 DWI851967:DWI851969 EGE851967:EGE851969 EQA851967:EQA851969 EZW851967:EZW851969 FJS851967:FJS851969 FTO851967:FTO851969 GDK851967:GDK851969 GNG851967:GNG851969 GXC851967:GXC851969 HGY851967:HGY851969 HQU851967:HQU851969 IAQ851967:IAQ851969 IKM851967:IKM851969 IUI851967:IUI851969 JEE851967:JEE851969 JOA851967:JOA851969 JXW851967:JXW851969 KHS851967:KHS851969 KRO851967:KRO851969 LBK851967:LBK851969 LLG851967:LLG851969 LVC851967:LVC851969 MEY851967:MEY851969 MOU851967:MOU851969 MYQ851967:MYQ851969 NIM851967:NIM851969 NSI851967:NSI851969 OCE851967:OCE851969 OMA851967:OMA851969 OVW851967:OVW851969 PFS851967:PFS851969 PPO851967:PPO851969 PZK851967:PZK851969 QJG851967:QJG851969 QTC851967:QTC851969 RCY851967:RCY851969 RMU851967:RMU851969 RWQ851967:RWQ851969 SGM851967:SGM851969 SQI851967:SQI851969 TAE851967:TAE851969 TKA851967:TKA851969 TTW851967:TTW851969 UDS851967:UDS851969 UNO851967:UNO851969 UXK851967:UXK851969 VHG851967:VHG851969 VRC851967:VRC851969 WAY851967:WAY851969 WKU851967:WKU851969 WUQ851967:WUQ851969 IE917503:IE917505 SA917503:SA917505 ABW917503:ABW917505 ALS917503:ALS917505 AVO917503:AVO917505 BFK917503:BFK917505 BPG917503:BPG917505 BZC917503:BZC917505 CIY917503:CIY917505 CSU917503:CSU917505 DCQ917503:DCQ917505 DMM917503:DMM917505 DWI917503:DWI917505 EGE917503:EGE917505 EQA917503:EQA917505 EZW917503:EZW917505 FJS917503:FJS917505 FTO917503:FTO917505 GDK917503:GDK917505 GNG917503:GNG917505 GXC917503:GXC917505 HGY917503:HGY917505 HQU917503:HQU917505 IAQ917503:IAQ917505 IKM917503:IKM917505 IUI917503:IUI917505 JEE917503:JEE917505 JOA917503:JOA917505 JXW917503:JXW917505 KHS917503:KHS917505 KRO917503:KRO917505 LBK917503:LBK917505 LLG917503:LLG917505 LVC917503:LVC917505 MEY917503:MEY917505 MOU917503:MOU917505 MYQ917503:MYQ917505 NIM917503:NIM917505 NSI917503:NSI917505 OCE917503:OCE917505 OMA917503:OMA917505 OVW917503:OVW917505 PFS917503:PFS917505 PPO917503:PPO917505 PZK917503:PZK917505 QJG917503:QJG917505 QTC917503:QTC917505 RCY917503:RCY917505 RMU917503:RMU917505 RWQ917503:RWQ917505 SGM917503:SGM917505 SQI917503:SQI917505 TAE917503:TAE917505 TKA917503:TKA917505 TTW917503:TTW917505 UDS917503:UDS917505 UNO917503:UNO917505 UXK917503:UXK917505 VHG917503:VHG917505 VRC917503:VRC917505 WAY917503:WAY917505 WKU917503:WKU917505 WUQ917503:WUQ917505 IE983039:IE983041 SA983039:SA983041 ABW983039:ABW983041 ALS983039:ALS983041 AVO983039:AVO983041 BFK983039:BFK983041 BPG983039:BPG983041 BZC983039:BZC983041 CIY983039:CIY983041 CSU983039:CSU983041 DCQ983039:DCQ983041 DMM983039:DMM983041 DWI983039:DWI983041 EGE983039:EGE983041 EQA983039:EQA983041 EZW983039:EZW983041 FJS983039:FJS983041 FTO983039:FTO983041 GDK983039:GDK983041 GNG983039:GNG983041 GXC983039:GXC983041 HGY983039:HGY983041 HQU983039:HQU983041 IAQ983039:IAQ983041 IKM983039:IKM983041 IUI983039:IUI983041 JEE983039:JEE983041 JOA983039:JOA983041 JXW983039:JXW983041 KHS983039:KHS983041 KRO983039:KRO983041 LBK983039:LBK983041 LLG983039:LLG983041 LVC983039:LVC983041 MEY983039:MEY983041 MOU983039:MOU983041 MYQ983039:MYQ983041 NIM983039:NIM983041 NSI983039:NSI983041 OCE983039:OCE983041 OMA983039:OMA983041 OVW983039:OVW983041 PFS983039:PFS983041 PPO983039:PPO983041 PZK983039:PZK983041 QJG983039:QJG983041 QTC983039:QTC983041 RCY983039:RCY983041 RMU983039:RMU983041 RWQ983039:RWQ983041 SGM983039:SGM983041 SQI983039:SQI983041 TAE983039:TAE983041 TKA983039:TKA983041 TTW983039:TTW983041 UDS983039:UDS983041 UNO983039:UNO983041 UXK983039:UXK983041 VHG983039:VHG983041 VRC983039:VRC983041 WAY983039:WAY983041 WKU983039:WKU983041 WUQ983039:WUQ983041 IF65585 SB65585 ABX65585 ALT65585 AVP65585 BFL65585 BPH65585 BZD65585 CIZ65585 CSV65585 DCR65585 DMN65585 DWJ65585 EGF65585 EQB65585 EZX65585 FJT65585 FTP65585 GDL65585 GNH65585 GXD65585 HGZ65585 HQV65585 IAR65585 IKN65585 IUJ65585 JEF65585 JOB65585 JXX65585 KHT65585 KRP65585 LBL65585 LLH65585 LVD65585 MEZ65585 MOV65585 MYR65585 NIN65585 NSJ65585 OCF65585 OMB65585 OVX65585 PFT65585 PPP65585 PZL65585 QJH65585 QTD65585 RCZ65585 RMV65585 RWR65585 SGN65585 SQJ65585 TAF65585 TKB65585 TTX65585 UDT65585 UNP65585 UXL65585 VHH65585 VRD65585 WAZ65585 WKV65585 WUR65585 IF131121 SB131121 ABX131121 ALT131121 AVP131121 BFL131121 BPH131121 BZD131121 CIZ131121 CSV131121 DCR131121 DMN131121 DWJ131121 EGF131121 EQB131121 EZX131121 FJT131121 FTP131121 GDL131121 GNH131121 GXD131121 HGZ131121 HQV131121 IAR131121 IKN131121 IUJ131121 JEF131121 JOB131121 JXX131121 KHT131121 KRP131121 LBL131121 LLH131121 LVD131121 MEZ131121 MOV131121 MYR131121 NIN131121 NSJ131121 OCF131121 OMB131121 OVX131121 PFT131121 PPP131121 PZL131121 QJH131121 QTD131121 RCZ131121 RMV131121 RWR131121 SGN131121 SQJ131121 TAF131121 TKB131121 TTX131121 UDT131121 UNP131121 UXL131121 VHH131121 VRD131121 WAZ131121 WKV131121 WUR131121 IF196657 SB196657 ABX196657 ALT196657 AVP196657 BFL196657 BPH196657 BZD196657 CIZ196657 CSV196657 DCR196657 DMN196657 DWJ196657 EGF196657 EQB196657 EZX196657 FJT196657 FTP196657 GDL196657 GNH196657 GXD196657 HGZ196657 HQV196657 IAR196657 IKN196657 IUJ196657 JEF196657 JOB196657 JXX196657 KHT196657 KRP196657 LBL196657 LLH196657 LVD196657 MEZ196657 MOV196657 MYR196657 NIN196657 NSJ196657 OCF196657 OMB196657 OVX196657 PFT196657 PPP196657 PZL196657 QJH196657 QTD196657 RCZ196657 RMV196657 RWR196657 SGN196657 SQJ196657 TAF196657 TKB196657 TTX196657 UDT196657 UNP196657 UXL196657 VHH196657 VRD196657 WAZ196657 WKV196657 WUR196657 IF262193 SB262193 ABX262193 ALT262193 AVP262193 BFL262193 BPH262193 BZD262193 CIZ262193 CSV262193 DCR262193 DMN262193 DWJ262193 EGF262193 EQB262193 EZX262193 FJT262193 FTP262193 GDL262193 GNH262193 GXD262193 HGZ262193 HQV262193 IAR262193 IKN262193 IUJ262193 JEF262193 JOB262193 JXX262193 KHT262193 KRP262193 LBL262193 LLH262193 LVD262193 MEZ262193 MOV262193 MYR262193 NIN262193 NSJ262193 OCF262193 OMB262193 OVX262193 PFT262193 PPP262193 PZL262193 QJH262193 QTD262193 RCZ262193 RMV262193 RWR262193 SGN262193 SQJ262193 TAF262193 TKB262193 TTX262193 UDT262193 UNP262193 UXL262193 VHH262193 VRD262193 WAZ262193 WKV262193 WUR262193 IF327729 SB327729 ABX327729 ALT327729 AVP327729 BFL327729 BPH327729 BZD327729 CIZ327729 CSV327729 DCR327729 DMN327729 DWJ327729 EGF327729 EQB327729 EZX327729 FJT327729 FTP327729 GDL327729 GNH327729 GXD327729 HGZ327729 HQV327729 IAR327729 IKN327729 IUJ327729 JEF327729 JOB327729 JXX327729 KHT327729 KRP327729 LBL327729 LLH327729 LVD327729 MEZ327729 MOV327729 MYR327729 NIN327729 NSJ327729 OCF327729 OMB327729 OVX327729 PFT327729 PPP327729 PZL327729 QJH327729 QTD327729 RCZ327729 RMV327729 RWR327729 SGN327729 SQJ327729 TAF327729 TKB327729 TTX327729 UDT327729 UNP327729 UXL327729 VHH327729 VRD327729 WAZ327729 WKV327729 WUR327729 IF393265 SB393265 ABX393265 ALT393265 AVP393265 BFL393265 BPH393265 BZD393265 CIZ393265 CSV393265 DCR393265 DMN393265 DWJ393265 EGF393265 EQB393265 EZX393265 FJT393265 FTP393265 GDL393265 GNH393265 GXD393265 HGZ393265 HQV393265 IAR393265 IKN393265 IUJ393265 JEF393265 JOB393265 JXX393265 KHT393265 KRP393265 LBL393265 LLH393265 LVD393265 MEZ393265 MOV393265 MYR393265 NIN393265 NSJ393265 OCF393265 OMB393265 OVX393265 PFT393265 PPP393265 PZL393265 QJH393265 QTD393265 RCZ393265 RMV393265 RWR393265 SGN393265 SQJ393265 TAF393265 TKB393265 TTX393265 UDT393265 UNP393265 UXL393265 VHH393265 VRD393265 WAZ393265 WKV393265 WUR393265 IF458801 SB458801 ABX458801 ALT458801 AVP458801 BFL458801 BPH458801 BZD458801 CIZ458801 CSV458801 DCR458801 DMN458801 DWJ458801 EGF458801 EQB458801 EZX458801 FJT458801 FTP458801 GDL458801 GNH458801 GXD458801 HGZ458801 HQV458801 IAR458801 IKN458801 IUJ458801 JEF458801 JOB458801 JXX458801 KHT458801 KRP458801 LBL458801 LLH458801 LVD458801 MEZ458801 MOV458801 MYR458801 NIN458801 NSJ458801 OCF458801 OMB458801 OVX458801 PFT458801 PPP458801 PZL458801 QJH458801 QTD458801 RCZ458801 RMV458801 RWR458801 SGN458801 SQJ458801 TAF458801 TKB458801 TTX458801 UDT458801 UNP458801 UXL458801 VHH458801 VRD458801 WAZ458801 WKV458801 WUR458801 IF524337 SB524337 ABX524337 ALT524337 AVP524337 BFL524337 BPH524337 BZD524337 CIZ524337 CSV524337 DCR524337 DMN524337 DWJ524337 EGF524337 EQB524337 EZX524337 FJT524337 FTP524337 GDL524337 GNH524337 GXD524337 HGZ524337 HQV524337 IAR524337 IKN524337 IUJ524337 JEF524337 JOB524337 JXX524337 KHT524337 KRP524337 LBL524337 LLH524337 LVD524337 MEZ524337 MOV524337 MYR524337 NIN524337 NSJ524337 OCF524337 OMB524337 OVX524337 PFT524337 PPP524337 PZL524337 QJH524337 QTD524337 RCZ524337 RMV524337 RWR524337 SGN524337 SQJ524337 TAF524337 TKB524337 TTX524337 UDT524337 UNP524337 UXL524337 VHH524337 VRD524337 WAZ524337 WKV524337 WUR524337 IF589873 SB589873 ABX589873 ALT589873 AVP589873 BFL589873 BPH589873 BZD589873 CIZ589873 CSV589873 DCR589873 DMN589873 DWJ589873 EGF589873 EQB589873 EZX589873 FJT589873 FTP589873 GDL589873 GNH589873 GXD589873 HGZ589873 HQV589873 IAR589873 IKN589873 IUJ589873 JEF589873 JOB589873 JXX589873 KHT589873 KRP589873 LBL589873 LLH589873 LVD589873 MEZ589873 MOV589873 MYR589873 NIN589873 NSJ589873 OCF589873 OMB589873 OVX589873 PFT589873 PPP589873 PZL589873 QJH589873 QTD589873 RCZ589873 RMV589873 RWR589873 SGN589873 SQJ589873 TAF589873 TKB589873 TTX589873 UDT589873 UNP589873 UXL589873 VHH589873 VRD589873 WAZ589873 WKV589873 WUR589873 IF655409 SB655409 ABX655409 ALT655409 AVP655409 BFL655409 BPH655409 BZD655409 CIZ655409 CSV655409 DCR655409 DMN655409 DWJ655409 EGF655409 EQB655409 EZX655409 FJT655409 FTP655409 GDL655409 GNH655409 GXD655409 HGZ655409 HQV655409 IAR655409 IKN655409 IUJ655409 JEF655409 JOB655409 JXX655409 KHT655409 KRP655409 LBL655409 LLH655409 LVD655409 MEZ655409 MOV655409 MYR655409 NIN655409 NSJ655409 OCF655409 OMB655409 OVX655409 PFT655409 PPP655409 PZL655409 QJH655409 QTD655409 RCZ655409 RMV655409 RWR655409 SGN655409 SQJ655409 TAF655409 TKB655409 TTX655409 UDT655409 UNP655409 UXL655409 VHH655409 VRD655409 WAZ655409 WKV655409 WUR655409 IF720945 SB720945 ABX720945 ALT720945 AVP720945 BFL720945 BPH720945 BZD720945 CIZ720945 CSV720945 DCR720945 DMN720945 DWJ720945 EGF720945 EQB720945 EZX720945 FJT720945 FTP720945 GDL720945 GNH720945 GXD720945 HGZ720945 HQV720945 IAR720945 IKN720945 IUJ720945 JEF720945 JOB720945 JXX720945 KHT720945 KRP720945 LBL720945 LLH720945 LVD720945 MEZ720945 MOV720945 MYR720945 NIN720945 NSJ720945 OCF720945 OMB720945 OVX720945 PFT720945 PPP720945 PZL720945 QJH720945 QTD720945 RCZ720945 RMV720945 RWR720945 SGN720945 SQJ720945 TAF720945 TKB720945 TTX720945 UDT720945 UNP720945 UXL720945 VHH720945 VRD720945 WAZ720945 WKV720945 WUR720945 IF786481 SB786481 ABX786481 ALT786481 AVP786481 BFL786481 BPH786481 BZD786481 CIZ786481 CSV786481 DCR786481 DMN786481 DWJ786481 EGF786481 EQB786481 EZX786481 FJT786481 FTP786481 GDL786481 GNH786481 GXD786481 HGZ786481 HQV786481 IAR786481 IKN786481 IUJ786481 JEF786481 JOB786481 JXX786481 KHT786481 KRP786481 LBL786481 LLH786481 LVD786481 MEZ786481 MOV786481 MYR786481 NIN786481 NSJ786481 OCF786481 OMB786481 OVX786481 PFT786481 PPP786481 PZL786481 QJH786481 QTD786481 RCZ786481 RMV786481 RWR786481 SGN786481 SQJ786481 TAF786481 TKB786481 TTX786481 UDT786481 UNP786481 UXL786481 VHH786481 VRD786481 WAZ786481 WKV786481 WUR786481 IF852017 SB852017 ABX852017 ALT852017 AVP852017 BFL852017 BPH852017 BZD852017 CIZ852017 CSV852017 DCR852017 DMN852017 DWJ852017 EGF852017 EQB852017 EZX852017 FJT852017 FTP852017 GDL852017 GNH852017 GXD852017 HGZ852017 HQV852017 IAR852017 IKN852017 IUJ852017 JEF852017 JOB852017 JXX852017 KHT852017 KRP852017 LBL852017 LLH852017 LVD852017 MEZ852017 MOV852017 MYR852017 NIN852017 NSJ852017 OCF852017 OMB852017 OVX852017 PFT852017 PPP852017 PZL852017 QJH852017 QTD852017 RCZ852017 RMV852017 RWR852017 SGN852017 SQJ852017 TAF852017 TKB852017 TTX852017 UDT852017 UNP852017 UXL852017 VHH852017 VRD852017 WAZ852017 WKV852017 WUR852017 IF917553 SB917553 ABX917553 ALT917553 AVP917553 BFL917553 BPH917553 BZD917553 CIZ917553 CSV917553 DCR917553 DMN917553 DWJ917553 EGF917553 EQB917553 EZX917553 FJT917553 FTP917553 GDL917553 GNH917553 GXD917553 HGZ917553 HQV917553 IAR917553 IKN917553 IUJ917553 JEF917553 JOB917553 JXX917553 KHT917553 KRP917553 LBL917553 LLH917553 LVD917553 MEZ917553 MOV917553 MYR917553 NIN917553 NSJ917553 OCF917553 OMB917553 OVX917553 PFT917553 PPP917553 PZL917553 QJH917553 QTD917553 RCZ917553 RMV917553 RWR917553 SGN917553 SQJ917553 TAF917553 TKB917553 TTX917553 UDT917553 UNP917553 UXL917553 VHH917553 VRD917553 WAZ917553 WKV917553 WUR917553 IF983089 SB983089 ABX983089 ALT983089 AVP983089 BFL983089 BPH983089 BZD983089 CIZ983089 CSV983089 DCR983089 DMN983089 DWJ983089 EGF983089 EQB983089 EZX983089 FJT983089 FTP983089 GDL983089 GNH983089 GXD983089 HGZ983089 HQV983089 IAR983089 IKN983089 IUJ983089 JEF983089 JOB983089 JXX983089 KHT983089 KRP983089 LBL983089 LLH983089 LVD983089 MEZ983089 MOV983089 MYR983089 NIN983089 NSJ983089 OCF983089 OMB983089 OVX983089 PFT983089 PPP983089 PZL983089 QJH983089 QTD983089 RCZ983089 RMV983089 RWR983089 SGN983089 SQJ983089 TAF983089 TKB983089 TTX983089 UDT983089 UNP983089 UXL983089 VHH983089 VRD983089 WAZ983089 WKV983089 WUR983089 WUQ34 IE65580:IE65581 SA65580:SA65581 ABW65580:ABW65581 ALS65580:ALS65581 AVO65580:AVO65581 BFK65580:BFK65581 BPG65580:BPG65581 BZC65580:BZC65581 CIY65580:CIY65581 CSU65580:CSU65581 DCQ65580:DCQ65581 DMM65580:DMM65581 DWI65580:DWI65581 EGE65580:EGE65581 EQA65580:EQA65581 EZW65580:EZW65581 FJS65580:FJS65581 FTO65580:FTO65581 GDK65580:GDK65581 GNG65580:GNG65581 GXC65580:GXC65581 HGY65580:HGY65581 HQU65580:HQU65581 IAQ65580:IAQ65581 IKM65580:IKM65581 IUI65580:IUI65581 JEE65580:JEE65581 JOA65580:JOA65581 JXW65580:JXW65581 KHS65580:KHS65581 KRO65580:KRO65581 LBK65580:LBK65581 LLG65580:LLG65581 LVC65580:LVC65581 MEY65580:MEY65581 MOU65580:MOU65581 MYQ65580:MYQ65581 NIM65580:NIM65581 NSI65580:NSI65581 OCE65580:OCE65581 OMA65580:OMA65581 OVW65580:OVW65581 PFS65580:PFS65581 PPO65580:PPO65581 PZK65580:PZK65581 QJG65580:QJG65581 QTC65580:QTC65581 RCY65580:RCY65581 RMU65580:RMU65581 RWQ65580:RWQ65581 SGM65580:SGM65581 SQI65580:SQI65581 TAE65580:TAE65581 TKA65580:TKA65581 TTW65580:TTW65581 UDS65580:UDS65581 UNO65580:UNO65581 UXK65580:UXK65581 VHG65580:VHG65581 VRC65580:VRC65581 WAY65580:WAY65581 WKU65580:WKU65581 WUQ65580:WUQ65581 IE131116:IE131117 SA131116:SA131117 ABW131116:ABW131117 ALS131116:ALS131117 AVO131116:AVO131117 BFK131116:BFK131117 BPG131116:BPG131117 BZC131116:BZC131117 CIY131116:CIY131117 CSU131116:CSU131117 DCQ131116:DCQ131117 DMM131116:DMM131117 DWI131116:DWI131117 EGE131116:EGE131117 EQA131116:EQA131117 EZW131116:EZW131117 FJS131116:FJS131117 FTO131116:FTO131117 GDK131116:GDK131117 GNG131116:GNG131117 GXC131116:GXC131117 HGY131116:HGY131117 HQU131116:HQU131117 IAQ131116:IAQ131117 IKM131116:IKM131117 IUI131116:IUI131117 JEE131116:JEE131117 JOA131116:JOA131117 JXW131116:JXW131117 KHS131116:KHS131117 KRO131116:KRO131117 LBK131116:LBK131117 LLG131116:LLG131117 LVC131116:LVC131117 MEY131116:MEY131117 MOU131116:MOU131117 MYQ131116:MYQ131117 NIM131116:NIM131117 NSI131116:NSI131117 OCE131116:OCE131117 OMA131116:OMA131117 OVW131116:OVW131117 PFS131116:PFS131117 PPO131116:PPO131117 PZK131116:PZK131117 QJG131116:QJG131117 QTC131116:QTC131117 RCY131116:RCY131117 RMU131116:RMU131117 RWQ131116:RWQ131117 SGM131116:SGM131117 SQI131116:SQI131117 TAE131116:TAE131117 TKA131116:TKA131117 TTW131116:TTW131117 UDS131116:UDS131117 UNO131116:UNO131117 UXK131116:UXK131117 VHG131116:VHG131117 VRC131116:VRC131117 WAY131116:WAY131117 WKU131116:WKU131117 WUQ131116:WUQ131117 IE196652:IE196653 SA196652:SA196653 ABW196652:ABW196653 ALS196652:ALS196653 AVO196652:AVO196653 BFK196652:BFK196653 BPG196652:BPG196653 BZC196652:BZC196653 CIY196652:CIY196653 CSU196652:CSU196653 DCQ196652:DCQ196653 DMM196652:DMM196653 DWI196652:DWI196653 EGE196652:EGE196653 EQA196652:EQA196653 EZW196652:EZW196653 FJS196652:FJS196653 FTO196652:FTO196653 GDK196652:GDK196653 GNG196652:GNG196653 GXC196652:GXC196653 HGY196652:HGY196653 HQU196652:HQU196653 IAQ196652:IAQ196653 IKM196652:IKM196653 IUI196652:IUI196653 JEE196652:JEE196653 JOA196652:JOA196653 JXW196652:JXW196653 KHS196652:KHS196653 KRO196652:KRO196653 LBK196652:LBK196653 LLG196652:LLG196653 LVC196652:LVC196653 MEY196652:MEY196653 MOU196652:MOU196653 MYQ196652:MYQ196653 NIM196652:NIM196653 NSI196652:NSI196653 OCE196652:OCE196653 OMA196652:OMA196653 OVW196652:OVW196653 PFS196652:PFS196653 PPO196652:PPO196653 PZK196652:PZK196653 QJG196652:QJG196653 QTC196652:QTC196653 RCY196652:RCY196653 RMU196652:RMU196653 RWQ196652:RWQ196653 SGM196652:SGM196653 SQI196652:SQI196653 TAE196652:TAE196653 TKA196652:TKA196653 TTW196652:TTW196653 UDS196652:UDS196653 UNO196652:UNO196653 UXK196652:UXK196653 VHG196652:VHG196653 VRC196652:VRC196653 WAY196652:WAY196653 WKU196652:WKU196653 WUQ196652:WUQ196653 IE262188:IE262189 SA262188:SA262189 ABW262188:ABW262189 ALS262188:ALS262189 AVO262188:AVO262189 BFK262188:BFK262189 BPG262188:BPG262189 BZC262188:BZC262189 CIY262188:CIY262189 CSU262188:CSU262189 DCQ262188:DCQ262189 DMM262188:DMM262189 DWI262188:DWI262189 EGE262188:EGE262189 EQA262188:EQA262189 EZW262188:EZW262189 FJS262188:FJS262189 FTO262188:FTO262189 GDK262188:GDK262189 GNG262188:GNG262189 GXC262188:GXC262189 HGY262188:HGY262189 HQU262188:HQU262189 IAQ262188:IAQ262189 IKM262188:IKM262189 IUI262188:IUI262189 JEE262188:JEE262189 JOA262188:JOA262189 JXW262188:JXW262189 KHS262188:KHS262189 KRO262188:KRO262189 LBK262188:LBK262189 LLG262188:LLG262189 LVC262188:LVC262189 MEY262188:MEY262189 MOU262188:MOU262189 MYQ262188:MYQ262189 NIM262188:NIM262189 NSI262188:NSI262189 OCE262188:OCE262189 OMA262188:OMA262189 OVW262188:OVW262189 PFS262188:PFS262189 PPO262188:PPO262189 PZK262188:PZK262189 QJG262188:QJG262189 QTC262188:QTC262189 RCY262188:RCY262189 RMU262188:RMU262189 RWQ262188:RWQ262189 SGM262188:SGM262189 SQI262188:SQI262189 TAE262188:TAE262189 TKA262188:TKA262189 TTW262188:TTW262189 UDS262188:UDS262189 UNO262188:UNO262189 UXK262188:UXK262189 VHG262188:VHG262189 VRC262188:VRC262189 WAY262188:WAY262189 WKU262188:WKU262189 WUQ262188:WUQ262189 IE327724:IE327725 SA327724:SA327725 ABW327724:ABW327725 ALS327724:ALS327725 AVO327724:AVO327725 BFK327724:BFK327725 BPG327724:BPG327725 BZC327724:BZC327725 CIY327724:CIY327725 CSU327724:CSU327725 DCQ327724:DCQ327725 DMM327724:DMM327725 DWI327724:DWI327725 EGE327724:EGE327725 EQA327724:EQA327725 EZW327724:EZW327725 FJS327724:FJS327725 FTO327724:FTO327725 GDK327724:GDK327725 GNG327724:GNG327725 GXC327724:GXC327725 HGY327724:HGY327725 HQU327724:HQU327725 IAQ327724:IAQ327725 IKM327724:IKM327725 IUI327724:IUI327725 JEE327724:JEE327725 JOA327724:JOA327725 JXW327724:JXW327725 KHS327724:KHS327725 KRO327724:KRO327725 LBK327724:LBK327725 LLG327724:LLG327725 LVC327724:LVC327725 MEY327724:MEY327725 MOU327724:MOU327725 MYQ327724:MYQ327725 NIM327724:NIM327725 NSI327724:NSI327725 OCE327724:OCE327725 OMA327724:OMA327725 OVW327724:OVW327725 PFS327724:PFS327725 PPO327724:PPO327725 PZK327724:PZK327725 QJG327724:QJG327725 QTC327724:QTC327725 RCY327724:RCY327725 RMU327724:RMU327725 RWQ327724:RWQ327725 SGM327724:SGM327725 SQI327724:SQI327725 TAE327724:TAE327725 TKA327724:TKA327725 TTW327724:TTW327725 UDS327724:UDS327725 UNO327724:UNO327725 UXK327724:UXK327725 VHG327724:VHG327725 VRC327724:VRC327725 WAY327724:WAY327725 WKU327724:WKU327725 WUQ327724:WUQ327725 IE393260:IE393261 SA393260:SA393261 ABW393260:ABW393261 ALS393260:ALS393261 AVO393260:AVO393261 BFK393260:BFK393261 BPG393260:BPG393261 BZC393260:BZC393261 CIY393260:CIY393261 CSU393260:CSU393261 DCQ393260:DCQ393261 DMM393260:DMM393261 DWI393260:DWI393261 EGE393260:EGE393261 EQA393260:EQA393261 EZW393260:EZW393261 FJS393260:FJS393261 FTO393260:FTO393261 GDK393260:GDK393261 GNG393260:GNG393261 GXC393260:GXC393261 HGY393260:HGY393261 HQU393260:HQU393261 IAQ393260:IAQ393261 IKM393260:IKM393261 IUI393260:IUI393261 JEE393260:JEE393261 JOA393260:JOA393261 JXW393260:JXW393261 KHS393260:KHS393261 KRO393260:KRO393261 LBK393260:LBK393261 LLG393260:LLG393261 LVC393260:LVC393261 MEY393260:MEY393261 MOU393260:MOU393261 MYQ393260:MYQ393261 NIM393260:NIM393261 NSI393260:NSI393261 OCE393260:OCE393261 OMA393260:OMA393261 OVW393260:OVW393261 PFS393260:PFS393261 PPO393260:PPO393261 PZK393260:PZK393261 QJG393260:QJG393261 QTC393260:QTC393261 RCY393260:RCY393261 RMU393260:RMU393261 RWQ393260:RWQ393261 SGM393260:SGM393261 SQI393260:SQI393261 TAE393260:TAE393261 TKA393260:TKA393261 TTW393260:TTW393261 UDS393260:UDS393261 UNO393260:UNO393261 UXK393260:UXK393261 VHG393260:VHG393261 VRC393260:VRC393261 WAY393260:WAY393261 WKU393260:WKU393261 WUQ393260:WUQ393261 IE458796:IE458797 SA458796:SA458797 ABW458796:ABW458797 ALS458796:ALS458797 AVO458796:AVO458797 BFK458796:BFK458797 BPG458796:BPG458797 BZC458796:BZC458797 CIY458796:CIY458797 CSU458796:CSU458797 DCQ458796:DCQ458797 DMM458796:DMM458797 DWI458796:DWI458797 EGE458796:EGE458797 EQA458796:EQA458797 EZW458796:EZW458797 FJS458796:FJS458797 FTO458796:FTO458797 GDK458796:GDK458797 GNG458796:GNG458797 GXC458796:GXC458797 HGY458796:HGY458797 HQU458796:HQU458797 IAQ458796:IAQ458797 IKM458796:IKM458797 IUI458796:IUI458797 JEE458796:JEE458797 JOA458796:JOA458797 JXW458796:JXW458797 KHS458796:KHS458797 KRO458796:KRO458797 LBK458796:LBK458797 LLG458796:LLG458797 LVC458796:LVC458797 MEY458796:MEY458797 MOU458796:MOU458797 MYQ458796:MYQ458797 NIM458796:NIM458797 NSI458796:NSI458797 OCE458796:OCE458797 OMA458796:OMA458797 OVW458796:OVW458797 PFS458796:PFS458797 PPO458796:PPO458797 PZK458796:PZK458797 QJG458796:QJG458797 QTC458796:QTC458797 RCY458796:RCY458797 RMU458796:RMU458797 RWQ458796:RWQ458797 SGM458796:SGM458797 SQI458796:SQI458797 TAE458796:TAE458797 TKA458796:TKA458797 TTW458796:TTW458797 UDS458796:UDS458797 UNO458796:UNO458797 UXK458796:UXK458797 VHG458796:VHG458797 VRC458796:VRC458797 WAY458796:WAY458797 WKU458796:WKU458797 WUQ458796:WUQ458797 IE524332:IE524333 SA524332:SA524333 ABW524332:ABW524333 ALS524332:ALS524333 AVO524332:AVO524333 BFK524332:BFK524333 BPG524332:BPG524333 BZC524332:BZC524333 CIY524332:CIY524333 CSU524332:CSU524333 DCQ524332:DCQ524333 DMM524332:DMM524333 DWI524332:DWI524333 EGE524332:EGE524333 EQA524332:EQA524333 EZW524332:EZW524333 FJS524332:FJS524333 FTO524332:FTO524333 GDK524332:GDK524333 GNG524332:GNG524333 GXC524332:GXC524333 HGY524332:HGY524333 HQU524332:HQU524333 IAQ524332:IAQ524333 IKM524332:IKM524333 IUI524332:IUI524333 JEE524332:JEE524333 JOA524332:JOA524333 JXW524332:JXW524333 KHS524332:KHS524333 KRO524332:KRO524333 LBK524332:LBK524333 LLG524332:LLG524333 LVC524332:LVC524333 MEY524332:MEY524333 MOU524332:MOU524333 MYQ524332:MYQ524333 NIM524332:NIM524333 NSI524332:NSI524333 OCE524332:OCE524333 OMA524332:OMA524333 OVW524332:OVW524333 PFS524332:PFS524333 PPO524332:PPO524333 PZK524332:PZK524333 QJG524332:QJG524333 QTC524332:QTC524333 RCY524332:RCY524333 RMU524332:RMU524333 RWQ524332:RWQ524333 SGM524332:SGM524333 SQI524332:SQI524333 TAE524332:TAE524333 TKA524332:TKA524333 TTW524332:TTW524333 UDS524332:UDS524333 UNO524332:UNO524333 UXK524332:UXK524333 VHG524332:VHG524333 VRC524332:VRC524333 WAY524332:WAY524333 WKU524332:WKU524333 WUQ524332:WUQ524333 IE589868:IE589869 SA589868:SA589869 ABW589868:ABW589869 ALS589868:ALS589869 AVO589868:AVO589869 BFK589868:BFK589869 BPG589868:BPG589869 BZC589868:BZC589869 CIY589868:CIY589869 CSU589868:CSU589869 DCQ589868:DCQ589869 DMM589868:DMM589869 DWI589868:DWI589869 EGE589868:EGE589869 EQA589868:EQA589869 EZW589868:EZW589869 FJS589868:FJS589869 FTO589868:FTO589869 GDK589868:GDK589869 GNG589868:GNG589869 GXC589868:GXC589869 HGY589868:HGY589869 HQU589868:HQU589869 IAQ589868:IAQ589869 IKM589868:IKM589869 IUI589868:IUI589869 JEE589868:JEE589869 JOA589868:JOA589869 JXW589868:JXW589869 KHS589868:KHS589869 KRO589868:KRO589869 LBK589868:LBK589869 LLG589868:LLG589869 LVC589868:LVC589869 MEY589868:MEY589869 MOU589868:MOU589869 MYQ589868:MYQ589869 NIM589868:NIM589869 NSI589868:NSI589869 OCE589868:OCE589869 OMA589868:OMA589869 OVW589868:OVW589869 PFS589868:PFS589869 PPO589868:PPO589869 PZK589868:PZK589869 QJG589868:QJG589869 QTC589868:QTC589869 RCY589868:RCY589869 RMU589868:RMU589869 RWQ589868:RWQ589869 SGM589868:SGM589869 SQI589868:SQI589869 TAE589868:TAE589869 TKA589868:TKA589869 TTW589868:TTW589869 UDS589868:UDS589869 UNO589868:UNO589869 UXK589868:UXK589869 VHG589868:VHG589869 VRC589868:VRC589869 WAY589868:WAY589869 WKU589868:WKU589869 WUQ589868:WUQ589869 IE655404:IE655405 SA655404:SA655405 ABW655404:ABW655405 ALS655404:ALS655405 AVO655404:AVO655405 BFK655404:BFK655405 BPG655404:BPG655405 BZC655404:BZC655405 CIY655404:CIY655405 CSU655404:CSU655405 DCQ655404:DCQ655405 DMM655404:DMM655405 DWI655404:DWI655405 EGE655404:EGE655405 EQA655404:EQA655405 EZW655404:EZW655405 FJS655404:FJS655405 FTO655404:FTO655405 GDK655404:GDK655405 GNG655404:GNG655405 GXC655404:GXC655405 HGY655404:HGY655405 HQU655404:HQU655405 IAQ655404:IAQ655405 IKM655404:IKM655405 IUI655404:IUI655405 JEE655404:JEE655405 JOA655404:JOA655405 JXW655404:JXW655405 KHS655404:KHS655405 KRO655404:KRO655405 LBK655404:LBK655405 LLG655404:LLG655405 LVC655404:LVC655405 MEY655404:MEY655405 MOU655404:MOU655405 MYQ655404:MYQ655405 NIM655404:NIM655405 NSI655404:NSI655405 OCE655404:OCE655405 OMA655404:OMA655405 OVW655404:OVW655405 PFS655404:PFS655405 PPO655404:PPO655405 PZK655404:PZK655405 QJG655404:QJG655405 QTC655404:QTC655405 RCY655404:RCY655405 RMU655404:RMU655405 RWQ655404:RWQ655405 SGM655404:SGM655405 SQI655404:SQI655405 TAE655404:TAE655405 TKA655404:TKA655405 TTW655404:TTW655405 UDS655404:UDS655405 UNO655404:UNO655405 UXK655404:UXK655405 VHG655404:VHG655405 VRC655404:VRC655405 WAY655404:WAY655405 WKU655404:WKU655405 WUQ655404:WUQ655405 IE720940:IE720941 SA720940:SA720941 ABW720940:ABW720941 ALS720940:ALS720941 AVO720940:AVO720941 BFK720940:BFK720941 BPG720940:BPG720941 BZC720940:BZC720941 CIY720940:CIY720941 CSU720940:CSU720941 DCQ720940:DCQ720941 DMM720940:DMM720941 DWI720940:DWI720941 EGE720940:EGE720941 EQA720940:EQA720941 EZW720940:EZW720941 FJS720940:FJS720941 FTO720940:FTO720941 GDK720940:GDK720941 GNG720940:GNG720941 GXC720940:GXC720941 HGY720940:HGY720941 HQU720940:HQU720941 IAQ720940:IAQ720941 IKM720940:IKM720941 IUI720940:IUI720941 JEE720940:JEE720941 JOA720940:JOA720941 JXW720940:JXW720941 KHS720940:KHS720941 KRO720940:KRO720941 LBK720940:LBK720941 LLG720940:LLG720941 LVC720940:LVC720941 MEY720940:MEY720941 MOU720940:MOU720941 MYQ720940:MYQ720941 NIM720940:NIM720941 NSI720940:NSI720941 OCE720940:OCE720941 OMA720940:OMA720941 OVW720940:OVW720941 PFS720940:PFS720941 PPO720940:PPO720941 PZK720940:PZK720941 QJG720940:QJG720941 QTC720940:QTC720941 RCY720940:RCY720941 RMU720940:RMU720941 RWQ720940:RWQ720941 SGM720940:SGM720941 SQI720940:SQI720941 TAE720940:TAE720941 TKA720940:TKA720941 TTW720940:TTW720941 UDS720940:UDS720941 UNO720940:UNO720941 UXK720940:UXK720941 VHG720940:VHG720941 VRC720940:VRC720941 WAY720940:WAY720941 WKU720940:WKU720941 WUQ720940:WUQ720941 IE786476:IE786477 SA786476:SA786477 ABW786476:ABW786477 ALS786476:ALS786477 AVO786476:AVO786477 BFK786476:BFK786477 BPG786476:BPG786477 BZC786476:BZC786477 CIY786476:CIY786477 CSU786476:CSU786477 DCQ786476:DCQ786477 DMM786476:DMM786477 DWI786476:DWI786477 EGE786476:EGE786477 EQA786476:EQA786477 EZW786476:EZW786477 FJS786476:FJS786477 FTO786476:FTO786477 GDK786476:GDK786477 GNG786476:GNG786477 GXC786476:GXC786477 HGY786476:HGY786477 HQU786476:HQU786477 IAQ786476:IAQ786477 IKM786476:IKM786477 IUI786476:IUI786477 JEE786476:JEE786477 JOA786476:JOA786477 JXW786476:JXW786477 KHS786476:KHS786477 KRO786476:KRO786477 LBK786476:LBK786477 LLG786476:LLG786477 LVC786476:LVC786477 MEY786476:MEY786477 MOU786476:MOU786477 MYQ786476:MYQ786477 NIM786476:NIM786477 NSI786476:NSI786477 OCE786476:OCE786477 OMA786476:OMA786477 OVW786476:OVW786477 PFS786476:PFS786477 PPO786476:PPO786477 PZK786476:PZK786477 QJG786476:QJG786477 QTC786476:QTC786477 RCY786476:RCY786477 RMU786476:RMU786477 RWQ786476:RWQ786477 SGM786476:SGM786477 SQI786476:SQI786477 TAE786476:TAE786477 TKA786476:TKA786477 TTW786476:TTW786477 UDS786476:UDS786477 UNO786476:UNO786477 UXK786476:UXK786477 VHG786476:VHG786477 VRC786476:VRC786477 WAY786476:WAY786477 WKU786476:WKU786477 WUQ786476:WUQ786477 IE852012:IE852013 SA852012:SA852013 ABW852012:ABW852013 ALS852012:ALS852013 AVO852012:AVO852013 BFK852012:BFK852013 BPG852012:BPG852013 BZC852012:BZC852013 CIY852012:CIY852013 CSU852012:CSU852013 DCQ852012:DCQ852013 DMM852012:DMM852013 DWI852012:DWI852013 EGE852012:EGE852013 EQA852012:EQA852013 EZW852012:EZW852013 FJS852012:FJS852013 FTO852012:FTO852013 GDK852012:GDK852013 GNG852012:GNG852013 GXC852012:GXC852013 HGY852012:HGY852013 HQU852012:HQU852013 IAQ852012:IAQ852013 IKM852012:IKM852013 IUI852012:IUI852013 JEE852012:JEE852013 JOA852012:JOA852013 JXW852012:JXW852013 KHS852012:KHS852013 KRO852012:KRO852013 LBK852012:LBK852013 LLG852012:LLG852013 LVC852012:LVC852013 MEY852012:MEY852013 MOU852012:MOU852013 MYQ852012:MYQ852013 NIM852012:NIM852013 NSI852012:NSI852013 OCE852012:OCE852013 OMA852012:OMA852013 OVW852012:OVW852013 PFS852012:PFS852013 PPO852012:PPO852013 PZK852012:PZK852013 QJG852012:QJG852013 QTC852012:QTC852013 RCY852012:RCY852013 RMU852012:RMU852013 RWQ852012:RWQ852013 SGM852012:SGM852013 SQI852012:SQI852013 TAE852012:TAE852013 TKA852012:TKA852013 TTW852012:TTW852013 UDS852012:UDS852013 UNO852012:UNO852013 UXK852012:UXK852013 VHG852012:VHG852013 VRC852012:VRC852013 WAY852012:WAY852013 WKU852012:WKU852013 WUQ852012:WUQ852013 IE917548:IE917549 SA917548:SA917549 ABW917548:ABW917549 ALS917548:ALS917549 AVO917548:AVO917549 BFK917548:BFK917549 BPG917548:BPG917549 BZC917548:BZC917549 CIY917548:CIY917549 CSU917548:CSU917549 DCQ917548:DCQ917549 DMM917548:DMM917549 DWI917548:DWI917549 EGE917548:EGE917549 EQA917548:EQA917549 EZW917548:EZW917549 FJS917548:FJS917549 FTO917548:FTO917549 GDK917548:GDK917549 GNG917548:GNG917549 GXC917548:GXC917549 HGY917548:HGY917549 HQU917548:HQU917549 IAQ917548:IAQ917549 IKM917548:IKM917549 IUI917548:IUI917549 JEE917548:JEE917549 JOA917548:JOA917549 JXW917548:JXW917549 KHS917548:KHS917549 KRO917548:KRO917549 LBK917548:LBK917549 LLG917548:LLG917549 LVC917548:LVC917549 MEY917548:MEY917549 MOU917548:MOU917549 MYQ917548:MYQ917549 NIM917548:NIM917549 NSI917548:NSI917549 OCE917548:OCE917549 OMA917548:OMA917549 OVW917548:OVW917549 PFS917548:PFS917549 PPO917548:PPO917549 PZK917548:PZK917549 QJG917548:QJG917549 QTC917548:QTC917549 RCY917548:RCY917549 RMU917548:RMU917549 RWQ917548:RWQ917549 SGM917548:SGM917549 SQI917548:SQI917549 TAE917548:TAE917549 TKA917548:TKA917549 TTW917548:TTW917549 UDS917548:UDS917549 UNO917548:UNO917549 UXK917548:UXK917549 VHG917548:VHG917549 VRC917548:VRC917549 WAY917548:WAY917549 WKU917548:WKU917549 WUQ917548:WUQ917549 IE983084:IE983085 SA983084:SA983085 ABW983084:ABW983085 ALS983084:ALS983085 AVO983084:AVO983085 BFK983084:BFK983085 BPG983084:BPG983085 BZC983084:BZC983085 CIY983084:CIY983085 CSU983084:CSU983085 DCQ983084:DCQ983085 DMM983084:DMM983085 DWI983084:DWI983085 EGE983084:EGE983085 EQA983084:EQA983085 EZW983084:EZW983085 FJS983084:FJS983085 FTO983084:FTO983085 GDK983084:GDK983085 GNG983084:GNG983085 GXC983084:GXC983085 HGY983084:HGY983085 HQU983084:HQU983085 IAQ983084:IAQ983085 IKM983084:IKM983085 IUI983084:IUI983085 JEE983084:JEE983085 JOA983084:JOA983085 JXW983084:JXW983085 KHS983084:KHS983085 KRO983084:KRO983085 LBK983084:LBK983085 LLG983084:LLG983085 LVC983084:LVC983085 MEY983084:MEY983085 MOU983084:MOU983085 MYQ983084:MYQ983085 NIM983084:NIM983085 NSI983084:NSI983085 OCE983084:OCE983085 OMA983084:OMA983085 OVW983084:OVW983085 PFS983084:PFS983085 PPO983084:PPO983085 PZK983084:PZK983085 QJG983084:QJG983085 QTC983084:QTC983085 RCY983084:RCY983085 RMU983084:RMU983085 RWQ983084:RWQ983085 SGM983084:SGM983085 SQI983084:SQI983085 TAE983084:TAE983085 TKA983084:TKA983085 TTW983084:TTW983085 UDS983084:UDS983085 UNO983084:UNO983085 UXK983084:UXK983085 VHG983084:VHG983085 VRC983084:VRC983085 WAY983084:WAY983085 WKU983084:WKU983085 WUQ983084:WUQ983085 IE65586:IE65587 SA65586:SA65587 ABW65586:ABW65587 ALS65586:ALS65587 AVO65586:AVO65587 BFK65586:BFK65587 BPG65586:BPG65587 BZC65586:BZC65587 CIY65586:CIY65587 CSU65586:CSU65587 DCQ65586:DCQ65587 DMM65586:DMM65587 DWI65586:DWI65587 EGE65586:EGE65587 EQA65586:EQA65587 EZW65586:EZW65587 FJS65586:FJS65587 FTO65586:FTO65587 GDK65586:GDK65587 GNG65586:GNG65587 GXC65586:GXC65587 HGY65586:HGY65587 HQU65586:HQU65587 IAQ65586:IAQ65587 IKM65586:IKM65587 IUI65586:IUI65587 JEE65586:JEE65587 JOA65586:JOA65587 JXW65586:JXW65587 KHS65586:KHS65587 KRO65586:KRO65587 LBK65586:LBK65587 LLG65586:LLG65587 LVC65586:LVC65587 MEY65586:MEY65587 MOU65586:MOU65587 MYQ65586:MYQ65587 NIM65586:NIM65587 NSI65586:NSI65587 OCE65586:OCE65587 OMA65586:OMA65587 OVW65586:OVW65587 PFS65586:PFS65587 PPO65586:PPO65587 PZK65586:PZK65587 QJG65586:QJG65587 QTC65586:QTC65587 RCY65586:RCY65587 RMU65586:RMU65587 RWQ65586:RWQ65587 SGM65586:SGM65587 SQI65586:SQI65587 TAE65586:TAE65587 TKA65586:TKA65587 TTW65586:TTW65587 UDS65586:UDS65587 UNO65586:UNO65587 UXK65586:UXK65587 VHG65586:VHG65587 VRC65586:VRC65587 WAY65586:WAY65587 WKU65586:WKU65587 WUQ65586:WUQ65587 IE131122:IE131123 SA131122:SA131123 ABW131122:ABW131123 ALS131122:ALS131123 AVO131122:AVO131123 BFK131122:BFK131123 BPG131122:BPG131123 BZC131122:BZC131123 CIY131122:CIY131123 CSU131122:CSU131123 DCQ131122:DCQ131123 DMM131122:DMM131123 DWI131122:DWI131123 EGE131122:EGE131123 EQA131122:EQA131123 EZW131122:EZW131123 FJS131122:FJS131123 FTO131122:FTO131123 GDK131122:GDK131123 GNG131122:GNG131123 GXC131122:GXC131123 HGY131122:HGY131123 HQU131122:HQU131123 IAQ131122:IAQ131123 IKM131122:IKM131123 IUI131122:IUI131123 JEE131122:JEE131123 JOA131122:JOA131123 JXW131122:JXW131123 KHS131122:KHS131123 KRO131122:KRO131123 LBK131122:LBK131123 LLG131122:LLG131123 LVC131122:LVC131123 MEY131122:MEY131123 MOU131122:MOU131123 MYQ131122:MYQ131123 NIM131122:NIM131123 NSI131122:NSI131123 OCE131122:OCE131123 OMA131122:OMA131123 OVW131122:OVW131123 PFS131122:PFS131123 PPO131122:PPO131123 PZK131122:PZK131123 QJG131122:QJG131123 QTC131122:QTC131123 RCY131122:RCY131123 RMU131122:RMU131123 RWQ131122:RWQ131123 SGM131122:SGM131123 SQI131122:SQI131123 TAE131122:TAE131123 TKA131122:TKA131123 TTW131122:TTW131123 UDS131122:UDS131123 UNO131122:UNO131123 UXK131122:UXK131123 VHG131122:VHG131123 VRC131122:VRC131123 WAY131122:WAY131123 WKU131122:WKU131123 WUQ131122:WUQ131123 IE196658:IE196659 SA196658:SA196659 ABW196658:ABW196659 ALS196658:ALS196659 AVO196658:AVO196659 BFK196658:BFK196659 BPG196658:BPG196659 BZC196658:BZC196659 CIY196658:CIY196659 CSU196658:CSU196659 DCQ196658:DCQ196659 DMM196658:DMM196659 DWI196658:DWI196659 EGE196658:EGE196659 EQA196658:EQA196659 EZW196658:EZW196659 FJS196658:FJS196659 FTO196658:FTO196659 GDK196658:GDK196659 GNG196658:GNG196659 GXC196658:GXC196659 HGY196658:HGY196659 HQU196658:HQU196659 IAQ196658:IAQ196659 IKM196658:IKM196659 IUI196658:IUI196659 JEE196658:JEE196659 JOA196658:JOA196659 JXW196658:JXW196659 KHS196658:KHS196659 KRO196658:KRO196659 LBK196658:LBK196659 LLG196658:LLG196659 LVC196658:LVC196659 MEY196658:MEY196659 MOU196658:MOU196659 MYQ196658:MYQ196659 NIM196658:NIM196659 NSI196658:NSI196659 OCE196658:OCE196659 OMA196658:OMA196659 OVW196658:OVW196659 PFS196658:PFS196659 PPO196658:PPO196659 PZK196658:PZK196659 QJG196658:QJG196659 QTC196658:QTC196659 RCY196658:RCY196659 RMU196658:RMU196659 RWQ196658:RWQ196659 SGM196658:SGM196659 SQI196658:SQI196659 TAE196658:TAE196659 TKA196658:TKA196659 TTW196658:TTW196659 UDS196658:UDS196659 UNO196658:UNO196659 UXK196658:UXK196659 VHG196658:VHG196659 VRC196658:VRC196659 WAY196658:WAY196659 WKU196658:WKU196659 WUQ196658:WUQ196659 IE262194:IE262195 SA262194:SA262195 ABW262194:ABW262195 ALS262194:ALS262195 AVO262194:AVO262195 BFK262194:BFK262195 BPG262194:BPG262195 BZC262194:BZC262195 CIY262194:CIY262195 CSU262194:CSU262195 DCQ262194:DCQ262195 DMM262194:DMM262195 DWI262194:DWI262195 EGE262194:EGE262195 EQA262194:EQA262195 EZW262194:EZW262195 FJS262194:FJS262195 FTO262194:FTO262195 GDK262194:GDK262195 GNG262194:GNG262195 GXC262194:GXC262195 HGY262194:HGY262195 HQU262194:HQU262195 IAQ262194:IAQ262195 IKM262194:IKM262195 IUI262194:IUI262195 JEE262194:JEE262195 JOA262194:JOA262195 JXW262194:JXW262195 KHS262194:KHS262195 KRO262194:KRO262195 LBK262194:LBK262195 LLG262194:LLG262195 LVC262194:LVC262195 MEY262194:MEY262195 MOU262194:MOU262195 MYQ262194:MYQ262195 NIM262194:NIM262195 NSI262194:NSI262195 OCE262194:OCE262195 OMA262194:OMA262195 OVW262194:OVW262195 PFS262194:PFS262195 PPO262194:PPO262195 PZK262194:PZK262195 QJG262194:QJG262195 QTC262194:QTC262195 RCY262194:RCY262195 RMU262194:RMU262195 RWQ262194:RWQ262195 SGM262194:SGM262195 SQI262194:SQI262195 TAE262194:TAE262195 TKA262194:TKA262195 TTW262194:TTW262195 UDS262194:UDS262195 UNO262194:UNO262195 UXK262194:UXK262195 VHG262194:VHG262195 VRC262194:VRC262195 WAY262194:WAY262195 WKU262194:WKU262195 WUQ262194:WUQ262195 IE327730:IE327731 SA327730:SA327731 ABW327730:ABW327731 ALS327730:ALS327731 AVO327730:AVO327731 BFK327730:BFK327731 BPG327730:BPG327731 BZC327730:BZC327731 CIY327730:CIY327731 CSU327730:CSU327731 DCQ327730:DCQ327731 DMM327730:DMM327731 DWI327730:DWI327731 EGE327730:EGE327731 EQA327730:EQA327731 EZW327730:EZW327731 FJS327730:FJS327731 FTO327730:FTO327731 GDK327730:GDK327731 GNG327730:GNG327731 GXC327730:GXC327731 HGY327730:HGY327731 HQU327730:HQU327731 IAQ327730:IAQ327731 IKM327730:IKM327731 IUI327730:IUI327731 JEE327730:JEE327731 JOA327730:JOA327731 JXW327730:JXW327731 KHS327730:KHS327731 KRO327730:KRO327731 LBK327730:LBK327731 LLG327730:LLG327731 LVC327730:LVC327731 MEY327730:MEY327731 MOU327730:MOU327731 MYQ327730:MYQ327731 NIM327730:NIM327731 NSI327730:NSI327731 OCE327730:OCE327731 OMA327730:OMA327731 OVW327730:OVW327731 PFS327730:PFS327731 PPO327730:PPO327731 PZK327730:PZK327731 QJG327730:QJG327731 QTC327730:QTC327731 RCY327730:RCY327731 RMU327730:RMU327731 RWQ327730:RWQ327731 SGM327730:SGM327731 SQI327730:SQI327731 TAE327730:TAE327731 TKA327730:TKA327731 TTW327730:TTW327731 UDS327730:UDS327731 UNO327730:UNO327731 UXK327730:UXK327731 VHG327730:VHG327731 VRC327730:VRC327731 WAY327730:WAY327731 WKU327730:WKU327731 WUQ327730:WUQ327731 IE393266:IE393267 SA393266:SA393267 ABW393266:ABW393267 ALS393266:ALS393267 AVO393266:AVO393267 BFK393266:BFK393267 BPG393266:BPG393267 BZC393266:BZC393267 CIY393266:CIY393267 CSU393266:CSU393267 DCQ393266:DCQ393267 DMM393266:DMM393267 DWI393266:DWI393267 EGE393266:EGE393267 EQA393266:EQA393267 EZW393266:EZW393267 FJS393266:FJS393267 FTO393266:FTO393267 GDK393266:GDK393267 GNG393266:GNG393267 GXC393266:GXC393267 HGY393266:HGY393267 HQU393266:HQU393267 IAQ393266:IAQ393267 IKM393266:IKM393267 IUI393266:IUI393267 JEE393266:JEE393267 JOA393266:JOA393267 JXW393266:JXW393267 KHS393266:KHS393267 KRO393266:KRO393267 LBK393266:LBK393267 LLG393266:LLG393267 LVC393266:LVC393267 MEY393266:MEY393267 MOU393266:MOU393267 MYQ393266:MYQ393267 NIM393266:NIM393267 NSI393266:NSI393267 OCE393266:OCE393267 OMA393266:OMA393267 OVW393266:OVW393267 PFS393266:PFS393267 PPO393266:PPO393267 PZK393266:PZK393267 QJG393266:QJG393267 QTC393266:QTC393267 RCY393266:RCY393267 RMU393266:RMU393267 RWQ393266:RWQ393267 SGM393266:SGM393267 SQI393266:SQI393267 TAE393266:TAE393267 TKA393266:TKA393267 TTW393266:TTW393267 UDS393266:UDS393267 UNO393266:UNO393267 UXK393266:UXK393267 VHG393266:VHG393267 VRC393266:VRC393267 WAY393266:WAY393267 WKU393266:WKU393267 WUQ393266:WUQ393267 IE458802:IE458803 SA458802:SA458803 ABW458802:ABW458803 ALS458802:ALS458803 AVO458802:AVO458803 BFK458802:BFK458803 BPG458802:BPG458803 BZC458802:BZC458803 CIY458802:CIY458803 CSU458802:CSU458803 DCQ458802:DCQ458803 DMM458802:DMM458803 DWI458802:DWI458803 EGE458802:EGE458803 EQA458802:EQA458803 EZW458802:EZW458803 FJS458802:FJS458803 FTO458802:FTO458803 GDK458802:GDK458803 GNG458802:GNG458803 GXC458802:GXC458803 HGY458802:HGY458803 HQU458802:HQU458803 IAQ458802:IAQ458803 IKM458802:IKM458803 IUI458802:IUI458803 JEE458802:JEE458803 JOA458802:JOA458803 JXW458802:JXW458803 KHS458802:KHS458803 KRO458802:KRO458803 LBK458802:LBK458803 LLG458802:LLG458803 LVC458802:LVC458803 MEY458802:MEY458803 MOU458802:MOU458803 MYQ458802:MYQ458803 NIM458802:NIM458803 NSI458802:NSI458803 OCE458802:OCE458803 OMA458802:OMA458803 OVW458802:OVW458803 PFS458802:PFS458803 PPO458802:PPO458803 PZK458802:PZK458803 QJG458802:QJG458803 QTC458802:QTC458803 RCY458802:RCY458803 RMU458802:RMU458803 RWQ458802:RWQ458803 SGM458802:SGM458803 SQI458802:SQI458803 TAE458802:TAE458803 TKA458802:TKA458803 TTW458802:TTW458803 UDS458802:UDS458803 UNO458802:UNO458803 UXK458802:UXK458803 VHG458802:VHG458803 VRC458802:VRC458803 WAY458802:WAY458803 WKU458802:WKU458803 WUQ458802:WUQ458803 IE524338:IE524339 SA524338:SA524339 ABW524338:ABW524339 ALS524338:ALS524339 AVO524338:AVO524339 BFK524338:BFK524339 BPG524338:BPG524339 BZC524338:BZC524339 CIY524338:CIY524339 CSU524338:CSU524339 DCQ524338:DCQ524339 DMM524338:DMM524339 DWI524338:DWI524339 EGE524338:EGE524339 EQA524338:EQA524339 EZW524338:EZW524339 FJS524338:FJS524339 FTO524338:FTO524339 GDK524338:GDK524339 GNG524338:GNG524339 GXC524338:GXC524339 HGY524338:HGY524339 HQU524338:HQU524339 IAQ524338:IAQ524339 IKM524338:IKM524339 IUI524338:IUI524339 JEE524338:JEE524339 JOA524338:JOA524339 JXW524338:JXW524339 KHS524338:KHS524339 KRO524338:KRO524339 LBK524338:LBK524339 LLG524338:LLG524339 LVC524338:LVC524339 MEY524338:MEY524339 MOU524338:MOU524339 MYQ524338:MYQ524339 NIM524338:NIM524339 NSI524338:NSI524339 OCE524338:OCE524339 OMA524338:OMA524339 OVW524338:OVW524339 PFS524338:PFS524339 PPO524338:PPO524339 PZK524338:PZK524339 QJG524338:QJG524339 QTC524338:QTC524339 RCY524338:RCY524339 RMU524338:RMU524339 RWQ524338:RWQ524339 SGM524338:SGM524339 SQI524338:SQI524339 TAE524338:TAE524339 TKA524338:TKA524339 TTW524338:TTW524339 UDS524338:UDS524339 UNO524338:UNO524339 UXK524338:UXK524339 VHG524338:VHG524339 VRC524338:VRC524339 WAY524338:WAY524339 WKU524338:WKU524339 WUQ524338:WUQ524339 IE589874:IE589875 SA589874:SA589875 ABW589874:ABW589875 ALS589874:ALS589875 AVO589874:AVO589875 BFK589874:BFK589875 BPG589874:BPG589875 BZC589874:BZC589875 CIY589874:CIY589875 CSU589874:CSU589875 DCQ589874:DCQ589875 DMM589874:DMM589875 DWI589874:DWI589875 EGE589874:EGE589875 EQA589874:EQA589875 EZW589874:EZW589875 FJS589874:FJS589875 FTO589874:FTO589875 GDK589874:GDK589875 GNG589874:GNG589875 GXC589874:GXC589875 HGY589874:HGY589875 HQU589874:HQU589875 IAQ589874:IAQ589875 IKM589874:IKM589875 IUI589874:IUI589875 JEE589874:JEE589875 JOA589874:JOA589875 JXW589874:JXW589875 KHS589874:KHS589875 KRO589874:KRO589875 LBK589874:LBK589875 LLG589874:LLG589875 LVC589874:LVC589875 MEY589874:MEY589875 MOU589874:MOU589875 MYQ589874:MYQ589875 NIM589874:NIM589875 NSI589874:NSI589875 OCE589874:OCE589875 OMA589874:OMA589875 OVW589874:OVW589875 PFS589874:PFS589875 PPO589874:PPO589875 PZK589874:PZK589875 QJG589874:QJG589875 QTC589874:QTC589875 RCY589874:RCY589875 RMU589874:RMU589875 RWQ589874:RWQ589875 SGM589874:SGM589875 SQI589874:SQI589875 TAE589874:TAE589875 TKA589874:TKA589875 TTW589874:TTW589875 UDS589874:UDS589875 UNO589874:UNO589875 UXK589874:UXK589875 VHG589874:VHG589875 VRC589874:VRC589875 WAY589874:WAY589875 WKU589874:WKU589875 WUQ589874:WUQ589875 IE655410:IE655411 SA655410:SA655411 ABW655410:ABW655411 ALS655410:ALS655411 AVO655410:AVO655411 BFK655410:BFK655411 BPG655410:BPG655411 BZC655410:BZC655411 CIY655410:CIY655411 CSU655410:CSU655411 DCQ655410:DCQ655411 DMM655410:DMM655411 DWI655410:DWI655411 EGE655410:EGE655411 EQA655410:EQA655411 EZW655410:EZW655411 FJS655410:FJS655411 FTO655410:FTO655411 GDK655410:GDK655411 GNG655410:GNG655411 GXC655410:GXC655411 HGY655410:HGY655411 HQU655410:HQU655411 IAQ655410:IAQ655411 IKM655410:IKM655411 IUI655410:IUI655411 JEE655410:JEE655411 JOA655410:JOA655411 JXW655410:JXW655411 KHS655410:KHS655411 KRO655410:KRO655411 LBK655410:LBK655411 LLG655410:LLG655411 LVC655410:LVC655411 MEY655410:MEY655411 MOU655410:MOU655411 MYQ655410:MYQ655411 NIM655410:NIM655411 NSI655410:NSI655411 OCE655410:OCE655411 OMA655410:OMA655411 OVW655410:OVW655411 PFS655410:PFS655411 PPO655410:PPO655411 PZK655410:PZK655411 QJG655410:QJG655411 QTC655410:QTC655411 RCY655410:RCY655411 RMU655410:RMU655411 RWQ655410:RWQ655411 SGM655410:SGM655411 SQI655410:SQI655411 TAE655410:TAE655411 TKA655410:TKA655411 TTW655410:TTW655411 UDS655410:UDS655411 UNO655410:UNO655411 UXK655410:UXK655411 VHG655410:VHG655411 VRC655410:VRC655411 WAY655410:WAY655411 WKU655410:WKU655411 WUQ655410:WUQ655411 IE720946:IE720947 SA720946:SA720947 ABW720946:ABW720947 ALS720946:ALS720947 AVO720946:AVO720947 BFK720946:BFK720947 BPG720946:BPG720947 BZC720946:BZC720947 CIY720946:CIY720947 CSU720946:CSU720947 DCQ720946:DCQ720947 DMM720946:DMM720947 DWI720946:DWI720947 EGE720946:EGE720947 EQA720946:EQA720947 EZW720946:EZW720947 FJS720946:FJS720947 FTO720946:FTO720947 GDK720946:GDK720947 GNG720946:GNG720947 GXC720946:GXC720947 HGY720946:HGY720947 HQU720946:HQU720947 IAQ720946:IAQ720947 IKM720946:IKM720947 IUI720946:IUI720947 JEE720946:JEE720947 JOA720946:JOA720947 JXW720946:JXW720947 KHS720946:KHS720947 KRO720946:KRO720947 LBK720946:LBK720947 LLG720946:LLG720947 LVC720946:LVC720947 MEY720946:MEY720947 MOU720946:MOU720947 MYQ720946:MYQ720947 NIM720946:NIM720947 NSI720946:NSI720947 OCE720946:OCE720947 OMA720946:OMA720947 OVW720946:OVW720947 PFS720946:PFS720947 PPO720946:PPO720947 PZK720946:PZK720947 QJG720946:QJG720947 QTC720946:QTC720947 RCY720946:RCY720947 RMU720946:RMU720947 RWQ720946:RWQ720947 SGM720946:SGM720947 SQI720946:SQI720947 TAE720946:TAE720947 TKA720946:TKA720947 TTW720946:TTW720947 UDS720946:UDS720947 UNO720946:UNO720947 UXK720946:UXK720947 VHG720946:VHG720947 VRC720946:VRC720947 WAY720946:WAY720947 WKU720946:WKU720947 WUQ720946:WUQ720947 IE786482:IE786483 SA786482:SA786483 ABW786482:ABW786483 ALS786482:ALS786483 AVO786482:AVO786483 BFK786482:BFK786483 BPG786482:BPG786483 BZC786482:BZC786483 CIY786482:CIY786483 CSU786482:CSU786483 DCQ786482:DCQ786483 DMM786482:DMM786483 DWI786482:DWI786483 EGE786482:EGE786483 EQA786482:EQA786483 EZW786482:EZW786483 FJS786482:FJS786483 FTO786482:FTO786483 GDK786482:GDK786483 GNG786482:GNG786483 GXC786482:GXC786483 HGY786482:HGY786483 HQU786482:HQU786483 IAQ786482:IAQ786483 IKM786482:IKM786483 IUI786482:IUI786483 JEE786482:JEE786483 JOA786482:JOA786483 JXW786482:JXW786483 KHS786482:KHS786483 KRO786482:KRO786483 LBK786482:LBK786483 LLG786482:LLG786483 LVC786482:LVC786483 MEY786482:MEY786483 MOU786482:MOU786483 MYQ786482:MYQ786483 NIM786482:NIM786483 NSI786482:NSI786483 OCE786482:OCE786483 OMA786482:OMA786483 OVW786482:OVW786483 PFS786482:PFS786483 PPO786482:PPO786483 PZK786482:PZK786483 QJG786482:QJG786483 QTC786482:QTC786483 RCY786482:RCY786483 RMU786482:RMU786483 RWQ786482:RWQ786483 SGM786482:SGM786483 SQI786482:SQI786483 TAE786482:TAE786483 TKA786482:TKA786483 TTW786482:TTW786483 UDS786482:UDS786483 UNO786482:UNO786483 UXK786482:UXK786483 VHG786482:VHG786483 VRC786482:VRC786483 WAY786482:WAY786483 WKU786482:WKU786483 WUQ786482:WUQ786483 IE852018:IE852019 SA852018:SA852019 ABW852018:ABW852019 ALS852018:ALS852019 AVO852018:AVO852019 BFK852018:BFK852019 BPG852018:BPG852019 BZC852018:BZC852019 CIY852018:CIY852019 CSU852018:CSU852019 DCQ852018:DCQ852019 DMM852018:DMM852019 DWI852018:DWI852019 EGE852018:EGE852019 EQA852018:EQA852019 EZW852018:EZW852019 FJS852018:FJS852019 FTO852018:FTO852019 GDK852018:GDK852019 GNG852018:GNG852019 GXC852018:GXC852019 HGY852018:HGY852019 HQU852018:HQU852019 IAQ852018:IAQ852019 IKM852018:IKM852019 IUI852018:IUI852019 JEE852018:JEE852019 JOA852018:JOA852019 JXW852018:JXW852019 KHS852018:KHS852019 KRO852018:KRO852019 LBK852018:LBK852019 LLG852018:LLG852019 LVC852018:LVC852019 MEY852018:MEY852019 MOU852018:MOU852019 MYQ852018:MYQ852019 NIM852018:NIM852019 NSI852018:NSI852019 OCE852018:OCE852019 OMA852018:OMA852019 OVW852018:OVW852019 PFS852018:PFS852019 PPO852018:PPO852019 PZK852018:PZK852019 QJG852018:QJG852019 QTC852018:QTC852019 RCY852018:RCY852019 RMU852018:RMU852019 RWQ852018:RWQ852019 SGM852018:SGM852019 SQI852018:SQI852019 TAE852018:TAE852019 TKA852018:TKA852019 TTW852018:TTW852019 UDS852018:UDS852019 UNO852018:UNO852019 UXK852018:UXK852019 VHG852018:VHG852019 VRC852018:VRC852019 WAY852018:WAY852019 WKU852018:WKU852019 WUQ852018:WUQ852019 IE917554:IE917555 SA917554:SA917555 ABW917554:ABW917555 ALS917554:ALS917555 AVO917554:AVO917555 BFK917554:BFK917555 BPG917554:BPG917555 BZC917554:BZC917555 CIY917554:CIY917555 CSU917554:CSU917555 DCQ917554:DCQ917555 DMM917554:DMM917555 DWI917554:DWI917555 EGE917554:EGE917555 EQA917554:EQA917555 EZW917554:EZW917555 FJS917554:FJS917555 FTO917554:FTO917555 GDK917554:GDK917555 GNG917554:GNG917555 GXC917554:GXC917555 HGY917554:HGY917555 HQU917554:HQU917555 IAQ917554:IAQ917555 IKM917554:IKM917555 IUI917554:IUI917555 JEE917554:JEE917555 JOA917554:JOA917555 JXW917554:JXW917555 KHS917554:KHS917555 KRO917554:KRO917555 LBK917554:LBK917555 LLG917554:LLG917555 LVC917554:LVC917555 MEY917554:MEY917555 MOU917554:MOU917555 MYQ917554:MYQ917555 NIM917554:NIM917555 NSI917554:NSI917555 OCE917554:OCE917555 OMA917554:OMA917555 OVW917554:OVW917555 PFS917554:PFS917555 PPO917554:PPO917555 PZK917554:PZK917555 QJG917554:QJG917555 QTC917554:QTC917555 RCY917554:RCY917555 RMU917554:RMU917555 RWQ917554:RWQ917555 SGM917554:SGM917555 SQI917554:SQI917555 TAE917554:TAE917555 TKA917554:TKA917555 TTW917554:TTW917555 UDS917554:UDS917555 UNO917554:UNO917555 UXK917554:UXK917555 VHG917554:VHG917555 VRC917554:VRC917555 WAY917554:WAY917555 WKU917554:WKU917555 WUQ917554:WUQ917555 IE983090:IE983091 SA983090:SA983091 ABW983090:ABW983091 ALS983090:ALS983091 AVO983090:AVO983091 BFK983090:BFK983091 BPG983090:BPG983091 BZC983090:BZC983091 CIY983090:CIY983091 CSU983090:CSU983091 DCQ983090:DCQ983091 DMM983090:DMM983091 DWI983090:DWI983091 EGE983090:EGE983091 EQA983090:EQA983091 EZW983090:EZW983091 FJS983090:FJS983091 FTO983090:FTO983091 GDK983090:GDK983091 GNG983090:GNG983091 GXC983090:GXC983091 HGY983090:HGY983091 HQU983090:HQU983091 IAQ983090:IAQ983091 IKM983090:IKM983091 IUI983090:IUI983091 JEE983090:JEE983091 JOA983090:JOA983091 JXW983090:JXW983091 KHS983090:KHS983091 KRO983090:KRO983091 LBK983090:LBK983091 LLG983090:LLG983091 LVC983090:LVC983091 MEY983090:MEY983091 MOU983090:MOU983091 MYQ983090:MYQ983091 NIM983090:NIM983091 NSI983090:NSI983091 OCE983090:OCE983091 OMA983090:OMA983091 OVW983090:OVW983091 PFS983090:PFS983091 PPO983090:PPO983091 PZK983090:PZK983091 QJG983090:QJG983091 QTC983090:QTC983091 RCY983090:RCY983091 RMU983090:RMU983091 RWQ983090:RWQ983091 SGM983090:SGM983091 SQI983090:SQI983091 TAE983090:TAE983091 TKA983090:TKA983091 TTW983090:TTW983091 UDS983090:UDS983091 UNO983090:UNO983091 UXK983090:UXK983091 VHG983090:VHG983091 VRC983090:VRC983091 WAY983090:WAY983091 WKU983090:WKU983091 WUQ983090:WUQ983091 IE65525:IE65527 SA65525:SA65527 ABW65525:ABW65527 ALS65525:ALS65527 AVO65525:AVO65527 BFK65525:BFK65527 BPG65525:BPG65527 BZC65525:BZC65527 CIY65525:CIY65527 CSU65525:CSU65527 DCQ65525:DCQ65527 DMM65525:DMM65527 DWI65525:DWI65527 EGE65525:EGE65527 EQA65525:EQA65527 EZW65525:EZW65527 FJS65525:FJS65527 FTO65525:FTO65527 GDK65525:GDK65527 GNG65525:GNG65527 GXC65525:GXC65527 HGY65525:HGY65527 HQU65525:HQU65527 IAQ65525:IAQ65527 IKM65525:IKM65527 IUI65525:IUI65527 JEE65525:JEE65527 JOA65525:JOA65527 JXW65525:JXW65527 KHS65525:KHS65527 KRO65525:KRO65527 LBK65525:LBK65527 LLG65525:LLG65527 LVC65525:LVC65527 MEY65525:MEY65527 MOU65525:MOU65527 MYQ65525:MYQ65527 NIM65525:NIM65527 NSI65525:NSI65527 OCE65525:OCE65527 OMA65525:OMA65527 OVW65525:OVW65527 PFS65525:PFS65527 PPO65525:PPO65527 PZK65525:PZK65527 QJG65525:QJG65527 QTC65525:QTC65527 RCY65525:RCY65527 RMU65525:RMU65527 RWQ65525:RWQ65527 SGM65525:SGM65527 SQI65525:SQI65527 TAE65525:TAE65527 TKA65525:TKA65527 TTW65525:TTW65527 UDS65525:UDS65527 UNO65525:UNO65527 UXK65525:UXK65527 VHG65525:VHG65527 VRC65525:VRC65527 WAY65525:WAY65527 WKU65525:WKU65527 WUQ65525:WUQ65527 IE131061:IE131063 SA131061:SA131063 ABW131061:ABW131063 ALS131061:ALS131063 AVO131061:AVO131063 BFK131061:BFK131063 BPG131061:BPG131063 BZC131061:BZC131063 CIY131061:CIY131063 CSU131061:CSU131063 DCQ131061:DCQ131063 DMM131061:DMM131063 DWI131061:DWI131063 EGE131061:EGE131063 EQA131061:EQA131063 EZW131061:EZW131063 FJS131061:FJS131063 FTO131061:FTO131063 GDK131061:GDK131063 GNG131061:GNG131063 GXC131061:GXC131063 HGY131061:HGY131063 HQU131061:HQU131063 IAQ131061:IAQ131063 IKM131061:IKM131063 IUI131061:IUI131063 JEE131061:JEE131063 JOA131061:JOA131063 JXW131061:JXW131063 KHS131061:KHS131063 KRO131061:KRO131063 LBK131061:LBK131063 LLG131061:LLG131063 LVC131061:LVC131063 MEY131061:MEY131063 MOU131061:MOU131063 MYQ131061:MYQ131063 NIM131061:NIM131063 NSI131061:NSI131063 OCE131061:OCE131063 OMA131061:OMA131063 OVW131061:OVW131063 PFS131061:PFS131063 PPO131061:PPO131063 PZK131061:PZK131063 QJG131061:QJG131063 QTC131061:QTC131063 RCY131061:RCY131063 RMU131061:RMU131063 RWQ131061:RWQ131063 SGM131061:SGM131063 SQI131061:SQI131063 TAE131061:TAE131063 TKA131061:TKA131063 TTW131061:TTW131063 UDS131061:UDS131063 UNO131061:UNO131063 UXK131061:UXK131063 VHG131061:VHG131063 VRC131061:VRC131063 WAY131061:WAY131063 WKU131061:WKU131063 WUQ131061:WUQ131063 IE196597:IE196599 SA196597:SA196599 ABW196597:ABW196599 ALS196597:ALS196599 AVO196597:AVO196599 BFK196597:BFK196599 BPG196597:BPG196599 BZC196597:BZC196599 CIY196597:CIY196599 CSU196597:CSU196599 DCQ196597:DCQ196599 DMM196597:DMM196599 DWI196597:DWI196599 EGE196597:EGE196599 EQA196597:EQA196599 EZW196597:EZW196599 FJS196597:FJS196599 FTO196597:FTO196599 GDK196597:GDK196599 GNG196597:GNG196599 GXC196597:GXC196599 HGY196597:HGY196599 HQU196597:HQU196599 IAQ196597:IAQ196599 IKM196597:IKM196599 IUI196597:IUI196599 JEE196597:JEE196599 JOA196597:JOA196599 JXW196597:JXW196599 KHS196597:KHS196599 KRO196597:KRO196599 LBK196597:LBK196599 LLG196597:LLG196599 LVC196597:LVC196599 MEY196597:MEY196599 MOU196597:MOU196599 MYQ196597:MYQ196599 NIM196597:NIM196599 NSI196597:NSI196599 OCE196597:OCE196599 OMA196597:OMA196599 OVW196597:OVW196599 PFS196597:PFS196599 PPO196597:PPO196599 PZK196597:PZK196599 QJG196597:QJG196599 QTC196597:QTC196599 RCY196597:RCY196599 RMU196597:RMU196599 RWQ196597:RWQ196599 SGM196597:SGM196599 SQI196597:SQI196599 TAE196597:TAE196599 TKA196597:TKA196599 TTW196597:TTW196599 UDS196597:UDS196599 UNO196597:UNO196599 UXK196597:UXK196599 VHG196597:VHG196599 VRC196597:VRC196599 WAY196597:WAY196599 WKU196597:WKU196599 WUQ196597:WUQ196599 IE262133:IE262135 SA262133:SA262135 ABW262133:ABW262135 ALS262133:ALS262135 AVO262133:AVO262135 BFK262133:BFK262135 BPG262133:BPG262135 BZC262133:BZC262135 CIY262133:CIY262135 CSU262133:CSU262135 DCQ262133:DCQ262135 DMM262133:DMM262135 DWI262133:DWI262135 EGE262133:EGE262135 EQA262133:EQA262135 EZW262133:EZW262135 FJS262133:FJS262135 FTO262133:FTO262135 GDK262133:GDK262135 GNG262133:GNG262135 GXC262133:GXC262135 HGY262133:HGY262135 HQU262133:HQU262135 IAQ262133:IAQ262135 IKM262133:IKM262135 IUI262133:IUI262135 JEE262133:JEE262135 JOA262133:JOA262135 JXW262133:JXW262135 KHS262133:KHS262135 KRO262133:KRO262135 LBK262133:LBK262135 LLG262133:LLG262135 LVC262133:LVC262135 MEY262133:MEY262135 MOU262133:MOU262135 MYQ262133:MYQ262135 NIM262133:NIM262135 NSI262133:NSI262135 OCE262133:OCE262135 OMA262133:OMA262135 OVW262133:OVW262135 PFS262133:PFS262135 PPO262133:PPO262135 PZK262133:PZK262135 QJG262133:QJG262135 QTC262133:QTC262135 RCY262133:RCY262135 RMU262133:RMU262135 RWQ262133:RWQ262135 SGM262133:SGM262135 SQI262133:SQI262135 TAE262133:TAE262135 TKA262133:TKA262135 TTW262133:TTW262135 UDS262133:UDS262135 UNO262133:UNO262135 UXK262133:UXK262135 VHG262133:VHG262135 VRC262133:VRC262135 WAY262133:WAY262135 WKU262133:WKU262135 WUQ262133:WUQ262135 IE327669:IE327671 SA327669:SA327671 ABW327669:ABW327671 ALS327669:ALS327671 AVO327669:AVO327671 BFK327669:BFK327671 BPG327669:BPG327671 BZC327669:BZC327671 CIY327669:CIY327671 CSU327669:CSU327671 DCQ327669:DCQ327671 DMM327669:DMM327671 DWI327669:DWI327671 EGE327669:EGE327671 EQA327669:EQA327671 EZW327669:EZW327671 FJS327669:FJS327671 FTO327669:FTO327671 GDK327669:GDK327671 GNG327669:GNG327671 GXC327669:GXC327671 HGY327669:HGY327671 HQU327669:HQU327671 IAQ327669:IAQ327671 IKM327669:IKM327671 IUI327669:IUI327671 JEE327669:JEE327671 JOA327669:JOA327671 JXW327669:JXW327671 KHS327669:KHS327671 KRO327669:KRO327671 LBK327669:LBK327671 LLG327669:LLG327671 LVC327669:LVC327671 MEY327669:MEY327671 MOU327669:MOU327671 MYQ327669:MYQ327671 NIM327669:NIM327671 NSI327669:NSI327671 OCE327669:OCE327671 OMA327669:OMA327671 OVW327669:OVW327671 PFS327669:PFS327671 PPO327669:PPO327671 PZK327669:PZK327671 QJG327669:QJG327671 QTC327669:QTC327671 RCY327669:RCY327671 RMU327669:RMU327671 RWQ327669:RWQ327671 SGM327669:SGM327671 SQI327669:SQI327671 TAE327669:TAE327671 TKA327669:TKA327671 TTW327669:TTW327671 UDS327669:UDS327671 UNO327669:UNO327671 UXK327669:UXK327671 VHG327669:VHG327671 VRC327669:VRC327671 WAY327669:WAY327671 WKU327669:WKU327671 WUQ327669:WUQ327671 IE393205:IE393207 SA393205:SA393207 ABW393205:ABW393207 ALS393205:ALS393207 AVO393205:AVO393207 BFK393205:BFK393207 BPG393205:BPG393207 BZC393205:BZC393207 CIY393205:CIY393207 CSU393205:CSU393207 DCQ393205:DCQ393207 DMM393205:DMM393207 DWI393205:DWI393207 EGE393205:EGE393207 EQA393205:EQA393207 EZW393205:EZW393207 FJS393205:FJS393207 FTO393205:FTO393207 GDK393205:GDK393207 GNG393205:GNG393207 GXC393205:GXC393207 HGY393205:HGY393207 HQU393205:HQU393207 IAQ393205:IAQ393207 IKM393205:IKM393207 IUI393205:IUI393207 JEE393205:JEE393207 JOA393205:JOA393207 JXW393205:JXW393207 KHS393205:KHS393207 KRO393205:KRO393207 LBK393205:LBK393207 LLG393205:LLG393207 LVC393205:LVC393207 MEY393205:MEY393207 MOU393205:MOU393207 MYQ393205:MYQ393207 NIM393205:NIM393207 NSI393205:NSI393207 OCE393205:OCE393207 OMA393205:OMA393207 OVW393205:OVW393207 PFS393205:PFS393207 PPO393205:PPO393207 PZK393205:PZK393207 QJG393205:QJG393207 QTC393205:QTC393207 RCY393205:RCY393207 RMU393205:RMU393207 RWQ393205:RWQ393207 SGM393205:SGM393207 SQI393205:SQI393207 TAE393205:TAE393207 TKA393205:TKA393207 TTW393205:TTW393207 UDS393205:UDS393207 UNO393205:UNO393207 UXK393205:UXK393207 VHG393205:VHG393207 VRC393205:VRC393207 WAY393205:WAY393207 WKU393205:WKU393207 WUQ393205:WUQ393207 IE458741:IE458743 SA458741:SA458743 ABW458741:ABW458743 ALS458741:ALS458743 AVO458741:AVO458743 BFK458741:BFK458743 BPG458741:BPG458743 BZC458741:BZC458743 CIY458741:CIY458743 CSU458741:CSU458743 DCQ458741:DCQ458743 DMM458741:DMM458743 DWI458741:DWI458743 EGE458741:EGE458743 EQA458741:EQA458743 EZW458741:EZW458743 FJS458741:FJS458743 FTO458741:FTO458743 GDK458741:GDK458743 GNG458741:GNG458743 GXC458741:GXC458743 HGY458741:HGY458743 HQU458741:HQU458743 IAQ458741:IAQ458743 IKM458741:IKM458743 IUI458741:IUI458743 JEE458741:JEE458743 JOA458741:JOA458743 JXW458741:JXW458743 KHS458741:KHS458743 KRO458741:KRO458743 LBK458741:LBK458743 LLG458741:LLG458743 LVC458741:LVC458743 MEY458741:MEY458743 MOU458741:MOU458743 MYQ458741:MYQ458743 NIM458741:NIM458743 NSI458741:NSI458743 OCE458741:OCE458743 OMA458741:OMA458743 OVW458741:OVW458743 PFS458741:PFS458743 PPO458741:PPO458743 PZK458741:PZK458743 QJG458741:QJG458743 QTC458741:QTC458743 RCY458741:RCY458743 RMU458741:RMU458743 RWQ458741:RWQ458743 SGM458741:SGM458743 SQI458741:SQI458743 TAE458741:TAE458743 TKA458741:TKA458743 TTW458741:TTW458743 UDS458741:UDS458743 UNO458741:UNO458743 UXK458741:UXK458743 VHG458741:VHG458743 VRC458741:VRC458743 WAY458741:WAY458743 WKU458741:WKU458743 WUQ458741:WUQ458743 IE524277:IE524279 SA524277:SA524279 ABW524277:ABW524279 ALS524277:ALS524279 AVO524277:AVO524279 BFK524277:BFK524279 BPG524277:BPG524279 BZC524277:BZC524279 CIY524277:CIY524279 CSU524277:CSU524279 DCQ524277:DCQ524279 DMM524277:DMM524279 DWI524277:DWI524279 EGE524277:EGE524279 EQA524277:EQA524279 EZW524277:EZW524279 FJS524277:FJS524279 FTO524277:FTO524279 GDK524277:GDK524279 GNG524277:GNG524279 GXC524277:GXC524279 HGY524277:HGY524279 HQU524277:HQU524279 IAQ524277:IAQ524279 IKM524277:IKM524279 IUI524277:IUI524279 JEE524277:JEE524279 JOA524277:JOA524279 JXW524277:JXW524279 KHS524277:KHS524279 KRO524277:KRO524279 LBK524277:LBK524279 LLG524277:LLG524279 LVC524277:LVC524279 MEY524277:MEY524279 MOU524277:MOU524279 MYQ524277:MYQ524279 NIM524277:NIM524279 NSI524277:NSI524279 OCE524277:OCE524279 OMA524277:OMA524279 OVW524277:OVW524279 PFS524277:PFS524279 PPO524277:PPO524279 PZK524277:PZK524279 QJG524277:QJG524279 QTC524277:QTC524279 RCY524277:RCY524279 RMU524277:RMU524279 RWQ524277:RWQ524279 SGM524277:SGM524279 SQI524277:SQI524279 TAE524277:TAE524279 TKA524277:TKA524279 TTW524277:TTW524279 UDS524277:UDS524279 UNO524277:UNO524279 UXK524277:UXK524279 VHG524277:VHG524279 VRC524277:VRC524279 WAY524277:WAY524279 WKU524277:WKU524279 WUQ524277:WUQ524279 IE589813:IE589815 SA589813:SA589815 ABW589813:ABW589815 ALS589813:ALS589815 AVO589813:AVO589815 BFK589813:BFK589815 BPG589813:BPG589815 BZC589813:BZC589815 CIY589813:CIY589815 CSU589813:CSU589815 DCQ589813:DCQ589815 DMM589813:DMM589815 DWI589813:DWI589815 EGE589813:EGE589815 EQA589813:EQA589815 EZW589813:EZW589815 FJS589813:FJS589815 FTO589813:FTO589815 GDK589813:GDK589815 GNG589813:GNG589815 GXC589813:GXC589815 HGY589813:HGY589815 HQU589813:HQU589815 IAQ589813:IAQ589815 IKM589813:IKM589815 IUI589813:IUI589815 JEE589813:JEE589815 JOA589813:JOA589815 JXW589813:JXW589815 KHS589813:KHS589815 KRO589813:KRO589815 LBK589813:LBK589815 LLG589813:LLG589815 LVC589813:LVC589815 MEY589813:MEY589815 MOU589813:MOU589815 MYQ589813:MYQ589815 NIM589813:NIM589815 NSI589813:NSI589815 OCE589813:OCE589815 OMA589813:OMA589815 OVW589813:OVW589815 PFS589813:PFS589815 PPO589813:PPO589815 PZK589813:PZK589815 QJG589813:QJG589815 QTC589813:QTC589815 RCY589813:RCY589815 RMU589813:RMU589815 RWQ589813:RWQ589815 SGM589813:SGM589815 SQI589813:SQI589815 TAE589813:TAE589815 TKA589813:TKA589815 TTW589813:TTW589815 UDS589813:UDS589815 UNO589813:UNO589815 UXK589813:UXK589815 VHG589813:VHG589815 VRC589813:VRC589815 WAY589813:WAY589815 WKU589813:WKU589815 WUQ589813:WUQ589815 IE655349:IE655351 SA655349:SA655351 ABW655349:ABW655351 ALS655349:ALS655351 AVO655349:AVO655351 BFK655349:BFK655351 BPG655349:BPG655351 BZC655349:BZC655351 CIY655349:CIY655351 CSU655349:CSU655351 DCQ655349:DCQ655351 DMM655349:DMM655351 DWI655349:DWI655351 EGE655349:EGE655351 EQA655349:EQA655351 EZW655349:EZW655351 FJS655349:FJS655351 FTO655349:FTO655351 GDK655349:GDK655351 GNG655349:GNG655351 GXC655349:GXC655351 HGY655349:HGY655351 HQU655349:HQU655351 IAQ655349:IAQ655351 IKM655349:IKM655351 IUI655349:IUI655351 JEE655349:JEE655351 JOA655349:JOA655351 JXW655349:JXW655351 KHS655349:KHS655351 KRO655349:KRO655351 LBK655349:LBK655351 LLG655349:LLG655351 LVC655349:LVC655351 MEY655349:MEY655351 MOU655349:MOU655351 MYQ655349:MYQ655351 NIM655349:NIM655351 NSI655349:NSI655351 OCE655349:OCE655351 OMA655349:OMA655351 OVW655349:OVW655351 PFS655349:PFS655351 PPO655349:PPO655351 PZK655349:PZK655351 QJG655349:QJG655351 QTC655349:QTC655351 RCY655349:RCY655351 RMU655349:RMU655351 RWQ655349:RWQ655351 SGM655349:SGM655351 SQI655349:SQI655351 TAE655349:TAE655351 TKA655349:TKA655351 TTW655349:TTW655351 UDS655349:UDS655351 UNO655349:UNO655351 UXK655349:UXK655351 VHG655349:VHG655351 VRC655349:VRC655351 WAY655349:WAY655351 WKU655349:WKU655351 WUQ655349:WUQ655351 IE720885:IE720887 SA720885:SA720887 ABW720885:ABW720887 ALS720885:ALS720887 AVO720885:AVO720887 BFK720885:BFK720887 BPG720885:BPG720887 BZC720885:BZC720887 CIY720885:CIY720887 CSU720885:CSU720887 DCQ720885:DCQ720887 DMM720885:DMM720887 DWI720885:DWI720887 EGE720885:EGE720887 EQA720885:EQA720887 EZW720885:EZW720887 FJS720885:FJS720887 FTO720885:FTO720887 GDK720885:GDK720887 GNG720885:GNG720887 GXC720885:GXC720887 HGY720885:HGY720887 HQU720885:HQU720887 IAQ720885:IAQ720887 IKM720885:IKM720887 IUI720885:IUI720887 JEE720885:JEE720887 JOA720885:JOA720887 JXW720885:JXW720887 KHS720885:KHS720887 KRO720885:KRO720887 LBK720885:LBK720887 LLG720885:LLG720887 LVC720885:LVC720887 MEY720885:MEY720887 MOU720885:MOU720887 MYQ720885:MYQ720887 NIM720885:NIM720887 NSI720885:NSI720887 OCE720885:OCE720887 OMA720885:OMA720887 OVW720885:OVW720887 PFS720885:PFS720887 PPO720885:PPO720887 PZK720885:PZK720887 QJG720885:QJG720887 QTC720885:QTC720887 RCY720885:RCY720887 RMU720885:RMU720887 RWQ720885:RWQ720887 SGM720885:SGM720887 SQI720885:SQI720887 TAE720885:TAE720887 TKA720885:TKA720887 TTW720885:TTW720887 UDS720885:UDS720887 UNO720885:UNO720887 UXK720885:UXK720887 VHG720885:VHG720887 VRC720885:VRC720887 WAY720885:WAY720887 WKU720885:WKU720887 WUQ720885:WUQ720887 IE786421:IE786423 SA786421:SA786423 ABW786421:ABW786423 ALS786421:ALS786423 AVO786421:AVO786423 BFK786421:BFK786423 BPG786421:BPG786423 BZC786421:BZC786423 CIY786421:CIY786423 CSU786421:CSU786423 DCQ786421:DCQ786423 DMM786421:DMM786423 DWI786421:DWI786423 EGE786421:EGE786423 EQA786421:EQA786423 EZW786421:EZW786423 FJS786421:FJS786423 FTO786421:FTO786423 GDK786421:GDK786423 GNG786421:GNG786423 GXC786421:GXC786423 HGY786421:HGY786423 HQU786421:HQU786423 IAQ786421:IAQ786423 IKM786421:IKM786423 IUI786421:IUI786423 JEE786421:JEE786423 JOA786421:JOA786423 JXW786421:JXW786423 KHS786421:KHS786423 KRO786421:KRO786423 LBK786421:LBK786423 LLG786421:LLG786423 LVC786421:LVC786423 MEY786421:MEY786423 MOU786421:MOU786423 MYQ786421:MYQ786423 NIM786421:NIM786423 NSI786421:NSI786423 OCE786421:OCE786423 OMA786421:OMA786423 OVW786421:OVW786423 PFS786421:PFS786423 PPO786421:PPO786423 PZK786421:PZK786423 QJG786421:QJG786423 QTC786421:QTC786423 RCY786421:RCY786423 RMU786421:RMU786423 RWQ786421:RWQ786423 SGM786421:SGM786423 SQI786421:SQI786423 TAE786421:TAE786423 TKA786421:TKA786423 TTW786421:TTW786423 UDS786421:UDS786423 UNO786421:UNO786423 UXK786421:UXK786423 VHG786421:VHG786423 VRC786421:VRC786423 WAY786421:WAY786423 WKU786421:WKU786423 WUQ786421:WUQ786423 IE851957:IE851959 SA851957:SA851959 ABW851957:ABW851959 ALS851957:ALS851959 AVO851957:AVO851959 BFK851957:BFK851959 BPG851957:BPG851959 BZC851957:BZC851959 CIY851957:CIY851959 CSU851957:CSU851959 DCQ851957:DCQ851959 DMM851957:DMM851959 DWI851957:DWI851959 EGE851957:EGE851959 EQA851957:EQA851959 EZW851957:EZW851959 FJS851957:FJS851959 FTO851957:FTO851959 GDK851957:GDK851959 GNG851957:GNG851959 GXC851957:GXC851959 HGY851957:HGY851959 HQU851957:HQU851959 IAQ851957:IAQ851959 IKM851957:IKM851959 IUI851957:IUI851959 JEE851957:JEE851959 JOA851957:JOA851959 JXW851957:JXW851959 KHS851957:KHS851959 KRO851957:KRO851959 LBK851957:LBK851959 LLG851957:LLG851959 LVC851957:LVC851959 MEY851957:MEY851959 MOU851957:MOU851959 MYQ851957:MYQ851959 NIM851957:NIM851959 NSI851957:NSI851959 OCE851957:OCE851959 OMA851957:OMA851959 OVW851957:OVW851959 PFS851957:PFS851959 PPO851957:PPO851959 PZK851957:PZK851959 QJG851957:QJG851959 QTC851957:QTC851959 RCY851957:RCY851959 RMU851957:RMU851959 RWQ851957:RWQ851959 SGM851957:SGM851959 SQI851957:SQI851959 TAE851957:TAE851959 TKA851957:TKA851959 TTW851957:TTW851959 UDS851957:UDS851959 UNO851957:UNO851959 UXK851957:UXK851959 VHG851957:VHG851959 VRC851957:VRC851959 WAY851957:WAY851959 WKU851957:WKU851959 WUQ851957:WUQ851959 IE917493:IE917495 SA917493:SA917495 ABW917493:ABW917495 ALS917493:ALS917495 AVO917493:AVO917495 BFK917493:BFK917495 BPG917493:BPG917495 BZC917493:BZC917495 CIY917493:CIY917495 CSU917493:CSU917495 DCQ917493:DCQ917495 DMM917493:DMM917495 DWI917493:DWI917495 EGE917493:EGE917495 EQA917493:EQA917495 EZW917493:EZW917495 FJS917493:FJS917495 FTO917493:FTO917495 GDK917493:GDK917495 GNG917493:GNG917495 GXC917493:GXC917495 HGY917493:HGY917495 HQU917493:HQU917495 IAQ917493:IAQ917495 IKM917493:IKM917495 IUI917493:IUI917495 JEE917493:JEE917495 JOA917493:JOA917495 JXW917493:JXW917495 KHS917493:KHS917495 KRO917493:KRO917495 LBK917493:LBK917495 LLG917493:LLG917495 LVC917493:LVC917495 MEY917493:MEY917495 MOU917493:MOU917495 MYQ917493:MYQ917495 NIM917493:NIM917495 NSI917493:NSI917495 OCE917493:OCE917495 OMA917493:OMA917495 OVW917493:OVW917495 PFS917493:PFS917495 PPO917493:PPO917495 PZK917493:PZK917495 QJG917493:QJG917495 QTC917493:QTC917495 RCY917493:RCY917495 RMU917493:RMU917495 RWQ917493:RWQ917495 SGM917493:SGM917495 SQI917493:SQI917495 TAE917493:TAE917495 TKA917493:TKA917495 TTW917493:TTW917495 UDS917493:UDS917495 UNO917493:UNO917495 UXK917493:UXK917495 VHG917493:VHG917495 VRC917493:VRC917495 WAY917493:WAY917495 WKU917493:WKU917495 WUQ917493:WUQ917495 IE983029:IE983031 SA983029:SA983031 ABW983029:ABW983031 ALS983029:ALS983031 AVO983029:AVO983031 BFK983029:BFK983031 BPG983029:BPG983031 BZC983029:BZC983031 CIY983029:CIY983031 CSU983029:CSU983031 DCQ983029:DCQ983031 DMM983029:DMM983031 DWI983029:DWI983031 EGE983029:EGE983031 EQA983029:EQA983031 EZW983029:EZW983031 FJS983029:FJS983031 FTO983029:FTO983031 GDK983029:GDK983031 GNG983029:GNG983031 GXC983029:GXC983031 HGY983029:HGY983031 HQU983029:HQU983031 IAQ983029:IAQ983031 IKM983029:IKM983031 IUI983029:IUI983031 JEE983029:JEE983031 JOA983029:JOA983031 JXW983029:JXW983031 KHS983029:KHS983031 KRO983029:KRO983031 LBK983029:LBK983031 LLG983029:LLG983031 LVC983029:LVC983031 MEY983029:MEY983031 MOU983029:MOU983031 MYQ983029:MYQ983031 NIM983029:NIM983031 NSI983029:NSI983031 OCE983029:OCE983031 OMA983029:OMA983031 OVW983029:OVW983031 PFS983029:PFS983031 PPO983029:PPO983031 PZK983029:PZK983031 QJG983029:QJG983031 QTC983029:QTC983031 RCY983029:RCY983031 RMU983029:RMU983031 RWQ983029:RWQ983031 SGM983029:SGM983031 SQI983029:SQI983031 TAE983029:TAE983031 TKA983029:TKA983031 TTW983029:TTW983031 UDS983029:UDS983031 UNO983029:UNO983031 UXK983029:UXK983031 VHG983029:VHG983031 VRC983029:VRC983031 WAY983029:WAY983031 WKU983029:WKU983031 WUQ983029:WUQ983031 IE65529:IE65531 SA65529:SA65531 ABW65529:ABW65531 ALS65529:ALS65531 AVO65529:AVO65531 BFK65529:BFK65531 BPG65529:BPG65531 BZC65529:BZC65531 CIY65529:CIY65531 CSU65529:CSU65531 DCQ65529:DCQ65531 DMM65529:DMM65531 DWI65529:DWI65531 EGE65529:EGE65531 EQA65529:EQA65531 EZW65529:EZW65531 FJS65529:FJS65531 FTO65529:FTO65531 GDK65529:GDK65531 GNG65529:GNG65531 GXC65529:GXC65531 HGY65529:HGY65531 HQU65529:HQU65531 IAQ65529:IAQ65531 IKM65529:IKM65531 IUI65529:IUI65531 JEE65529:JEE65531 JOA65529:JOA65531 JXW65529:JXW65531 KHS65529:KHS65531 KRO65529:KRO65531 LBK65529:LBK65531 LLG65529:LLG65531 LVC65529:LVC65531 MEY65529:MEY65531 MOU65529:MOU65531 MYQ65529:MYQ65531 NIM65529:NIM65531 NSI65529:NSI65531 OCE65529:OCE65531 OMA65529:OMA65531 OVW65529:OVW65531 PFS65529:PFS65531 PPO65529:PPO65531 PZK65529:PZK65531 QJG65529:QJG65531 QTC65529:QTC65531 RCY65529:RCY65531 RMU65529:RMU65531 RWQ65529:RWQ65531 SGM65529:SGM65531 SQI65529:SQI65531 TAE65529:TAE65531 TKA65529:TKA65531 TTW65529:TTW65531 UDS65529:UDS65531 UNO65529:UNO65531 UXK65529:UXK65531 VHG65529:VHG65531 VRC65529:VRC65531 WAY65529:WAY65531 WKU65529:WKU65531 WUQ65529:WUQ65531 IE131065:IE131067 SA131065:SA131067 ABW131065:ABW131067 ALS131065:ALS131067 AVO131065:AVO131067 BFK131065:BFK131067 BPG131065:BPG131067 BZC131065:BZC131067 CIY131065:CIY131067 CSU131065:CSU131067 DCQ131065:DCQ131067 DMM131065:DMM131067 DWI131065:DWI131067 EGE131065:EGE131067 EQA131065:EQA131067 EZW131065:EZW131067 FJS131065:FJS131067 FTO131065:FTO131067 GDK131065:GDK131067 GNG131065:GNG131067 GXC131065:GXC131067 HGY131065:HGY131067 HQU131065:HQU131067 IAQ131065:IAQ131067 IKM131065:IKM131067 IUI131065:IUI131067 JEE131065:JEE131067 JOA131065:JOA131067 JXW131065:JXW131067 KHS131065:KHS131067 KRO131065:KRO131067 LBK131065:LBK131067 LLG131065:LLG131067 LVC131065:LVC131067 MEY131065:MEY131067 MOU131065:MOU131067 MYQ131065:MYQ131067 NIM131065:NIM131067 NSI131065:NSI131067 OCE131065:OCE131067 OMA131065:OMA131067 OVW131065:OVW131067 PFS131065:PFS131067 PPO131065:PPO131067 PZK131065:PZK131067 QJG131065:QJG131067 QTC131065:QTC131067 RCY131065:RCY131067 RMU131065:RMU131067 RWQ131065:RWQ131067 SGM131065:SGM131067 SQI131065:SQI131067 TAE131065:TAE131067 TKA131065:TKA131067 TTW131065:TTW131067 UDS131065:UDS131067 UNO131065:UNO131067 UXK131065:UXK131067 VHG131065:VHG131067 VRC131065:VRC131067 WAY131065:WAY131067 WKU131065:WKU131067 WUQ131065:WUQ131067 IE196601:IE196603 SA196601:SA196603 ABW196601:ABW196603 ALS196601:ALS196603 AVO196601:AVO196603 BFK196601:BFK196603 BPG196601:BPG196603 BZC196601:BZC196603 CIY196601:CIY196603 CSU196601:CSU196603 DCQ196601:DCQ196603 DMM196601:DMM196603 DWI196601:DWI196603 EGE196601:EGE196603 EQA196601:EQA196603 EZW196601:EZW196603 FJS196601:FJS196603 FTO196601:FTO196603 GDK196601:GDK196603 GNG196601:GNG196603 GXC196601:GXC196603 HGY196601:HGY196603 HQU196601:HQU196603 IAQ196601:IAQ196603 IKM196601:IKM196603 IUI196601:IUI196603 JEE196601:JEE196603 JOA196601:JOA196603 JXW196601:JXW196603 KHS196601:KHS196603 KRO196601:KRO196603 LBK196601:LBK196603 LLG196601:LLG196603 LVC196601:LVC196603 MEY196601:MEY196603 MOU196601:MOU196603 MYQ196601:MYQ196603 NIM196601:NIM196603 NSI196601:NSI196603 OCE196601:OCE196603 OMA196601:OMA196603 OVW196601:OVW196603 PFS196601:PFS196603 PPO196601:PPO196603 PZK196601:PZK196603 QJG196601:QJG196603 QTC196601:QTC196603 RCY196601:RCY196603 RMU196601:RMU196603 RWQ196601:RWQ196603 SGM196601:SGM196603 SQI196601:SQI196603 TAE196601:TAE196603 TKA196601:TKA196603 TTW196601:TTW196603 UDS196601:UDS196603 UNO196601:UNO196603 UXK196601:UXK196603 VHG196601:VHG196603 VRC196601:VRC196603 WAY196601:WAY196603 WKU196601:WKU196603 WUQ196601:WUQ196603 IE262137:IE262139 SA262137:SA262139 ABW262137:ABW262139 ALS262137:ALS262139 AVO262137:AVO262139 BFK262137:BFK262139 BPG262137:BPG262139 BZC262137:BZC262139 CIY262137:CIY262139 CSU262137:CSU262139 DCQ262137:DCQ262139 DMM262137:DMM262139 DWI262137:DWI262139 EGE262137:EGE262139 EQA262137:EQA262139 EZW262137:EZW262139 FJS262137:FJS262139 FTO262137:FTO262139 GDK262137:GDK262139 GNG262137:GNG262139 GXC262137:GXC262139 HGY262137:HGY262139 HQU262137:HQU262139 IAQ262137:IAQ262139 IKM262137:IKM262139 IUI262137:IUI262139 JEE262137:JEE262139 JOA262137:JOA262139 JXW262137:JXW262139 KHS262137:KHS262139 KRO262137:KRO262139 LBK262137:LBK262139 LLG262137:LLG262139 LVC262137:LVC262139 MEY262137:MEY262139 MOU262137:MOU262139 MYQ262137:MYQ262139 NIM262137:NIM262139 NSI262137:NSI262139 OCE262137:OCE262139 OMA262137:OMA262139 OVW262137:OVW262139 PFS262137:PFS262139 PPO262137:PPO262139 PZK262137:PZK262139 QJG262137:QJG262139 QTC262137:QTC262139 RCY262137:RCY262139 RMU262137:RMU262139 RWQ262137:RWQ262139 SGM262137:SGM262139 SQI262137:SQI262139 TAE262137:TAE262139 TKA262137:TKA262139 TTW262137:TTW262139 UDS262137:UDS262139 UNO262137:UNO262139 UXK262137:UXK262139 VHG262137:VHG262139 VRC262137:VRC262139 WAY262137:WAY262139 WKU262137:WKU262139 WUQ262137:WUQ262139 IE327673:IE327675 SA327673:SA327675 ABW327673:ABW327675 ALS327673:ALS327675 AVO327673:AVO327675 BFK327673:BFK327675 BPG327673:BPG327675 BZC327673:BZC327675 CIY327673:CIY327675 CSU327673:CSU327675 DCQ327673:DCQ327675 DMM327673:DMM327675 DWI327673:DWI327675 EGE327673:EGE327675 EQA327673:EQA327675 EZW327673:EZW327675 FJS327673:FJS327675 FTO327673:FTO327675 GDK327673:GDK327675 GNG327673:GNG327675 GXC327673:GXC327675 HGY327673:HGY327675 HQU327673:HQU327675 IAQ327673:IAQ327675 IKM327673:IKM327675 IUI327673:IUI327675 JEE327673:JEE327675 JOA327673:JOA327675 JXW327673:JXW327675 KHS327673:KHS327675 KRO327673:KRO327675 LBK327673:LBK327675 LLG327673:LLG327675 LVC327673:LVC327675 MEY327673:MEY327675 MOU327673:MOU327675 MYQ327673:MYQ327675 NIM327673:NIM327675 NSI327673:NSI327675 OCE327673:OCE327675 OMA327673:OMA327675 OVW327673:OVW327675 PFS327673:PFS327675 PPO327673:PPO327675 PZK327673:PZK327675 QJG327673:QJG327675 QTC327673:QTC327675 RCY327673:RCY327675 RMU327673:RMU327675 RWQ327673:RWQ327675 SGM327673:SGM327675 SQI327673:SQI327675 TAE327673:TAE327675 TKA327673:TKA327675 TTW327673:TTW327675 UDS327673:UDS327675 UNO327673:UNO327675 UXK327673:UXK327675 VHG327673:VHG327675 VRC327673:VRC327675 WAY327673:WAY327675 WKU327673:WKU327675 WUQ327673:WUQ327675 IE393209:IE393211 SA393209:SA393211 ABW393209:ABW393211 ALS393209:ALS393211 AVO393209:AVO393211 BFK393209:BFK393211 BPG393209:BPG393211 BZC393209:BZC393211 CIY393209:CIY393211 CSU393209:CSU393211 DCQ393209:DCQ393211 DMM393209:DMM393211 DWI393209:DWI393211 EGE393209:EGE393211 EQA393209:EQA393211 EZW393209:EZW393211 FJS393209:FJS393211 FTO393209:FTO393211 GDK393209:GDK393211 GNG393209:GNG393211 GXC393209:GXC393211 HGY393209:HGY393211 HQU393209:HQU393211 IAQ393209:IAQ393211 IKM393209:IKM393211 IUI393209:IUI393211 JEE393209:JEE393211 JOA393209:JOA393211 JXW393209:JXW393211 KHS393209:KHS393211 KRO393209:KRO393211 LBK393209:LBK393211 LLG393209:LLG393211 LVC393209:LVC393211 MEY393209:MEY393211 MOU393209:MOU393211 MYQ393209:MYQ393211 NIM393209:NIM393211 NSI393209:NSI393211 OCE393209:OCE393211 OMA393209:OMA393211 OVW393209:OVW393211 PFS393209:PFS393211 PPO393209:PPO393211 PZK393209:PZK393211 QJG393209:QJG393211 QTC393209:QTC393211 RCY393209:RCY393211 RMU393209:RMU393211 RWQ393209:RWQ393211 SGM393209:SGM393211 SQI393209:SQI393211 TAE393209:TAE393211 TKA393209:TKA393211 TTW393209:TTW393211 UDS393209:UDS393211 UNO393209:UNO393211 UXK393209:UXK393211 VHG393209:VHG393211 VRC393209:VRC393211 WAY393209:WAY393211 WKU393209:WKU393211 WUQ393209:WUQ393211 IE458745:IE458747 SA458745:SA458747 ABW458745:ABW458747 ALS458745:ALS458747 AVO458745:AVO458747 BFK458745:BFK458747 BPG458745:BPG458747 BZC458745:BZC458747 CIY458745:CIY458747 CSU458745:CSU458747 DCQ458745:DCQ458747 DMM458745:DMM458747 DWI458745:DWI458747 EGE458745:EGE458747 EQA458745:EQA458747 EZW458745:EZW458747 FJS458745:FJS458747 FTO458745:FTO458747 GDK458745:GDK458747 GNG458745:GNG458747 GXC458745:GXC458747 HGY458745:HGY458747 HQU458745:HQU458747 IAQ458745:IAQ458747 IKM458745:IKM458747 IUI458745:IUI458747 JEE458745:JEE458747 JOA458745:JOA458747 JXW458745:JXW458747 KHS458745:KHS458747 KRO458745:KRO458747 LBK458745:LBK458747 LLG458745:LLG458747 LVC458745:LVC458747 MEY458745:MEY458747 MOU458745:MOU458747 MYQ458745:MYQ458747 NIM458745:NIM458747 NSI458745:NSI458747 OCE458745:OCE458747 OMA458745:OMA458747 OVW458745:OVW458747 PFS458745:PFS458747 PPO458745:PPO458747 PZK458745:PZK458747 QJG458745:QJG458747 QTC458745:QTC458747 RCY458745:RCY458747 RMU458745:RMU458747 RWQ458745:RWQ458747 SGM458745:SGM458747 SQI458745:SQI458747 TAE458745:TAE458747 TKA458745:TKA458747 TTW458745:TTW458747 UDS458745:UDS458747 UNO458745:UNO458747 UXK458745:UXK458747 VHG458745:VHG458747 VRC458745:VRC458747 WAY458745:WAY458747 WKU458745:WKU458747 WUQ458745:WUQ458747 IE524281:IE524283 SA524281:SA524283 ABW524281:ABW524283 ALS524281:ALS524283 AVO524281:AVO524283 BFK524281:BFK524283 BPG524281:BPG524283 BZC524281:BZC524283 CIY524281:CIY524283 CSU524281:CSU524283 DCQ524281:DCQ524283 DMM524281:DMM524283 DWI524281:DWI524283 EGE524281:EGE524283 EQA524281:EQA524283 EZW524281:EZW524283 FJS524281:FJS524283 FTO524281:FTO524283 GDK524281:GDK524283 GNG524281:GNG524283 GXC524281:GXC524283 HGY524281:HGY524283 HQU524281:HQU524283 IAQ524281:IAQ524283 IKM524281:IKM524283 IUI524281:IUI524283 JEE524281:JEE524283 JOA524281:JOA524283 JXW524281:JXW524283 KHS524281:KHS524283 KRO524281:KRO524283 LBK524281:LBK524283 LLG524281:LLG524283 LVC524281:LVC524283 MEY524281:MEY524283 MOU524281:MOU524283 MYQ524281:MYQ524283 NIM524281:NIM524283 NSI524281:NSI524283 OCE524281:OCE524283 OMA524281:OMA524283 OVW524281:OVW524283 PFS524281:PFS524283 PPO524281:PPO524283 PZK524281:PZK524283 QJG524281:QJG524283 QTC524281:QTC524283 RCY524281:RCY524283 RMU524281:RMU524283 RWQ524281:RWQ524283 SGM524281:SGM524283 SQI524281:SQI524283 TAE524281:TAE524283 TKA524281:TKA524283 TTW524281:TTW524283 UDS524281:UDS524283 UNO524281:UNO524283 UXK524281:UXK524283 VHG524281:VHG524283 VRC524281:VRC524283 WAY524281:WAY524283 WKU524281:WKU524283 WUQ524281:WUQ524283 IE589817:IE589819 SA589817:SA589819 ABW589817:ABW589819 ALS589817:ALS589819 AVO589817:AVO589819 BFK589817:BFK589819 BPG589817:BPG589819 BZC589817:BZC589819 CIY589817:CIY589819 CSU589817:CSU589819 DCQ589817:DCQ589819 DMM589817:DMM589819 DWI589817:DWI589819 EGE589817:EGE589819 EQA589817:EQA589819 EZW589817:EZW589819 FJS589817:FJS589819 FTO589817:FTO589819 GDK589817:GDK589819 GNG589817:GNG589819 GXC589817:GXC589819 HGY589817:HGY589819 HQU589817:HQU589819 IAQ589817:IAQ589819 IKM589817:IKM589819 IUI589817:IUI589819 JEE589817:JEE589819 JOA589817:JOA589819 JXW589817:JXW589819 KHS589817:KHS589819 KRO589817:KRO589819 LBK589817:LBK589819 LLG589817:LLG589819 LVC589817:LVC589819 MEY589817:MEY589819 MOU589817:MOU589819 MYQ589817:MYQ589819 NIM589817:NIM589819 NSI589817:NSI589819 OCE589817:OCE589819 OMA589817:OMA589819 OVW589817:OVW589819 PFS589817:PFS589819 PPO589817:PPO589819 PZK589817:PZK589819 QJG589817:QJG589819 QTC589817:QTC589819 RCY589817:RCY589819 RMU589817:RMU589819 RWQ589817:RWQ589819 SGM589817:SGM589819 SQI589817:SQI589819 TAE589817:TAE589819 TKA589817:TKA589819 TTW589817:TTW589819 UDS589817:UDS589819 UNO589817:UNO589819 UXK589817:UXK589819 VHG589817:VHG589819 VRC589817:VRC589819 WAY589817:WAY589819 WKU589817:WKU589819 WUQ589817:WUQ589819 IE655353:IE655355 SA655353:SA655355 ABW655353:ABW655355 ALS655353:ALS655355 AVO655353:AVO655355 BFK655353:BFK655355 BPG655353:BPG655355 BZC655353:BZC655355 CIY655353:CIY655355 CSU655353:CSU655355 DCQ655353:DCQ655355 DMM655353:DMM655355 DWI655353:DWI655355 EGE655353:EGE655355 EQA655353:EQA655355 EZW655353:EZW655355 FJS655353:FJS655355 FTO655353:FTO655355 GDK655353:GDK655355 GNG655353:GNG655355 GXC655353:GXC655355 HGY655353:HGY655355 HQU655353:HQU655355 IAQ655353:IAQ655355 IKM655353:IKM655355 IUI655353:IUI655355 JEE655353:JEE655355 JOA655353:JOA655355 JXW655353:JXW655355 KHS655353:KHS655355 KRO655353:KRO655355 LBK655353:LBK655355 LLG655353:LLG655355 LVC655353:LVC655355 MEY655353:MEY655355 MOU655353:MOU655355 MYQ655353:MYQ655355 NIM655353:NIM655355 NSI655353:NSI655355 OCE655353:OCE655355 OMA655353:OMA655355 OVW655353:OVW655355 PFS655353:PFS655355 PPO655353:PPO655355 PZK655353:PZK655355 QJG655353:QJG655355 QTC655353:QTC655355 RCY655353:RCY655355 RMU655353:RMU655355 RWQ655353:RWQ655355 SGM655353:SGM655355 SQI655353:SQI655355 TAE655353:TAE655355 TKA655353:TKA655355 TTW655353:TTW655355 UDS655353:UDS655355 UNO655353:UNO655355 UXK655353:UXK655355 VHG655353:VHG655355 VRC655353:VRC655355 WAY655353:WAY655355 WKU655353:WKU655355 WUQ655353:WUQ655355 IE720889:IE720891 SA720889:SA720891 ABW720889:ABW720891 ALS720889:ALS720891 AVO720889:AVO720891 BFK720889:BFK720891 BPG720889:BPG720891 BZC720889:BZC720891 CIY720889:CIY720891 CSU720889:CSU720891 DCQ720889:DCQ720891 DMM720889:DMM720891 DWI720889:DWI720891 EGE720889:EGE720891 EQA720889:EQA720891 EZW720889:EZW720891 FJS720889:FJS720891 FTO720889:FTO720891 GDK720889:GDK720891 GNG720889:GNG720891 GXC720889:GXC720891 HGY720889:HGY720891 HQU720889:HQU720891 IAQ720889:IAQ720891 IKM720889:IKM720891 IUI720889:IUI720891 JEE720889:JEE720891 JOA720889:JOA720891 JXW720889:JXW720891 KHS720889:KHS720891 KRO720889:KRO720891 LBK720889:LBK720891 LLG720889:LLG720891 LVC720889:LVC720891 MEY720889:MEY720891 MOU720889:MOU720891 MYQ720889:MYQ720891 NIM720889:NIM720891 NSI720889:NSI720891 OCE720889:OCE720891 OMA720889:OMA720891 OVW720889:OVW720891 PFS720889:PFS720891 PPO720889:PPO720891 PZK720889:PZK720891 QJG720889:QJG720891 QTC720889:QTC720891 RCY720889:RCY720891 RMU720889:RMU720891 RWQ720889:RWQ720891 SGM720889:SGM720891 SQI720889:SQI720891 TAE720889:TAE720891 TKA720889:TKA720891 TTW720889:TTW720891 UDS720889:UDS720891 UNO720889:UNO720891 UXK720889:UXK720891 VHG720889:VHG720891 VRC720889:VRC720891 WAY720889:WAY720891 WKU720889:WKU720891 WUQ720889:WUQ720891 IE786425:IE786427 SA786425:SA786427 ABW786425:ABW786427 ALS786425:ALS786427 AVO786425:AVO786427 BFK786425:BFK786427 BPG786425:BPG786427 BZC786425:BZC786427 CIY786425:CIY786427 CSU786425:CSU786427 DCQ786425:DCQ786427 DMM786425:DMM786427 DWI786425:DWI786427 EGE786425:EGE786427 EQA786425:EQA786427 EZW786425:EZW786427 FJS786425:FJS786427 FTO786425:FTO786427 GDK786425:GDK786427 GNG786425:GNG786427 GXC786425:GXC786427 HGY786425:HGY786427 HQU786425:HQU786427 IAQ786425:IAQ786427 IKM786425:IKM786427 IUI786425:IUI786427 JEE786425:JEE786427 JOA786425:JOA786427 JXW786425:JXW786427 KHS786425:KHS786427 KRO786425:KRO786427 LBK786425:LBK786427 LLG786425:LLG786427 LVC786425:LVC786427 MEY786425:MEY786427 MOU786425:MOU786427 MYQ786425:MYQ786427 NIM786425:NIM786427 NSI786425:NSI786427 OCE786425:OCE786427 OMA786425:OMA786427 OVW786425:OVW786427 PFS786425:PFS786427 PPO786425:PPO786427 PZK786425:PZK786427 QJG786425:QJG786427 QTC786425:QTC786427 RCY786425:RCY786427 RMU786425:RMU786427 RWQ786425:RWQ786427 SGM786425:SGM786427 SQI786425:SQI786427 TAE786425:TAE786427 TKA786425:TKA786427 TTW786425:TTW786427 UDS786425:UDS786427 UNO786425:UNO786427 UXK786425:UXK786427 VHG786425:VHG786427 VRC786425:VRC786427 WAY786425:WAY786427 WKU786425:WKU786427 WUQ786425:WUQ786427 IE851961:IE851963 SA851961:SA851963 ABW851961:ABW851963 ALS851961:ALS851963 AVO851961:AVO851963 BFK851961:BFK851963 BPG851961:BPG851963 BZC851961:BZC851963 CIY851961:CIY851963 CSU851961:CSU851963 DCQ851961:DCQ851963 DMM851961:DMM851963 DWI851961:DWI851963 EGE851961:EGE851963 EQA851961:EQA851963 EZW851961:EZW851963 FJS851961:FJS851963 FTO851961:FTO851963 GDK851961:GDK851963 GNG851961:GNG851963 GXC851961:GXC851963 HGY851961:HGY851963 HQU851961:HQU851963 IAQ851961:IAQ851963 IKM851961:IKM851963 IUI851961:IUI851963 JEE851961:JEE851963 JOA851961:JOA851963 JXW851961:JXW851963 KHS851961:KHS851963 KRO851961:KRO851963 LBK851961:LBK851963 LLG851961:LLG851963 LVC851961:LVC851963 MEY851961:MEY851963 MOU851961:MOU851963 MYQ851961:MYQ851963 NIM851961:NIM851963 NSI851961:NSI851963 OCE851961:OCE851963 OMA851961:OMA851963 OVW851961:OVW851963 PFS851961:PFS851963 PPO851961:PPO851963 PZK851961:PZK851963 QJG851961:QJG851963 QTC851961:QTC851963 RCY851961:RCY851963 RMU851961:RMU851963 RWQ851961:RWQ851963 SGM851961:SGM851963 SQI851961:SQI851963 TAE851961:TAE851963 TKA851961:TKA851963 TTW851961:TTW851963 UDS851961:UDS851963 UNO851961:UNO851963 UXK851961:UXK851963 VHG851961:VHG851963 VRC851961:VRC851963 WAY851961:WAY851963 WKU851961:WKU851963 WUQ851961:WUQ851963 IE917497:IE917499 SA917497:SA917499 ABW917497:ABW917499 ALS917497:ALS917499 AVO917497:AVO917499 BFK917497:BFK917499 BPG917497:BPG917499 BZC917497:BZC917499 CIY917497:CIY917499 CSU917497:CSU917499 DCQ917497:DCQ917499 DMM917497:DMM917499 DWI917497:DWI917499 EGE917497:EGE917499 EQA917497:EQA917499 EZW917497:EZW917499 FJS917497:FJS917499 FTO917497:FTO917499 GDK917497:GDK917499 GNG917497:GNG917499 GXC917497:GXC917499 HGY917497:HGY917499 HQU917497:HQU917499 IAQ917497:IAQ917499 IKM917497:IKM917499 IUI917497:IUI917499 JEE917497:JEE917499 JOA917497:JOA917499 JXW917497:JXW917499 KHS917497:KHS917499 KRO917497:KRO917499 LBK917497:LBK917499 LLG917497:LLG917499 LVC917497:LVC917499 MEY917497:MEY917499 MOU917497:MOU917499 MYQ917497:MYQ917499 NIM917497:NIM917499 NSI917497:NSI917499 OCE917497:OCE917499 OMA917497:OMA917499 OVW917497:OVW917499 PFS917497:PFS917499 PPO917497:PPO917499 PZK917497:PZK917499 QJG917497:QJG917499 QTC917497:QTC917499 RCY917497:RCY917499 RMU917497:RMU917499 RWQ917497:RWQ917499 SGM917497:SGM917499 SQI917497:SQI917499 TAE917497:TAE917499 TKA917497:TKA917499 TTW917497:TTW917499 UDS917497:UDS917499 UNO917497:UNO917499 UXK917497:UXK917499 VHG917497:VHG917499 VRC917497:VRC917499 WAY917497:WAY917499 WKU917497:WKU917499 WUQ917497:WUQ917499 IE983033:IE983035 SA983033:SA983035 ABW983033:ABW983035 ALS983033:ALS983035 AVO983033:AVO983035 BFK983033:BFK983035 BPG983033:BPG983035 BZC983033:BZC983035 CIY983033:CIY983035 CSU983033:CSU983035 DCQ983033:DCQ983035 DMM983033:DMM983035 DWI983033:DWI983035 EGE983033:EGE983035 EQA983033:EQA983035 EZW983033:EZW983035 FJS983033:FJS983035 FTO983033:FTO983035 GDK983033:GDK983035 GNG983033:GNG983035 GXC983033:GXC983035 HGY983033:HGY983035 HQU983033:HQU983035 IAQ983033:IAQ983035 IKM983033:IKM983035 IUI983033:IUI983035 JEE983033:JEE983035 JOA983033:JOA983035 JXW983033:JXW983035 KHS983033:KHS983035 KRO983033:KRO983035 LBK983033:LBK983035 LLG983033:LLG983035 LVC983033:LVC983035 MEY983033:MEY983035 MOU983033:MOU983035 MYQ983033:MYQ983035 NIM983033:NIM983035 NSI983033:NSI983035 OCE983033:OCE983035 OMA983033:OMA983035 OVW983033:OVW983035 PFS983033:PFS983035 PPO983033:PPO983035 PZK983033:PZK983035 QJG983033:QJG983035 QTC983033:QTC983035 RCY983033:RCY983035 RMU983033:RMU983035 RWQ983033:RWQ983035 SGM983033:SGM983035 SQI983033:SQI983035 TAE983033:TAE983035 TKA983033:TKA983035 TTW983033:TTW983035 UDS983033:UDS983035 UNO983033:UNO983035 UXK983033:UXK983035 VHG983033:VHG983035 VRC983033:VRC983035 WAY983033:WAY983035 WKU983033:WKU983035 WUQ983033:WUQ983035 IE65506:IE65514 SA65506:SA65514 ABW65506:ABW65514 ALS65506:ALS65514 AVO65506:AVO65514 BFK65506:BFK65514 BPG65506:BPG65514 BZC65506:BZC65514 CIY65506:CIY65514 CSU65506:CSU65514 DCQ65506:DCQ65514 DMM65506:DMM65514 DWI65506:DWI65514 EGE65506:EGE65514 EQA65506:EQA65514 EZW65506:EZW65514 FJS65506:FJS65514 FTO65506:FTO65514 GDK65506:GDK65514 GNG65506:GNG65514 GXC65506:GXC65514 HGY65506:HGY65514 HQU65506:HQU65514 IAQ65506:IAQ65514 IKM65506:IKM65514 IUI65506:IUI65514 JEE65506:JEE65514 JOA65506:JOA65514 JXW65506:JXW65514 KHS65506:KHS65514 KRO65506:KRO65514 LBK65506:LBK65514 LLG65506:LLG65514 LVC65506:LVC65514 MEY65506:MEY65514 MOU65506:MOU65514 MYQ65506:MYQ65514 NIM65506:NIM65514 NSI65506:NSI65514 OCE65506:OCE65514 OMA65506:OMA65514 OVW65506:OVW65514 PFS65506:PFS65514 PPO65506:PPO65514 PZK65506:PZK65514 QJG65506:QJG65514 QTC65506:QTC65514 RCY65506:RCY65514 RMU65506:RMU65514 RWQ65506:RWQ65514 SGM65506:SGM65514 SQI65506:SQI65514 TAE65506:TAE65514 TKA65506:TKA65514 TTW65506:TTW65514 UDS65506:UDS65514 UNO65506:UNO65514 UXK65506:UXK65514 VHG65506:VHG65514 VRC65506:VRC65514 WAY65506:WAY65514 WKU65506:WKU65514 WUQ65506:WUQ65514 IE131042:IE131050 SA131042:SA131050 ABW131042:ABW131050 ALS131042:ALS131050 AVO131042:AVO131050 BFK131042:BFK131050 BPG131042:BPG131050 BZC131042:BZC131050 CIY131042:CIY131050 CSU131042:CSU131050 DCQ131042:DCQ131050 DMM131042:DMM131050 DWI131042:DWI131050 EGE131042:EGE131050 EQA131042:EQA131050 EZW131042:EZW131050 FJS131042:FJS131050 FTO131042:FTO131050 GDK131042:GDK131050 GNG131042:GNG131050 GXC131042:GXC131050 HGY131042:HGY131050 HQU131042:HQU131050 IAQ131042:IAQ131050 IKM131042:IKM131050 IUI131042:IUI131050 JEE131042:JEE131050 JOA131042:JOA131050 JXW131042:JXW131050 KHS131042:KHS131050 KRO131042:KRO131050 LBK131042:LBK131050 LLG131042:LLG131050 LVC131042:LVC131050 MEY131042:MEY131050 MOU131042:MOU131050 MYQ131042:MYQ131050 NIM131042:NIM131050 NSI131042:NSI131050 OCE131042:OCE131050 OMA131042:OMA131050 OVW131042:OVW131050 PFS131042:PFS131050 PPO131042:PPO131050 PZK131042:PZK131050 QJG131042:QJG131050 QTC131042:QTC131050 RCY131042:RCY131050 RMU131042:RMU131050 RWQ131042:RWQ131050 SGM131042:SGM131050 SQI131042:SQI131050 TAE131042:TAE131050 TKA131042:TKA131050 TTW131042:TTW131050 UDS131042:UDS131050 UNO131042:UNO131050 UXK131042:UXK131050 VHG131042:VHG131050 VRC131042:VRC131050 WAY131042:WAY131050 WKU131042:WKU131050 WUQ131042:WUQ131050 IE196578:IE196586 SA196578:SA196586 ABW196578:ABW196586 ALS196578:ALS196586 AVO196578:AVO196586 BFK196578:BFK196586 BPG196578:BPG196586 BZC196578:BZC196586 CIY196578:CIY196586 CSU196578:CSU196586 DCQ196578:DCQ196586 DMM196578:DMM196586 DWI196578:DWI196586 EGE196578:EGE196586 EQA196578:EQA196586 EZW196578:EZW196586 FJS196578:FJS196586 FTO196578:FTO196586 GDK196578:GDK196586 GNG196578:GNG196586 GXC196578:GXC196586 HGY196578:HGY196586 HQU196578:HQU196586 IAQ196578:IAQ196586 IKM196578:IKM196586 IUI196578:IUI196586 JEE196578:JEE196586 JOA196578:JOA196586 JXW196578:JXW196586 KHS196578:KHS196586 KRO196578:KRO196586 LBK196578:LBK196586 LLG196578:LLG196586 LVC196578:LVC196586 MEY196578:MEY196586 MOU196578:MOU196586 MYQ196578:MYQ196586 NIM196578:NIM196586 NSI196578:NSI196586 OCE196578:OCE196586 OMA196578:OMA196586 OVW196578:OVW196586 PFS196578:PFS196586 PPO196578:PPO196586 PZK196578:PZK196586 QJG196578:QJG196586 QTC196578:QTC196586 RCY196578:RCY196586 RMU196578:RMU196586 RWQ196578:RWQ196586 SGM196578:SGM196586 SQI196578:SQI196586 TAE196578:TAE196586 TKA196578:TKA196586 TTW196578:TTW196586 UDS196578:UDS196586 UNO196578:UNO196586 UXK196578:UXK196586 VHG196578:VHG196586 VRC196578:VRC196586 WAY196578:WAY196586 WKU196578:WKU196586 WUQ196578:WUQ196586 IE262114:IE262122 SA262114:SA262122 ABW262114:ABW262122 ALS262114:ALS262122 AVO262114:AVO262122 BFK262114:BFK262122 BPG262114:BPG262122 BZC262114:BZC262122 CIY262114:CIY262122 CSU262114:CSU262122 DCQ262114:DCQ262122 DMM262114:DMM262122 DWI262114:DWI262122 EGE262114:EGE262122 EQA262114:EQA262122 EZW262114:EZW262122 FJS262114:FJS262122 FTO262114:FTO262122 GDK262114:GDK262122 GNG262114:GNG262122 GXC262114:GXC262122 HGY262114:HGY262122 HQU262114:HQU262122 IAQ262114:IAQ262122 IKM262114:IKM262122 IUI262114:IUI262122 JEE262114:JEE262122 JOA262114:JOA262122 JXW262114:JXW262122 KHS262114:KHS262122 KRO262114:KRO262122 LBK262114:LBK262122 LLG262114:LLG262122 LVC262114:LVC262122 MEY262114:MEY262122 MOU262114:MOU262122 MYQ262114:MYQ262122 NIM262114:NIM262122 NSI262114:NSI262122 OCE262114:OCE262122 OMA262114:OMA262122 OVW262114:OVW262122 PFS262114:PFS262122 PPO262114:PPO262122 PZK262114:PZK262122 QJG262114:QJG262122 QTC262114:QTC262122 RCY262114:RCY262122 RMU262114:RMU262122 RWQ262114:RWQ262122 SGM262114:SGM262122 SQI262114:SQI262122 TAE262114:TAE262122 TKA262114:TKA262122 TTW262114:TTW262122 UDS262114:UDS262122 UNO262114:UNO262122 UXK262114:UXK262122 VHG262114:VHG262122 VRC262114:VRC262122 WAY262114:WAY262122 WKU262114:WKU262122 WUQ262114:WUQ262122 IE327650:IE327658 SA327650:SA327658 ABW327650:ABW327658 ALS327650:ALS327658 AVO327650:AVO327658 BFK327650:BFK327658 BPG327650:BPG327658 BZC327650:BZC327658 CIY327650:CIY327658 CSU327650:CSU327658 DCQ327650:DCQ327658 DMM327650:DMM327658 DWI327650:DWI327658 EGE327650:EGE327658 EQA327650:EQA327658 EZW327650:EZW327658 FJS327650:FJS327658 FTO327650:FTO327658 GDK327650:GDK327658 GNG327650:GNG327658 GXC327650:GXC327658 HGY327650:HGY327658 HQU327650:HQU327658 IAQ327650:IAQ327658 IKM327650:IKM327658 IUI327650:IUI327658 JEE327650:JEE327658 JOA327650:JOA327658 JXW327650:JXW327658 KHS327650:KHS327658 KRO327650:KRO327658 LBK327650:LBK327658 LLG327650:LLG327658 LVC327650:LVC327658 MEY327650:MEY327658 MOU327650:MOU327658 MYQ327650:MYQ327658 NIM327650:NIM327658 NSI327650:NSI327658 OCE327650:OCE327658 OMA327650:OMA327658 OVW327650:OVW327658 PFS327650:PFS327658 PPO327650:PPO327658 PZK327650:PZK327658 QJG327650:QJG327658 QTC327650:QTC327658 RCY327650:RCY327658 RMU327650:RMU327658 RWQ327650:RWQ327658 SGM327650:SGM327658 SQI327650:SQI327658 TAE327650:TAE327658 TKA327650:TKA327658 TTW327650:TTW327658 UDS327650:UDS327658 UNO327650:UNO327658 UXK327650:UXK327658 VHG327650:VHG327658 VRC327650:VRC327658 WAY327650:WAY327658 WKU327650:WKU327658 WUQ327650:WUQ327658 IE393186:IE393194 SA393186:SA393194 ABW393186:ABW393194 ALS393186:ALS393194 AVO393186:AVO393194 BFK393186:BFK393194 BPG393186:BPG393194 BZC393186:BZC393194 CIY393186:CIY393194 CSU393186:CSU393194 DCQ393186:DCQ393194 DMM393186:DMM393194 DWI393186:DWI393194 EGE393186:EGE393194 EQA393186:EQA393194 EZW393186:EZW393194 FJS393186:FJS393194 FTO393186:FTO393194 GDK393186:GDK393194 GNG393186:GNG393194 GXC393186:GXC393194 HGY393186:HGY393194 HQU393186:HQU393194 IAQ393186:IAQ393194 IKM393186:IKM393194 IUI393186:IUI393194 JEE393186:JEE393194 JOA393186:JOA393194 JXW393186:JXW393194 KHS393186:KHS393194 KRO393186:KRO393194 LBK393186:LBK393194 LLG393186:LLG393194 LVC393186:LVC393194 MEY393186:MEY393194 MOU393186:MOU393194 MYQ393186:MYQ393194 NIM393186:NIM393194 NSI393186:NSI393194 OCE393186:OCE393194 OMA393186:OMA393194 OVW393186:OVW393194 PFS393186:PFS393194 PPO393186:PPO393194 PZK393186:PZK393194 QJG393186:QJG393194 QTC393186:QTC393194 RCY393186:RCY393194 RMU393186:RMU393194 RWQ393186:RWQ393194 SGM393186:SGM393194 SQI393186:SQI393194 TAE393186:TAE393194 TKA393186:TKA393194 TTW393186:TTW393194 UDS393186:UDS393194 UNO393186:UNO393194 UXK393186:UXK393194 VHG393186:VHG393194 VRC393186:VRC393194 WAY393186:WAY393194 WKU393186:WKU393194 WUQ393186:WUQ393194 IE458722:IE458730 SA458722:SA458730 ABW458722:ABW458730 ALS458722:ALS458730 AVO458722:AVO458730 BFK458722:BFK458730 BPG458722:BPG458730 BZC458722:BZC458730 CIY458722:CIY458730 CSU458722:CSU458730 DCQ458722:DCQ458730 DMM458722:DMM458730 DWI458722:DWI458730 EGE458722:EGE458730 EQA458722:EQA458730 EZW458722:EZW458730 FJS458722:FJS458730 FTO458722:FTO458730 GDK458722:GDK458730 GNG458722:GNG458730 GXC458722:GXC458730 HGY458722:HGY458730 HQU458722:HQU458730 IAQ458722:IAQ458730 IKM458722:IKM458730 IUI458722:IUI458730 JEE458722:JEE458730 JOA458722:JOA458730 JXW458722:JXW458730 KHS458722:KHS458730 KRO458722:KRO458730 LBK458722:LBK458730 LLG458722:LLG458730 LVC458722:LVC458730 MEY458722:MEY458730 MOU458722:MOU458730 MYQ458722:MYQ458730 NIM458722:NIM458730 NSI458722:NSI458730 OCE458722:OCE458730 OMA458722:OMA458730 OVW458722:OVW458730 PFS458722:PFS458730 PPO458722:PPO458730 PZK458722:PZK458730 QJG458722:QJG458730 QTC458722:QTC458730 RCY458722:RCY458730 RMU458722:RMU458730 RWQ458722:RWQ458730 SGM458722:SGM458730 SQI458722:SQI458730 TAE458722:TAE458730 TKA458722:TKA458730 TTW458722:TTW458730 UDS458722:UDS458730 UNO458722:UNO458730 UXK458722:UXK458730 VHG458722:VHG458730 VRC458722:VRC458730 WAY458722:WAY458730 WKU458722:WKU458730 WUQ458722:WUQ458730 IE524258:IE524266 SA524258:SA524266 ABW524258:ABW524266 ALS524258:ALS524266 AVO524258:AVO524266 BFK524258:BFK524266 BPG524258:BPG524266 BZC524258:BZC524266 CIY524258:CIY524266 CSU524258:CSU524266 DCQ524258:DCQ524266 DMM524258:DMM524266 DWI524258:DWI524266 EGE524258:EGE524266 EQA524258:EQA524266 EZW524258:EZW524266 FJS524258:FJS524266 FTO524258:FTO524266 GDK524258:GDK524266 GNG524258:GNG524266 GXC524258:GXC524266 HGY524258:HGY524266 HQU524258:HQU524266 IAQ524258:IAQ524266 IKM524258:IKM524266 IUI524258:IUI524266 JEE524258:JEE524266 JOA524258:JOA524266 JXW524258:JXW524266 KHS524258:KHS524266 KRO524258:KRO524266 LBK524258:LBK524266 LLG524258:LLG524266 LVC524258:LVC524266 MEY524258:MEY524266 MOU524258:MOU524266 MYQ524258:MYQ524266 NIM524258:NIM524266 NSI524258:NSI524266 OCE524258:OCE524266 OMA524258:OMA524266 OVW524258:OVW524266 PFS524258:PFS524266 PPO524258:PPO524266 PZK524258:PZK524266 QJG524258:QJG524266 QTC524258:QTC524266 RCY524258:RCY524266 RMU524258:RMU524266 RWQ524258:RWQ524266 SGM524258:SGM524266 SQI524258:SQI524266 TAE524258:TAE524266 TKA524258:TKA524266 TTW524258:TTW524266 UDS524258:UDS524266 UNO524258:UNO524266 UXK524258:UXK524266 VHG524258:VHG524266 VRC524258:VRC524266 WAY524258:WAY524266 WKU524258:WKU524266 WUQ524258:WUQ524266 IE589794:IE589802 SA589794:SA589802 ABW589794:ABW589802 ALS589794:ALS589802 AVO589794:AVO589802 BFK589794:BFK589802 BPG589794:BPG589802 BZC589794:BZC589802 CIY589794:CIY589802 CSU589794:CSU589802 DCQ589794:DCQ589802 DMM589794:DMM589802 DWI589794:DWI589802 EGE589794:EGE589802 EQA589794:EQA589802 EZW589794:EZW589802 FJS589794:FJS589802 FTO589794:FTO589802 GDK589794:GDK589802 GNG589794:GNG589802 GXC589794:GXC589802 HGY589794:HGY589802 HQU589794:HQU589802 IAQ589794:IAQ589802 IKM589794:IKM589802 IUI589794:IUI589802 JEE589794:JEE589802 JOA589794:JOA589802 JXW589794:JXW589802 KHS589794:KHS589802 KRO589794:KRO589802 LBK589794:LBK589802 LLG589794:LLG589802 LVC589794:LVC589802 MEY589794:MEY589802 MOU589794:MOU589802 MYQ589794:MYQ589802 NIM589794:NIM589802 NSI589794:NSI589802 OCE589794:OCE589802 OMA589794:OMA589802 OVW589794:OVW589802 PFS589794:PFS589802 PPO589794:PPO589802 PZK589794:PZK589802 QJG589794:QJG589802 QTC589794:QTC589802 RCY589794:RCY589802 RMU589794:RMU589802 RWQ589794:RWQ589802 SGM589794:SGM589802 SQI589794:SQI589802 TAE589794:TAE589802 TKA589794:TKA589802 TTW589794:TTW589802 UDS589794:UDS589802 UNO589794:UNO589802 UXK589794:UXK589802 VHG589794:VHG589802 VRC589794:VRC589802 WAY589794:WAY589802 WKU589794:WKU589802 WUQ589794:WUQ589802 IE655330:IE655338 SA655330:SA655338 ABW655330:ABW655338 ALS655330:ALS655338 AVO655330:AVO655338 BFK655330:BFK655338 BPG655330:BPG655338 BZC655330:BZC655338 CIY655330:CIY655338 CSU655330:CSU655338 DCQ655330:DCQ655338 DMM655330:DMM655338 DWI655330:DWI655338 EGE655330:EGE655338 EQA655330:EQA655338 EZW655330:EZW655338 FJS655330:FJS655338 FTO655330:FTO655338 GDK655330:GDK655338 GNG655330:GNG655338 GXC655330:GXC655338 HGY655330:HGY655338 HQU655330:HQU655338 IAQ655330:IAQ655338 IKM655330:IKM655338 IUI655330:IUI655338 JEE655330:JEE655338 JOA655330:JOA655338 JXW655330:JXW655338 KHS655330:KHS655338 KRO655330:KRO655338 LBK655330:LBK655338 LLG655330:LLG655338 LVC655330:LVC655338 MEY655330:MEY655338 MOU655330:MOU655338 MYQ655330:MYQ655338 NIM655330:NIM655338 NSI655330:NSI655338 OCE655330:OCE655338 OMA655330:OMA655338 OVW655330:OVW655338 PFS655330:PFS655338 PPO655330:PPO655338 PZK655330:PZK655338 QJG655330:QJG655338 QTC655330:QTC655338 RCY655330:RCY655338 RMU655330:RMU655338 RWQ655330:RWQ655338 SGM655330:SGM655338 SQI655330:SQI655338 TAE655330:TAE655338 TKA655330:TKA655338 TTW655330:TTW655338 UDS655330:UDS655338 UNO655330:UNO655338 UXK655330:UXK655338 VHG655330:VHG655338 VRC655330:VRC655338 WAY655330:WAY655338 WKU655330:WKU655338 WUQ655330:WUQ655338 IE720866:IE720874 SA720866:SA720874 ABW720866:ABW720874 ALS720866:ALS720874 AVO720866:AVO720874 BFK720866:BFK720874 BPG720866:BPG720874 BZC720866:BZC720874 CIY720866:CIY720874 CSU720866:CSU720874 DCQ720866:DCQ720874 DMM720866:DMM720874 DWI720866:DWI720874 EGE720866:EGE720874 EQA720866:EQA720874 EZW720866:EZW720874 FJS720866:FJS720874 FTO720866:FTO720874 GDK720866:GDK720874 GNG720866:GNG720874 GXC720866:GXC720874 HGY720866:HGY720874 HQU720866:HQU720874 IAQ720866:IAQ720874 IKM720866:IKM720874 IUI720866:IUI720874 JEE720866:JEE720874 JOA720866:JOA720874 JXW720866:JXW720874 KHS720866:KHS720874 KRO720866:KRO720874 LBK720866:LBK720874 LLG720866:LLG720874 LVC720866:LVC720874 MEY720866:MEY720874 MOU720866:MOU720874 MYQ720866:MYQ720874 NIM720866:NIM720874 NSI720866:NSI720874 OCE720866:OCE720874 OMA720866:OMA720874 OVW720866:OVW720874 PFS720866:PFS720874 PPO720866:PPO720874 PZK720866:PZK720874 QJG720866:QJG720874 QTC720866:QTC720874 RCY720866:RCY720874 RMU720866:RMU720874 RWQ720866:RWQ720874 SGM720866:SGM720874 SQI720866:SQI720874 TAE720866:TAE720874 TKA720866:TKA720874 TTW720866:TTW720874 UDS720866:UDS720874 UNO720866:UNO720874 UXK720866:UXK720874 VHG720866:VHG720874 VRC720866:VRC720874 WAY720866:WAY720874 WKU720866:WKU720874 WUQ720866:WUQ720874 IE786402:IE786410 SA786402:SA786410 ABW786402:ABW786410 ALS786402:ALS786410 AVO786402:AVO786410 BFK786402:BFK786410 BPG786402:BPG786410 BZC786402:BZC786410 CIY786402:CIY786410 CSU786402:CSU786410 DCQ786402:DCQ786410 DMM786402:DMM786410 DWI786402:DWI786410 EGE786402:EGE786410 EQA786402:EQA786410 EZW786402:EZW786410 FJS786402:FJS786410 FTO786402:FTO786410 GDK786402:GDK786410 GNG786402:GNG786410 GXC786402:GXC786410 HGY786402:HGY786410 HQU786402:HQU786410 IAQ786402:IAQ786410 IKM786402:IKM786410 IUI786402:IUI786410 JEE786402:JEE786410 JOA786402:JOA786410 JXW786402:JXW786410 KHS786402:KHS786410 KRO786402:KRO786410 LBK786402:LBK786410 LLG786402:LLG786410 LVC786402:LVC786410 MEY786402:MEY786410 MOU786402:MOU786410 MYQ786402:MYQ786410 NIM786402:NIM786410 NSI786402:NSI786410 OCE786402:OCE786410 OMA786402:OMA786410 OVW786402:OVW786410 PFS786402:PFS786410 PPO786402:PPO786410 PZK786402:PZK786410 QJG786402:QJG786410 QTC786402:QTC786410 RCY786402:RCY786410 RMU786402:RMU786410 RWQ786402:RWQ786410 SGM786402:SGM786410 SQI786402:SQI786410 TAE786402:TAE786410 TKA786402:TKA786410 TTW786402:TTW786410 UDS786402:UDS786410 UNO786402:UNO786410 UXK786402:UXK786410 VHG786402:VHG786410 VRC786402:VRC786410 WAY786402:WAY786410 WKU786402:WKU786410 WUQ786402:WUQ786410 IE851938:IE851946 SA851938:SA851946 ABW851938:ABW851946 ALS851938:ALS851946 AVO851938:AVO851946 BFK851938:BFK851946 BPG851938:BPG851946 BZC851938:BZC851946 CIY851938:CIY851946 CSU851938:CSU851946 DCQ851938:DCQ851946 DMM851938:DMM851946 DWI851938:DWI851946 EGE851938:EGE851946 EQA851938:EQA851946 EZW851938:EZW851946 FJS851938:FJS851946 FTO851938:FTO851946 GDK851938:GDK851946 GNG851938:GNG851946 GXC851938:GXC851946 HGY851938:HGY851946 HQU851938:HQU851946 IAQ851938:IAQ851946 IKM851938:IKM851946 IUI851938:IUI851946 JEE851938:JEE851946 JOA851938:JOA851946 JXW851938:JXW851946 KHS851938:KHS851946 KRO851938:KRO851946 LBK851938:LBK851946 LLG851938:LLG851946 LVC851938:LVC851946 MEY851938:MEY851946 MOU851938:MOU851946 MYQ851938:MYQ851946 NIM851938:NIM851946 NSI851938:NSI851946 OCE851938:OCE851946 OMA851938:OMA851946 OVW851938:OVW851946 PFS851938:PFS851946 PPO851938:PPO851946 PZK851938:PZK851946 QJG851938:QJG851946 QTC851938:QTC851946 RCY851938:RCY851946 RMU851938:RMU851946 RWQ851938:RWQ851946 SGM851938:SGM851946 SQI851938:SQI851946 TAE851938:TAE851946 TKA851938:TKA851946 TTW851938:TTW851946 UDS851938:UDS851946 UNO851938:UNO851946 UXK851938:UXK851946 VHG851938:VHG851946 VRC851938:VRC851946 WAY851938:WAY851946 WKU851938:WKU851946 WUQ851938:WUQ851946 IE917474:IE917482 SA917474:SA917482 ABW917474:ABW917482 ALS917474:ALS917482 AVO917474:AVO917482 BFK917474:BFK917482 BPG917474:BPG917482 BZC917474:BZC917482 CIY917474:CIY917482 CSU917474:CSU917482 DCQ917474:DCQ917482 DMM917474:DMM917482 DWI917474:DWI917482 EGE917474:EGE917482 EQA917474:EQA917482 EZW917474:EZW917482 FJS917474:FJS917482 FTO917474:FTO917482 GDK917474:GDK917482 GNG917474:GNG917482 GXC917474:GXC917482 HGY917474:HGY917482 HQU917474:HQU917482 IAQ917474:IAQ917482 IKM917474:IKM917482 IUI917474:IUI917482 JEE917474:JEE917482 JOA917474:JOA917482 JXW917474:JXW917482 KHS917474:KHS917482 KRO917474:KRO917482 LBK917474:LBK917482 LLG917474:LLG917482 LVC917474:LVC917482 MEY917474:MEY917482 MOU917474:MOU917482 MYQ917474:MYQ917482 NIM917474:NIM917482 NSI917474:NSI917482 OCE917474:OCE917482 OMA917474:OMA917482 OVW917474:OVW917482 PFS917474:PFS917482 PPO917474:PPO917482 PZK917474:PZK917482 QJG917474:QJG917482 QTC917474:QTC917482 RCY917474:RCY917482 RMU917474:RMU917482 RWQ917474:RWQ917482 SGM917474:SGM917482 SQI917474:SQI917482 TAE917474:TAE917482 TKA917474:TKA917482 TTW917474:TTW917482 UDS917474:UDS917482 UNO917474:UNO917482 UXK917474:UXK917482 VHG917474:VHG917482 VRC917474:VRC917482 WAY917474:WAY917482 WKU917474:WKU917482 WUQ917474:WUQ917482 IE983010:IE983018 SA983010:SA983018 ABW983010:ABW983018 ALS983010:ALS983018 AVO983010:AVO983018 BFK983010:BFK983018 BPG983010:BPG983018 BZC983010:BZC983018 CIY983010:CIY983018 CSU983010:CSU983018 DCQ983010:DCQ983018 DMM983010:DMM983018 DWI983010:DWI983018 EGE983010:EGE983018 EQA983010:EQA983018 EZW983010:EZW983018 FJS983010:FJS983018 FTO983010:FTO983018 GDK983010:GDK983018 GNG983010:GNG983018 GXC983010:GXC983018 HGY983010:HGY983018 HQU983010:HQU983018 IAQ983010:IAQ983018 IKM983010:IKM983018 IUI983010:IUI983018 JEE983010:JEE983018 JOA983010:JOA983018 JXW983010:JXW983018 KHS983010:KHS983018 KRO983010:KRO983018 LBK983010:LBK983018 LLG983010:LLG983018 LVC983010:LVC983018 MEY983010:MEY983018 MOU983010:MOU983018 MYQ983010:MYQ983018 NIM983010:NIM983018 NSI983010:NSI983018 OCE983010:OCE983018 OMA983010:OMA983018 OVW983010:OVW983018 PFS983010:PFS983018 PPO983010:PPO983018 PZK983010:PZK983018 QJG983010:QJG983018 QTC983010:QTC983018 RCY983010:RCY983018 RMU983010:RMU983018 RWQ983010:RWQ983018 SGM983010:SGM983018 SQI983010:SQI983018 TAE983010:TAE983018 TKA983010:TKA983018 TTW983010:TTW983018 UDS983010:UDS983018 UNO983010:UNO983018 UXK983010:UXK983018 VHG983010:VHG983018 VRC983010:VRC983018 WAY983010:WAY983018 WKU983010:WKU983018 WUQ983010:WUQ983018 IE16 SA16 ABW16 ALS16 AVO16 BFK16 BPG16 BZC16 CIY16 CSU16 DCQ16 DMM16 DWI16 EGE16 EQA16 EZW16 FJS16 FTO16 GDK16 GNG16 GXC16 HGY16 HQU16 IAQ16 IKM16 IUI16 JEE16 JOA16 JXW16 KHS16 KRO16 LBK16 LLG16 LVC16 MEY16 MOU16 MYQ16 NIM16 NSI16 OCE16 OMA16 OVW16 PFS16 PPO16 PZK16 QJG16 QTC16 RCY16 RMU16 RWQ16 SGM16 SQI16 TAE16 TKA16 TTW16 UDS16 UNO16 UXK16 VHG16 VRC16 WAY16 WKU16 WUQ16 IE65503 SA65503 ABW65503 ALS65503 AVO65503 BFK65503 BPG65503 BZC65503 CIY65503 CSU65503 DCQ65503 DMM65503 DWI65503 EGE65503 EQA65503 EZW65503 FJS65503 FTO65503 GDK65503 GNG65503 GXC65503 HGY65503 HQU65503 IAQ65503 IKM65503 IUI65503 JEE65503 JOA65503 JXW65503 KHS65503 KRO65503 LBK65503 LLG65503 LVC65503 MEY65503 MOU65503 MYQ65503 NIM65503 NSI65503 OCE65503 OMA65503 OVW65503 PFS65503 PPO65503 PZK65503 QJG65503 QTC65503 RCY65503 RMU65503 RWQ65503 SGM65503 SQI65503 TAE65503 TKA65503 TTW65503 UDS65503 UNO65503 UXK65503 VHG65503 VRC65503 WAY65503 WKU65503 WUQ65503 IE131039 SA131039 ABW131039 ALS131039 AVO131039 BFK131039 BPG131039 BZC131039 CIY131039 CSU131039 DCQ131039 DMM131039 DWI131039 EGE131039 EQA131039 EZW131039 FJS131039 FTO131039 GDK131039 GNG131039 GXC131039 HGY131039 HQU131039 IAQ131039 IKM131039 IUI131039 JEE131039 JOA131039 JXW131039 KHS131039 KRO131039 LBK131039 LLG131039 LVC131039 MEY131039 MOU131039 MYQ131039 NIM131039 NSI131039 OCE131039 OMA131039 OVW131039 PFS131039 PPO131039 PZK131039 QJG131039 QTC131039 RCY131039 RMU131039 RWQ131039 SGM131039 SQI131039 TAE131039 TKA131039 TTW131039 UDS131039 UNO131039 UXK131039 VHG131039 VRC131039 WAY131039 WKU131039 WUQ131039 IE196575 SA196575 ABW196575 ALS196575 AVO196575 BFK196575 BPG196575 BZC196575 CIY196575 CSU196575 DCQ196575 DMM196575 DWI196575 EGE196575 EQA196575 EZW196575 FJS196575 FTO196575 GDK196575 GNG196575 GXC196575 HGY196575 HQU196575 IAQ196575 IKM196575 IUI196575 JEE196575 JOA196575 JXW196575 KHS196575 KRO196575 LBK196575 LLG196575 LVC196575 MEY196575 MOU196575 MYQ196575 NIM196575 NSI196575 OCE196575 OMA196575 OVW196575 PFS196575 PPO196575 PZK196575 QJG196575 QTC196575 RCY196575 RMU196575 RWQ196575 SGM196575 SQI196575 TAE196575 TKA196575 TTW196575 UDS196575 UNO196575 UXK196575 VHG196575 VRC196575 WAY196575 WKU196575 WUQ196575 IE262111 SA262111 ABW262111 ALS262111 AVO262111 BFK262111 BPG262111 BZC262111 CIY262111 CSU262111 DCQ262111 DMM262111 DWI262111 EGE262111 EQA262111 EZW262111 FJS262111 FTO262111 GDK262111 GNG262111 GXC262111 HGY262111 HQU262111 IAQ262111 IKM262111 IUI262111 JEE262111 JOA262111 JXW262111 KHS262111 KRO262111 LBK262111 LLG262111 LVC262111 MEY262111 MOU262111 MYQ262111 NIM262111 NSI262111 OCE262111 OMA262111 OVW262111 PFS262111 PPO262111 PZK262111 QJG262111 QTC262111 RCY262111 RMU262111 RWQ262111 SGM262111 SQI262111 TAE262111 TKA262111 TTW262111 UDS262111 UNO262111 UXK262111 VHG262111 VRC262111 WAY262111 WKU262111 WUQ262111 IE327647 SA327647 ABW327647 ALS327647 AVO327647 BFK327647 BPG327647 BZC327647 CIY327647 CSU327647 DCQ327647 DMM327647 DWI327647 EGE327647 EQA327647 EZW327647 FJS327647 FTO327647 GDK327647 GNG327647 GXC327647 HGY327647 HQU327647 IAQ327647 IKM327647 IUI327647 JEE327647 JOA327647 JXW327647 KHS327647 KRO327647 LBK327647 LLG327647 LVC327647 MEY327647 MOU327647 MYQ327647 NIM327647 NSI327647 OCE327647 OMA327647 OVW327647 PFS327647 PPO327647 PZK327647 QJG327647 QTC327647 RCY327647 RMU327647 RWQ327647 SGM327647 SQI327647 TAE327647 TKA327647 TTW327647 UDS327647 UNO327647 UXK327647 VHG327647 VRC327647 WAY327647 WKU327647 WUQ327647 IE393183 SA393183 ABW393183 ALS393183 AVO393183 BFK393183 BPG393183 BZC393183 CIY393183 CSU393183 DCQ393183 DMM393183 DWI393183 EGE393183 EQA393183 EZW393183 FJS393183 FTO393183 GDK393183 GNG393183 GXC393183 HGY393183 HQU393183 IAQ393183 IKM393183 IUI393183 JEE393183 JOA393183 JXW393183 KHS393183 KRO393183 LBK393183 LLG393183 LVC393183 MEY393183 MOU393183 MYQ393183 NIM393183 NSI393183 OCE393183 OMA393183 OVW393183 PFS393183 PPO393183 PZK393183 QJG393183 QTC393183 RCY393183 RMU393183 RWQ393183 SGM393183 SQI393183 TAE393183 TKA393183 TTW393183 UDS393183 UNO393183 UXK393183 VHG393183 VRC393183 WAY393183 WKU393183 WUQ393183 IE458719 SA458719 ABW458719 ALS458719 AVO458719 BFK458719 BPG458719 BZC458719 CIY458719 CSU458719 DCQ458719 DMM458719 DWI458719 EGE458719 EQA458719 EZW458719 FJS458719 FTO458719 GDK458719 GNG458719 GXC458719 HGY458719 HQU458719 IAQ458719 IKM458719 IUI458719 JEE458719 JOA458719 JXW458719 KHS458719 KRO458719 LBK458719 LLG458719 LVC458719 MEY458719 MOU458719 MYQ458719 NIM458719 NSI458719 OCE458719 OMA458719 OVW458719 PFS458719 PPO458719 PZK458719 QJG458719 QTC458719 RCY458719 RMU458719 RWQ458719 SGM458719 SQI458719 TAE458719 TKA458719 TTW458719 UDS458719 UNO458719 UXK458719 VHG458719 VRC458719 WAY458719 WKU458719 WUQ458719 IE524255 SA524255 ABW524255 ALS524255 AVO524255 BFK524255 BPG524255 BZC524255 CIY524255 CSU524255 DCQ524255 DMM524255 DWI524255 EGE524255 EQA524255 EZW524255 FJS524255 FTO524255 GDK524255 GNG524255 GXC524255 HGY524255 HQU524255 IAQ524255 IKM524255 IUI524255 JEE524255 JOA524255 JXW524255 KHS524255 KRO524255 LBK524255 LLG524255 LVC524255 MEY524255 MOU524255 MYQ524255 NIM524255 NSI524255 OCE524255 OMA524255 OVW524255 PFS524255 PPO524255 PZK524255 QJG524255 QTC524255 RCY524255 RMU524255 RWQ524255 SGM524255 SQI524255 TAE524255 TKA524255 TTW524255 UDS524255 UNO524255 UXK524255 VHG524255 VRC524255 WAY524255 WKU524255 WUQ524255 IE589791 SA589791 ABW589791 ALS589791 AVO589791 BFK589791 BPG589791 BZC589791 CIY589791 CSU589791 DCQ589791 DMM589791 DWI589791 EGE589791 EQA589791 EZW589791 FJS589791 FTO589791 GDK589791 GNG589791 GXC589791 HGY589791 HQU589791 IAQ589791 IKM589791 IUI589791 JEE589791 JOA589791 JXW589791 KHS589791 KRO589791 LBK589791 LLG589791 LVC589791 MEY589791 MOU589791 MYQ589791 NIM589791 NSI589791 OCE589791 OMA589791 OVW589791 PFS589791 PPO589791 PZK589791 QJG589791 QTC589791 RCY589791 RMU589791 RWQ589791 SGM589791 SQI589791 TAE589791 TKA589791 TTW589791 UDS589791 UNO589791 UXK589791 VHG589791 VRC589791 WAY589791 WKU589791 WUQ589791 IE655327 SA655327 ABW655327 ALS655327 AVO655327 BFK655327 BPG655327 BZC655327 CIY655327 CSU655327 DCQ655327 DMM655327 DWI655327 EGE655327 EQA655327 EZW655327 FJS655327 FTO655327 GDK655327 GNG655327 GXC655327 HGY655327 HQU655327 IAQ655327 IKM655327 IUI655327 JEE655327 JOA655327 JXW655327 KHS655327 KRO655327 LBK655327 LLG655327 LVC655327 MEY655327 MOU655327 MYQ655327 NIM655327 NSI655327 OCE655327 OMA655327 OVW655327 PFS655327 PPO655327 PZK655327 QJG655327 QTC655327 RCY655327 RMU655327 RWQ655327 SGM655327 SQI655327 TAE655327 TKA655327 TTW655327 UDS655327 UNO655327 UXK655327 VHG655327 VRC655327 WAY655327 WKU655327 WUQ655327 IE720863 SA720863 ABW720863 ALS720863 AVO720863 BFK720863 BPG720863 BZC720863 CIY720863 CSU720863 DCQ720863 DMM720863 DWI720863 EGE720863 EQA720863 EZW720863 FJS720863 FTO720863 GDK720863 GNG720863 GXC720863 HGY720863 HQU720863 IAQ720863 IKM720863 IUI720863 JEE720863 JOA720863 JXW720863 KHS720863 KRO720863 LBK720863 LLG720863 LVC720863 MEY720863 MOU720863 MYQ720863 NIM720863 NSI720863 OCE720863 OMA720863 OVW720863 PFS720863 PPO720863 PZK720863 QJG720863 QTC720863 RCY720863 RMU720863 RWQ720863 SGM720863 SQI720863 TAE720863 TKA720863 TTW720863 UDS720863 UNO720863 UXK720863 VHG720863 VRC720863 WAY720863 WKU720863 WUQ720863 IE786399 SA786399 ABW786399 ALS786399 AVO786399 BFK786399 BPG786399 BZC786399 CIY786399 CSU786399 DCQ786399 DMM786399 DWI786399 EGE786399 EQA786399 EZW786399 FJS786399 FTO786399 GDK786399 GNG786399 GXC786399 HGY786399 HQU786399 IAQ786399 IKM786399 IUI786399 JEE786399 JOA786399 JXW786399 KHS786399 KRO786399 LBK786399 LLG786399 LVC786399 MEY786399 MOU786399 MYQ786399 NIM786399 NSI786399 OCE786399 OMA786399 OVW786399 PFS786399 PPO786399 PZK786399 QJG786399 QTC786399 RCY786399 RMU786399 RWQ786399 SGM786399 SQI786399 TAE786399 TKA786399 TTW786399 UDS786399 UNO786399 UXK786399 VHG786399 VRC786399 WAY786399 WKU786399 WUQ786399 IE851935 SA851935 ABW851935 ALS851935 AVO851935 BFK851935 BPG851935 BZC851935 CIY851935 CSU851935 DCQ851935 DMM851935 DWI851935 EGE851935 EQA851935 EZW851935 FJS851935 FTO851935 GDK851935 GNG851935 GXC851935 HGY851935 HQU851935 IAQ851935 IKM851935 IUI851935 JEE851935 JOA851935 JXW851935 KHS851935 KRO851935 LBK851935 LLG851935 LVC851935 MEY851935 MOU851935 MYQ851935 NIM851935 NSI851935 OCE851935 OMA851935 OVW851935 PFS851935 PPO851935 PZK851935 QJG851935 QTC851935 RCY851935 RMU851935 RWQ851935 SGM851935 SQI851935 TAE851935 TKA851935 TTW851935 UDS851935 UNO851935 UXK851935 VHG851935 VRC851935 WAY851935 WKU851935 WUQ851935 IE917471 SA917471 ABW917471 ALS917471 AVO917471 BFK917471 BPG917471 BZC917471 CIY917471 CSU917471 DCQ917471 DMM917471 DWI917471 EGE917471 EQA917471 EZW917471 FJS917471 FTO917471 GDK917471 GNG917471 GXC917471 HGY917471 HQU917471 IAQ917471 IKM917471 IUI917471 JEE917471 JOA917471 JXW917471 KHS917471 KRO917471 LBK917471 LLG917471 LVC917471 MEY917471 MOU917471 MYQ917471 NIM917471 NSI917471 OCE917471 OMA917471 OVW917471 PFS917471 PPO917471 PZK917471 QJG917471 QTC917471 RCY917471 RMU917471 RWQ917471 SGM917471 SQI917471 TAE917471 TKA917471 TTW917471 UDS917471 UNO917471 UXK917471 VHG917471 VRC917471 WAY917471 WKU917471 WUQ917471 IE983007 SA983007 ABW983007 ALS983007 AVO983007 BFK983007 BPG983007 BZC983007 CIY983007 CSU983007 DCQ983007 DMM983007 DWI983007 EGE983007 EQA983007 EZW983007 FJS983007 FTO983007 GDK983007 GNG983007 GXC983007 HGY983007 HQU983007 IAQ983007 IKM983007 IUI983007 JEE983007 JOA983007 JXW983007 KHS983007 KRO983007 LBK983007 LLG983007 LVC983007 MEY983007 MOU983007 MYQ983007 NIM983007 NSI983007 OCE983007 OMA983007 OVW983007 PFS983007 PPO983007 PZK983007 QJG983007 QTC983007 RCY983007 RMU983007 RWQ983007 SGM983007 SQI983007 TAE983007 TKA983007 TTW983007 UDS983007 UNO983007 UXK983007 VHG983007 VRC983007 WAY983007 WKU983007 WUQ983007 IE65487:IE65500 SA65487:SA65500 ABW65487:ABW65500 ALS65487:ALS65500 AVO65487:AVO65500 BFK65487:BFK65500 BPG65487:BPG65500 BZC65487:BZC65500 CIY65487:CIY65500 CSU65487:CSU65500 DCQ65487:DCQ65500 DMM65487:DMM65500 DWI65487:DWI65500 EGE65487:EGE65500 EQA65487:EQA65500 EZW65487:EZW65500 FJS65487:FJS65500 FTO65487:FTO65500 GDK65487:GDK65500 GNG65487:GNG65500 GXC65487:GXC65500 HGY65487:HGY65500 HQU65487:HQU65500 IAQ65487:IAQ65500 IKM65487:IKM65500 IUI65487:IUI65500 JEE65487:JEE65500 JOA65487:JOA65500 JXW65487:JXW65500 KHS65487:KHS65500 KRO65487:KRO65500 LBK65487:LBK65500 LLG65487:LLG65500 LVC65487:LVC65500 MEY65487:MEY65500 MOU65487:MOU65500 MYQ65487:MYQ65500 NIM65487:NIM65500 NSI65487:NSI65500 OCE65487:OCE65500 OMA65487:OMA65500 OVW65487:OVW65500 PFS65487:PFS65500 PPO65487:PPO65500 PZK65487:PZK65500 QJG65487:QJG65500 QTC65487:QTC65500 RCY65487:RCY65500 RMU65487:RMU65500 RWQ65487:RWQ65500 SGM65487:SGM65500 SQI65487:SQI65500 TAE65487:TAE65500 TKA65487:TKA65500 TTW65487:TTW65500 UDS65487:UDS65500 UNO65487:UNO65500 UXK65487:UXK65500 VHG65487:VHG65500 VRC65487:VRC65500 WAY65487:WAY65500 WKU65487:WKU65500 WUQ65487:WUQ65500 IE131023:IE131036 SA131023:SA131036 ABW131023:ABW131036 ALS131023:ALS131036 AVO131023:AVO131036 BFK131023:BFK131036 BPG131023:BPG131036 BZC131023:BZC131036 CIY131023:CIY131036 CSU131023:CSU131036 DCQ131023:DCQ131036 DMM131023:DMM131036 DWI131023:DWI131036 EGE131023:EGE131036 EQA131023:EQA131036 EZW131023:EZW131036 FJS131023:FJS131036 FTO131023:FTO131036 GDK131023:GDK131036 GNG131023:GNG131036 GXC131023:GXC131036 HGY131023:HGY131036 HQU131023:HQU131036 IAQ131023:IAQ131036 IKM131023:IKM131036 IUI131023:IUI131036 JEE131023:JEE131036 JOA131023:JOA131036 JXW131023:JXW131036 KHS131023:KHS131036 KRO131023:KRO131036 LBK131023:LBK131036 LLG131023:LLG131036 LVC131023:LVC131036 MEY131023:MEY131036 MOU131023:MOU131036 MYQ131023:MYQ131036 NIM131023:NIM131036 NSI131023:NSI131036 OCE131023:OCE131036 OMA131023:OMA131036 OVW131023:OVW131036 PFS131023:PFS131036 PPO131023:PPO131036 PZK131023:PZK131036 QJG131023:QJG131036 QTC131023:QTC131036 RCY131023:RCY131036 RMU131023:RMU131036 RWQ131023:RWQ131036 SGM131023:SGM131036 SQI131023:SQI131036 TAE131023:TAE131036 TKA131023:TKA131036 TTW131023:TTW131036 UDS131023:UDS131036 UNO131023:UNO131036 UXK131023:UXK131036 VHG131023:VHG131036 VRC131023:VRC131036 WAY131023:WAY131036 WKU131023:WKU131036 WUQ131023:WUQ131036 IE196559:IE196572 SA196559:SA196572 ABW196559:ABW196572 ALS196559:ALS196572 AVO196559:AVO196572 BFK196559:BFK196572 BPG196559:BPG196572 BZC196559:BZC196572 CIY196559:CIY196572 CSU196559:CSU196572 DCQ196559:DCQ196572 DMM196559:DMM196572 DWI196559:DWI196572 EGE196559:EGE196572 EQA196559:EQA196572 EZW196559:EZW196572 FJS196559:FJS196572 FTO196559:FTO196572 GDK196559:GDK196572 GNG196559:GNG196572 GXC196559:GXC196572 HGY196559:HGY196572 HQU196559:HQU196572 IAQ196559:IAQ196572 IKM196559:IKM196572 IUI196559:IUI196572 JEE196559:JEE196572 JOA196559:JOA196572 JXW196559:JXW196572 KHS196559:KHS196572 KRO196559:KRO196572 LBK196559:LBK196572 LLG196559:LLG196572 LVC196559:LVC196572 MEY196559:MEY196572 MOU196559:MOU196572 MYQ196559:MYQ196572 NIM196559:NIM196572 NSI196559:NSI196572 OCE196559:OCE196572 OMA196559:OMA196572 OVW196559:OVW196572 PFS196559:PFS196572 PPO196559:PPO196572 PZK196559:PZK196572 QJG196559:QJG196572 QTC196559:QTC196572 RCY196559:RCY196572 RMU196559:RMU196572 RWQ196559:RWQ196572 SGM196559:SGM196572 SQI196559:SQI196572 TAE196559:TAE196572 TKA196559:TKA196572 TTW196559:TTW196572 UDS196559:UDS196572 UNO196559:UNO196572 UXK196559:UXK196572 VHG196559:VHG196572 VRC196559:VRC196572 WAY196559:WAY196572 WKU196559:WKU196572 WUQ196559:WUQ196572 IE262095:IE262108 SA262095:SA262108 ABW262095:ABW262108 ALS262095:ALS262108 AVO262095:AVO262108 BFK262095:BFK262108 BPG262095:BPG262108 BZC262095:BZC262108 CIY262095:CIY262108 CSU262095:CSU262108 DCQ262095:DCQ262108 DMM262095:DMM262108 DWI262095:DWI262108 EGE262095:EGE262108 EQA262095:EQA262108 EZW262095:EZW262108 FJS262095:FJS262108 FTO262095:FTO262108 GDK262095:GDK262108 GNG262095:GNG262108 GXC262095:GXC262108 HGY262095:HGY262108 HQU262095:HQU262108 IAQ262095:IAQ262108 IKM262095:IKM262108 IUI262095:IUI262108 JEE262095:JEE262108 JOA262095:JOA262108 JXW262095:JXW262108 KHS262095:KHS262108 KRO262095:KRO262108 LBK262095:LBK262108 LLG262095:LLG262108 LVC262095:LVC262108 MEY262095:MEY262108 MOU262095:MOU262108 MYQ262095:MYQ262108 NIM262095:NIM262108 NSI262095:NSI262108 OCE262095:OCE262108 OMA262095:OMA262108 OVW262095:OVW262108 PFS262095:PFS262108 PPO262095:PPO262108 PZK262095:PZK262108 QJG262095:QJG262108 QTC262095:QTC262108 RCY262095:RCY262108 RMU262095:RMU262108 RWQ262095:RWQ262108 SGM262095:SGM262108 SQI262095:SQI262108 TAE262095:TAE262108 TKA262095:TKA262108 TTW262095:TTW262108 UDS262095:UDS262108 UNO262095:UNO262108 UXK262095:UXK262108 VHG262095:VHG262108 VRC262095:VRC262108 WAY262095:WAY262108 WKU262095:WKU262108 WUQ262095:WUQ262108 IE327631:IE327644 SA327631:SA327644 ABW327631:ABW327644 ALS327631:ALS327644 AVO327631:AVO327644 BFK327631:BFK327644 BPG327631:BPG327644 BZC327631:BZC327644 CIY327631:CIY327644 CSU327631:CSU327644 DCQ327631:DCQ327644 DMM327631:DMM327644 DWI327631:DWI327644 EGE327631:EGE327644 EQA327631:EQA327644 EZW327631:EZW327644 FJS327631:FJS327644 FTO327631:FTO327644 GDK327631:GDK327644 GNG327631:GNG327644 GXC327631:GXC327644 HGY327631:HGY327644 HQU327631:HQU327644 IAQ327631:IAQ327644 IKM327631:IKM327644 IUI327631:IUI327644 JEE327631:JEE327644 JOA327631:JOA327644 JXW327631:JXW327644 KHS327631:KHS327644 KRO327631:KRO327644 LBK327631:LBK327644 LLG327631:LLG327644 LVC327631:LVC327644 MEY327631:MEY327644 MOU327631:MOU327644 MYQ327631:MYQ327644 NIM327631:NIM327644 NSI327631:NSI327644 OCE327631:OCE327644 OMA327631:OMA327644 OVW327631:OVW327644 PFS327631:PFS327644 PPO327631:PPO327644 PZK327631:PZK327644 QJG327631:QJG327644 QTC327631:QTC327644 RCY327631:RCY327644 RMU327631:RMU327644 RWQ327631:RWQ327644 SGM327631:SGM327644 SQI327631:SQI327644 TAE327631:TAE327644 TKA327631:TKA327644 TTW327631:TTW327644 UDS327631:UDS327644 UNO327631:UNO327644 UXK327631:UXK327644 VHG327631:VHG327644 VRC327631:VRC327644 WAY327631:WAY327644 WKU327631:WKU327644 WUQ327631:WUQ327644 IE393167:IE393180 SA393167:SA393180 ABW393167:ABW393180 ALS393167:ALS393180 AVO393167:AVO393180 BFK393167:BFK393180 BPG393167:BPG393180 BZC393167:BZC393180 CIY393167:CIY393180 CSU393167:CSU393180 DCQ393167:DCQ393180 DMM393167:DMM393180 DWI393167:DWI393180 EGE393167:EGE393180 EQA393167:EQA393180 EZW393167:EZW393180 FJS393167:FJS393180 FTO393167:FTO393180 GDK393167:GDK393180 GNG393167:GNG393180 GXC393167:GXC393180 HGY393167:HGY393180 HQU393167:HQU393180 IAQ393167:IAQ393180 IKM393167:IKM393180 IUI393167:IUI393180 JEE393167:JEE393180 JOA393167:JOA393180 JXW393167:JXW393180 KHS393167:KHS393180 KRO393167:KRO393180 LBK393167:LBK393180 LLG393167:LLG393180 LVC393167:LVC393180 MEY393167:MEY393180 MOU393167:MOU393180 MYQ393167:MYQ393180 NIM393167:NIM393180 NSI393167:NSI393180 OCE393167:OCE393180 OMA393167:OMA393180 OVW393167:OVW393180 PFS393167:PFS393180 PPO393167:PPO393180 PZK393167:PZK393180 QJG393167:QJG393180 QTC393167:QTC393180 RCY393167:RCY393180 RMU393167:RMU393180 RWQ393167:RWQ393180 SGM393167:SGM393180 SQI393167:SQI393180 TAE393167:TAE393180 TKA393167:TKA393180 TTW393167:TTW393180 UDS393167:UDS393180 UNO393167:UNO393180 UXK393167:UXK393180 VHG393167:VHG393180 VRC393167:VRC393180 WAY393167:WAY393180 WKU393167:WKU393180 WUQ393167:WUQ393180 IE458703:IE458716 SA458703:SA458716 ABW458703:ABW458716 ALS458703:ALS458716 AVO458703:AVO458716 BFK458703:BFK458716 BPG458703:BPG458716 BZC458703:BZC458716 CIY458703:CIY458716 CSU458703:CSU458716 DCQ458703:DCQ458716 DMM458703:DMM458716 DWI458703:DWI458716 EGE458703:EGE458716 EQA458703:EQA458716 EZW458703:EZW458716 FJS458703:FJS458716 FTO458703:FTO458716 GDK458703:GDK458716 GNG458703:GNG458716 GXC458703:GXC458716 HGY458703:HGY458716 HQU458703:HQU458716 IAQ458703:IAQ458716 IKM458703:IKM458716 IUI458703:IUI458716 JEE458703:JEE458716 JOA458703:JOA458716 JXW458703:JXW458716 KHS458703:KHS458716 KRO458703:KRO458716 LBK458703:LBK458716 LLG458703:LLG458716 LVC458703:LVC458716 MEY458703:MEY458716 MOU458703:MOU458716 MYQ458703:MYQ458716 NIM458703:NIM458716 NSI458703:NSI458716 OCE458703:OCE458716 OMA458703:OMA458716 OVW458703:OVW458716 PFS458703:PFS458716 PPO458703:PPO458716 PZK458703:PZK458716 QJG458703:QJG458716 QTC458703:QTC458716 RCY458703:RCY458716 RMU458703:RMU458716 RWQ458703:RWQ458716 SGM458703:SGM458716 SQI458703:SQI458716 TAE458703:TAE458716 TKA458703:TKA458716 TTW458703:TTW458716 UDS458703:UDS458716 UNO458703:UNO458716 UXK458703:UXK458716 VHG458703:VHG458716 VRC458703:VRC458716 WAY458703:WAY458716 WKU458703:WKU458716 WUQ458703:WUQ458716 IE524239:IE524252 SA524239:SA524252 ABW524239:ABW524252 ALS524239:ALS524252 AVO524239:AVO524252 BFK524239:BFK524252 BPG524239:BPG524252 BZC524239:BZC524252 CIY524239:CIY524252 CSU524239:CSU524252 DCQ524239:DCQ524252 DMM524239:DMM524252 DWI524239:DWI524252 EGE524239:EGE524252 EQA524239:EQA524252 EZW524239:EZW524252 FJS524239:FJS524252 FTO524239:FTO524252 GDK524239:GDK524252 GNG524239:GNG524252 GXC524239:GXC524252 HGY524239:HGY524252 HQU524239:HQU524252 IAQ524239:IAQ524252 IKM524239:IKM524252 IUI524239:IUI524252 JEE524239:JEE524252 JOA524239:JOA524252 JXW524239:JXW524252 KHS524239:KHS524252 KRO524239:KRO524252 LBK524239:LBK524252 LLG524239:LLG524252 LVC524239:LVC524252 MEY524239:MEY524252 MOU524239:MOU524252 MYQ524239:MYQ524252 NIM524239:NIM524252 NSI524239:NSI524252 OCE524239:OCE524252 OMA524239:OMA524252 OVW524239:OVW524252 PFS524239:PFS524252 PPO524239:PPO524252 PZK524239:PZK524252 QJG524239:QJG524252 QTC524239:QTC524252 RCY524239:RCY524252 RMU524239:RMU524252 RWQ524239:RWQ524252 SGM524239:SGM524252 SQI524239:SQI524252 TAE524239:TAE524252 TKA524239:TKA524252 TTW524239:TTW524252 UDS524239:UDS524252 UNO524239:UNO524252 UXK524239:UXK524252 VHG524239:VHG524252 VRC524239:VRC524252 WAY524239:WAY524252 WKU524239:WKU524252 WUQ524239:WUQ524252 IE589775:IE589788 SA589775:SA589788 ABW589775:ABW589788 ALS589775:ALS589788 AVO589775:AVO589788 BFK589775:BFK589788 BPG589775:BPG589788 BZC589775:BZC589788 CIY589775:CIY589788 CSU589775:CSU589788 DCQ589775:DCQ589788 DMM589775:DMM589788 DWI589775:DWI589788 EGE589775:EGE589788 EQA589775:EQA589788 EZW589775:EZW589788 FJS589775:FJS589788 FTO589775:FTO589788 GDK589775:GDK589788 GNG589775:GNG589788 GXC589775:GXC589788 HGY589775:HGY589788 HQU589775:HQU589788 IAQ589775:IAQ589788 IKM589775:IKM589788 IUI589775:IUI589788 JEE589775:JEE589788 JOA589775:JOA589788 JXW589775:JXW589788 KHS589775:KHS589788 KRO589775:KRO589788 LBK589775:LBK589788 LLG589775:LLG589788 LVC589775:LVC589788 MEY589775:MEY589788 MOU589775:MOU589788 MYQ589775:MYQ589788 NIM589775:NIM589788 NSI589775:NSI589788 OCE589775:OCE589788 OMA589775:OMA589788 OVW589775:OVW589788 PFS589775:PFS589788 PPO589775:PPO589788 PZK589775:PZK589788 QJG589775:QJG589788 QTC589775:QTC589788 RCY589775:RCY589788 RMU589775:RMU589788 RWQ589775:RWQ589788 SGM589775:SGM589788 SQI589775:SQI589788 TAE589775:TAE589788 TKA589775:TKA589788 TTW589775:TTW589788 UDS589775:UDS589788 UNO589775:UNO589788 UXK589775:UXK589788 VHG589775:VHG589788 VRC589775:VRC589788 WAY589775:WAY589788 WKU589775:WKU589788 WUQ589775:WUQ589788 IE655311:IE655324 SA655311:SA655324 ABW655311:ABW655324 ALS655311:ALS655324 AVO655311:AVO655324 BFK655311:BFK655324 BPG655311:BPG655324 BZC655311:BZC655324 CIY655311:CIY655324 CSU655311:CSU655324 DCQ655311:DCQ655324 DMM655311:DMM655324 DWI655311:DWI655324 EGE655311:EGE655324 EQA655311:EQA655324 EZW655311:EZW655324 FJS655311:FJS655324 FTO655311:FTO655324 GDK655311:GDK655324 GNG655311:GNG655324 GXC655311:GXC655324 HGY655311:HGY655324 HQU655311:HQU655324 IAQ655311:IAQ655324 IKM655311:IKM655324 IUI655311:IUI655324 JEE655311:JEE655324 JOA655311:JOA655324 JXW655311:JXW655324 KHS655311:KHS655324 KRO655311:KRO655324 LBK655311:LBK655324 LLG655311:LLG655324 LVC655311:LVC655324 MEY655311:MEY655324 MOU655311:MOU655324 MYQ655311:MYQ655324 NIM655311:NIM655324 NSI655311:NSI655324 OCE655311:OCE655324 OMA655311:OMA655324 OVW655311:OVW655324 PFS655311:PFS655324 PPO655311:PPO655324 PZK655311:PZK655324 QJG655311:QJG655324 QTC655311:QTC655324 RCY655311:RCY655324 RMU655311:RMU655324 RWQ655311:RWQ655324 SGM655311:SGM655324 SQI655311:SQI655324 TAE655311:TAE655324 TKA655311:TKA655324 TTW655311:TTW655324 UDS655311:UDS655324 UNO655311:UNO655324 UXK655311:UXK655324 VHG655311:VHG655324 VRC655311:VRC655324 WAY655311:WAY655324 WKU655311:WKU655324 WUQ655311:WUQ655324 IE720847:IE720860 SA720847:SA720860 ABW720847:ABW720860 ALS720847:ALS720860 AVO720847:AVO720860 BFK720847:BFK720860 BPG720847:BPG720860 BZC720847:BZC720860 CIY720847:CIY720860 CSU720847:CSU720860 DCQ720847:DCQ720860 DMM720847:DMM720860 DWI720847:DWI720860 EGE720847:EGE720860 EQA720847:EQA720860 EZW720847:EZW720860 FJS720847:FJS720860 FTO720847:FTO720860 GDK720847:GDK720860 GNG720847:GNG720860 GXC720847:GXC720860 HGY720847:HGY720860 HQU720847:HQU720860 IAQ720847:IAQ720860 IKM720847:IKM720860 IUI720847:IUI720860 JEE720847:JEE720860 JOA720847:JOA720860 JXW720847:JXW720860 KHS720847:KHS720860 KRO720847:KRO720860 LBK720847:LBK720860 LLG720847:LLG720860 LVC720847:LVC720860 MEY720847:MEY720860 MOU720847:MOU720860 MYQ720847:MYQ720860 NIM720847:NIM720860 NSI720847:NSI720860 OCE720847:OCE720860 OMA720847:OMA720860 OVW720847:OVW720860 PFS720847:PFS720860 PPO720847:PPO720860 PZK720847:PZK720860 QJG720847:QJG720860 QTC720847:QTC720860 RCY720847:RCY720860 RMU720847:RMU720860 RWQ720847:RWQ720860 SGM720847:SGM720860 SQI720847:SQI720860 TAE720847:TAE720860 TKA720847:TKA720860 TTW720847:TTW720860 UDS720847:UDS720860 UNO720847:UNO720860 UXK720847:UXK720860 VHG720847:VHG720860 VRC720847:VRC720860 WAY720847:WAY720860 WKU720847:WKU720860 WUQ720847:WUQ720860 IE786383:IE786396 SA786383:SA786396 ABW786383:ABW786396 ALS786383:ALS786396 AVO786383:AVO786396 BFK786383:BFK786396 BPG786383:BPG786396 BZC786383:BZC786396 CIY786383:CIY786396 CSU786383:CSU786396 DCQ786383:DCQ786396 DMM786383:DMM786396 DWI786383:DWI786396 EGE786383:EGE786396 EQA786383:EQA786396 EZW786383:EZW786396 FJS786383:FJS786396 FTO786383:FTO786396 GDK786383:GDK786396 GNG786383:GNG786396 GXC786383:GXC786396 HGY786383:HGY786396 HQU786383:HQU786396 IAQ786383:IAQ786396 IKM786383:IKM786396 IUI786383:IUI786396 JEE786383:JEE786396 JOA786383:JOA786396 JXW786383:JXW786396 KHS786383:KHS786396 KRO786383:KRO786396 LBK786383:LBK786396 LLG786383:LLG786396 LVC786383:LVC786396 MEY786383:MEY786396 MOU786383:MOU786396 MYQ786383:MYQ786396 NIM786383:NIM786396 NSI786383:NSI786396 OCE786383:OCE786396 OMA786383:OMA786396 OVW786383:OVW786396 PFS786383:PFS786396 PPO786383:PPO786396 PZK786383:PZK786396 QJG786383:QJG786396 QTC786383:QTC786396 RCY786383:RCY786396 RMU786383:RMU786396 RWQ786383:RWQ786396 SGM786383:SGM786396 SQI786383:SQI786396 TAE786383:TAE786396 TKA786383:TKA786396 TTW786383:TTW786396 UDS786383:UDS786396 UNO786383:UNO786396 UXK786383:UXK786396 VHG786383:VHG786396 VRC786383:VRC786396 WAY786383:WAY786396 WKU786383:WKU786396 WUQ786383:WUQ786396 IE851919:IE851932 SA851919:SA851932 ABW851919:ABW851932 ALS851919:ALS851932 AVO851919:AVO851932 BFK851919:BFK851932 BPG851919:BPG851932 BZC851919:BZC851932 CIY851919:CIY851932 CSU851919:CSU851932 DCQ851919:DCQ851932 DMM851919:DMM851932 DWI851919:DWI851932 EGE851919:EGE851932 EQA851919:EQA851932 EZW851919:EZW851932 FJS851919:FJS851932 FTO851919:FTO851932 GDK851919:GDK851932 GNG851919:GNG851932 GXC851919:GXC851932 HGY851919:HGY851932 HQU851919:HQU851932 IAQ851919:IAQ851932 IKM851919:IKM851932 IUI851919:IUI851932 JEE851919:JEE851932 JOA851919:JOA851932 JXW851919:JXW851932 KHS851919:KHS851932 KRO851919:KRO851932 LBK851919:LBK851932 LLG851919:LLG851932 LVC851919:LVC851932 MEY851919:MEY851932 MOU851919:MOU851932 MYQ851919:MYQ851932 NIM851919:NIM851932 NSI851919:NSI851932 OCE851919:OCE851932 OMA851919:OMA851932 OVW851919:OVW851932 PFS851919:PFS851932 PPO851919:PPO851932 PZK851919:PZK851932 QJG851919:QJG851932 QTC851919:QTC851932 RCY851919:RCY851932 RMU851919:RMU851932 RWQ851919:RWQ851932 SGM851919:SGM851932 SQI851919:SQI851932 TAE851919:TAE851932 TKA851919:TKA851932 TTW851919:TTW851932 UDS851919:UDS851932 UNO851919:UNO851932 UXK851919:UXK851932 VHG851919:VHG851932 VRC851919:VRC851932 WAY851919:WAY851932 WKU851919:WKU851932 WUQ851919:WUQ851932 IE917455:IE917468 SA917455:SA917468 ABW917455:ABW917468 ALS917455:ALS917468 AVO917455:AVO917468 BFK917455:BFK917468 BPG917455:BPG917468 BZC917455:BZC917468 CIY917455:CIY917468 CSU917455:CSU917468 DCQ917455:DCQ917468 DMM917455:DMM917468 DWI917455:DWI917468 EGE917455:EGE917468 EQA917455:EQA917468 EZW917455:EZW917468 FJS917455:FJS917468 FTO917455:FTO917468 GDK917455:GDK917468 GNG917455:GNG917468 GXC917455:GXC917468 HGY917455:HGY917468 HQU917455:HQU917468 IAQ917455:IAQ917468 IKM917455:IKM917468 IUI917455:IUI917468 JEE917455:JEE917468 JOA917455:JOA917468 JXW917455:JXW917468 KHS917455:KHS917468 KRO917455:KRO917468 LBK917455:LBK917468 LLG917455:LLG917468 LVC917455:LVC917468 MEY917455:MEY917468 MOU917455:MOU917468 MYQ917455:MYQ917468 NIM917455:NIM917468 NSI917455:NSI917468 OCE917455:OCE917468 OMA917455:OMA917468 OVW917455:OVW917468 PFS917455:PFS917468 PPO917455:PPO917468 PZK917455:PZK917468 QJG917455:QJG917468 QTC917455:QTC917468 RCY917455:RCY917468 RMU917455:RMU917468 RWQ917455:RWQ917468 SGM917455:SGM917468 SQI917455:SQI917468 TAE917455:TAE917468 TKA917455:TKA917468 TTW917455:TTW917468 UDS917455:UDS917468 UNO917455:UNO917468 UXK917455:UXK917468 VHG917455:VHG917468 VRC917455:VRC917468 WAY917455:WAY917468 WKU917455:WKU917468 WUQ917455:WUQ917468 IE982991:IE983004 SA982991:SA983004 ABW982991:ABW983004 ALS982991:ALS983004 AVO982991:AVO983004 BFK982991:BFK983004 BPG982991:BPG983004 BZC982991:BZC983004 CIY982991:CIY983004 CSU982991:CSU983004 DCQ982991:DCQ983004 DMM982991:DMM983004 DWI982991:DWI983004 EGE982991:EGE983004 EQA982991:EQA983004 EZW982991:EZW983004 FJS982991:FJS983004 FTO982991:FTO983004 GDK982991:GDK983004 GNG982991:GNG983004 GXC982991:GXC983004 HGY982991:HGY983004 HQU982991:HQU983004 IAQ982991:IAQ983004 IKM982991:IKM983004 IUI982991:IUI983004 JEE982991:JEE983004 JOA982991:JOA983004 JXW982991:JXW983004 KHS982991:KHS983004 KRO982991:KRO983004 LBK982991:LBK983004 LLG982991:LLG983004 LVC982991:LVC983004 MEY982991:MEY983004 MOU982991:MOU983004 MYQ982991:MYQ983004 NIM982991:NIM983004 NSI982991:NSI983004 OCE982991:OCE983004 OMA982991:OMA983004 OVW982991:OVW983004 PFS982991:PFS983004 PPO982991:PPO983004 PZK982991:PZK983004 QJG982991:QJG983004 QTC982991:QTC983004 RCY982991:RCY983004 RMU982991:RMU983004 RWQ982991:RWQ983004 SGM982991:SGM983004 SQI982991:SQI983004 TAE982991:TAE983004 TKA982991:TKA983004 TTW982991:TTW983004 UDS982991:UDS983004 UNO982991:UNO983004 UXK982991:UXK983004 VHG982991:VHG983004 VRC982991:VRC983004 WAY982991:WAY983004 WKU982991:WKU983004 WUQ982991:WUQ983004 IE65539:IE65546 SA65539:SA65546 ABW65539:ABW65546 ALS65539:ALS65546 AVO65539:AVO65546 BFK65539:BFK65546 BPG65539:BPG65546 BZC65539:BZC65546 CIY65539:CIY65546 CSU65539:CSU65546 DCQ65539:DCQ65546 DMM65539:DMM65546 DWI65539:DWI65546 EGE65539:EGE65546 EQA65539:EQA65546 EZW65539:EZW65546 FJS65539:FJS65546 FTO65539:FTO65546 GDK65539:GDK65546 GNG65539:GNG65546 GXC65539:GXC65546 HGY65539:HGY65546 HQU65539:HQU65546 IAQ65539:IAQ65546 IKM65539:IKM65546 IUI65539:IUI65546 JEE65539:JEE65546 JOA65539:JOA65546 JXW65539:JXW65546 KHS65539:KHS65546 KRO65539:KRO65546 LBK65539:LBK65546 LLG65539:LLG65546 LVC65539:LVC65546 MEY65539:MEY65546 MOU65539:MOU65546 MYQ65539:MYQ65546 NIM65539:NIM65546 NSI65539:NSI65546 OCE65539:OCE65546 OMA65539:OMA65546 OVW65539:OVW65546 PFS65539:PFS65546 PPO65539:PPO65546 PZK65539:PZK65546 QJG65539:QJG65546 QTC65539:QTC65546 RCY65539:RCY65546 RMU65539:RMU65546 RWQ65539:RWQ65546 SGM65539:SGM65546 SQI65539:SQI65546 TAE65539:TAE65546 TKA65539:TKA65546 TTW65539:TTW65546 UDS65539:UDS65546 UNO65539:UNO65546 UXK65539:UXK65546 VHG65539:VHG65546 VRC65539:VRC65546 WAY65539:WAY65546 WKU65539:WKU65546 WUQ65539:WUQ65546 IE131075:IE131082 SA131075:SA131082 ABW131075:ABW131082 ALS131075:ALS131082 AVO131075:AVO131082 BFK131075:BFK131082 BPG131075:BPG131082 BZC131075:BZC131082 CIY131075:CIY131082 CSU131075:CSU131082 DCQ131075:DCQ131082 DMM131075:DMM131082 DWI131075:DWI131082 EGE131075:EGE131082 EQA131075:EQA131082 EZW131075:EZW131082 FJS131075:FJS131082 FTO131075:FTO131082 GDK131075:GDK131082 GNG131075:GNG131082 GXC131075:GXC131082 HGY131075:HGY131082 HQU131075:HQU131082 IAQ131075:IAQ131082 IKM131075:IKM131082 IUI131075:IUI131082 JEE131075:JEE131082 JOA131075:JOA131082 JXW131075:JXW131082 KHS131075:KHS131082 KRO131075:KRO131082 LBK131075:LBK131082 LLG131075:LLG131082 LVC131075:LVC131082 MEY131075:MEY131082 MOU131075:MOU131082 MYQ131075:MYQ131082 NIM131075:NIM131082 NSI131075:NSI131082 OCE131075:OCE131082 OMA131075:OMA131082 OVW131075:OVW131082 PFS131075:PFS131082 PPO131075:PPO131082 PZK131075:PZK131082 QJG131075:QJG131082 QTC131075:QTC131082 RCY131075:RCY131082 RMU131075:RMU131082 RWQ131075:RWQ131082 SGM131075:SGM131082 SQI131075:SQI131082 TAE131075:TAE131082 TKA131075:TKA131082 TTW131075:TTW131082 UDS131075:UDS131082 UNO131075:UNO131082 UXK131075:UXK131082 VHG131075:VHG131082 VRC131075:VRC131082 WAY131075:WAY131082 WKU131075:WKU131082 WUQ131075:WUQ131082 IE196611:IE196618 SA196611:SA196618 ABW196611:ABW196618 ALS196611:ALS196618 AVO196611:AVO196618 BFK196611:BFK196618 BPG196611:BPG196618 BZC196611:BZC196618 CIY196611:CIY196618 CSU196611:CSU196618 DCQ196611:DCQ196618 DMM196611:DMM196618 DWI196611:DWI196618 EGE196611:EGE196618 EQA196611:EQA196618 EZW196611:EZW196618 FJS196611:FJS196618 FTO196611:FTO196618 GDK196611:GDK196618 GNG196611:GNG196618 GXC196611:GXC196618 HGY196611:HGY196618 HQU196611:HQU196618 IAQ196611:IAQ196618 IKM196611:IKM196618 IUI196611:IUI196618 JEE196611:JEE196618 JOA196611:JOA196618 JXW196611:JXW196618 KHS196611:KHS196618 KRO196611:KRO196618 LBK196611:LBK196618 LLG196611:LLG196618 LVC196611:LVC196618 MEY196611:MEY196618 MOU196611:MOU196618 MYQ196611:MYQ196618 NIM196611:NIM196618 NSI196611:NSI196618 OCE196611:OCE196618 OMA196611:OMA196618 OVW196611:OVW196618 PFS196611:PFS196618 PPO196611:PPO196618 PZK196611:PZK196618 QJG196611:QJG196618 QTC196611:QTC196618 RCY196611:RCY196618 RMU196611:RMU196618 RWQ196611:RWQ196618 SGM196611:SGM196618 SQI196611:SQI196618 TAE196611:TAE196618 TKA196611:TKA196618 TTW196611:TTW196618 UDS196611:UDS196618 UNO196611:UNO196618 UXK196611:UXK196618 VHG196611:VHG196618 VRC196611:VRC196618 WAY196611:WAY196618 WKU196611:WKU196618 WUQ196611:WUQ196618 IE262147:IE262154 SA262147:SA262154 ABW262147:ABW262154 ALS262147:ALS262154 AVO262147:AVO262154 BFK262147:BFK262154 BPG262147:BPG262154 BZC262147:BZC262154 CIY262147:CIY262154 CSU262147:CSU262154 DCQ262147:DCQ262154 DMM262147:DMM262154 DWI262147:DWI262154 EGE262147:EGE262154 EQA262147:EQA262154 EZW262147:EZW262154 FJS262147:FJS262154 FTO262147:FTO262154 GDK262147:GDK262154 GNG262147:GNG262154 GXC262147:GXC262154 HGY262147:HGY262154 HQU262147:HQU262154 IAQ262147:IAQ262154 IKM262147:IKM262154 IUI262147:IUI262154 JEE262147:JEE262154 JOA262147:JOA262154 JXW262147:JXW262154 KHS262147:KHS262154 KRO262147:KRO262154 LBK262147:LBK262154 LLG262147:LLG262154 LVC262147:LVC262154 MEY262147:MEY262154 MOU262147:MOU262154 MYQ262147:MYQ262154 NIM262147:NIM262154 NSI262147:NSI262154 OCE262147:OCE262154 OMA262147:OMA262154 OVW262147:OVW262154 PFS262147:PFS262154 PPO262147:PPO262154 PZK262147:PZK262154 QJG262147:QJG262154 QTC262147:QTC262154 RCY262147:RCY262154 RMU262147:RMU262154 RWQ262147:RWQ262154 SGM262147:SGM262154 SQI262147:SQI262154 TAE262147:TAE262154 TKA262147:TKA262154 TTW262147:TTW262154 UDS262147:UDS262154 UNO262147:UNO262154 UXK262147:UXK262154 VHG262147:VHG262154 VRC262147:VRC262154 WAY262147:WAY262154 WKU262147:WKU262154 WUQ262147:WUQ262154 IE327683:IE327690 SA327683:SA327690 ABW327683:ABW327690 ALS327683:ALS327690 AVO327683:AVO327690 BFK327683:BFK327690 BPG327683:BPG327690 BZC327683:BZC327690 CIY327683:CIY327690 CSU327683:CSU327690 DCQ327683:DCQ327690 DMM327683:DMM327690 DWI327683:DWI327690 EGE327683:EGE327690 EQA327683:EQA327690 EZW327683:EZW327690 FJS327683:FJS327690 FTO327683:FTO327690 GDK327683:GDK327690 GNG327683:GNG327690 GXC327683:GXC327690 HGY327683:HGY327690 HQU327683:HQU327690 IAQ327683:IAQ327690 IKM327683:IKM327690 IUI327683:IUI327690 JEE327683:JEE327690 JOA327683:JOA327690 JXW327683:JXW327690 KHS327683:KHS327690 KRO327683:KRO327690 LBK327683:LBK327690 LLG327683:LLG327690 LVC327683:LVC327690 MEY327683:MEY327690 MOU327683:MOU327690 MYQ327683:MYQ327690 NIM327683:NIM327690 NSI327683:NSI327690 OCE327683:OCE327690 OMA327683:OMA327690 OVW327683:OVW327690 PFS327683:PFS327690 PPO327683:PPO327690 PZK327683:PZK327690 QJG327683:QJG327690 QTC327683:QTC327690 RCY327683:RCY327690 RMU327683:RMU327690 RWQ327683:RWQ327690 SGM327683:SGM327690 SQI327683:SQI327690 TAE327683:TAE327690 TKA327683:TKA327690 TTW327683:TTW327690 UDS327683:UDS327690 UNO327683:UNO327690 UXK327683:UXK327690 VHG327683:VHG327690 VRC327683:VRC327690 WAY327683:WAY327690 WKU327683:WKU327690 WUQ327683:WUQ327690 IE393219:IE393226 SA393219:SA393226 ABW393219:ABW393226 ALS393219:ALS393226 AVO393219:AVO393226 BFK393219:BFK393226 BPG393219:BPG393226 BZC393219:BZC393226 CIY393219:CIY393226 CSU393219:CSU393226 DCQ393219:DCQ393226 DMM393219:DMM393226 DWI393219:DWI393226 EGE393219:EGE393226 EQA393219:EQA393226 EZW393219:EZW393226 FJS393219:FJS393226 FTO393219:FTO393226 GDK393219:GDK393226 GNG393219:GNG393226 GXC393219:GXC393226 HGY393219:HGY393226 HQU393219:HQU393226 IAQ393219:IAQ393226 IKM393219:IKM393226 IUI393219:IUI393226 JEE393219:JEE393226 JOA393219:JOA393226 JXW393219:JXW393226 KHS393219:KHS393226 KRO393219:KRO393226 LBK393219:LBK393226 LLG393219:LLG393226 LVC393219:LVC393226 MEY393219:MEY393226 MOU393219:MOU393226 MYQ393219:MYQ393226 NIM393219:NIM393226 NSI393219:NSI393226 OCE393219:OCE393226 OMA393219:OMA393226 OVW393219:OVW393226 PFS393219:PFS393226 PPO393219:PPO393226 PZK393219:PZK393226 QJG393219:QJG393226 QTC393219:QTC393226 RCY393219:RCY393226 RMU393219:RMU393226 RWQ393219:RWQ393226 SGM393219:SGM393226 SQI393219:SQI393226 TAE393219:TAE393226 TKA393219:TKA393226 TTW393219:TTW393226 UDS393219:UDS393226 UNO393219:UNO393226 UXK393219:UXK393226 VHG393219:VHG393226 VRC393219:VRC393226 WAY393219:WAY393226 WKU393219:WKU393226 WUQ393219:WUQ393226 IE458755:IE458762 SA458755:SA458762 ABW458755:ABW458762 ALS458755:ALS458762 AVO458755:AVO458762 BFK458755:BFK458762 BPG458755:BPG458762 BZC458755:BZC458762 CIY458755:CIY458762 CSU458755:CSU458762 DCQ458755:DCQ458762 DMM458755:DMM458762 DWI458755:DWI458762 EGE458755:EGE458762 EQA458755:EQA458762 EZW458755:EZW458762 FJS458755:FJS458762 FTO458755:FTO458762 GDK458755:GDK458762 GNG458755:GNG458762 GXC458755:GXC458762 HGY458755:HGY458762 HQU458755:HQU458762 IAQ458755:IAQ458762 IKM458755:IKM458762 IUI458755:IUI458762 JEE458755:JEE458762 JOA458755:JOA458762 JXW458755:JXW458762 KHS458755:KHS458762 KRO458755:KRO458762 LBK458755:LBK458762 LLG458755:LLG458762 LVC458755:LVC458762 MEY458755:MEY458762 MOU458755:MOU458762 MYQ458755:MYQ458762 NIM458755:NIM458762 NSI458755:NSI458762 OCE458755:OCE458762 OMA458755:OMA458762 OVW458755:OVW458762 PFS458755:PFS458762 PPO458755:PPO458762 PZK458755:PZK458762 QJG458755:QJG458762 QTC458755:QTC458762 RCY458755:RCY458762 RMU458755:RMU458762 RWQ458755:RWQ458762 SGM458755:SGM458762 SQI458755:SQI458762 TAE458755:TAE458762 TKA458755:TKA458762 TTW458755:TTW458762 UDS458755:UDS458762 UNO458755:UNO458762 UXK458755:UXK458762 VHG458755:VHG458762 VRC458755:VRC458762 WAY458755:WAY458762 WKU458755:WKU458762 WUQ458755:WUQ458762 IE524291:IE524298 SA524291:SA524298 ABW524291:ABW524298 ALS524291:ALS524298 AVO524291:AVO524298 BFK524291:BFK524298 BPG524291:BPG524298 BZC524291:BZC524298 CIY524291:CIY524298 CSU524291:CSU524298 DCQ524291:DCQ524298 DMM524291:DMM524298 DWI524291:DWI524298 EGE524291:EGE524298 EQA524291:EQA524298 EZW524291:EZW524298 FJS524291:FJS524298 FTO524291:FTO524298 GDK524291:GDK524298 GNG524291:GNG524298 GXC524291:GXC524298 HGY524291:HGY524298 HQU524291:HQU524298 IAQ524291:IAQ524298 IKM524291:IKM524298 IUI524291:IUI524298 JEE524291:JEE524298 JOA524291:JOA524298 JXW524291:JXW524298 KHS524291:KHS524298 KRO524291:KRO524298 LBK524291:LBK524298 LLG524291:LLG524298 LVC524291:LVC524298 MEY524291:MEY524298 MOU524291:MOU524298 MYQ524291:MYQ524298 NIM524291:NIM524298 NSI524291:NSI524298 OCE524291:OCE524298 OMA524291:OMA524298 OVW524291:OVW524298 PFS524291:PFS524298 PPO524291:PPO524298 PZK524291:PZK524298 QJG524291:QJG524298 QTC524291:QTC524298 RCY524291:RCY524298 RMU524291:RMU524298 RWQ524291:RWQ524298 SGM524291:SGM524298 SQI524291:SQI524298 TAE524291:TAE524298 TKA524291:TKA524298 TTW524291:TTW524298 UDS524291:UDS524298 UNO524291:UNO524298 UXK524291:UXK524298 VHG524291:VHG524298 VRC524291:VRC524298 WAY524291:WAY524298 WKU524291:WKU524298 WUQ524291:WUQ524298 IE589827:IE589834 SA589827:SA589834 ABW589827:ABW589834 ALS589827:ALS589834 AVO589827:AVO589834 BFK589827:BFK589834 BPG589827:BPG589834 BZC589827:BZC589834 CIY589827:CIY589834 CSU589827:CSU589834 DCQ589827:DCQ589834 DMM589827:DMM589834 DWI589827:DWI589834 EGE589827:EGE589834 EQA589827:EQA589834 EZW589827:EZW589834 FJS589827:FJS589834 FTO589827:FTO589834 GDK589827:GDK589834 GNG589827:GNG589834 GXC589827:GXC589834 HGY589827:HGY589834 HQU589827:HQU589834 IAQ589827:IAQ589834 IKM589827:IKM589834 IUI589827:IUI589834 JEE589827:JEE589834 JOA589827:JOA589834 JXW589827:JXW589834 KHS589827:KHS589834 KRO589827:KRO589834 LBK589827:LBK589834 LLG589827:LLG589834 LVC589827:LVC589834 MEY589827:MEY589834 MOU589827:MOU589834 MYQ589827:MYQ589834 NIM589827:NIM589834 NSI589827:NSI589834 OCE589827:OCE589834 OMA589827:OMA589834 OVW589827:OVW589834 PFS589827:PFS589834 PPO589827:PPO589834 PZK589827:PZK589834 QJG589827:QJG589834 QTC589827:QTC589834 RCY589827:RCY589834 RMU589827:RMU589834 RWQ589827:RWQ589834 SGM589827:SGM589834 SQI589827:SQI589834 TAE589827:TAE589834 TKA589827:TKA589834 TTW589827:TTW589834 UDS589827:UDS589834 UNO589827:UNO589834 UXK589827:UXK589834 VHG589827:VHG589834 VRC589827:VRC589834 WAY589827:WAY589834 WKU589827:WKU589834 WUQ589827:WUQ589834 IE655363:IE655370 SA655363:SA655370 ABW655363:ABW655370 ALS655363:ALS655370 AVO655363:AVO655370 BFK655363:BFK655370 BPG655363:BPG655370 BZC655363:BZC655370 CIY655363:CIY655370 CSU655363:CSU655370 DCQ655363:DCQ655370 DMM655363:DMM655370 DWI655363:DWI655370 EGE655363:EGE655370 EQA655363:EQA655370 EZW655363:EZW655370 FJS655363:FJS655370 FTO655363:FTO655370 GDK655363:GDK655370 GNG655363:GNG655370 GXC655363:GXC655370 HGY655363:HGY655370 HQU655363:HQU655370 IAQ655363:IAQ655370 IKM655363:IKM655370 IUI655363:IUI655370 JEE655363:JEE655370 JOA655363:JOA655370 JXW655363:JXW655370 KHS655363:KHS655370 KRO655363:KRO655370 LBK655363:LBK655370 LLG655363:LLG655370 LVC655363:LVC655370 MEY655363:MEY655370 MOU655363:MOU655370 MYQ655363:MYQ655370 NIM655363:NIM655370 NSI655363:NSI655370 OCE655363:OCE655370 OMA655363:OMA655370 OVW655363:OVW655370 PFS655363:PFS655370 PPO655363:PPO655370 PZK655363:PZK655370 QJG655363:QJG655370 QTC655363:QTC655370 RCY655363:RCY655370 RMU655363:RMU655370 RWQ655363:RWQ655370 SGM655363:SGM655370 SQI655363:SQI655370 TAE655363:TAE655370 TKA655363:TKA655370 TTW655363:TTW655370 UDS655363:UDS655370 UNO655363:UNO655370 UXK655363:UXK655370 VHG655363:VHG655370 VRC655363:VRC655370 WAY655363:WAY655370 WKU655363:WKU655370 WUQ655363:WUQ655370 IE720899:IE720906 SA720899:SA720906 ABW720899:ABW720906 ALS720899:ALS720906 AVO720899:AVO720906 BFK720899:BFK720906 BPG720899:BPG720906 BZC720899:BZC720906 CIY720899:CIY720906 CSU720899:CSU720906 DCQ720899:DCQ720906 DMM720899:DMM720906 DWI720899:DWI720906 EGE720899:EGE720906 EQA720899:EQA720906 EZW720899:EZW720906 FJS720899:FJS720906 FTO720899:FTO720906 GDK720899:GDK720906 GNG720899:GNG720906 GXC720899:GXC720906 HGY720899:HGY720906 HQU720899:HQU720906 IAQ720899:IAQ720906 IKM720899:IKM720906 IUI720899:IUI720906 JEE720899:JEE720906 JOA720899:JOA720906 JXW720899:JXW720906 KHS720899:KHS720906 KRO720899:KRO720906 LBK720899:LBK720906 LLG720899:LLG720906 LVC720899:LVC720906 MEY720899:MEY720906 MOU720899:MOU720906 MYQ720899:MYQ720906 NIM720899:NIM720906 NSI720899:NSI720906 OCE720899:OCE720906 OMA720899:OMA720906 OVW720899:OVW720906 PFS720899:PFS720906 PPO720899:PPO720906 PZK720899:PZK720906 QJG720899:QJG720906 QTC720899:QTC720906 RCY720899:RCY720906 RMU720899:RMU720906 RWQ720899:RWQ720906 SGM720899:SGM720906 SQI720899:SQI720906 TAE720899:TAE720906 TKA720899:TKA720906 TTW720899:TTW720906 UDS720899:UDS720906 UNO720899:UNO720906 UXK720899:UXK720906 VHG720899:VHG720906 VRC720899:VRC720906 WAY720899:WAY720906 WKU720899:WKU720906 WUQ720899:WUQ720906 IE786435:IE786442 SA786435:SA786442 ABW786435:ABW786442 ALS786435:ALS786442 AVO786435:AVO786442 BFK786435:BFK786442 BPG786435:BPG786442 BZC786435:BZC786442 CIY786435:CIY786442 CSU786435:CSU786442 DCQ786435:DCQ786442 DMM786435:DMM786442 DWI786435:DWI786442 EGE786435:EGE786442 EQA786435:EQA786442 EZW786435:EZW786442 FJS786435:FJS786442 FTO786435:FTO786442 GDK786435:GDK786442 GNG786435:GNG786442 GXC786435:GXC786442 HGY786435:HGY786442 HQU786435:HQU786442 IAQ786435:IAQ786442 IKM786435:IKM786442 IUI786435:IUI786442 JEE786435:JEE786442 JOA786435:JOA786442 JXW786435:JXW786442 KHS786435:KHS786442 KRO786435:KRO786442 LBK786435:LBK786442 LLG786435:LLG786442 LVC786435:LVC786442 MEY786435:MEY786442 MOU786435:MOU786442 MYQ786435:MYQ786442 NIM786435:NIM786442 NSI786435:NSI786442 OCE786435:OCE786442 OMA786435:OMA786442 OVW786435:OVW786442 PFS786435:PFS786442 PPO786435:PPO786442 PZK786435:PZK786442 QJG786435:QJG786442 QTC786435:QTC786442 RCY786435:RCY786442 RMU786435:RMU786442 RWQ786435:RWQ786442 SGM786435:SGM786442 SQI786435:SQI786442 TAE786435:TAE786442 TKA786435:TKA786442 TTW786435:TTW786442 UDS786435:UDS786442 UNO786435:UNO786442 UXK786435:UXK786442 VHG786435:VHG786442 VRC786435:VRC786442 WAY786435:WAY786442 WKU786435:WKU786442 WUQ786435:WUQ786442 IE851971:IE851978 SA851971:SA851978 ABW851971:ABW851978 ALS851971:ALS851978 AVO851971:AVO851978 BFK851971:BFK851978 BPG851971:BPG851978 BZC851971:BZC851978 CIY851971:CIY851978 CSU851971:CSU851978 DCQ851971:DCQ851978 DMM851971:DMM851978 DWI851971:DWI851978 EGE851971:EGE851978 EQA851971:EQA851978 EZW851971:EZW851978 FJS851971:FJS851978 FTO851971:FTO851978 GDK851971:GDK851978 GNG851971:GNG851978 GXC851971:GXC851978 HGY851971:HGY851978 HQU851971:HQU851978 IAQ851971:IAQ851978 IKM851971:IKM851978 IUI851971:IUI851978 JEE851971:JEE851978 JOA851971:JOA851978 JXW851971:JXW851978 KHS851971:KHS851978 KRO851971:KRO851978 LBK851971:LBK851978 LLG851971:LLG851978 LVC851971:LVC851978 MEY851971:MEY851978 MOU851971:MOU851978 MYQ851971:MYQ851978 NIM851971:NIM851978 NSI851971:NSI851978 OCE851971:OCE851978 OMA851971:OMA851978 OVW851971:OVW851978 PFS851971:PFS851978 PPO851971:PPO851978 PZK851971:PZK851978 QJG851971:QJG851978 QTC851971:QTC851978 RCY851971:RCY851978 RMU851971:RMU851978 RWQ851971:RWQ851978 SGM851971:SGM851978 SQI851971:SQI851978 TAE851971:TAE851978 TKA851971:TKA851978 TTW851971:TTW851978 UDS851971:UDS851978 UNO851971:UNO851978 UXK851971:UXK851978 VHG851971:VHG851978 VRC851971:VRC851978 WAY851971:WAY851978 WKU851971:WKU851978 WUQ851971:WUQ851978 IE917507:IE917514 SA917507:SA917514 ABW917507:ABW917514 ALS917507:ALS917514 AVO917507:AVO917514 BFK917507:BFK917514 BPG917507:BPG917514 BZC917507:BZC917514 CIY917507:CIY917514 CSU917507:CSU917514 DCQ917507:DCQ917514 DMM917507:DMM917514 DWI917507:DWI917514 EGE917507:EGE917514 EQA917507:EQA917514 EZW917507:EZW917514 FJS917507:FJS917514 FTO917507:FTO917514 GDK917507:GDK917514 GNG917507:GNG917514 GXC917507:GXC917514 HGY917507:HGY917514 HQU917507:HQU917514 IAQ917507:IAQ917514 IKM917507:IKM917514 IUI917507:IUI917514 JEE917507:JEE917514 JOA917507:JOA917514 JXW917507:JXW917514 KHS917507:KHS917514 KRO917507:KRO917514 LBK917507:LBK917514 LLG917507:LLG917514 LVC917507:LVC917514 MEY917507:MEY917514 MOU917507:MOU917514 MYQ917507:MYQ917514 NIM917507:NIM917514 NSI917507:NSI917514 OCE917507:OCE917514 OMA917507:OMA917514 OVW917507:OVW917514 PFS917507:PFS917514 PPO917507:PPO917514 PZK917507:PZK917514 QJG917507:QJG917514 QTC917507:QTC917514 RCY917507:RCY917514 RMU917507:RMU917514 RWQ917507:RWQ917514 SGM917507:SGM917514 SQI917507:SQI917514 TAE917507:TAE917514 TKA917507:TKA917514 TTW917507:TTW917514 UDS917507:UDS917514 UNO917507:UNO917514 UXK917507:UXK917514 VHG917507:VHG917514 VRC917507:VRC917514 WAY917507:WAY917514 WKU917507:WKU917514 WUQ917507:WUQ917514 IE983043:IE983050 SA983043:SA983050 ABW983043:ABW983050 ALS983043:ALS983050 AVO983043:AVO983050 BFK983043:BFK983050 BPG983043:BPG983050 BZC983043:BZC983050 CIY983043:CIY983050 CSU983043:CSU983050 DCQ983043:DCQ983050 DMM983043:DMM983050 DWI983043:DWI983050 EGE983043:EGE983050 EQA983043:EQA983050 EZW983043:EZW983050 FJS983043:FJS983050 FTO983043:FTO983050 GDK983043:GDK983050 GNG983043:GNG983050 GXC983043:GXC983050 HGY983043:HGY983050 HQU983043:HQU983050 IAQ983043:IAQ983050 IKM983043:IKM983050 IUI983043:IUI983050 JEE983043:JEE983050 JOA983043:JOA983050 JXW983043:JXW983050 KHS983043:KHS983050 KRO983043:KRO983050 LBK983043:LBK983050 LLG983043:LLG983050 LVC983043:LVC983050 MEY983043:MEY983050 MOU983043:MOU983050 MYQ983043:MYQ983050 NIM983043:NIM983050 NSI983043:NSI983050 OCE983043:OCE983050 OMA983043:OMA983050 OVW983043:OVW983050 PFS983043:PFS983050 PPO983043:PPO983050 PZK983043:PZK983050 QJG983043:QJG983050 QTC983043:QTC983050 RCY983043:RCY983050 RMU983043:RMU983050 RWQ983043:RWQ983050 SGM983043:SGM983050 SQI983043:SQI983050 TAE983043:TAE983050 TKA983043:TKA983050 TTW983043:TTW983050 UDS983043:UDS983050 UNO983043:UNO983050 UXK983043:UXK983050 VHG983043:VHG983050 VRC983043:VRC983050 WAY983043:WAY983050 WKU983043:WKU983050 WUQ983043:WUQ983050 IE65551:IE65565 SA65551:SA65565 ABW65551:ABW65565 ALS65551:ALS65565 AVO65551:AVO65565 BFK65551:BFK65565 BPG65551:BPG65565 BZC65551:BZC65565 CIY65551:CIY65565 CSU65551:CSU65565 DCQ65551:DCQ65565 DMM65551:DMM65565 DWI65551:DWI65565 EGE65551:EGE65565 EQA65551:EQA65565 EZW65551:EZW65565 FJS65551:FJS65565 FTO65551:FTO65565 GDK65551:GDK65565 GNG65551:GNG65565 GXC65551:GXC65565 HGY65551:HGY65565 HQU65551:HQU65565 IAQ65551:IAQ65565 IKM65551:IKM65565 IUI65551:IUI65565 JEE65551:JEE65565 JOA65551:JOA65565 JXW65551:JXW65565 KHS65551:KHS65565 KRO65551:KRO65565 LBK65551:LBK65565 LLG65551:LLG65565 LVC65551:LVC65565 MEY65551:MEY65565 MOU65551:MOU65565 MYQ65551:MYQ65565 NIM65551:NIM65565 NSI65551:NSI65565 OCE65551:OCE65565 OMA65551:OMA65565 OVW65551:OVW65565 PFS65551:PFS65565 PPO65551:PPO65565 PZK65551:PZK65565 QJG65551:QJG65565 QTC65551:QTC65565 RCY65551:RCY65565 RMU65551:RMU65565 RWQ65551:RWQ65565 SGM65551:SGM65565 SQI65551:SQI65565 TAE65551:TAE65565 TKA65551:TKA65565 TTW65551:TTW65565 UDS65551:UDS65565 UNO65551:UNO65565 UXK65551:UXK65565 VHG65551:VHG65565 VRC65551:VRC65565 WAY65551:WAY65565 WKU65551:WKU65565 WUQ65551:WUQ65565 IE131087:IE131101 SA131087:SA131101 ABW131087:ABW131101 ALS131087:ALS131101 AVO131087:AVO131101 BFK131087:BFK131101 BPG131087:BPG131101 BZC131087:BZC131101 CIY131087:CIY131101 CSU131087:CSU131101 DCQ131087:DCQ131101 DMM131087:DMM131101 DWI131087:DWI131101 EGE131087:EGE131101 EQA131087:EQA131101 EZW131087:EZW131101 FJS131087:FJS131101 FTO131087:FTO131101 GDK131087:GDK131101 GNG131087:GNG131101 GXC131087:GXC131101 HGY131087:HGY131101 HQU131087:HQU131101 IAQ131087:IAQ131101 IKM131087:IKM131101 IUI131087:IUI131101 JEE131087:JEE131101 JOA131087:JOA131101 JXW131087:JXW131101 KHS131087:KHS131101 KRO131087:KRO131101 LBK131087:LBK131101 LLG131087:LLG131101 LVC131087:LVC131101 MEY131087:MEY131101 MOU131087:MOU131101 MYQ131087:MYQ131101 NIM131087:NIM131101 NSI131087:NSI131101 OCE131087:OCE131101 OMA131087:OMA131101 OVW131087:OVW131101 PFS131087:PFS131101 PPO131087:PPO131101 PZK131087:PZK131101 QJG131087:QJG131101 QTC131087:QTC131101 RCY131087:RCY131101 RMU131087:RMU131101 RWQ131087:RWQ131101 SGM131087:SGM131101 SQI131087:SQI131101 TAE131087:TAE131101 TKA131087:TKA131101 TTW131087:TTW131101 UDS131087:UDS131101 UNO131087:UNO131101 UXK131087:UXK131101 VHG131087:VHG131101 VRC131087:VRC131101 WAY131087:WAY131101 WKU131087:WKU131101 WUQ131087:WUQ131101 IE196623:IE196637 SA196623:SA196637 ABW196623:ABW196637 ALS196623:ALS196637 AVO196623:AVO196637 BFK196623:BFK196637 BPG196623:BPG196637 BZC196623:BZC196637 CIY196623:CIY196637 CSU196623:CSU196637 DCQ196623:DCQ196637 DMM196623:DMM196637 DWI196623:DWI196637 EGE196623:EGE196637 EQA196623:EQA196637 EZW196623:EZW196637 FJS196623:FJS196637 FTO196623:FTO196637 GDK196623:GDK196637 GNG196623:GNG196637 GXC196623:GXC196637 HGY196623:HGY196637 HQU196623:HQU196637 IAQ196623:IAQ196637 IKM196623:IKM196637 IUI196623:IUI196637 JEE196623:JEE196637 JOA196623:JOA196637 JXW196623:JXW196637 KHS196623:KHS196637 KRO196623:KRO196637 LBK196623:LBK196637 LLG196623:LLG196637 LVC196623:LVC196637 MEY196623:MEY196637 MOU196623:MOU196637 MYQ196623:MYQ196637 NIM196623:NIM196637 NSI196623:NSI196637 OCE196623:OCE196637 OMA196623:OMA196637 OVW196623:OVW196637 PFS196623:PFS196637 PPO196623:PPO196637 PZK196623:PZK196637 QJG196623:QJG196637 QTC196623:QTC196637 RCY196623:RCY196637 RMU196623:RMU196637 RWQ196623:RWQ196637 SGM196623:SGM196637 SQI196623:SQI196637 TAE196623:TAE196637 TKA196623:TKA196637 TTW196623:TTW196637 UDS196623:UDS196637 UNO196623:UNO196637 UXK196623:UXK196637 VHG196623:VHG196637 VRC196623:VRC196637 WAY196623:WAY196637 WKU196623:WKU196637 WUQ196623:WUQ196637 IE262159:IE262173 SA262159:SA262173 ABW262159:ABW262173 ALS262159:ALS262173 AVO262159:AVO262173 BFK262159:BFK262173 BPG262159:BPG262173 BZC262159:BZC262173 CIY262159:CIY262173 CSU262159:CSU262173 DCQ262159:DCQ262173 DMM262159:DMM262173 DWI262159:DWI262173 EGE262159:EGE262173 EQA262159:EQA262173 EZW262159:EZW262173 FJS262159:FJS262173 FTO262159:FTO262173 GDK262159:GDK262173 GNG262159:GNG262173 GXC262159:GXC262173 HGY262159:HGY262173 HQU262159:HQU262173 IAQ262159:IAQ262173 IKM262159:IKM262173 IUI262159:IUI262173 JEE262159:JEE262173 JOA262159:JOA262173 JXW262159:JXW262173 KHS262159:KHS262173 KRO262159:KRO262173 LBK262159:LBK262173 LLG262159:LLG262173 LVC262159:LVC262173 MEY262159:MEY262173 MOU262159:MOU262173 MYQ262159:MYQ262173 NIM262159:NIM262173 NSI262159:NSI262173 OCE262159:OCE262173 OMA262159:OMA262173 OVW262159:OVW262173 PFS262159:PFS262173 PPO262159:PPO262173 PZK262159:PZK262173 QJG262159:QJG262173 QTC262159:QTC262173 RCY262159:RCY262173 RMU262159:RMU262173 RWQ262159:RWQ262173 SGM262159:SGM262173 SQI262159:SQI262173 TAE262159:TAE262173 TKA262159:TKA262173 TTW262159:TTW262173 UDS262159:UDS262173 UNO262159:UNO262173 UXK262159:UXK262173 VHG262159:VHG262173 VRC262159:VRC262173 WAY262159:WAY262173 WKU262159:WKU262173 WUQ262159:WUQ262173 IE327695:IE327709 SA327695:SA327709 ABW327695:ABW327709 ALS327695:ALS327709 AVO327695:AVO327709 BFK327695:BFK327709 BPG327695:BPG327709 BZC327695:BZC327709 CIY327695:CIY327709 CSU327695:CSU327709 DCQ327695:DCQ327709 DMM327695:DMM327709 DWI327695:DWI327709 EGE327695:EGE327709 EQA327695:EQA327709 EZW327695:EZW327709 FJS327695:FJS327709 FTO327695:FTO327709 GDK327695:GDK327709 GNG327695:GNG327709 GXC327695:GXC327709 HGY327695:HGY327709 HQU327695:HQU327709 IAQ327695:IAQ327709 IKM327695:IKM327709 IUI327695:IUI327709 JEE327695:JEE327709 JOA327695:JOA327709 JXW327695:JXW327709 KHS327695:KHS327709 KRO327695:KRO327709 LBK327695:LBK327709 LLG327695:LLG327709 LVC327695:LVC327709 MEY327695:MEY327709 MOU327695:MOU327709 MYQ327695:MYQ327709 NIM327695:NIM327709 NSI327695:NSI327709 OCE327695:OCE327709 OMA327695:OMA327709 OVW327695:OVW327709 PFS327695:PFS327709 PPO327695:PPO327709 PZK327695:PZK327709 QJG327695:QJG327709 QTC327695:QTC327709 RCY327695:RCY327709 RMU327695:RMU327709 RWQ327695:RWQ327709 SGM327695:SGM327709 SQI327695:SQI327709 TAE327695:TAE327709 TKA327695:TKA327709 TTW327695:TTW327709 UDS327695:UDS327709 UNO327695:UNO327709 UXK327695:UXK327709 VHG327695:VHG327709 VRC327695:VRC327709 WAY327695:WAY327709 WKU327695:WKU327709 WUQ327695:WUQ327709 IE393231:IE393245 SA393231:SA393245 ABW393231:ABW393245 ALS393231:ALS393245 AVO393231:AVO393245 BFK393231:BFK393245 BPG393231:BPG393245 BZC393231:BZC393245 CIY393231:CIY393245 CSU393231:CSU393245 DCQ393231:DCQ393245 DMM393231:DMM393245 DWI393231:DWI393245 EGE393231:EGE393245 EQA393231:EQA393245 EZW393231:EZW393245 FJS393231:FJS393245 FTO393231:FTO393245 GDK393231:GDK393245 GNG393231:GNG393245 GXC393231:GXC393245 HGY393231:HGY393245 HQU393231:HQU393245 IAQ393231:IAQ393245 IKM393231:IKM393245 IUI393231:IUI393245 JEE393231:JEE393245 JOA393231:JOA393245 JXW393231:JXW393245 KHS393231:KHS393245 KRO393231:KRO393245 LBK393231:LBK393245 LLG393231:LLG393245 LVC393231:LVC393245 MEY393231:MEY393245 MOU393231:MOU393245 MYQ393231:MYQ393245 NIM393231:NIM393245 NSI393231:NSI393245 OCE393231:OCE393245 OMA393231:OMA393245 OVW393231:OVW393245 PFS393231:PFS393245 PPO393231:PPO393245 PZK393231:PZK393245 QJG393231:QJG393245 QTC393231:QTC393245 RCY393231:RCY393245 RMU393231:RMU393245 RWQ393231:RWQ393245 SGM393231:SGM393245 SQI393231:SQI393245 TAE393231:TAE393245 TKA393231:TKA393245 TTW393231:TTW393245 UDS393231:UDS393245 UNO393231:UNO393245 UXK393231:UXK393245 VHG393231:VHG393245 VRC393231:VRC393245 WAY393231:WAY393245 WKU393231:WKU393245 WUQ393231:WUQ393245 IE458767:IE458781 SA458767:SA458781 ABW458767:ABW458781 ALS458767:ALS458781 AVO458767:AVO458781 BFK458767:BFK458781 BPG458767:BPG458781 BZC458767:BZC458781 CIY458767:CIY458781 CSU458767:CSU458781 DCQ458767:DCQ458781 DMM458767:DMM458781 DWI458767:DWI458781 EGE458767:EGE458781 EQA458767:EQA458781 EZW458767:EZW458781 FJS458767:FJS458781 FTO458767:FTO458781 GDK458767:GDK458781 GNG458767:GNG458781 GXC458767:GXC458781 HGY458767:HGY458781 HQU458767:HQU458781 IAQ458767:IAQ458781 IKM458767:IKM458781 IUI458767:IUI458781 JEE458767:JEE458781 JOA458767:JOA458781 JXW458767:JXW458781 KHS458767:KHS458781 KRO458767:KRO458781 LBK458767:LBK458781 LLG458767:LLG458781 LVC458767:LVC458781 MEY458767:MEY458781 MOU458767:MOU458781 MYQ458767:MYQ458781 NIM458767:NIM458781 NSI458767:NSI458781 OCE458767:OCE458781 OMA458767:OMA458781 OVW458767:OVW458781 PFS458767:PFS458781 PPO458767:PPO458781 PZK458767:PZK458781 QJG458767:QJG458781 QTC458767:QTC458781 RCY458767:RCY458781 RMU458767:RMU458781 RWQ458767:RWQ458781 SGM458767:SGM458781 SQI458767:SQI458781 TAE458767:TAE458781 TKA458767:TKA458781 TTW458767:TTW458781 UDS458767:UDS458781 UNO458767:UNO458781 UXK458767:UXK458781 VHG458767:VHG458781 VRC458767:VRC458781 WAY458767:WAY458781 WKU458767:WKU458781 WUQ458767:WUQ458781 IE524303:IE524317 SA524303:SA524317 ABW524303:ABW524317 ALS524303:ALS524317 AVO524303:AVO524317 BFK524303:BFK524317 BPG524303:BPG524317 BZC524303:BZC524317 CIY524303:CIY524317 CSU524303:CSU524317 DCQ524303:DCQ524317 DMM524303:DMM524317 DWI524303:DWI524317 EGE524303:EGE524317 EQA524303:EQA524317 EZW524303:EZW524317 FJS524303:FJS524317 FTO524303:FTO524317 GDK524303:GDK524317 GNG524303:GNG524317 GXC524303:GXC524317 HGY524303:HGY524317 HQU524303:HQU524317 IAQ524303:IAQ524317 IKM524303:IKM524317 IUI524303:IUI524317 JEE524303:JEE524317 JOA524303:JOA524317 JXW524303:JXW524317 KHS524303:KHS524317 KRO524303:KRO524317 LBK524303:LBK524317 LLG524303:LLG524317 LVC524303:LVC524317 MEY524303:MEY524317 MOU524303:MOU524317 MYQ524303:MYQ524317 NIM524303:NIM524317 NSI524303:NSI524317 OCE524303:OCE524317 OMA524303:OMA524317 OVW524303:OVW524317 PFS524303:PFS524317 PPO524303:PPO524317 PZK524303:PZK524317 QJG524303:QJG524317 QTC524303:QTC524317 RCY524303:RCY524317 RMU524303:RMU524317 RWQ524303:RWQ524317 SGM524303:SGM524317 SQI524303:SQI524317 TAE524303:TAE524317 TKA524303:TKA524317 TTW524303:TTW524317 UDS524303:UDS524317 UNO524303:UNO524317 UXK524303:UXK524317 VHG524303:VHG524317 VRC524303:VRC524317 WAY524303:WAY524317 WKU524303:WKU524317 WUQ524303:WUQ524317 IE589839:IE589853 SA589839:SA589853 ABW589839:ABW589853 ALS589839:ALS589853 AVO589839:AVO589853 BFK589839:BFK589853 BPG589839:BPG589853 BZC589839:BZC589853 CIY589839:CIY589853 CSU589839:CSU589853 DCQ589839:DCQ589853 DMM589839:DMM589853 DWI589839:DWI589853 EGE589839:EGE589853 EQA589839:EQA589853 EZW589839:EZW589853 FJS589839:FJS589853 FTO589839:FTO589853 GDK589839:GDK589853 GNG589839:GNG589853 GXC589839:GXC589853 HGY589839:HGY589853 HQU589839:HQU589853 IAQ589839:IAQ589853 IKM589839:IKM589853 IUI589839:IUI589853 JEE589839:JEE589853 JOA589839:JOA589853 JXW589839:JXW589853 KHS589839:KHS589853 KRO589839:KRO589853 LBK589839:LBK589853 LLG589839:LLG589853 LVC589839:LVC589853 MEY589839:MEY589853 MOU589839:MOU589853 MYQ589839:MYQ589853 NIM589839:NIM589853 NSI589839:NSI589853 OCE589839:OCE589853 OMA589839:OMA589853 OVW589839:OVW589853 PFS589839:PFS589853 PPO589839:PPO589853 PZK589839:PZK589853 QJG589839:QJG589853 QTC589839:QTC589853 RCY589839:RCY589853 RMU589839:RMU589853 RWQ589839:RWQ589853 SGM589839:SGM589853 SQI589839:SQI589853 TAE589839:TAE589853 TKA589839:TKA589853 TTW589839:TTW589853 UDS589839:UDS589853 UNO589839:UNO589853 UXK589839:UXK589853 VHG589839:VHG589853 VRC589839:VRC589853 WAY589839:WAY589853 WKU589839:WKU589853 WUQ589839:WUQ589853 IE655375:IE655389 SA655375:SA655389 ABW655375:ABW655389 ALS655375:ALS655389 AVO655375:AVO655389 BFK655375:BFK655389 BPG655375:BPG655389 BZC655375:BZC655389 CIY655375:CIY655389 CSU655375:CSU655389 DCQ655375:DCQ655389 DMM655375:DMM655389 DWI655375:DWI655389 EGE655375:EGE655389 EQA655375:EQA655389 EZW655375:EZW655389 FJS655375:FJS655389 FTO655375:FTO655389 GDK655375:GDK655389 GNG655375:GNG655389 GXC655375:GXC655389 HGY655375:HGY655389 HQU655375:HQU655389 IAQ655375:IAQ655389 IKM655375:IKM655389 IUI655375:IUI655389 JEE655375:JEE655389 JOA655375:JOA655389 JXW655375:JXW655389 KHS655375:KHS655389 KRO655375:KRO655389 LBK655375:LBK655389 LLG655375:LLG655389 LVC655375:LVC655389 MEY655375:MEY655389 MOU655375:MOU655389 MYQ655375:MYQ655389 NIM655375:NIM655389 NSI655375:NSI655389 OCE655375:OCE655389 OMA655375:OMA655389 OVW655375:OVW655389 PFS655375:PFS655389 PPO655375:PPO655389 PZK655375:PZK655389 QJG655375:QJG655389 QTC655375:QTC655389 RCY655375:RCY655389 RMU655375:RMU655389 RWQ655375:RWQ655389 SGM655375:SGM655389 SQI655375:SQI655389 TAE655375:TAE655389 TKA655375:TKA655389 TTW655375:TTW655389 UDS655375:UDS655389 UNO655375:UNO655389 UXK655375:UXK655389 VHG655375:VHG655389 VRC655375:VRC655389 WAY655375:WAY655389 WKU655375:WKU655389 WUQ655375:WUQ655389 IE720911:IE720925 SA720911:SA720925 ABW720911:ABW720925 ALS720911:ALS720925 AVO720911:AVO720925 BFK720911:BFK720925 BPG720911:BPG720925 BZC720911:BZC720925 CIY720911:CIY720925 CSU720911:CSU720925 DCQ720911:DCQ720925 DMM720911:DMM720925 DWI720911:DWI720925 EGE720911:EGE720925 EQA720911:EQA720925 EZW720911:EZW720925 FJS720911:FJS720925 FTO720911:FTO720925 GDK720911:GDK720925 GNG720911:GNG720925 GXC720911:GXC720925 HGY720911:HGY720925 HQU720911:HQU720925 IAQ720911:IAQ720925 IKM720911:IKM720925 IUI720911:IUI720925 JEE720911:JEE720925 JOA720911:JOA720925 JXW720911:JXW720925 KHS720911:KHS720925 KRO720911:KRO720925 LBK720911:LBK720925 LLG720911:LLG720925 LVC720911:LVC720925 MEY720911:MEY720925 MOU720911:MOU720925 MYQ720911:MYQ720925 NIM720911:NIM720925 NSI720911:NSI720925 OCE720911:OCE720925 OMA720911:OMA720925 OVW720911:OVW720925 PFS720911:PFS720925 PPO720911:PPO720925 PZK720911:PZK720925 QJG720911:QJG720925 QTC720911:QTC720925 RCY720911:RCY720925 RMU720911:RMU720925 RWQ720911:RWQ720925 SGM720911:SGM720925 SQI720911:SQI720925 TAE720911:TAE720925 TKA720911:TKA720925 TTW720911:TTW720925 UDS720911:UDS720925 UNO720911:UNO720925 UXK720911:UXK720925 VHG720911:VHG720925 VRC720911:VRC720925 WAY720911:WAY720925 WKU720911:WKU720925 WUQ720911:WUQ720925 IE786447:IE786461 SA786447:SA786461 ABW786447:ABW786461 ALS786447:ALS786461 AVO786447:AVO786461 BFK786447:BFK786461 BPG786447:BPG786461 BZC786447:BZC786461 CIY786447:CIY786461 CSU786447:CSU786461 DCQ786447:DCQ786461 DMM786447:DMM786461 DWI786447:DWI786461 EGE786447:EGE786461 EQA786447:EQA786461 EZW786447:EZW786461 FJS786447:FJS786461 FTO786447:FTO786461 GDK786447:GDK786461 GNG786447:GNG786461 GXC786447:GXC786461 HGY786447:HGY786461 HQU786447:HQU786461 IAQ786447:IAQ786461 IKM786447:IKM786461 IUI786447:IUI786461 JEE786447:JEE786461 JOA786447:JOA786461 JXW786447:JXW786461 KHS786447:KHS786461 KRO786447:KRO786461 LBK786447:LBK786461 LLG786447:LLG786461 LVC786447:LVC786461 MEY786447:MEY786461 MOU786447:MOU786461 MYQ786447:MYQ786461 NIM786447:NIM786461 NSI786447:NSI786461 OCE786447:OCE786461 OMA786447:OMA786461 OVW786447:OVW786461 PFS786447:PFS786461 PPO786447:PPO786461 PZK786447:PZK786461 QJG786447:QJG786461 QTC786447:QTC786461 RCY786447:RCY786461 RMU786447:RMU786461 RWQ786447:RWQ786461 SGM786447:SGM786461 SQI786447:SQI786461 TAE786447:TAE786461 TKA786447:TKA786461 TTW786447:TTW786461 UDS786447:UDS786461 UNO786447:UNO786461 UXK786447:UXK786461 VHG786447:VHG786461 VRC786447:VRC786461 WAY786447:WAY786461 WKU786447:WKU786461 WUQ786447:WUQ786461 IE851983:IE851997 SA851983:SA851997 ABW851983:ABW851997 ALS851983:ALS851997 AVO851983:AVO851997 BFK851983:BFK851997 BPG851983:BPG851997 BZC851983:BZC851997 CIY851983:CIY851997 CSU851983:CSU851997 DCQ851983:DCQ851997 DMM851983:DMM851997 DWI851983:DWI851997 EGE851983:EGE851997 EQA851983:EQA851997 EZW851983:EZW851997 FJS851983:FJS851997 FTO851983:FTO851997 GDK851983:GDK851997 GNG851983:GNG851997 GXC851983:GXC851997 HGY851983:HGY851997 HQU851983:HQU851997 IAQ851983:IAQ851997 IKM851983:IKM851997 IUI851983:IUI851997 JEE851983:JEE851997 JOA851983:JOA851997 JXW851983:JXW851997 KHS851983:KHS851997 KRO851983:KRO851997 LBK851983:LBK851997 LLG851983:LLG851997 LVC851983:LVC851997 MEY851983:MEY851997 MOU851983:MOU851997 MYQ851983:MYQ851997 NIM851983:NIM851997 NSI851983:NSI851997 OCE851983:OCE851997 OMA851983:OMA851997 OVW851983:OVW851997 PFS851983:PFS851997 PPO851983:PPO851997 PZK851983:PZK851997 QJG851983:QJG851997 QTC851983:QTC851997 RCY851983:RCY851997 RMU851983:RMU851997 RWQ851983:RWQ851997 SGM851983:SGM851997 SQI851983:SQI851997 TAE851983:TAE851997 TKA851983:TKA851997 TTW851983:TTW851997 UDS851983:UDS851997 UNO851983:UNO851997 UXK851983:UXK851997 VHG851983:VHG851997 VRC851983:VRC851997 WAY851983:WAY851997 WKU851983:WKU851997 WUQ851983:WUQ851997 IE917519:IE917533 SA917519:SA917533 ABW917519:ABW917533 ALS917519:ALS917533 AVO917519:AVO917533 BFK917519:BFK917533 BPG917519:BPG917533 BZC917519:BZC917533 CIY917519:CIY917533 CSU917519:CSU917533 DCQ917519:DCQ917533 DMM917519:DMM917533 DWI917519:DWI917533 EGE917519:EGE917533 EQA917519:EQA917533 EZW917519:EZW917533 FJS917519:FJS917533 FTO917519:FTO917533 GDK917519:GDK917533 GNG917519:GNG917533 GXC917519:GXC917533 HGY917519:HGY917533 HQU917519:HQU917533 IAQ917519:IAQ917533 IKM917519:IKM917533 IUI917519:IUI917533 JEE917519:JEE917533 JOA917519:JOA917533 JXW917519:JXW917533 KHS917519:KHS917533 KRO917519:KRO917533 LBK917519:LBK917533 LLG917519:LLG917533 LVC917519:LVC917533 MEY917519:MEY917533 MOU917519:MOU917533 MYQ917519:MYQ917533 NIM917519:NIM917533 NSI917519:NSI917533 OCE917519:OCE917533 OMA917519:OMA917533 OVW917519:OVW917533 PFS917519:PFS917533 PPO917519:PPO917533 PZK917519:PZK917533 QJG917519:QJG917533 QTC917519:QTC917533 RCY917519:RCY917533 RMU917519:RMU917533 RWQ917519:RWQ917533 SGM917519:SGM917533 SQI917519:SQI917533 TAE917519:TAE917533 TKA917519:TKA917533 TTW917519:TTW917533 UDS917519:UDS917533 UNO917519:UNO917533 UXK917519:UXK917533 VHG917519:VHG917533 VRC917519:VRC917533 WAY917519:WAY917533 WKU917519:WKU917533 WUQ917519:WUQ917533 IE983055:IE983069 SA983055:SA983069 ABW983055:ABW983069 ALS983055:ALS983069 AVO983055:AVO983069 BFK983055:BFK983069 BPG983055:BPG983069 BZC983055:BZC983069 CIY983055:CIY983069 CSU983055:CSU983069 DCQ983055:DCQ983069 DMM983055:DMM983069 DWI983055:DWI983069 EGE983055:EGE983069 EQA983055:EQA983069 EZW983055:EZW983069 FJS983055:FJS983069 FTO983055:FTO983069 GDK983055:GDK983069 GNG983055:GNG983069 GXC983055:GXC983069 HGY983055:HGY983069 HQU983055:HQU983069 IAQ983055:IAQ983069 IKM983055:IKM983069 IUI983055:IUI983069 JEE983055:JEE983069 JOA983055:JOA983069 JXW983055:JXW983069 KHS983055:KHS983069 KRO983055:KRO983069 LBK983055:LBK983069 LLG983055:LLG983069 LVC983055:LVC983069 MEY983055:MEY983069 MOU983055:MOU983069 MYQ983055:MYQ983069 NIM983055:NIM983069 NSI983055:NSI983069 OCE983055:OCE983069 OMA983055:OMA983069 OVW983055:OVW983069 PFS983055:PFS983069 PPO983055:PPO983069 PZK983055:PZK983069 QJG983055:QJG983069 QTC983055:QTC983069 RCY983055:RCY983069 RMU983055:RMU983069 RWQ983055:RWQ983069 SGM983055:SGM983069 SQI983055:SQI983069 TAE983055:TAE983069 TKA983055:TKA983069 TTW983055:TTW983069 UDS983055:UDS983069 UNO983055:UNO983069 UXK983055:UXK983069 VHG983055:VHG983069 VRC983055:VRC983069 WAY983055:WAY983069 WKU983055:WKU983069 WUQ983055:WUQ983069 IE65567:IE65572 SA65567:SA65572 ABW65567:ABW65572 ALS65567:ALS65572 AVO65567:AVO65572 BFK65567:BFK65572 BPG65567:BPG65572 BZC65567:BZC65572 CIY65567:CIY65572 CSU65567:CSU65572 DCQ65567:DCQ65572 DMM65567:DMM65572 DWI65567:DWI65572 EGE65567:EGE65572 EQA65567:EQA65572 EZW65567:EZW65572 FJS65567:FJS65572 FTO65567:FTO65572 GDK65567:GDK65572 GNG65567:GNG65572 GXC65567:GXC65572 HGY65567:HGY65572 HQU65567:HQU65572 IAQ65567:IAQ65572 IKM65567:IKM65572 IUI65567:IUI65572 JEE65567:JEE65572 JOA65567:JOA65572 JXW65567:JXW65572 KHS65567:KHS65572 KRO65567:KRO65572 LBK65567:LBK65572 LLG65567:LLG65572 LVC65567:LVC65572 MEY65567:MEY65572 MOU65567:MOU65572 MYQ65567:MYQ65572 NIM65567:NIM65572 NSI65567:NSI65572 OCE65567:OCE65572 OMA65567:OMA65572 OVW65567:OVW65572 PFS65567:PFS65572 PPO65567:PPO65572 PZK65567:PZK65572 QJG65567:QJG65572 QTC65567:QTC65572 RCY65567:RCY65572 RMU65567:RMU65572 RWQ65567:RWQ65572 SGM65567:SGM65572 SQI65567:SQI65572 TAE65567:TAE65572 TKA65567:TKA65572 TTW65567:TTW65572 UDS65567:UDS65572 UNO65567:UNO65572 UXK65567:UXK65572 VHG65567:VHG65572 VRC65567:VRC65572 WAY65567:WAY65572 WKU65567:WKU65572 WUQ65567:WUQ65572 IE131103:IE131108 SA131103:SA131108 ABW131103:ABW131108 ALS131103:ALS131108 AVO131103:AVO131108 BFK131103:BFK131108 BPG131103:BPG131108 BZC131103:BZC131108 CIY131103:CIY131108 CSU131103:CSU131108 DCQ131103:DCQ131108 DMM131103:DMM131108 DWI131103:DWI131108 EGE131103:EGE131108 EQA131103:EQA131108 EZW131103:EZW131108 FJS131103:FJS131108 FTO131103:FTO131108 GDK131103:GDK131108 GNG131103:GNG131108 GXC131103:GXC131108 HGY131103:HGY131108 HQU131103:HQU131108 IAQ131103:IAQ131108 IKM131103:IKM131108 IUI131103:IUI131108 JEE131103:JEE131108 JOA131103:JOA131108 JXW131103:JXW131108 KHS131103:KHS131108 KRO131103:KRO131108 LBK131103:LBK131108 LLG131103:LLG131108 LVC131103:LVC131108 MEY131103:MEY131108 MOU131103:MOU131108 MYQ131103:MYQ131108 NIM131103:NIM131108 NSI131103:NSI131108 OCE131103:OCE131108 OMA131103:OMA131108 OVW131103:OVW131108 PFS131103:PFS131108 PPO131103:PPO131108 PZK131103:PZK131108 QJG131103:QJG131108 QTC131103:QTC131108 RCY131103:RCY131108 RMU131103:RMU131108 RWQ131103:RWQ131108 SGM131103:SGM131108 SQI131103:SQI131108 TAE131103:TAE131108 TKA131103:TKA131108 TTW131103:TTW131108 UDS131103:UDS131108 UNO131103:UNO131108 UXK131103:UXK131108 VHG131103:VHG131108 VRC131103:VRC131108 WAY131103:WAY131108 WKU131103:WKU131108 WUQ131103:WUQ131108 IE196639:IE196644 SA196639:SA196644 ABW196639:ABW196644 ALS196639:ALS196644 AVO196639:AVO196644 BFK196639:BFK196644 BPG196639:BPG196644 BZC196639:BZC196644 CIY196639:CIY196644 CSU196639:CSU196644 DCQ196639:DCQ196644 DMM196639:DMM196644 DWI196639:DWI196644 EGE196639:EGE196644 EQA196639:EQA196644 EZW196639:EZW196644 FJS196639:FJS196644 FTO196639:FTO196644 GDK196639:GDK196644 GNG196639:GNG196644 GXC196639:GXC196644 HGY196639:HGY196644 HQU196639:HQU196644 IAQ196639:IAQ196644 IKM196639:IKM196644 IUI196639:IUI196644 JEE196639:JEE196644 JOA196639:JOA196644 JXW196639:JXW196644 KHS196639:KHS196644 KRO196639:KRO196644 LBK196639:LBK196644 LLG196639:LLG196644 LVC196639:LVC196644 MEY196639:MEY196644 MOU196639:MOU196644 MYQ196639:MYQ196644 NIM196639:NIM196644 NSI196639:NSI196644 OCE196639:OCE196644 OMA196639:OMA196644 OVW196639:OVW196644 PFS196639:PFS196644 PPO196639:PPO196644 PZK196639:PZK196644 QJG196639:QJG196644 QTC196639:QTC196644 RCY196639:RCY196644 RMU196639:RMU196644 RWQ196639:RWQ196644 SGM196639:SGM196644 SQI196639:SQI196644 TAE196639:TAE196644 TKA196639:TKA196644 TTW196639:TTW196644 UDS196639:UDS196644 UNO196639:UNO196644 UXK196639:UXK196644 VHG196639:VHG196644 VRC196639:VRC196644 WAY196639:WAY196644 WKU196639:WKU196644 WUQ196639:WUQ196644 IE262175:IE262180 SA262175:SA262180 ABW262175:ABW262180 ALS262175:ALS262180 AVO262175:AVO262180 BFK262175:BFK262180 BPG262175:BPG262180 BZC262175:BZC262180 CIY262175:CIY262180 CSU262175:CSU262180 DCQ262175:DCQ262180 DMM262175:DMM262180 DWI262175:DWI262180 EGE262175:EGE262180 EQA262175:EQA262180 EZW262175:EZW262180 FJS262175:FJS262180 FTO262175:FTO262180 GDK262175:GDK262180 GNG262175:GNG262180 GXC262175:GXC262180 HGY262175:HGY262180 HQU262175:HQU262180 IAQ262175:IAQ262180 IKM262175:IKM262180 IUI262175:IUI262180 JEE262175:JEE262180 JOA262175:JOA262180 JXW262175:JXW262180 KHS262175:KHS262180 KRO262175:KRO262180 LBK262175:LBK262180 LLG262175:LLG262180 LVC262175:LVC262180 MEY262175:MEY262180 MOU262175:MOU262180 MYQ262175:MYQ262180 NIM262175:NIM262180 NSI262175:NSI262180 OCE262175:OCE262180 OMA262175:OMA262180 OVW262175:OVW262180 PFS262175:PFS262180 PPO262175:PPO262180 PZK262175:PZK262180 QJG262175:QJG262180 QTC262175:QTC262180 RCY262175:RCY262180 RMU262175:RMU262180 RWQ262175:RWQ262180 SGM262175:SGM262180 SQI262175:SQI262180 TAE262175:TAE262180 TKA262175:TKA262180 TTW262175:TTW262180 UDS262175:UDS262180 UNO262175:UNO262180 UXK262175:UXK262180 VHG262175:VHG262180 VRC262175:VRC262180 WAY262175:WAY262180 WKU262175:WKU262180 WUQ262175:WUQ262180 IE327711:IE327716 SA327711:SA327716 ABW327711:ABW327716 ALS327711:ALS327716 AVO327711:AVO327716 BFK327711:BFK327716 BPG327711:BPG327716 BZC327711:BZC327716 CIY327711:CIY327716 CSU327711:CSU327716 DCQ327711:DCQ327716 DMM327711:DMM327716 DWI327711:DWI327716 EGE327711:EGE327716 EQA327711:EQA327716 EZW327711:EZW327716 FJS327711:FJS327716 FTO327711:FTO327716 GDK327711:GDK327716 GNG327711:GNG327716 GXC327711:GXC327716 HGY327711:HGY327716 HQU327711:HQU327716 IAQ327711:IAQ327716 IKM327711:IKM327716 IUI327711:IUI327716 JEE327711:JEE327716 JOA327711:JOA327716 JXW327711:JXW327716 KHS327711:KHS327716 KRO327711:KRO327716 LBK327711:LBK327716 LLG327711:LLG327716 LVC327711:LVC327716 MEY327711:MEY327716 MOU327711:MOU327716 MYQ327711:MYQ327716 NIM327711:NIM327716 NSI327711:NSI327716 OCE327711:OCE327716 OMA327711:OMA327716 OVW327711:OVW327716 PFS327711:PFS327716 PPO327711:PPO327716 PZK327711:PZK327716 QJG327711:QJG327716 QTC327711:QTC327716 RCY327711:RCY327716 RMU327711:RMU327716 RWQ327711:RWQ327716 SGM327711:SGM327716 SQI327711:SQI327716 TAE327711:TAE327716 TKA327711:TKA327716 TTW327711:TTW327716 UDS327711:UDS327716 UNO327711:UNO327716 UXK327711:UXK327716 VHG327711:VHG327716 VRC327711:VRC327716 WAY327711:WAY327716 WKU327711:WKU327716 WUQ327711:WUQ327716 IE393247:IE393252 SA393247:SA393252 ABW393247:ABW393252 ALS393247:ALS393252 AVO393247:AVO393252 BFK393247:BFK393252 BPG393247:BPG393252 BZC393247:BZC393252 CIY393247:CIY393252 CSU393247:CSU393252 DCQ393247:DCQ393252 DMM393247:DMM393252 DWI393247:DWI393252 EGE393247:EGE393252 EQA393247:EQA393252 EZW393247:EZW393252 FJS393247:FJS393252 FTO393247:FTO393252 GDK393247:GDK393252 GNG393247:GNG393252 GXC393247:GXC393252 HGY393247:HGY393252 HQU393247:HQU393252 IAQ393247:IAQ393252 IKM393247:IKM393252 IUI393247:IUI393252 JEE393247:JEE393252 JOA393247:JOA393252 JXW393247:JXW393252 KHS393247:KHS393252 KRO393247:KRO393252 LBK393247:LBK393252 LLG393247:LLG393252 LVC393247:LVC393252 MEY393247:MEY393252 MOU393247:MOU393252 MYQ393247:MYQ393252 NIM393247:NIM393252 NSI393247:NSI393252 OCE393247:OCE393252 OMA393247:OMA393252 OVW393247:OVW393252 PFS393247:PFS393252 PPO393247:PPO393252 PZK393247:PZK393252 QJG393247:QJG393252 QTC393247:QTC393252 RCY393247:RCY393252 RMU393247:RMU393252 RWQ393247:RWQ393252 SGM393247:SGM393252 SQI393247:SQI393252 TAE393247:TAE393252 TKA393247:TKA393252 TTW393247:TTW393252 UDS393247:UDS393252 UNO393247:UNO393252 UXK393247:UXK393252 VHG393247:VHG393252 VRC393247:VRC393252 WAY393247:WAY393252 WKU393247:WKU393252 WUQ393247:WUQ393252 IE458783:IE458788 SA458783:SA458788 ABW458783:ABW458788 ALS458783:ALS458788 AVO458783:AVO458788 BFK458783:BFK458788 BPG458783:BPG458788 BZC458783:BZC458788 CIY458783:CIY458788 CSU458783:CSU458788 DCQ458783:DCQ458788 DMM458783:DMM458788 DWI458783:DWI458788 EGE458783:EGE458788 EQA458783:EQA458788 EZW458783:EZW458788 FJS458783:FJS458788 FTO458783:FTO458788 GDK458783:GDK458788 GNG458783:GNG458788 GXC458783:GXC458788 HGY458783:HGY458788 HQU458783:HQU458788 IAQ458783:IAQ458788 IKM458783:IKM458788 IUI458783:IUI458788 JEE458783:JEE458788 JOA458783:JOA458788 JXW458783:JXW458788 KHS458783:KHS458788 KRO458783:KRO458788 LBK458783:LBK458788 LLG458783:LLG458788 LVC458783:LVC458788 MEY458783:MEY458788 MOU458783:MOU458788 MYQ458783:MYQ458788 NIM458783:NIM458788 NSI458783:NSI458788 OCE458783:OCE458788 OMA458783:OMA458788 OVW458783:OVW458788 PFS458783:PFS458788 PPO458783:PPO458788 PZK458783:PZK458788 QJG458783:QJG458788 QTC458783:QTC458788 RCY458783:RCY458788 RMU458783:RMU458788 RWQ458783:RWQ458788 SGM458783:SGM458788 SQI458783:SQI458788 TAE458783:TAE458788 TKA458783:TKA458788 TTW458783:TTW458788 UDS458783:UDS458788 UNO458783:UNO458788 UXK458783:UXK458788 VHG458783:VHG458788 VRC458783:VRC458788 WAY458783:WAY458788 WKU458783:WKU458788 WUQ458783:WUQ458788 IE524319:IE524324 SA524319:SA524324 ABW524319:ABW524324 ALS524319:ALS524324 AVO524319:AVO524324 BFK524319:BFK524324 BPG524319:BPG524324 BZC524319:BZC524324 CIY524319:CIY524324 CSU524319:CSU524324 DCQ524319:DCQ524324 DMM524319:DMM524324 DWI524319:DWI524324 EGE524319:EGE524324 EQA524319:EQA524324 EZW524319:EZW524324 FJS524319:FJS524324 FTO524319:FTO524324 GDK524319:GDK524324 GNG524319:GNG524324 GXC524319:GXC524324 HGY524319:HGY524324 HQU524319:HQU524324 IAQ524319:IAQ524324 IKM524319:IKM524324 IUI524319:IUI524324 JEE524319:JEE524324 JOA524319:JOA524324 JXW524319:JXW524324 KHS524319:KHS524324 KRO524319:KRO524324 LBK524319:LBK524324 LLG524319:LLG524324 LVC524319:LVC524324 MEY524319:MEY524324 MOU524319:MOU524324 MYQ524319:MYQ524324 NIM524319:NIM524324 NSI524319:NSI524324 OCE524319:OCE524324 OMA524319:OMA524324 OVW524319:OVW524324 PFS524319:PFS524324 PPO524319:PPO524324 PZK524319:PZK524324 QJG524319:QJG524324 QTC524319:QTC524324 RCY524319:RCY524324 RMU524319:RMU524324 RWQ524319:RWQ524324 SGM524319:SGM524324 SQI524319:SQI524324 TAE524319:TAE524324 TKA524319:TKA524324 TTW524319:TTW524324 UDS524319:UDS524324 UNO524319:UNO524324 UXK524319:UXK524324 VHG524319:VHG524324 VRC524319:VRC524324 WAY524319:WAY524324 WKU524319:WKU524324 WUQ524319:WUQ524324 IE589855:IE589860 SA589855:SA589860 ABW589855:ABW589860 ALS589855:ALS589860 AVO589855:AVO589860 BFK589855:BFK589860 BPG589855:BPG589860 BZC589855:BZC589860 CIY589855:CIY589860 CSU589855:CSU589860 DCQ589855:DCQ589860 DMM589855:DMM589860 DWI589855:DWI589860 EGE589855:EGE589860 EQA589855:EQA589860 EZW589855:EZW589860 FJS589855:FJS589860 FTO589855:FTO589860 GDK589855:GDK589860 GNG589855:GNG589860 GXC589855:GXC589860 HGY589855:HGY589860 HQU589855:HQU589860 IAQ589855:IAQ589860 IKM589855:IKM589860 IUI589855:IUI589860 JEE589855:JEE589860 JOA589855:JOA589860 JXW589855:JXW589860 KHS589855:KHS589860 KRO589855:KRO589860 LBK589855:LBK589860 LLG589855:LLG589860 LVC589855:LVC589860 MEY589855:MEY589860 MOU589855:MOU589860 MYQ589855:MYQ589860 NIM589855:NIM589860 NSI589855:NSI589860 OCE589855:OCE589860 OMA589855:OMA589860 OVW589855:OVW589860 PFS589855:PFS589860 PPO589855:PPO589860 PZK589855:PZK589860 QJG589855:QJG589860 QTC589855:QTC589860 RCY589855:RCY589860 RMU589855:RMU589860 RWQ589855:RWQ589860 SGM589855:SGM589860 SQI589855:SQI589860 TAE589855:TAE589860 TKA589855:TKA589860 TTW589855:TTW589860 UDS589855:UDS589860 UNO589855:UNO589860 UXK589855:UXK589860 VHG589855:VHG589860 VRC589855:VRC589860 WAY589855:WAY589860 WKU589855:WKU589860 WUQ589855:WUQ589860 IE655391:IE655396 SA655391:SA655396 ABW655391:ABW655396 ALS655391:ALS655396 AVO655391:AVO655396 BFK655391:BFK655396 BPG655391:BPG655396 BZC655391:BZC655396 CIY655391:CIY655396 CSU655391:CSU655396 DCQ655391:DCQ655396 DMM655391:DMM655396 DWI655391:DWI655396 EGE655391:EGE655396 EQA655391:EQA655396 EZW655391:EZW655396 FJS655391:FJS655396 FTO655391:FTO655396 GDK655391:GDK655396 GNG655391:GNG655396 GXC655391:GXC655396 HGY655391:HGY655396 HQU655391:HQU655396 IAQ655391:IAQ655396 IKM655391:IKM655396 IUI655391:IUI655396 JEE655391:JEE655396 JOA655391:JOA655396 JXW655391:JXW655396 KHS655391:KHS655396 KRO655391:KRO655396 LBK655391:LBK655396 LLG655391:LLG655396 LVC655391:LVC655396 MEY655391:MEY655396 MOU655391:MOU655396 MYQ655391:MYQ655396 NIM655391:NIM655396 NSI655391:NSI655396 OCE655391:OCE655396 OMA655391:OMA655396 OVW655391:OVW655396 PFS655391:PFS655396 PPO655391:PPO655396 PZK655391:PZK655396 QJG655391:QJG655396 QTC655391:QTC655396 RCY655391:RCY655396 RMU655391:RMU655396 RWQ655391:RWQ655396 SGM655391:SGM655396 SQI655391:SQI655396 TAE655391:TAE655396 TKA655391:TKA655396 TTW655391:TTW655396 UDS655391:UDS655396 UNO655391:UNO655396 UXK655391:UXK655396 VHG655391:VHG655396 VRC655391:VRC655396 WAY655391:WAY655396 WKU655391:WKU655396 WUQ655391:WUQ655396 IE720927:IE720932 SA720927:SA720932 ABW720927:ABW720932 ALS720927:ALS720932 AVO720927:AVO720932 BFK720927:BFK720932 BPG720927:BPG720932 BZC720927:BZC720932 CIY720927:CIY720932 CSU720927:CSU720932 DCQ720927:DCQ720932 DMM720927:DMM720932 DWI720927:DWI720932 EGE720927:EGE720932 EQA720927:EQA720932 EZW720927:EZW720932 FJS720927:FJS720932 FTO720927:FTO720932 GDK720927:GDK720932 GNG720927:GNG720932 GXC720927:GXC720932 HGY720927:HGY720932 HQU720927:HQU720932 IAQ720927:IAQ720932 IKM720927:IKM720932 IUI720927:IUI720932 JEE720927:JEE720932 JOA720927:JOA720932 JXW720927:JXW720932 KHS720927:KHS720932 KRO720927:KRO720932 LBK720927:LBK720932 LLG720927:LLG720932 LVC720927:LVC720932 MEY720927:MEY720932 MOU720927:MOU720932 MYQ720927:MYQ720932 NIM720927:NIM720932 NSI720927:NSI720932 OCE720927:OCE720932 OMA720927:OMA720932 OVW720927:OVW720932 PFS720927:PFS720932 PPO720927:PPO720932 PZK720927:PZK720932 QJG720927:QJG720932 QTC720927:QTC720932 RCY720927:RCY720932 RMU720927:RMU720932 RWQ720927:RWQ720932 SGM720927:SGM720932 SQI720927:SQI720932 TAE720927:TAE720932 TKA720927:TKA720932 TTW720927:TTW720932 UDS720927:UDS720932 UNO720927:UNO720932 UXK720927:UXK720932 VHG720927:VHG720932 VRC720927:VRC720932 WAY720927:WAY720932 WKU720927:WKU720932 WUQ720927:WUQ720932 IE786463:IE786468 SA786463:SA786468 ABW786463:ABW786468 ALS786463:ALS786468 AVO786463:AVO786468 BFK786463:BFK786468 BPG786463:BPG786468 BZC786463:BZC786468 CIY786463:CIY786468 CSU786463:CSU786468 DCQ786463:DCQ786468 DMM786463:DMM786468 DWI786463:DWI786468 EGE786463:EGE786468 EQA786463:EQA786468 EZW786463:EZW786468 FJS786463:FJS786468 FTO786463:FTO786468 GDK786463:GDK786468 GNG786463:GNG786468 GXC786463:GXC786468 HGY786463:HGY786468 HQU786463:HQU786468 IAQ786463:IAQ786468 IKM786463:IKM786468 IUI786463:IUI786468 JEE786463:JEE786468 JOA786463:JOA786468 JXW786463:JXW786468 KHS786463:KHS786468 KRO786463:KRO786468 LBK786463:LBK786468 LLG786463:LLG786468 LVC786463:LVC786468 MEY786463:MEY786468 MOU786463:MOU786468 MYQ786463:MYQ786468 NIM786463:NIM786468 NSI786463:NSI786468 OCE786463:OCE786468 OMA786463:OMA786468 OVW786463:OVW786468 PFS786463:PFS786468 PPO786463:PPO786468 PZK786463:PZK786468 QJG786463:QJG786468 QTC786463:QTC786468 RCY786463:RCY786468 RMU786463:RMU786468 RWQ786463:RWQ786468 SGM786463:SGM786468 SQI786463:SQI786468 TAE786463:TAE786468 TKA786463:TKA786468 TTW786463:TTW786468 UDS786463:UDS786468 UNO786463:UNO786468 UXK786463:UXK786468 VHG786463:VHG786468 VRC786463:VRC786468 WAY786463:WAY786468 WKU786463:WKU786468 WUQ786463:WUQ786468 IE851999:IE852004 SA851999:SA852004 ABW851999:ABW852004 ALS851999:ALS852004 AVO851999:AVO852004 BFK851999:BFK852004 BPG851999:BPG852004 BZC851999:BZC852004 CIY851999:CIY852004 CSU851999:CSU852004 DCQ851999:DCQ852004 DMM851999:DMM852004 DWI851999:DWI852004 EGE851999:EGE852004 EQA851999:EQA852004 EZW851999:EZW852004 FJS851999:FJS852004 FTO851999:FTO852004 GDK851999:GDK852004 GNG851999:GNG852004 GXC851999:GXC852004 HGY851999:HGY852004 HQU851999:HQU852004 IAQ851999:IAQ852004 IKM851999:IKM852004 IUI851999:IUI852004 JEE851999:JEE852004 JOA851999:JOA852004 JXW851999:JXW852004 KHS851999:KHS852004 KRO851999:KRO852004 LBK851999:LBK852004 LLG851999:LLG852004 LVC851999:LVC852004 MEY851999:MEY852004 MOU851999:MOU852004 MYQ851999:MYQ852004 NIM851999:NIM852004 NSI851999:NSI852004 OCE851999:OCE852004 OMA851999:OMA852004 OVW851999:OVW852004 PFS851999:PFS852004 PPO851999:PPO852004 PZK851999:PZK852004 QJG851999:QJG852004 QTC851999:QTC852004 RCY851999:RCY852004 RMU851999:RMU852004 RWQ851999:RWQ852004 SGM851999:SGM852004 SQI851999:SQI852004 TAE851999:TAE852004 TKA851999:TKA852004 TTW851999:TTW852004 UDS851999:UDS852004 UNO851999:UNO852004 UXK851999:UXK852004 VHG851999:VHG852004 VRC851999:VRC852004 WAY851999:WAY852004 WKU851999:WKU852004 WUQ851999:WUQ852004 IE917535:IE917540 SA917535:SA917540 ABW917535:ABW917540 ALS917535:ALS917540 AVO917535:AVO917540 BFK917535:BFK917540 BPG917535:BPG917540 BZC917535:BZC917540 CIY917535:CIY917540 CSU917535:CSU917540 DCQ917535:DCQ917540 DMM917535:DMM917540 DWI917535:DWI917540 EGE917535:EGE917540 EQA917535:EQA917540 EZW917535:EZW917540 FJS917535:FJS917540 FTO917535:FTO917540 GDK917535:GDK917540 GNG917535:GNG917540 GXC917535:GXC917540 HGY917535:HGY917540 HQU917535:HQU917540 IAQ917535:IAQ917540 IKM917535:IKM917540 IUI917535:IUI917540 JEE917535:JEE917540 JOA917535:JOA917540 JXW917535:JXW917540 KHS917535:KHS917540 KRO917535:KRO917540 LBK917535:LBK917540 LLG917535:LLG917540 LVC917535:LVC917540 MEY917535:MEY917540 MOU917535:MOU917540 MYQ917535:MYQ917540 NIM917535:NIM917540 NSI917535:NSI917540 OCE917535:OCE917540 OMA917535:OMA917540 OVW917535:OVW917540 PFS917535:PFS917540 PPO917535:PPO917540 PZK917535:PZK917540 QJG917535:QJG917540 QTC917535:QTC917540 RCY917535:RCY917540 RMU917535:RMU917540 RWQ917535:RWQ917540 SGM917535:SGM917540 SQI917535:SQI917540 TAE917535:TAE917540 TKA917535:TKA917540 TTW917535:TTW917540 UDS917535:UDS917540 UNO917535:UNO917540 UXK917535:UXK917540 VHG917535:VHG917540 VRC917535:VRC917540 WAY917535:WAY917540 WKU917535:WKU917540 WUQ917535:WUQ917540 IE983071:IE983076 SA983071:SA983076 ABW983071:ABW983076 ALS983071:ALS983076 AVO983071:AVO983076 BFK983071:BFK983076 BPG983071:BPG983076 BZC983071:BZC983076 CIY983071:CIY983076 CSU983071:CSU983076 DCQ983071:DCQ983076 DMM983071:DMM983076 DWI983071:DWI983076 EGE983071:EGE983076 EQA983071:EQA983076 EZW983071:EZW983076 FJS983071:FJS983076 FTO983071:FTO983076 GDK983071:GDK983076 GNG983071:GNG983076 GXC983071:GXC983076 HGY983071:HGY983076 HQU983071:HQU983076 IAQ983071:IAQ983076 IKM983071:IKM983076 IUI983071:IUI983076 JEE983071:JEE983076 JOA983071:JOA983076 JXW983071:JXW983076 KHS983071:KHS983076 KRO983071:KRO983076 LBK983071:LBK983076 LLG983071:LLG983076 LVC983071:LVC983076 MEY983071:MEY983076 MOU983071:MOU983076 MYQ983071:MYQ983076 NIM983071:NIM983076 NSI983071:NSI983076 OCE983071:OCE983076 OMA983071:OMA983076 OVW983071:OVW983076 PFS983071:PFS983076 PPO983071:PPO983076 PZK983071:PZK983076 QJG983071:QJG983076 QTC983071:QTC983076 RCY983071:RCY983076 RMU983071:RMU983076 RWQ983071:RWQ983076 SGM983071:SGM983076 SQI983071:SQI983076 TAE983071:TAE983076 TKA983071:TKA983076 TTW983071:TTW983076 UDS983071:UDS983076 UNO983071:UNO983076 UXK983071:UXK983076 VHG983071:VHG983076 VRC983071:VRC983076 WAY983071:WAY983076 WKU983071:WKU983076 WUQ983071:WUQ983076 IE65574:IE65578 SA65574:SA65578 ABW65574:ABW65578 ALS65574:ALS65578 AVO65574:AVO65578 BFK65574:BFK65578 BPG65574:BPG65578 BZC65574:BZC65578 CIY65574:CIY65578 CSU65574:CSU65578 DCQ65574:DCQ65578 DMM65574:DMM65578 DWI65574:DWI65578 EGE65574:EGE65578 EQA65574:EQA65578 EZW65574:EZW65578 FJS65574:FJS65578 FTO65574:FTO65578 GDK65574:GDK65578 GNG65574:GNG65578 GXC65574:GXC65578 HGY65574:HGY65578 HQU65574:HQU65578 IAQ65574:IAQ65578 IKM65574:IKM65578 IUI65574:IUI65578 JEE65574:JEE65578 JOA65574:JOA65578 JXW65574:JXW65578 KHS65574:KHS65578 KRO65574:KRO65578 LBK65574:LBK65578 LLG65574:LLG65578 LVC65574:LVC65578 MEY65574:MEY65578 MOU65574:MOU65578 MYQ65574:MYQ65578 NIM65574:NIM65578 NSI65574:NSI65578 OCE65574:OCE65578 OMA65574:OMA65578 OVW65574:OVW65578 PFS65574:PFS65578 PPO65574:PPO65578 PZK65574:PZK65578 QJG65574:QJG65578 QTC65574:QTC65578 RCY65574:RCY65578 RMU65574:RMU65578 RWQ65574:RWQ65578 SGM65574:SGM65578 SQI65574:SQI65578 TAE65574:TAE65578 TKA65574:TKA65578 TTW65574:TTW65578 UDS65574:UDS65578 UNO65574:UNO65578 UXK65574:UXK65578 VHG65574:VHG65578 VRC65574:VRC65578 WAY65574:WAY65578 WKU65574:WKU65578 WUQ65574:WUQ65578 IE131110:IE131114 SA131110:SA131114 ABW131110:ABW131114 ALS131110:ALS131114 AVO131110:AVO131114 BFK131110:BFK131114 BPG131110:BPG131114 BZC131110:BZC131114 CIY131110:CIY131114 CSU131110:CSU131114 DCQ131110:DCQ131114 DMM131110:DMM131114 DWI131110:DWI131114 EGE131110:EGE131114 EQA131110:EQA131114 EZW131110:EZW131114 FJS131110:FJS131114 FTO131110:FTO131114 GDK131110:GDK131114 GNG131110:GNG131114 GXC131110:GXC131114 HGY131110:HGY131114 HQU131110:HQU131114 IAQ131110:IAQ131114 IKM131110:IKM131114 IUI131110:IUI131114 JEE131110:JEE131114 JOA131110:JOA131114 JXW131110:JXW131114 KHS131110:KHS131114 KRO131110:KRO131114 LBK131110:LBK131114 LLG131110:LLG131114 LVC131110:LVC131114 MEY131110:MEY131114 MOU131110:MOU131114 MYQ131110:MYQ131114 NIM131110:NIM131114 NSI131110:NSI131114 OCE131110:OCE131114 OMA131110:OMA131114 OVW131110:OVW131114 PFS131110:PFS131114 PPO131110:PPO131114 PZK131110:PZK131114 QJG131110:QJG131114 QTC131110:QTC131114 RCY131110:RCY131114 RMU131110:RMU131114 RWQ131110:RWQ131114 SGM131110:SGM131114 SQI131110:SQI131114 TAE131110:TAE131114 TKA131110:TKA131114 TTW131110:TTW131114 UDS131110:UDS131114 UNO131110:UNO131114 UXK131110:UXK131114 VHG131110:VHG131114 VRC131110:VRC131114 WAY131110:WAY131114 WKU131110:WKU131114 WUQ131110:WUQ131114 IE196646:IE196650 SA196646:SA196650 ABW196646:ABW196650 ALS196646:ALS196650 AVO196646:AVO196650 BFK196646:BFK196650 BPG196646:BPG196650 BZC196646:BZC196650 CIY196646:CIY196650 CSU196646:CSU196650 DCQ196646:DCQ196650 DMM196646:DMM196650 DWI196646:DWI196650 EGE196646:EGE196650 EQA196646:EQA196650 EZW196646:EZW196650 FJS196646:FJS196650 FTO196646:FTO196650 GDK196646:GDK196650 GNG196646:GNG196650 GXC196646:GXC196650 HGY196646:HGY196650 HQU196646:HQU196650 IAQ196646:IAQ196650 IKM196646:IKM196650 IUI196646:IUI196650 JEE196646:JEE196650 JOA196646:JOA196650 JXW196646:JXW196650 KHS196646:KHS196650 KRO196646:KRO196650 LBK196646:LBK196650 LLG196646:LLG196650 LVC196646:LVC196650 MEY196646:MEY196650 MOU196646:MOU196650 MYQ196646:MYQ196650 NIM196646:NIM196650 NSI196646:NSI196650 OCE196646:OCE196650 OMA196646:OMA196650 OVW196646:OVW196650 PFS196646:PFS196650 PPO196646:PPO196650 PZK196646:PZK196650 QJG196646:QJG196650 QTC196646:QTC196650 RCY196646:RCY196650 RMU196646:RMU196650 RWQ196646:RWQ196650 SGM196646:SGM196650 SQI196646:SQI196650 TAE196646:TAE196650 TKA196646:TKA196650 TTW196646:TTW196650 UDS196646:UDS196650 UNO196646:UNO196650 UXK196646:UXK196650 VHG196646:VHG196650 VRC196646:VRC196650 WAY196646:WAY196650 WKU196646:WKU196650 WUQ196646:WUQ196650 IE262182:IE262186 SA262182:SA262186 ABW262182:ABW262186 ALS262182:ALS262186 AVO262182:AVO262186 BFK262182:BFK262186 BPG262182:BPG262186 BZC262182:BZC262186 CIY262182:CIY262186 CSU262182:CSU262186 DCQ262182:DCQ262186 DMM262182:DMM262186 DWI262182:DWI262186 EGE262182:EGE262186 EQA262182:EQA262186 EZW262182:EZW262186 FJS262182:FJS262186 FTO262182:FTO262186 GDK262182:GDK262186 GNG262182:GNG262186 GXC262182:GXC262186 HGY262182:HGY262186 HQU262182:HQU262186 IAQ262182:IAQ262186 IKM262182:IKM262186 IUI262182:IUI262186 JEE262182:JEE262186 JOA262182:JOA262186 JXW262182:JXW262186 KHS262182:KHS262186 KRO262182:KRO262186 LBK262182:LBK262186 LLG262182:LLG262186 LVC262182:LVC262186 MEY262182:MEY262186 MOU262182:MOU262186 MYQ262182:MYQ262186 NIM262182:NIM262186 NSI262182:NSI262186 OCE262182:OCE262186 OMA262182:OMA262186 OVW262182:OVW262186 PFS262182:PFS262186 PPO262182:PPO262186 PZK262182:PZK262186 QJG262182:QJG262186 QTC262182:QTC262186 RCY262182:RCY262186 RMU262182:RMU262186 RWQ262182:RWQ262186 SGM262182:SGM262186 SQI262182:SQI262186 TAE262182:TAE262186 TKA262182:TKA262186 TTW262182:TTW262186 UDS262182:UDS262186 UNO262182:UNO262186 UXK262182:UXK262186 VHG262182:VHG262186 VRC262182:VRC262186 WAY262182:WAY262186 WKU262182:WKU262186 WUQ262182:WUQ262186 IE327718:IE327722 SA327718:SA327722 ABW327718:ABW327722 ALS327718:ALS327722 AVO327718:AVO327722 BFK327718:BFK327722 BPG327718:BPG327722 BZC327718:BZC327722 CIY327718:CIY327722 CSU327718:CSU327722 DCQ327718:DCQ327722 DMM327718:DMM327722 DWI327718:DWI327722 EGE327718:EGE327722 EQA327718:EQA327722 EZW327718:EZW327722 FJS327718:FJS327722 FTO327718:FTO327722 GDK327718:GDK327722 GNG327718:GNG327722 GXC327718:GXC327722 HGY327718:HGY327722 HQU327718:HQU327722 IAQ327718:IAQ327722 IKM327718:IKM327722 IUI327718:IUI327722 JEE327718:JEE327722 JOA327718:JOA327722 JXW327718:JXW327722 KHS327718:KHS327722 KRO327718:KRO327722 LBK327718:LBK327722 LLG327718:LLG327722 LVC327718:LVC327722 MEY327718:MEY327722 MOU327718:MOU327722 MYQ327718:MYQ327722 NIM327718:NIM327722 NSI327718:NSI327722 OCE327718:OCE327722 OMA327718:OMA327722 OVW327718:OVW327722 PFS327718:PFS327722 PPO327718:PPO327722 PZK327718:PZK327722 QJG327718:QJG327722 QTC327718:QTC327722 RCY327718:RCY327722 RMU327718:RMU327722 RWQ327718:RWQ327722 SGM327718:SGM327722 SQI327718:SQI327722 TAE327718:TAE327722 TKA327718:TKA327722 TTW327718:TTW327722 UDS327718:UDS327722 UNO327718:UNO327722 UXK327718:UXK327722 VHG327718:VHG327722 VRC327718:VRC327722 WAY327718:WAY327722 WKU327718:WKU327722 WUQ327718:WUQ327722 IE393254:IE393258 SA393254:SA393258 ABW393254:ABW393258 ALS393254:ALS393258 AVO393254:AVO393258 BFK393254:BFK393258 BPG393254:BPG393258 BZC393254:BZC393258 CIY393254:CIY393258 CSU393254:CSU393258 DCQ393254:DCQ393258 DMM393254:DMM393258 DWI393254:DWI393258 EGE393254:EGE393258 EQA393254:EQA393258 EZW393254:EZW393258 FJS393254:FJS393258 FTO393254:FTO393258 GDK393254:GDK393258 GNG393254:GNG393258 GXC393254:GXC393258 HGY393254:HGY393258 HQU393254:HQU393258 IAQ393254:IAQ393258 IKM393254:IKM393258 IUI393254:IUI393258 JEE393254:JEE393258 JOA393254:JOA393258 JXW393254:JXW393258 KHS393254:KHS393258 KRO393254:KRO393258 LBK393254:LBK393258 LLG393254:LLG393258 LVC393254:LVC393258 MEY393254:MEY393258 MOU393254:MOU393258 MYQ393254:MYQ393258 NIM393254:NIM393258 NSI393254:NSI393258 OCE393254:OCE393258 OMA393254:OMA393258 OVW393254:OVW393258 PFS393254:PFS393258 PPO393254:PPO393258 PZK393254:PZK393258 QJG393254:QJG393258 QTC393254:QTC393258 RCY393254:RCY393258 RMU393254:RMU393258 RWQ393254:RWQ393258 SGM393254:SGM393258 SQI393254:SQI393258 TAE393254:TAE393258 TKA393254:TKA393258 TTW393254:TTW393258 UDS393254:UDS393258 UNO393254:UNO393258 UXK393254:UXK393258 VHG393254:VHG393258 VRC393254:VRC393258 WAY393254:WAY393258 WKU393254:WKU393258 WUQ393254:WUQ393258 IE458790:IE458794 SA458790:SA458794 ABW458790:ABW458794 ALS458790:ALS458794 AVO458790:AVO458794 BFK458790:BFK458794 BPG458790:BPG458794 BZC458790:BZC458794 CIY458790:CIY458794 CSU458790:CSU458794 DCQ458790:DCQ458794 DMM458790:DMM458794 DWI458790:DWI458794 EGE458790:EGE458794 EQA458790:EQA458794 EZW458790:EZW458794 FJS458790:FJS458794 FTO458790:FTO458794 GDK458790:GDK458794 GNG458790:GNG458794 GXC458790:GXC458794 HGY458790:HGY458794 HQU458790:HQU458794 IAQ458790:IAQ458794 IKM458790:IKM458794 IUI458790:IUI458794 JEE458790:JEE458794 JOA458790:JOA458794 JXW458790:JXW458794 KHS458790:KHS458794 KRO458790:KRO458794 LBK458790:LBK458794 LLG458790:LLG458794 LVC458790:LVC458794 MEY458790:MEY458794 MOU458790:MOU458794 MYQ458790:MYQ458794 NIM458790:NIM458794 NSI458790:NSI458794 OCE458790:OCE458794 OMA458790:OMA458794 OVW458790:OVW458794 PFS458790:PFS458794 PPO458790:PPO458794 PZK458790:PZK458794 QJG458790:QJG458794 QTC458790:QTC458794 RCY458790:RCY458794 RMU458790:RMU458794 RWQ458790:RWQ458794 SGM458790:SGM458794 SQI458790:SQI458794 TAE458790:TAE458794 TKA458790:TKA458794 TTW458790:TTW458794 UDS458790:UDS458794 UNO458790:UNO458794 UXK458790:UXK458794 VHG458790:VHG458794 VRC458790:VRC458794 WAY458790:WAY458794 WKU458790:WKU458794 WUQ458790:WUQ458794 IE524326:IE524330 SA524326:SA524330 ABW524326:ABW524330 ALS524326:ALS524330 AVO524326:AVO524330 BFK524326:BFK524330 BPG524326:BPG524330 BZC524326:BZC524330 CIY524326:CIY524330 CSU524326:CSU524330 DCQ524326:DCQ524330 DMM524326:DMM524330 DWI524326:DWI524330 EGE524326:EGE524330 EQA524326:EQA524330 EZW524326:EZW524330 FJS524326:FJS524330 FTO524326:FTO524330 GDK524326:GDK524330 GNG524326:GNG524330 GXC524326:GXC524330 HGY524326:HGY524330 HQU524326:HQU524330 IAQ524326:IAQ524330 IKM524326:IKM524330 IUI524326:IUI524330 JEE524326:JEE524330 JOA524326:JOA524330 JXW524326:JXW524330 KHS524326:KHS524330 KRO524326:KRO524330 LBK524326:LBK524330 LLG524326:LLG524330 LVC524326:LVC524330 MEY524326:MEY524330 MOU524326:MOU524330 MYQ524326:MYQ524330 NIM524326:NIM524330 NSI524326:NSI524330 OCE524326:OCE524330 OMA524326:OMA524330 OVW524326:OVW524330 PFS524326:PFS524330 PPO524326:PPO524330 PZK524326:PZK524330 QJG524326:QJG524330 QTC524326:QTC524330 RCY524326:RCY524330 RMU524326:RMU524330 RWQ524326:RWQ524330 SGM524326:SGM524330 SQI524326:SQI524330 TAE524326:TAE524330 TKA524326:TKA524330 TTW524326:TTW524330 UDS524326:UDS524330 UNO524326:UNO524330 UXK524326:UXK524330 VHG524326:VHG524330 VRC524326:VRC524330 WAY524326:WAY524330 WKU524326:WKU524330 WUQ524326:WUQ524330 IE589862:IE589866 SA589862:SA589866 ABW589862:ABW589866 ALS589862:ALS589866 AVO589862:AVO589866 BFK589862:BFK589866 BPG589862:BPG589866 BZC589862:BZC589866 CIY589862:CIY589866 CSU589862:CSU589866 DCQ589862:DCQ589866 DMM589862:DMM589866 DWI589862:DWI589866 EGE589862:EGE589866 EQA589862:EQA589866 EZW589862:EZW589866 FJS589862:FJS589866 FTO589862:FTO589866 GDK589862:GDK589866 GNG589862:GNG589866 GXC589862:GXC589866 HGY589862:HGY589866 HQU589862:HQU589866 IAQ589862:IAQ589866 IKM589862:IKM589866 IUI589862:IUI589866 JEE589862:JEE589866 JOA589862:JOA589866 JXW589862:JXW589866 KHS589862:KHS589866 KRO589862:KRO589866 LBK589862:LBK589866 LLG589862:LLG589866 LVC589862:LVC589866 MEY589862:MEY589866 MOU589862:MOU589866 MYQ589862:MYQ589866 NIM589862:NIM589866 NSI589862:NSI589866 OCE589862:OCE589866 OMA589862:OMA589866 OVW589862:OVW589866 PFS589862:PFS589866 PPO589862:PPO589866 PZK589862:PZK589866 QJG589862:QJG589866 QTC589862:QTC589866 RCY589862:RCY589866 RMU589862:RMU589866 RWQ589862:RWQ589866 SGM589862:SGM589866 SQI589862:SQI589866 TAE589862:TAE589866 TKA589862:TKA589866 TTW589862:TTW589866 UDS589862:UDS589866 UNO589862:UNO589866 UXK589862:UXK589866 VHG589862:VHG589866 VRC589862:VRC589866 WAY589862:WAY589866 WKU589862:WKU589866 WUQ589862:WUQ589866 IE655398:IE655402 SA655398:SA655402 ABW655398:ABW655402 ALS655398:ALS655402 AVO655398:AVO655402 BFK655398:BFK655402 BPG655398:BPG655402 BZC655398:BZC655402 CIY655398:CIY655402 CSU655398:CSU655402 DCQ655398:DCQ655402 DMM655398:DMM655402 DWI655398:DWI655402 EGE655398:EGE655402 EQA655398:EQA655402 EZW655398:EZW655402 FJS655398:FJS655402 FTO655398:FTO655402 GDK655398:GDK655402 GNG655398:GNG655402 GXC655398:GXC655402 HGY655398:HGY655402 HQU655398:HQU655402 IAQ655398:IAQ655402 IKM655398:IKM655402 IUI655398:IUI655402 JEE655398:JEE655402 JOA655398:JOA655402 JXW655398:JXW655402 KHS655398:KHS655402 KRO655398:KRO655402 LBK655398:LBK655402 LLG655398:LLG655402 LVC655398:LVC655402 MEY655398:MEY655402 MOU655398:MOU655402 MYQ655398:MYQ655402 NIM655398:NIM655402 NSI655398:NSI655402 OCE655398:OCE655402 OMA655398:OMA655402 OVW655398:OVW655402 PFS655398:PFS655402 PPO655398:PPO655402 PZK655398:PZK655402 QJG655398:QJG655402 QTC655398:QTC655402 RCY655398:RCY655402 RMU655398:RMU655402 RWQ655398:RWQ655402 SGM655398:SGM655402 SQI655398:SQI655402 TAE655398:TAE655402 TKA655398:TKA655402 TTW655398:TTW655402 UDS655398:UDS655402 UNO655398:UNO655402 UXK655398:UXK655402 VHG655398:VHG655402 VRC655398:VRC655402 WAY655398:WAY655402 WKU655398:WKU655402 WUQ655398:WUQ655402 IE720934:IE720938 SA720934:SA720938 ABW720934:ABW720938 ALS720934:ALS720938 AVO720934:AVO720938 BFK720934:BFK720938 BPG720934:BPG720938 BZC720934:BZC720938 CIY720934:CIY720938 CSU720934:CSU720938 DCQ720934:DCQ720938 DMM720934:DMM720938 DWI720934:DWI720938 EGE720934:EGE720938 EQA720934:EQA720938 EZW720934:EZW720938 FJS720934:FJS720938 FTO720934:FTO720938 GDK720934:GDK720938 GNG720934:GNG720938 GXC720934:GXC720938 HGY720934:HGY720938 HQU720934:HQU720938 IAQ720934:IAQ720938 IKM720934:IKM720938 IUI720934:IUI720938 JEE720934:JEE720938 JOA720934:JOA720938 JXW720934:JXW720938 KHS720934:KHS720938 KRO720934:KRO720938 LBK720934:LBK720938 LLG720934:LLG720938 LVC720934:LVC720938 MEY720934:MEY720938 MOU720934:MOU720938 MYQ720934:MYQ720938 NIM720934:NIM720938 NSI720934:NSI720938 OCE720934:OCE720938 OMA720934:OMA720938 OVW720934:OVW720938 PFS720934:PFS720938 PPO720934:PPO720938 PZK720934:PZK720938 QJG720934:QJG720938 QTC720934:QTC720938 RCY720934:RCY720938 RMU720934:RMU720938 RWQ720934:RWQ720938 SGM720934:SGM720938 SQI720934:SQI720938 TAE720934:TAE720938 TKA720934:TKA720938 TTW720934:TTW720938 UDS720934:UDS720938 UNO720934:UNO720938 UXK720934:UXK720938 VHG720934:VHG720938 VRC720934:VRC720938 WAY720934:WAY720938 WKU720934:WKU720938 WUQ720934:WUQ720938 IE786470:IE786474 SA786470:SA786474 ABW786470:ABW786474 ALS786470:ALS786474 AVO786470:AVO786474 BFK786470:BFK786474 BPG786470:BPG786474 BZC786470:BZC786474 CIY786470:CIY786474 CSU786470:CSU786474 DCQ786470:DCQ786474 DMM786470:DMM786474 DWI786470:DWI786474 EGE786470:EGE786474 EQA786470:EQA786474 EZW786470:EZW786474 FJS786470:FJS786474 FTO786470:FTO786474 GDK786470:GDK786474 GNG786470:GNG786474 GXC786470:GXC786474 HGY786470:HGY786474 HQU786470:HQU786474 IAQ786470:IAQ786474 IKM786470:IKM786474 IUI786470:IUI786474 JEE786470:JEE786474 JOA786470:JOA786474 JXW786470:JXW786474 KHS786470:KHS786474 KRO786470:KRO786474 LBK786470:LBK786474 LLG786470:LLG786474 LVC786470:LVC786474 MEY786470:MEY786474 MOU786470:MOU786474 MYQ786470:MYQ786474 NIM786470:NIM786474 NSI786470:NSI786474 OCE786470:OCE786474 OMA786470:OMA786474 OVW786470:OVW786474 PFS786470:PFS786474 PPO786470:PPO786474 PZK786470:PZK786474 QJG786470:QJG786474 QTC786470:QTC786474 RCY786470:RCY786474 RMU786470:RMU786474 RWQ786470:RWQ786474 SGM786470:SGM786474 SQI786470:SQI786474 TAE786470:TAE786474 TKA786470:TKA786474 TTW786470:TTW786474 UDS786470:UDS786474 UNO786470:UNO786474 UXK786470:UXK786474 VHG786470:VHG786474 VRC786470:VRC786474 WAY786470:WAY786474 WKU786470:WKU786474 WUQ786470:WUQ786474 IE852006:IE852010 SA852006:SA852010 ABW852006:ABW852010 ALS852006:ALS852010 AVO852006:AVO852010 BFK852006:BFK852010 BPG852006:BPG852010 BZC852006:BZC852010 CIY852006:CIY852010 CSU852006:CSU852010 DCQ852006:DCQ852010 DMM852006:DMM852010 DWI852006:DWI852010 EGE852006:EGE852010 EQA852006:EQA852010 EZW852006:EZW852010 FJS852006:FJS852010 FTO852006:FTO852010 GDK852006:GDK852010 GNG852006:GNG852010 GXC852006:GXC852010 HGY852006:HGY852010 HQU852006:HQU852010 IAQ852006:IAQ852010 IKM852006:IKM852010 IUI852006:IUI852010 JEE852006:JEE852010 JOA852006:JOA852010 JXW852006:JXW852010 KHS852006:KHS852010 KRO852006:KRO852010 LBK852006:LBK852010 LLG852006:LLG852010 LVC852006:LVC852010 MEY852006:MEY852010 MOU852006:MOU852010 MYQ852006:MYQ852010 NIM852006:NIM852010 NSI852006:NSI852010 OCE852006:OCE852010 OMA852006:OMA852010 OVW852006:OVW852010 PFS852006:PFS852010 PPO852006:PPO852010 PZK852006:PZK852010 QJG852006:QJG852010 QTC852006:QTC852010 RCY852006:RCY852010 RMU852006:RMU852010 RWQ852006:RWQ852010 SGM852006:SGM852010 SQI852006:SQI852010 TAE852006:TAE852010 TKA852006:TKA852010 TTW852006:TTW852010 UDS852006:UDS852010 UNO852006:UNO852010 UXK852006:UXK852010 VHG852006:VHG852010 VRC852006:VRC852010 WAY852006:WAY852010 WKU852006:WKU852010 WUQ852006:WUQ852010 IE917542:IE917546 SA917542:SA917546 ABW917542:ABW917546 ALS917542:ALS917546 AVO917542:AVO917546 BFK917542:BFK917546 BPG917542:BPG917546 BZC917542:BZC917546 CIY917542:CIY917546 CSU917542:CSU917546 DCQ917542:DCQ917546 DMM917542:DMM917546 DWI917542:DWI917546 EGE917542:EGE917546 EQA917542:EQA917546 EZW917542:EZW917546 FJS917542:FJS917546 FTO917542:FTO917546 GDK917542:GDK917546 GNG917542:GNG917546 GXC917542:GXC917546 HGY917542:HGY917546 HQU917542:HQU917546 IAQ917542:IAQ917546 IKM917542:IKM917546 IUI917542:IUI917546 JEE917542:JEE917546 JOA917542:JOA917546 JXW917542:JXW917546 KHS917542:KHS917546 KRO917542:KRO917546 LBK917542:LBK917546 LLG917542:LLG917546 LVC917542:LVC917546 MEY917542:MEY917546 MOU917542:MOU917546 MYQ917542:MYQ917546 NIM917542:NIM917546 NSI917542:NSI917546 OCE917542:OCE917546 OMA917542:OMA917546 OVW917542:OVW917546 PFS917542:PFS917546 PPO917542:PPO917546 PZK917542:PZK917546 QJG917542:QJG917546 QTC917542:QTC917546 RCY917542:RCY917546 RMU917542:RMU917546 RWQ917542:RWQ917546 SGM917542:SGM917546 SQI917542:SQI917546 TAE917542:TAE917546 TKA917542:TKA917546 TTW917542:TTW917546 UDS917542:UDS917546 UNO917542:UNO917546 UXK917542:UXK917546 VHG917542:VHG917546 VRC917542:VRC917546 WAY917542:WAY917546 WKU917542:WKU917546 WUQ917542:WUQ917546 IE983078:IE983082 SA983078:SA983082 ABW983078:ABW983082 ALS983078:ALS983082 AVO983078:AVO983082 BFK983078:BFK983082 BPG983078:BPG983082 BZC983078:BZC983082 CIY983078:CIY983082 CSU983078:CSU983082 DCQ983078:DCQ983082 DMM983078:DMM983082 DWI983078:DWI983082 EGE983078:EGE983082 EQA983078:EQA983082 EZW983078:EZW983082 FJS983078:FJS983082 FTO983078:FTO983082 GDK983078:GDK983082 GNG983078:GNG983082 GXC983078:GXC983082 HGY983078:HGY983082 HQU983078:HQU983082 IAQ983078:IAQ983082 IKM983078:IKM983082 IUI983078:IUI983082 JEE983078:JEE983082 JOA983078:JOA983082 JXW983078:JXW983082 KHS983078:KHS983082 KRO983078:KRO983082 LBK983078:LBK983082 LLG983078:LLG983082 LVC983078:LVC983082 MEY983078:MEY983082 MOU983078:MOU983082 MYQ983078:MYQ983082 NIM983078:NIM983082 NSI983078:NSI983082 OCE983078:OCE983082 OMA983078:OMA983082 OVW983078:OVW983082 PFS983078:PFS983082 PPO983078:PPO983082 PZK983078:PZK983082 QJG983078:QJG983082 QTC983078:QTC983082 RCY983078:RCY983082 RMU983078:RMU983082 RWQ983078:RWQ983082 SGM983078:SGM983082 SQI983078:SQI983082 TAE983078:TAE983082 TKA983078:TKA983082 TTW983078:TTW983082 UDS983078:UDS983082 UNO983078:UNO983082 UXK983078:UXK983082 VHG983078:VHG983082 VRC983078:VRC983082 WAY983078:WAY983082 WKU983078:WKU983082 WUQ983078:WUQ983082 IE65593:IE65606 SA65593:SA65606 ABW65593:ABW65606 ALS65593:ALS65606 AVO65593:AVO65606 BFK65593:BFK65606 BPG65593:BPG65606 BZC65593:BZC65606 CIY65593:CIY65606 CSU65593:CSU65606 DCQ65593:DCQ65606 DMM65593:DMM65606 DWI65593:DWI65606 EGE65593:EGE65606 EQA65593:EQA65606 EZW65593:EZW65606 FJS65593:FJS65606 FTO65593:FTO65606 GDK65593:GDK65606 GNG65593:GNG65606 GXC65593:GXC65606 HGY65593:HGY65606 HQU65593:HQU65606 IAQ65593:IAQ65606 IKM65593:IKM65606 IUI65593:IUI65606 JEE65593:JEE65606 JOA65593:JOA65606 JXW65593:JXW65606 KHS65593:KHS65606 KRO65593:KRO65606 LBK65593:LBK65606 LLG65593:LLG65606 LVC65593:LVC65606 MEY65593:MEY65606 MOU65593:MOU65606 MYQ65593:MYQ65606 NIM65593:NIM65606 NSI65593:NSI65606 OCE65593:OCE65606 OMA65593:OMA65606 OVW65593:OVW65606 PFS65593:PFS65606 PPO65593:PPO65606 PZK65593:PZK65606 QJG65593:QJG65606 QTC65593:QTC65606 RCY65593:RCY65606 RMU65593:RMU65606 RWQ65593:RWQ65606 SGM65593:SGM65606 SQI65593:SQI65606 TAE65593:TAE65606 TKA65593:TKA65606 TTW65593:TTW65606 UDS65593:UDS65606 UNO65593:UNO65606 UXK65593:UXK65606 VHG65593:VHG65606 VRC65593:VRC65606 WAY65593:WAY65606 WKU65593:WKU65606 WUQ65593:WUQ65606 IE131129:IE131142 SA131129:SA131142 ABW131129:ABW131142 ALS131129:ALS131142 AVO131129:AVO131142 BFK131129:BFK131142 BPG131129:BPG131142 BZC131129:BZC131142 CIY131129:CIY131142 CSU131129:CSU131142 DCQ131129:DCQ131142 DMM131129:DMM131142 DWI131129:DWI131142 EGE131129:EGE131142 EQA131129:EQA131142 EZW131129:EZW131142 FJS131129:FJS131142 FTO131129:FTO131142 GDK131129:GDK131142 GNG131129:GNG131142 GXC131129:GXC131142 HGY131129:HGY131142 HQU131129:HQU131142 IAQ131129:IAQ131142 IKM131129:IKM131142 IUI131129:IUI131142 JEE131129:JEE131142 JOA131129:JOA131142 JXW131129:JXW131142 KHS131129:KHS131142 KRO131129:KRO131142 LBK131129:LBK131142 LLG131129:LLG131142 LVC131129:LVC131142 MEY131129:MEY131142 MOU131129:MOU131142 MYQ131129:MYQ131142 NIM131129:NIM131142 NSI131129:NSI131142 OCE131129:OCE131142 OMA131129:OMA131142 OVW131129:OVW131142 PFS131129:PFS131142 PPO131129:PPO131142 PZK131129:PZK131142 QJG131129:QJG131142 QTC131129:QTC131142 RCY131129:RCY131142 RMU131129:RMU131142 RWQ131129:RWQ131142 SGM131129:SGM131142 SQI131129:SQI131142 TAE131129:TAE131142 TKA131129:TKA131142 TTW131129:TTW131142 UDS131129:UDS131142 UNO131129:UNO131142 UXK131129:UXK131142 VHG131129:VHG131142 VRC131129:VRC131142 WAY131129:WAY131142 WKU131129:WKU131142 WUQ131129:WUQ131142 IE196665:IE196678 SA196665:SA196678 ABW196665:ABW196678 ALS196665:ALS196678 AVO196665:AVO196678 BFK196665:BFK196678 BPG196665:BPG196678 BZC196665:BZC196678 CIY196665:CIY196678 CSU196665:CSU196678 DCQ196665:DCQ196678 DMM196665:DMM196678 DWI196665:DWI196678 EGE196665:EGE196678 EQA196665:EQA196678 EZW196665:EZW196678 FJS196665:FJS196678 FTO196665:FTO196678 GDK196665:GDK196678 GNG196665:GNG196678 GXC196665:GXC196678 HGY196665:HGY196678 HQU196665:HQU196678 IAQ196665:IAQ196678 IKM196665:IKM196678 IUI196665:IUI196678 JEE196665:JEE196678 JOA196665:JOA196678 JXW196665:JXW196678 KHS196665:KHS196678 KRO196665:KRO196678 LBK196665:LBK196678 LLG196665:LLG196678 LVC196665:LVC196678 MEY196665:MEY196678 MOU196665:MOU196678 MYQ196665:MYQ196678 NIM196665:NIM196678 NSI196665:NSI196678 OCE196665:OCE196678 OMA196665:OMA196678 OVW196665:OVW196678 PFS196665:PFS196678 PPO196665:PPO196678 PZK196665:PZK196678 QJG196665:QJG196678 QTC196665:QTC196678 RCY196665:RCY196678 RMU196665:RMU196678 RWQ196665:RWQ196678 SGM196665:SGM196678 SQI196665:SQI196678 TAE196665:TAE196678 TKA196665:TKA196678 TTW196665:TTW196678 UDS196665:UDS196678 UNO196665:UNO196678 UXK196665:UXK196678 VHG196665:VHG196678 VRC196665:VRC196678 WAY196665:WAY196678 WKU196665:WKU196678 WUQ196665:WUQ196678 IE262201:IE262214 SA262201:SA262214 ABW262201:ABW262214 ALS262201:ALS262214 AVO262201:AVO262214 BFK262201:BFK262214 BPG262201:BPG262214 BZC262201:BZC262214 CIY262201:CIY262214 CSU262201:CSU262214 DCQ262201:DCQ262214 DMM262201:DMM262214 DWI262201:DWI262214 EGE262201:EGE262214 EQA262201:EQA262214 EZW262201:EZW262214 FJS262201:FJS262214 FTO262201:FTO262214 GDK262201:GDK262214 GNG262201:GNG262214 GXC262201:GXC262214 HGY262201:HGY262214 HQU262201:HQU262214 IAQ262201:IAQ262214 IKM262201:IKM262214 IUI262201:IUI262214 JEE262201:JEE262214 JOA262201:JOA262214 JXW262201:JXW262214 KHS262201:KHS262214 KRO262201:KRO262214 LBK262201:LBK262214 LLG262201:LLG262214 LVC262201:LVC262214 MEY262201:MEY262214 MOU262201:MOU262214 MYQ262201:MYQ262214 NIM262201:NIM262214 NSI262201:NSI262214 OCE262201:OCE262214 OMA262201:OMA262214 OVW262201:OVW262214 PFS262201:PFS262214 PPO262201:PPO262214 PZK262201:PZK262214 QJG262201:QJG262214 QTC262201:QTC262214 RCY262201:RCY262214 RMU262201:RMU262214 RWQ262201:RWQ262214 SGM262201:SGM262214 SQI262201:SQI262214 TAE262201:TAE262214 TKA262201:TKA262214 TTW262201:TTW262214 UDS262201:UDS262214 UNO262201:UNO262214 UXK262201:UXK262214 VHG262201:VHG262214 VRC262201:VRC262214 WAY262201:WAY262214 WKU262201:WKU262214 WUQ262201:WUQ262214 IE327737:IE327750 SA327737:SA327750 ABW327737:ABW327750 ALS327737:ALS327750 AVO327737:AVO327750 BFK327737:BFK327750 BPG327737:BPG327750 BZC327737:BZC327750 CIY327737:CIY327750 CSU327737:CSU327750 DCQ327737:DCQ327750 DMM327737:DMM327750 DWI327737:DWI327750 EGE327737:EGE327750 EQA327737:EQA327750 EZW327737:EZW327750 FJS327737:FJS327750 FTO327737:FTO327750 GDK327737:GDK327750 GNG327737:GNG327750 GXC327737:GXC327750 HGY327737:HGY327750 HQU327737:HQU327750 IAQ327737:IAQ327750 IKM327737:IKM327750 IUI327737:IUI327750 JEE327737:JEE327750 JOA327737:JOA327750 JXW327737:JXW327750 KHS327737:KHS327750 KRO327737:KRO327750 LBK327737:LBK327750 LLG327737:LLG327750 LVC327737:LVC327750 MEY327737:MEY327750 MOU327737:MOU327750 MYQ327737:MYQ327750 NIM327737:NIM327750 NSI327737:NSI327750 OCE327737:OCE327750 OMA327737:OMA327750 OVW327737:OVW327750 PFS327737:PFS327750 PPO327737:PPO327750 PZK327737:PZK327750 QJG327737:QJG327750 QTC327737:QTC327750 RCY327737:RCY327750 RMU327737:RMU327750 RWQ327737:RWQ327750 SGM327737:SGM327750 SQI327737:SQI327750 TAE327737:TAE327750 TKA327737:TKA327750 TTW327737:TTW327750 UDS327737:UDS327750 UNO327737:UNO327750 UXK327737:UXK327750 VHG327737:VHG327750 VRC327737:VRC327750 WAY327737:WAY327750 WKU327737:WKU327750 WUQ327737:WUQ327750 IE393273:IE393286 SA393273:SA393286 ABW393273:ABW393286 ALS393273:ALS393286 AVO393273:AVO393286 BFK393273:BFK393286 BPG393273:BPG393286 BZC393273:BZC393286 CIY393273:CIY393286 CSU393273:CSU393286 DCQ393273:DCQ393286 DMM393273:DMM393286 DWI393273:DWI393286 EGE393273:EGE393286 EQA393273:EQA393286 EZW393273:EZW393286 FJS393273:FJS393286 FTO393273:FTO393286 GDK393273:GDK393286 GNG393273:GNG393286 GXC393273:GXC393286 HGY393273:HGY393286 HQU393273:HQU393286 IAQ393273:IAQ393286 IKM393273:IKM393286 IUI393273:IUI393286 JEE393273:JEE393286 JOA393273:JOA393286 JXW393273:JXW393286 KHS393273:KHS393286 KRO393273:KRO393286 LBK393273:LBK393286 LLG393273:LLG393286 LVC393273:LVC393286 MEY393273:MEY393286 MOU393273:MOU393286 MYQ393273:MYQ393286 NIM393273:NIM393286 NSI393273:NSI393286 OCE393273:OCE393286 OMA393273:OMA393286 OVW393273:OVW393286 PFS393273:PFS393286 PPO393273:PPO393286 PZK393273:PZK393286 QJG393273:QJG393286 QTC393273:QTC393286 RCY393273:RCY393286 RMU393273:RMU393286 RWQ393273:RWQ393286 SGM393273:SGM393286 SQI393273:SQI393286 TAE393273:TAE393286 TKA393273:TKA393286 TTW393273:TTW393286 UDS393273:UDS393286 UNO393273:UNO393286 UXK393273:UXK393286 VHG393273:VHG393286 VRC393273:VRC393286 WAY393273:WAY393286 WKU393273:WKU393286 WUQ393273:WUQ393286 IE458809:IE458822 SA458809:SA458822 ABW458809:ABW458822 ALS458809:ALS458822 AVO458809:AVO458822 BFK458809:BFK458822 BPG458809:BPG458822 BZC458809:BZC458822 CIY458809:CIY458822 CSU458809:CSU458822 DCQ458809:DCQ458822 DMM458809:DMM458822 DWI458809:DWI458822 EGE458809:EGE458822 EQA458809:EQA458822 EZW458809:EZW458822 FJS458809:FJS458822 FTO458809:FTO458822 GDK458809:GDK458822 GNG458809:GNG458822 GXC458809:GXC458822 HGY458809:HGY458822 HQU458809:HQU458822 IAQ458809:IAQ458822 IKM458809:IKM458822 IUI458809:IUI458822 JEE458809:JEE458822 JOA458809:JOA458822 JXW458809:JXW458822 KHS458809:KHS458822 KRO458809:KRO458822 LBK458809:LBK458822 LLG458809:LLG458822 LVC458809:LVC458822 MEY458809:MEY458822 MOU458809:MOU458822 MYQ458809:MYQ458822 NIM458809:NIM458822 NSI458809:NSI458822 OCE458809:OCE458822 OMA458809:OMA458822 OVW458809:OVW458822 PFS458809:PFS458822 PPO458809:PPO458822 PZK458809:PZK458822 QJG458809:QJG458822 QTC458809:QTC458822 RCY458809:RCY458822 RMU458809:RMU458822 RWQ458809:RWQ458822 SGM458809:SGM458822 SQI458809:SQI458822 TAE458809:TAE458822 TKA458809:TKA458822 TTW458809:TTW458822 UDS458809:UDS458822 UNO458809:UNO458822 UXK458809:UXK458822 VHG458809:VHG458822 VRC458809:VRC458822 WAY458809:WAY458822 WKU458809:WKU458822 WUQ458809:WUQ458822 IE524345:IE524358 SA524345:SA524358 ABW524345:ABW524358 ALS524345:ALS524358 AVO524345:AVO524358 BFK524345:BFK524358 BPG524345:BPG524358 BZC524345:BZC524358 CIY524345:CIY524358 CSU524345:CSU524358 DCQ524345:DCQ524358 DMM524345:DMM524358 DWI524345:DWI524358 EGE524345:EGE524358 EQA524345:EQA524358 EZW524345:EZW524358 FJS524345:FJS524358 FTO524345:FTO524358 GDK524345:GDK524358 GNG524345:GNG524358 GXC524345:GXC524358 HGY524345:HGY524358 HQU524345:HQU524358 IAQ524345:IAQ524358 IKM524345:IKM524358 IUI524345:IUI524358 JEE524345:JEE524358 JOA524345:JOA524358 JXW524345:JXW524358 KHS524345:KHS524358 KRO524345:KRO524358 LBK524345:LBK524358 LLG524345:LLG524358 LVC524345:LVC524358 MEY524345:MEY524358 MOU524345:MOU524358 MYQ524345:MYQ524358 NIM524345:NIM524358 NSI524345:NSI524358 OCE524345:OCE524358 OMA524345:OMA524358 OVW524345:OVW524358 PFS524345:PFS524358 PPO524345:PPO524358 PZK524345:PZK524358 QJG524345:QJG524358 QTC524345:QTC524358 RCY524345:RCY524358 RMU524345:RMU524358 RWQ524345:RWQ524358 SGM524345:SGM524358 SQI524345:SQI524358 TAE524345:TAE524358 TKA524345:TKA524358 TTW524345:TTW524358 UDS524345:UDS524358 UNO524345:UNO524358 UXK524345:UXK524358 VHG524345:VHG524358 VRC524345:VRC524358 WAY524345:WAY524358 WKU524345:WKU524358 WUQ524345:WUQ524358 IE589881:IE589894 SA589881:SA589894 ABW589881:ABW589894 ALS589881:ALS589894 AVO589881:AVO589894 BFK589881:BFK589894 BPG589881:BPG589894 BZC589881:BZC589894 CIY589881:CIY589894 CSU589881:CSU589894 DCQ589881:DCQ589894 DMM589881:DMM589894 DWI589881:DWI589894 EGE589881:EGE589894 EQA589881:EQA589894 EZW589881:EZW589894 FJS589881:FJS589894 FTO589881:FTO589894 GDK589881:GDK589894 GNG589881:GNG589894 GXC589881:GXC589894 HGY589881:HGY589894 HQU589881:HQU589894 IAQ589881:IAQ589894 IKM589881:IKM589894 IUI589881:IUI589894 JEE589881:JEE589894 JOA589881:JOA589894 JXW589881:JXW589894 KHS589881:KHS589894 KRO589881:KRO589894 LBK589881:LBK589894 LLG589881:LLG589894 LVC589881:LVC589894 MEY589881:MEY589894 MOU589881:MOU589894 MYQ589881:MYQ589894 NIM589881:NIM589894 NSI589881:NSI589894 OCE589881:OCE589894 OMA589881:OMA589894 OVW589881:OVW589894 PFS589881:PFS589894 PPO589881:PPO589894 PZK589881:PZK589894 QJG589881:QJG589894 QTC589881:QTC589894 RCY589881:RCY589894 RMU589881:RMU589894 RWQ589881:RWQ589894 SGM589881:SGM589894 SQI589881:SQI589894 TAE589881:TAE589894 TKA589881:TKA589894 TTW589881:TTW589894 UDS589881:UDS589894 UNO589881:UNO589894 UXK589881:UXK589894 VHG589881:VHG589894 VRC589881:VRC589894 WAY589881:WAY589894 WKU589881:WKU589894 WUQ589881:WUQ589894 IE655417:IE655430 SA655417:SA655430 ABW655417:ABW655430 ALS655417:ALS655430 AVO655417:AVO655430 BFK655417:BFK655430 BPG655417:BPG655430 BZC655417:BZC655430 CIY655417:CIY655430 CSU655417:CSU655430 DCQ655417:DCQ655430 DMM655417:DMM655430 DWI655417:DWI655430 EGE655417:EGE655430 EQA655417:EQA655430 EZW655417:EZW655430 FJS655417:FJS655430 FTO655417:FTO655430 GDK655417:GDK655430 GNG655417:GNG655430 GXC655417:GXC655430 HGY655417:HGY655430 HQU655417:HQU655430 IAQ655417:IAQ655430 IKM655417:IKM655430 IUI655417:IUI655430 JEE655417:JEE655430 JOA655417:JOA655430 JXW655417:JXW655430 KHS655417:KHS655430 KRO655417:KRO655430 LBK655417:LBK655430 LLG655417:LLG655430 LVC655417:LVC655430 MEY655417:MEY655430 MOU655417:MOU655430 MYQ655417:MYQ655430 NIM655417:NIM655430 NSI655417:NSI655430 OCE655417:OCE655430 OMA655417:OMA655430 OVW655417:OVW655430 PFS655417:PFS655430 PPO655417:PPO655430 PZK655417:PZK655430 QJG655417:QJG655430 QTC655417:QTC655430 RCY655417:RCY655430 RMU655417:RMU655430 RWQ655417:RWQ655430 SGM655417:SGM655430 SQI655417:SQI655430 TAE655417:TAE655430 TKA655417:TKA655430 TTW655417:TTW655430 UDS655417:UDS655430 UNO655417:UNO655430 UXK655417:UXK655430 VHG655417:VHG655430 VRC655417:VRC655430 WAY655417:WAY655430 WKU655417:WKU655430 WUQ655417:WUQ655430 IE720953:IE720966 SA720953:SA720966 ABW720953:ABW720966 ALS720953:ALS720966 AVO720953:AVO720966 BFK720953:BFK720966 BPG720953:BPG720966 BZC720953:BZC720966 CIY720953:CIY720966 CSU720953:CSU720966 DCQ720953:DCQ720966 DMM720953:DMM720966 DWI720953:DWI720966 EGE720953:EGE720966 EQA720953:EQA720966 EZW720953:EZW720966 FJS720953:FJS720966 FTO720953:FTO720966 GDK720953:GDK720966 GNG720953:GNG720966 GXC720953:GXC720966 HGY720953:HGY720966 HQU720953:HQU720966 IAQ720953:IAQ720966 IKM720953:IKM720966 IUI720953:IUI720966 JEE720953:JEE720966 JOA720953:JOA720966 JXW720953:JXW720966 KHS720953:KHS720966 KRO720953:KRO720966 LBK720953:LBK720966 LLG720953:LLG720966 LVC720953:LVC720966 MEY720953:MEY720966 MOU720953:MOU720966 MYQ720953:MYQ720966 NIM720953:NIM720966 NSI720953:NSI720966 OCE720953:OCE720966 OMA720953:OMA720966 OVW720953:OVW720966 PFS720953:PFS720966 PPO720953:PPO720966 PZK720953:PZK720966 QJG720953:QJG720966 QTC720953:QTC720966 RCY720953:RCY720966 RMU720953:RMU720966 RWQ720953:RWQ720966 SGM720953:SGM720966 SQI720953:SQI720966 TAE720953:TAE720966 TKA720953:TKA720966 TTW720953:TTW720966 UDS720953:UDS720966 UNO720953:UNO720966 UXK720953:UXK720966 VHG720953:VHG720966 VRC720953:VRC720966 WAY720953:WAY720966 WKU720953:WKU720966 WUQ720953:WUQ720966 IE786489:IE786502 SA786489:SA786502 ABW786489:ABW786502 ALS786489:ALS786502 AVO786489:AVO786502 BFK786489:BFK786502 BPG786489:BPG786502 BZC786489:BZC786502 CIY786489:CIY786502 CSU786489:CSU786502 DCQ786489:DCQ786502 DMM786489:DMM786502 DWI786489:DWI786502 EGE786489:EGE786502 EQA786489:EQA786502 EZW786489:EZW786502 FJS786489:FJS786502 FTO786489:FTO786502 GDK786489:GDK786502 GNG786489:GNG786502 GXC786489:GXC786502 HGY786489:HGY786502 HQU786489:HQU786502 IAQ786489:IAQ786502 IKM786489:IKM786502 IUI786489:IUI786502 JEE786489:JEE786502 JOA786489:JOA786502 JXW786489:JXW786502 KHS786489:KHS786502 KRO786489:KRO786502 LBK786489:LBK786502 LLG786489:LLG786502 LVC786489:LVC786502 MEY786489:MEY786502 MOU786489:MOU786502 MYQ786489:MYQ786502 NIM786489:NIM786502 NSI786489:NSI786502 OCE786489:OCE786502 OMA786489:OMA786502 OVW786489:OVW786502 PFS786489:PFS786502 PPO786489:PPO786502 PZK786489:PZK786502 QJG786489:QJG786502 QTC786489:QTC786502 RCY786489:RCY786502 RMU786489:RMU786502 RWQ786489:RWQ786502 SGM786489:SGM786502 SQI786489:SQI786502 TAE786489:TAE786502 TKA786489:TKA786502 TTW786489:TTW786502 UDS786489:UDS786502 UNO786489:UNO786502 UXK786489:UXK786502 VHG786489:VHG786502 VRC786489:VRC786502 WAY786489:WAY786502 WKU786489:WKU786502 WUQ786489:WUQ786502 IE852025:IE852038 SA852025:SA852038 ABW852025:ABW852038 ALS852025:ALS852038 AVO852025:AVO852038 BFK852025:BFK852038 BPG852025:BPG852038 BZC852025:BZC852038 CIY852025:CIY852038 CSU852025:CSU852038 DCQ852025:DCQ852038 DMM852025:DMM852038 DWI852025:DWI852038 EGE852025:EGE852038 EQA852025:EQA852038 EZW852025:EZW852038 FJS852025:FJS852038 FTO852025:FTO852038 GDK852025:GDK852038 GNG852025:GNG852038 GXC852025:GXC852038 HGY852025:HGY852038 HQU852025:HQU852038 IAQ852025:IAQ852038 IKM852025:IKM852038 IUI852025:IUI852038 JEE852025:JEE852038 JOA852025:JOA852038 JXW852025:JXW852038 KHS852025:KHS852038 KRO852025:KRO852038 LBK852025:LBK852038 LLG852025:LLG852038 LVC852025:LVC852038 MEY852025:MEY852038 MOU852025:MOU852038 MYQ852025:MYQ852038 NIM852025:NIM852038 NSI852025:NSI852038 OCE852025:OCE852038 OMA852025:OMA852038 OVW852025:OVW852038 PFS852025:PFS852038 PPO852025:PPO852038 PZK852025:PZK852038 QJG852025:QJG852038 QTC852025:QTC852038 RCY852025:RCY852038 RMU852025:RMU852038 RWQ852025:RWQ852038 SGM852025:SGM852038 SQI852025:SQI852038 TAE852025:TAE852038 TKA852025:TKA852038 TTW852025:TTW852038 UDS852025:UDS852038 UNO852025:UNO852038 UXK852025:UXK852038 VHG852025:VHG852038 VRC852025:VRC852038 WAY852025:WAY852038 WKU852025:WKU852038 WUQ852025:WUQ852038 IE917561:IE917574 SA917561:SA917574 ABW917561:ABW917574 ALS917561:ALS917574 AVO917561:AVO917574 BFK917561:BFK917574 BPG917561:BPG917574 BZC917561:BZC917574 CIY917561:CIY917574 CSU917561:CSU917574 DCQ917561:DCQ917574 DMM917561:DMM917574 DWI917561:DWI917574 EGE917561:EGE917574 EQA917561:EQA917574 EZW917561:EZW917574 FJS917561:FJS917574 FTO917561:FTO917574 GDK917561:GDK917574 GNG917561:GNG917574 GXC917561:GXC917574 HGY917561:HGY917574 HQU917561:HQU917574 IAQ917561:IAQ917574 IKM917561:IKM917574 IUI917561:IUI917574 JEE917561:JEE917574 JOA917561:JOA917574 JXW917561:JXW917574 KHS917561:KHS917574 KRO917561:KRO917574 LBK917561:LBK917574 LLG917561:LLG917574 LVC917561:LVC917574 MEY917561:MEY917574 MOU917561:MOU917574 MYQ917561:MYQ917574 NIM917561:NIM917574 NSI917561:NSI917574 OCE917561:OCE917574 OMA917561:OMA917574 OVW917561:OVW917574 PFS917561:PFS917574 PPO917561:PPO917574 PZK917561:PZK917574 QJG917561:QJG917574 QTC917561:QTC917574 RCY917561:RCY917574 RMU917561:RMU917574 RWQ917561:RWQ917574 SGM917561:SGM917574 SQI917561:SQI917574 TAE917561:TAE917574 TKA917561:TKA917574 TTW917561:TTW917574 UDS917561:UDS917574 UNO917561:UNO917574 UXK917561:UXK917574 VHG917561:VHG917574 VRC917561:VRC917574 WAY917561:WAY917574 WKU917561:WKU917574 WUQ917561:WUQ917574 IE983097:IE983110 SA983097:SA983110 ABW983097:ABW983110 ALS983097:ALS983110 AVO983097:AVO983110 BFK983097:BFK983110 BPG983097:BPG983110 BZC983097:BZC983110 CIY983097:CIY983110 CSU983097:CSU983110 DCQ983097:DCQ983110 DMM983097:DMM983110 DWI983097:DWI983110 EGE983097:EGE983110 EQA983097:EQA983110 EZW983097:EZW983110 FJS983097:FJS983110 FTO983097:FTO983110 GDK983097:GDK983110 GNG983097:GNG983110 GXC983097:GXC983110 HGY983097:HGY983110 HQU983097:HQU983110 IAQ983097:IAQ983110 IKM983097:IKM983110 IUI983097:IUI983110 JEE983097:JEE983110 JOA983097:JOA983110 JXW983097:JXW983110 KHS983097:KHS983110 KRO983097:KRO983110 LBK983097:LBK983110 LLG983097:LLG983110 LVC983097:LVC983110 MEY983097:MEY983110 MOU983097:MOU983110 MYQ983097:MYQ983110 NIM983097:NIM983110 NSI983097:NSI983110 OCE983097:OCE983110 OMA983097:OMA983110 OVW983097:OVW983110 PFS983097:PFS983110 PPO983097:PPO983110 PZK983097:PZK983110 QJG983097:QJG983110 QTC983097:QTC983110 RCY983097:RCY983110 RMU983097:RMU983110 RWQ983097:RWQ983110 SGM983097:SGM983110 SQI983097:SQI983110 TAE983097:TAE983110 TKA983097:TKA983110 TTW983097:TTW983110 UDS983097:UDS983110 UNO983097:UNO983110 UXK983097:UXK983110 VHG983097:VHG983110 VRC983097:VRC983110 WAY983097:WAY983110 WKU983097:WKU983110 WUQ983097:WUQ983110 WUQ75 WKU75 WAY75 VRC75 VHG75 UXK75 UNO75 UDS75 TTW75 TKA75 TAE75 SQI75 SGM75 RWQ75 RMU75 RCY75 QTC75 QJG75 PZK75 PPO75 PFS75 OVW75 OMA75 OCE75 NSI75 NIM75 MYQ75 MOU75 MEY75 LVC75 LLG75 LBK75 KRO75 KHS75 JXW75 JOA75 JEE75 IUI75 IKM75 IAQ75 HQU75 HGY75 GXC75 GNG75 GDK75 FTO75 FJS75 EZW75 EQA75 EGE75 DWI75 DMM75 DCQ75 CSU75 CIY75 BZC75 BPG75 BFK75 AVO75 ALS75 ABW75 SA75 IE75 WUQ66:WUQ67 WKU66:WKU67 WAY66:WAY67 VRC66:VRC67 VHG66:VHG67 UXK66:UXK67 UNO66:UNO67 UDS66:UDS67 TTW66:TTW67 TKA66:TKA67 TAE66:TAE67 SQI66:SQI67 SGM66:SGM67 RWQ66:RWQ67 RMU66:RMU67 RCY66:RCY67 QTC66:QTC67 QJG66:QJG67 PZK66:PZK67 PPO66:PPO67 PFS66:PFS67 OVW66:OVW67 OMA66:OMA67 OCE66:OCE67 NSI66:NSI67 NIM66:NIM67 MYQ66:MYQ67 MOU66:MOU67 MEY66:MEY67 LVC66:LVC67 LLG66:LLG67 LBK66:LBK67 KRO66:KRO67 KHS66:KHS67 JXW66:JXW67 JOA66:JOA67 JEE66:JEE67 IUI66:IUI67 IKM66:IKM67 IAQ66:IAQ67 HQU66:HQU67 HGY66:HGY67 GXC66:GXC67 GNG66:GNG67 GDK66:GDK67 FTO66:FTO67 FJS66:FJS67 EZW66:EZW67 EQA66:EQA67 EGE66:EGE67 DWI66:DWI67 DMM66:DMM67 DCQ66:DCQ67 CSU66:CSU67 CIY66:CIY67 BZC66:BZC67 BPG66:BPG67 BFK66:BFK67 AVO66:AVO67 ALS66:ALS67 ABW66:ABW67 SA66:SA67 IE66:IE67 WUQ62:WUQ64 WKU62:WKU64 WAY62:WAY64 VRC62:VRC64 VHG62:VHG64 UXK62:UXK64 UNO62:UNO64 UDS62:UDS64 TTW62:TTW64 TKA62:TKA64 TAE62:TAE64 SQI62:SQI64 SGM62:SGM64 RWQ62:RWQ64 RMU62:RMU64 RCY62:RCY64 QTC62:QTC64 QJG62:QJG64 PZK62:PZK64 PPO62:PPO64 PFS62:PFS64 OVW62:OVW64 OMA62:OMA64 OCE62:OCE64 NSI62:NSI64 NIM62:NIM64 MYQ62:MYQ64 MOU62:MOU64 MEY62:MEY64 LVC62:LVC64 LLG62:LLG64 LBK62:LBK64 KRO62:KRO64 KHS62:KHS64 JXW62:JXW64 JOA62:JOA64 JEE62:JEE64 IUI62:IUI64 IKM62:IKM64 IAQ62:IAQ64 HQU62:HQU64 HGY62:HGY64 GXC62:GXC64 GNG62:GNG64 GDK62:GDK64 FTO62:FTO64 FJS62:FJS64 EZW62:EZW64 EQA62:EQA64 EGE62:EGE64 DWI62:DWI64 DMM62:DMM64 DCQ62:DCQ64 CSU62:CSU64 CIY62:CIY64 BZC62:BZC64 BPG62:BPG64 BFK62:BFK64 AVO62:AVO64 ALS62:ALS64 ABW62:ABW64 SA62:SA64 IE62:IE64 IE19:IE23 SA19:SA23 ABW19:ABW23 ALS19:ALS23 AVO19:AVO23 BFK19:BFK23 BPG19:BPG23 BZC19:BZC23 CIY19:CIY23 CSU19:CSU23 DCQ19:DCQ23 DMM19:DMM23 DWI19:DWI23 EGE19:EGE23 EQA19:EQA23 EZW19:EZW23 FJS19:FJS23 FTO19:FTO23 GDK19:GDK23 GNG19:GNG23 GXC19:GXC23 HGY19:HGY23 HQU19:HQU23 IAQ19:IAQ23 IKM19:IKM23 IUI19:IUI23 JEE19:JEE23 JOA19:JOA23 JXW19:JXW23 KHS19:KHS23 KRO19:KRO23 LBK19:LBK23 LLG19:LLG23 LVC19:LVC23 MEY19:MEY23 MOU19:MOU23 MYQ19:MYQ23 NIM19:NIM23 NSI19:NSI23 OCE19:OCE23 OMA19:OMA23 OVW19:OVW23 PFS19:PFS23 PPO19:PPO23 PZK19:PZK23 QJG19:QJG23 QTC19:QTC23 RCY19:RCY23 RMU19:RMU23 RWQ19:RWQ23 SGM19:SGM23 SQI19:SQI23 TAE19:TAE23 TKA19:TKA23 TTW19:TTW23 UDS19:UDS23 UNO19:UNO23 UXK19:UXK23 VHG19:VHG23 VRC19:VRC23 WAY19:WAY23 WKU19:WKU23 WUQ19:WUQ23 IE27 SA27 ABW27 ALS27 AVO27 BFK27 BPG27 BZC27 CIY27 CSU27 DCQ27 DMM27 DWI27 EGE27 EQA27 EZW27 FJS27 FTO27 GDK27 GNG27 GXC27 HGY27 HQU27 IAQ27 IKM27 IUI27 JEE27 JOA27 JXW27 KHS27 KRO27 LBK27 LLG27 LVC27 MEY27 MOU27 MYQ27 NIM27 NSI27 OCE27 OMA27 OVW27 PFS27 PPO27 PZK27 QJG27 QTC27 RCY27 RMU27 RWQ27 SGM27 SQI27 TAE27 TKA27 TTW27 UDS27 UNO27 UXK27 VHG27 VRC27 WAY27 WKU27 WUQ27 IE32 SA32 ABW32 ALS32 AVO32 BFK32 BPG32 BZC32 CIY32 CSU32 DCQ32 DMM32 DWI32 EGE32 EQA32 EZW32 FJS32 FTO32 GDK32 GNG32 GXC32 HGY32 HQU32 IAQ32 IKM32 IUI32 JEE32 JOA32 JXW32 KHS32 KRO32 LBK32 LLG32 LVC32 MEY32 MOU32 MYQ32 NIM32 NSI32 OCE32 OMA32 OVW32 PFS32 PPO32 PZK32 QJG32 QTC32 RCY32 RMU32 RWQ32 SGM32 SQI32 TAE32 TKA32 TTW32 UDS32 UNO32 UXK32 VHG32 VRC32 WAY32 WKU32 WUQ32 IE34 SA34 ABW34 ALS34 AVO34 BFK34 BPG34 BZC34 CIY34 CSU34 DCQ34 DMM34 DWI34 EGE34 EQA34 EZW34 FJS34 FTO34 GDK34 GNG34 GXC34 HGY34 HQU34 IAQ34 IKM34 IUI34 JEE34 JOA34 JXW34 KHS34 KRO34 LBK34 LLG34 LVC34 MEY34 MOU34 MYQ34 NIM34 NSI34 OCE34 OMA34 OVW34 PFS34 PPO34 PZK34 QJG34 QTC34 RCY34 RMU34 RWQ34 SGM34 SQI34 TAE34 TKA34 TTW34 UDS34 UNO34 UXK34 VHG34 VRC34 WAY34 WKU34 WUQ39:WUQ43 IE48:IE60 SA48:SA60 ABW48:ABW60 ALS48:ALS60 AVO48:AVO60 BFK48:BFK60 BPG48:BPG60 BZC48:BZC60 CIY48:CIY60 CSU48:CSU60 DCQ48:DCQ60 DMM48:DMM60 DWI48:DWI60 EGE48:EGE60 EQA48:EQA60 EZW48:EZW60 FJS48:FJS60 FTO48:FTO60 GDK48:GDK60 GNG48:GNG60 GXC48:GXC60 HGY48:HGY60 HQU48:HQU60 IAQ48:IAQ60 IKM48:IKM60 IUI48:IUI60 JEE48:JEE60 JOA48:JOA60 JXW48:JXW60 KHS48:KHS60 KRO48:KRO60 LBK48:LBK60 LLG48:LLG60 LVC48:LVC60 MEY48:MEY60 MOU48:MOU60 MYQ48:MYQ60 NIM48:NIM60 NSI48:NSI60 OCE48:OCE60 OMA48:OMA60 OVW48:OVW60 PFS48:PFS60 PPO48:PPO60 PZK48:PZK60 QJG48:QJG60 QTC48:QTC60 RCY48:RCY60 RMU48:RMU60 RWQ48:RWQ60 SGM48:SGM60 SQI48:SQI60 TAE48:TAE60 TKA48:TKA60 TTW48:TTW60 UDS48:UDS60 UNO48:UNO60 UXK48:UXK60 VHG48:VHG60 VRC48:VRC60 WAY48:WAY60 WKU48:WKU60 WUQ48:WUQ60 IE39:IE43 SA39:SA43 ABW39:ABW43 ALS39:ALS43 AVO39:AVO43 BFK39:BFK43 BPG39:BPG43 BZC39:BZC43 CIY39:CIY43 CSU39:CSU43 DCQ39:DCQ43 DMM39:DMM43 DWI39:DWI43 EGE39:EGE43 EQA39:EQA43 EZW39:EZW43 FJS39:FJS43 FTO39:FTO43 GDK39:GDK43 GNG39:GNG43 GXC39:GXC43 HGY39:HGY43 HQU39:HQU43 IAQ39:IAQ43 IKM39:IKM43 IUI39:IUI43 JEE39:JEE43 JOA39:JOA43 JXW39:JXW43 KHS39:KHS43 KRO39:KRO43 LBK39:LBK43 LLG39:LLG43 LVC39:LVC43 MEY39:MEY43 MOU39:MOU43 MYQ39:MYQ43 NIM39:NIM43 NSI39:NSI43 OCE39:OCE43 OMA39:OMA43 OVW39:OVW43 PFS39:PFS43 PPO39:PPO43 PZK39:PZK43 QJG39:QJG43 QTC39:QTC43 RCY39:RCY43 RMU39:RMU43 RWQ39:RWQ43 SGM39:SGM43 SQI39:SQI43 TAE39:TAE43 TKA39:TKA43 TTW39:TTW43 UDS39:UDS43 UNO39:UNO43 UXK39:UXK43 VHG39:VHG43 VRC39:VRC43 WAY39:WAY43 WKU39:WKU43 WKU69:WKU71 WKU81:WKU88 WAY69:WAY71 WAY81:WAY88 VRC69:VRC71 VRC81:VRC88 VHG69:VHG71 VHG81:VHG88 UXK69:UXK71 UXK81:UXK88 UNO69:UNO71 UNO81:UNO88 UDS69:UDS71 UDS81:UDS88 TTW69:TTW71 TTW81:TTW88 TKA69:TKA71 TKA81:TKA88 TAE69:TAE71 TAE81:TAE88 SQI69:SQI71 SQI81:SQI88 SGM69:SGM71 SGM81:SGM88 RWQ69:RWQ71 RWQ81:RWQ88 RMU69:RMU71 RMU81:RMU88 RCY69:RCY71 RCY81:RCY88 QTC69:QTC71 QTC81:QTC88 QJG69:QJG71 QJG81:QJG88 PZK69:PZK71 PZK81:PZK88 PPO69:PPO71 PPO81:PPO88 PFS69:PFS71 PFS81:PFS88 OVW69:OVW71 OVW81:OVW88 OMA69:OMA71 OMA81:OMA88 OCE69:OCE71 OCE81:OCE88 NSI69:NSI71 NSI81:NSI88 NIM69:NIM71 NIM81:NIM88 MYQ69:MYQ71 MYQ81:MYQ88 MOU69:MOU71 MOU81:MOU88 MEY69:MEY71 MEY81:MEY88 LVC69:LVC71 LVC81:LVC88 LLG69:LLG71 LLG81:LLG88 LBK69:LBK71 LBK81:LBK88 KRO69:KRO71 KRO81:KRO88 KHS69:KHS71 KHS81:KHS88 JXW69:JXW71 JXW81:JXW88 JOA69:JOA71 JOA81:JOA88 JEE69:JEE71 JEE81:JEE88 IUI69:IUI71 IUI81:IUI88 IKM69:IKM71 IKM81:IKM88 IAQ69:IAQ71 IAQ81:IAQ88 HQU69:HQU71 HQU81:HQU88 HGY69:HGY71 HGY81:HGY88 GXC69:GXC71 GXC81:GXC88 GNG69:GNG71 GNG81:GNG88 GDK69:GDK71 GDK81:GDK88 FTO69:FTO71 FTO81:FTO88 FJS69:FJS71 FJS81:FJS88 EZW69:EZW71 EZW81:EZW88 EQA69:EQA71 EQA81:EQA88 EGE69:EGE71 EGE81:EGE88 DWI69:DWI71 DWI81:DWI88 DMM69:DMM71 DMM81:DMM88 DCQ69:DCQ71 DCQ81:DCQ88 CSU69:CSU71 CSU81:CSU88 CIY69:CIY71 CIY81:CIY88 BZC69:BZC71 BZC81:BZC88 BPG69:BPG71 BPG81:BPG88 BFK69:BFK71 BFK81:BFK88 AVO69:AVO71 AVO81:AVO88 ALS69:ALS71 ALS81:ALS88 ABW69:ABW71 ABW81:ABW88 SA69:SA71 SA81:SA88 IE69:IE71 IE81:IE88 WUQ69:WUQ71 WUQ81:WUQ88 WUQ4:WUQ13 WKU4:WKU13 WAY4:WAY13 VRC4:VRC13 VHG4:VHG13 UXK4:UXK13 UNO4:UNO13 UDS4:UDS13 TTW4:TTW13 TKA4:TKA13 TAE4:TAE13 SQI4:SQI13 SGM4:SGM13 RWQ4:RWQ13 RMU4:RMU13 RCY4:RCY13 QTC4:QTC13 QJG4:QJG13 PZK4:PZK13 PPO4:PPO13 PFS4:PFS13 OVW4:OVW13 OMA4:OMA13 OCE4:OCE13 NSI4:NSI13 NIM4:NIM13 MYQ4:MYQ13 MOU4:MOU13 MEY4:MEY13 LVC4:LVC13 LLG4:LLG13 LBK4:LBK13 KRO4:KRO13 KHS4:KHS13 JXW4:JXW13 JOA4:JOA13 JEE4:JEE13 IUI4:IUI13 IKM4:IKM13 IAQ4:IAQ13 HQU4:HQU13 HGY4:HGY13 GXC4:GXC13 GNG4:GNG13 GDK4:GDK13 FTO4:FTO13 FJS4:FJS13 EZW4:EZW13 EQA4:EQA13 EGE4:EGE13 DWI4:DWI13 DMM4:DMM13 DCQ4:DCQ13 CSU4:CSU13 CIY4:CIY13 BZC4:BZC13 BPG4:BPG13 BFK4:BFK13 AVO4:AVO13 ALS4:ALS13 ABW4:ABW13 SA4:SA13 IE4:IE13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73"/>
  <sheetViews>
    <sheetView workbookViewId="0">
      <selection activeCell="J1" sqref="J1"/>
    </sheetView>
  </sheetViews>
  <sheetFormatPr defaultColWidth="9.140625" defaultRowHeight="11.25" outlineLevelRow="1"/>
  <cols>
    <col min="1" max="1" width="9.7109375" style="744" customWidth="1"/>
    <col min="2" max="2" width="47" style="745" customWidth="1"/>
    <col min="3" max="3" width="14.28515625" style="745" customWidth="1"/>
    <col min="4" max="6" width="9.5703125" style="746" customWidth="1"/>
    <col min="7" max="7" width="15.140625" style="747" customWidth="1"/>
    <col min="8" max="8" width="12.42578125" style="748" customWidth="1"/>
    <col min="9" max="9" width="12.5703125" style="748" customWidth="1"/>
    <col min="10" max="10" width="23.7109375" style="1891" customWidth="1"/>
    <col min="11" max="16384" width="9.140625" style="646"/>
  </cols>
  <sheetData>
    <row r="1" spans="1:12" s="624" customFormat="1" ht="45.75" thickBot="1">
      <c r="A1" s="618" t="s">
        <v>274</v>
      </c>
      <c r="B1" s="619" t="s">
        <v>275</v>
      </c>
      <c r="C1" s="620" t="s">
        <v>17</v>
      </c>
      <c r="D1" s="621" t="s">
        <v>276</v>
      </c>
      <c r="E1" s="621" t="s">
        <v>277</v>
      </c>
      <c r="F1" s="621" t="s">
        <v>278</v>
      </c>
      <c r="G1" s="622" t="s">
        <v>279</v>
      </c>
      <c r="H1" s="623" t="s">
        <v>280</v>
      </c>
      <c r="I1" s="623" t="s">
        <v>281</v>
      </c>
      <c r="J1" s="1892" t="s">
        <v>1015</v>
      </c>
    </row>
    <row r="2" spans="1:12" s="624" customFormat="1" ht="12" thickBot="1">
      <c r="A2" s="625" t="s">
        <v>282</v>
      </c>
      <c r="B2" s="626"/>
      <c r="C2" s="627"/>
      <c r="D2" s="628"/>
      <c r="E2" s="628"/>
      <c r="F2" s="628"/>
      <c r="G2" s="629"/>
      <c r="H2" s="630"/>
      <c r="I2" s="630"/>
      <c r="J2" s="1893"/>
      <c r="K2" s="624">
        <v>179625</v>
      </c>
      <c r="L2" s="624">
        <v>119750</v>
      </c>
    </row>
    <row r="3" spans="1:12" s="637" customFormat="1" hidden="1" outlineLevel="1">
      <c r="A3" s="631" t="s">
        <v>283</v>
      </c>
      <c r="B3" s="632" t="s">
        <v>284</v>
      </c>
      <c r="C3" s="633"/>
      <c r="D3" s="634">
        <v>2532.9097676997912</v>
      </c>
      <c r="E3" s="634">
        <v>2532.9097676997912</v>
      </c>
      <c r="F3" s="634">
        <v>2532.9097676997912</v>
      </c>
      <c r="G3" s="635">
        <v>9597.0720000000038</v>
      </c>
      <c r="H3" s="636"/>
      <c r="I3" s="636"/>
      <c r="J3" s="1894"/>
    </row>
    <row r="4" spans="1:12" s="637" customFormat="1" hidden="1" outlineLevel="1">
      <c r="A4" s="631" t="s">
        <v>285</v>
      </c>
      <c r="B4" s="632" t="s">
        <v>284</v>
      </c>
      <c r="C4" s="633"/>
      <c r="D4" s="634">
        <v>2532.9097676997912</v>
      </c>
      <c r="E4" s="634">
        <v>2532.9097676997912</v>
      </c>
      <c r="F4" s="634">
        <v>2532.9097676997912</v>
      </c>
      <c r="G4" s="638">
        <v>9597.0720000000038</v>
      </c>
      <c r="H4" s="636"/>
      <c r="I4" s="636"/>
      <c r="J4" s="1894"/>
    </row>
    <row r="5" spans="1:12" s="637" customFormat="1" hidden="1" outlineLevel="1">
      <c r="A5" s="631" t="s">
        <v>286</v>
      </c>
      <c r="B5" s="632" t="s">
        <v>284</v>
      </c>
      <c r="C5" s="633"/>
      <c r="D5" s="634">
        <v>2532.9097676997912</v>
      </c>
      <c r="E5" s="634">
        <v>2532.9097676997912</v>
      </c>
      <c r="F5" s="634">
        <v>2532.9097676997912</v>
      </c>
      <c r="G5" s="638">
        <v>9597.0720000000038</v>
      </c>
      <c r="H5" s="636"/>
      <c r="I5" s="636"/>
      <c r="J5" s="1894"/>
    </row>
    <row r="6" spans="1:12" s="637" customFormat="1" hidden="1" outlineLevel="1">
      <c r="A6" s="639" t="s">
        <v>287</v>
      </c>
      <c r="B6" s="632" t="s">
        <v>284</v>
      </c>
      <c r="C6" s="633"/>
      <c r="D6" s="634">
        <v>2532.9097676997912</v>
      </c>
      <c r="E6" s="634">
        <v>2532.9097676997912</v>
      </c>
      <c r="F6" s="634">
        <v>2532.9097676997912</v>
      </c>
      <c r="G6" s="638">
        <v>9597.0720000000038</v>
      </c>
      <c r="H6" s="636"/>
      <c r="I6" s="636"/>
      <c r="J6" s="1894"/>
    </row>
    <row r="7" spans="1:12" s="637" customFormat="1" hidden="1" outlineLevel="1">
      <c r="A7" s="639" t="s">
        <v>288</v>
      </c>
      <c r="B7" s="632" t="s">
        <v>284</v>
      </c>
      <c r="C7" s="633"/>
      <c r="D7" s="634">
        <v>2532.9097676997912</v>
      </c>
      <c r="E7" s="634">
        <v>2532.9097676997912</v>
      </c>
      <c r="F7" s="634">
        <v>2532.9097676997912</v>
      </c>
      <c r="G7" s="638">
        <v>9597.0720000000038</v>
      </c>
      <c r="H7" s="636"/>
      <c r="I7" s="636"/>
      <c r="J7" s="1894"/>
    </row>
    <row r="8" spans="1:12" s="637" customFormat="1" hidden="1" outlineLevel="1">
      <c r="A8" s="639" t="s">
        <v>289</v>
      </c>
      <c r="B8" s="632" t="s">
        <v>290</v>
      </c>
      <c r="C8" s="633"/>
      <c r="D8" s="634">
        <v>3166.1372096247392</v>
      </c>
      <c r="E8" s="634">
        <v>3166.1372096247392</v>
      </c>
      <c r="F8" s="634">
        <v>3166.1372096247392</v>
      </c>
      <c r="G8" s="638">
        <v>11996.340000000004</v>
      </c>
      <c r="H8" s="636"/>
      <c r="I8" s="636"/>
      <c r="J8" s="1894"/>
    </row>
    <row r="9" spans="1:12" collapsed="1">
      <c r="A9" s="640" t="s">
        <v>291</v>
      </c>
      <c r="B9" s="641" t="s">
        <v>292</v>
      </c>
      <c r="C9" s="642">
        <v>88680</v>
      </c>
      <c r="D9" s="643">
        <v>15830.686048123696</v>
      </c>
      <c r="E9" s="643">
        <f>$K$2*D9/$D$163</f>
        <v>23746.029072185542</v>
      </c>
      <c r="F9" s="643">
        <f>$L$2*E9/$E$163</f>
        <v>15830.686048123693</v>
      </c>
      <c r="G9" s="644">
        <v>59981.700000000026</v>
      </c>
      <c r="H9" s="645">
        <f>IFERROR(G9/(D9+E9+F9),"")</f>
        <v>1.0825575416840376</v>
      </c>
      <c r="I9" s="645">
        <f>G9/C9</f>
        <v>0.67638362652232775</v>
      </c>
      <c r="J9" s="1895"/>
    </row>
    <row r="10" spans="1:12" s="637" customFormat="1" hidden="1" outlineLevel="1">
      <c r="A10" s="639" t="s">
        <v>283</v>
      </c>
      <c r="B10" s="647" t="s">
        <v>293</v>
      </c>
      <c r="C10" s="648">
        <v>6360</v>
      </c>
      <c r="D10" s="634">
        <v>1135.3536678627279</v>
      </c>
      <c r="E10" s="634">
        <f t="shared" ref="E10:E73" si="0">$K$2*D10/$D$163</f>
        <v>1703.0305017940916</v>
      </c>
      <c r="F10" s="634">
        <f t="shared" ref="F10:F73" si="1">$L$2*E10/$E$163</f>
        <v>1135.3536678627277</v>
      </c>
      <c r="G10" s="638">
        <v>2891.2820000000006</v>
      </c>
      <c r="H10" s="645">
        <f t="shared" ref="H10:H73" si="2">IFERROR(G10/(D10+E10+F10),"")</f>
        <v>0.72759757141018944</v>
      </c>
      <c r="I10" s="645"/>
      <c r="J10" s="1895"/>
    </row>
    <row r="11" spans="1:12" s="637" customFormat="1" hidden="1" outlineLevel="1">
      <c r="A11" s="639" t="s">
        <v>285</v>
      </c>
      <c r="B11" s="647" t="s">
        <v>293</v>
      </c>
      <c r="C11" s="648">
        <v>6360</v>
      </c>
      <c r="D11" s="634">
        <v>1135.3536678627279</v>
      </c>
      <c r="E11" s="634">
        <f t="shared" si="0"/>
        <v>1703.0305017940916</v>
      </c>
      <c r="F11" s="634">
        <f t="shared" si="1"/>
        <v>1135.3536678627277</v>
      </c>
      <c r="G11" s="638">
        <v>2891.2820000000006</v>
      </c>
      <c r="H11" s="645">
        <f t="shared" si="2"/>
        <v>0.72759757141018944</v>
      </c>
      <c r="I11" s="645"/>
      <c r="J11" s="1895"/>
    </row>
    <row r="12" spans="1:12" s="637" customFormat="1" hidden="1" outlineLevel="1">
      <c r="A12" s="639" t="s">
        <v>286</v>
      </c>
      <c r="B12" s="647" t="s">
        <v>293</v>
      </c>
      <c r="C12" s="648">
        <v>6360</v>
      </c>
      <c r="D12" s="634">
        <v>1135.3536678627279</v>
      </c>
      <c r="E12" s="634">
        <f t="shared" si="0"/>
        <v>1703.0305017940916</v>
      </c>
      <c r="F12" s="634">
        <f t="shared" si="1"/>
        <v>1135.3536678627277</v>
      </c>
      <c r="G12" s="638">
        <v>2891.2820000000006</v>
      </c>
      <c r="H12" s="645">
        <f t="shared" si="2"/>
        <v>0.72759757141018944</v>
      </c>
      <c r="I12" s="645"/>
      <c r="J12" s="1895"/>
    </row>
    <row r="13" spans="1:12" s="637" customFormat="1" hidden="1" outlineLevel="1">
      <c r="A13" s="639" t="s">
        <v>287</v>
      </c>
      <c r="B13" s="647" t="s">
        <v>293</v>
      </c>
      <c r="C13" s="648">
        <v>6360</v>
      </c>
      <c r="D13" s="634">
        <v>1135.3536678627279</v>
      </c>
      <c r="E13" s="634">
        <f t="shared" si="0"/>
        <v>1703.0305017940916</v>
      </c>
      <c r="F13" s="634">
        <f t="shared" si="1"/>
        <v>1135.3536678627277</v>
      </c>
      <c r="G13" s="638">
        <v>2891.2820000000006</v>
      </c>
      <c r="H13" s="645">
        <f t="shared" si="2"/>
        <v>0.72759757141018944</v>
      </c>
      <c r="I13" s="645"/>
      <c r="J13" s="1895"/>
    </row>
    <row r="14" spans="1:12" s="637" customFormat="1" hidden="1" outlineLevel="1">
      <c r="A14" s="639" t="s">
        <v>288</v>
      </c>
      <c r="B14" s="647" t="s">
        <v>293</v>
      </c>
      <c r="C14" s="648">
        <v>6360</v>
      </c>
      <c r="D14" s="634">
        <v>1135.3536678627279</v>
      </c>
      <c r="E14" s="634">
        <f t="shared" si="0"/>
        <v>1703.0305017940916</v>
      </c>
      <c r="F14" s="634">
        <f t="shared" si="1"/>
        <v>1135.3536678627277</v>
      </c>
      <c r="G14" s="638">
        <v>2891.2820000000006</v>
      </c>
      <c r="H14" s="645">
        <f t="shared" si="2"/>
        <v>0.72759757141018944</v>
      </c>
      <c r="I14" s="645"/>
      <c r="J14" s="1895"/>
    </row>
    <row r="15" spans="1:12" collapsed="1">
      <c r="A15" s="640" t="s">
        <v>291</v>
      </c>
      <c r="B15" s="649" t="s">
        <v>293</v>
      </c>
      <c r="C15" s="650">
        <v>31800</v>
      </c>
      <c r="D15" s="643">
        <v>5676.7683393136394</v>
      </c>
      <c r="E15" s="643">
        <f t="shared" si="0"/>
        <v>8515.1525089704573</v>
      </c>
      <c r="F15" s="643">
        <f t="shared" si="1"/>
        <v>5676.7683393136385</v>
      </c>
      <c r="G15" s="644">
        <v>14456.410000000003</v>
      </c>
      <c r="H15" s="645">
        <f t="shared" si="2"/>
        <v>0.72759757141018955</v>
      </c>
      <c r="I15" s="645">
        <f t="shared" ref="I15:I52" si="3">G15/C15</f>
        <v>0.45460408805031455</v>
      </c>
      <c r="J15" s="1895"/>
    </row>
    <row r="16" spans="1:12" s="637" customFormat="1" hidden="1" outlineLevel="1">
      <c r="A16" s="639" t="s">
        <v>283</v>
      </c>
      <c r="B16" s="647" t="s">
        <v>294</v>
      </c>
      <c r="C16" s="648">
        <v>3504</v>
      </c>
      <c r="D16" s="634">
        <v>625.51560569040851</v>
      </c>
      <c r="E16" s="634">
        <f t="shared" si="0"/>
        <v>938.2734085356127</v>
      </c>
      <c r="F16" s="634">
        <f t="shared" si="1"/>
        <v>625.51560569040839</v>
      </c>
      <c r="G16" s="638">
        <v>2223.502</v>
      </c>
      <c r="H16" s="645">
        <f t="shared" si="2"/>
        <v>1.0156202018542653</v>
      </c>
      <c r="I16" s="645">
        <f t="shared" si="3"/>
        <v>0.63456107305936071</v>
      </c>
      <c r="J16" s="1895"/>
    </row>
    <row r="17" spans="1:10" s="637" customFormat="1" hidden="1" outlineLevel="1">
      <c r="A17" s="639" t="s">
        <v>285</v>
      </c>
      <c r="B17" s="647" t="s">
        <v>294</v>
      </c>
      <c r="C17" s="648">
        <v>3504</v>
      </c>
      <c r="D17" s="634">
        <v>625.51560569040851</v>
      </c>
      <c r="E17" s="634">
        <f t="shared" si="0"/>
        <v>938.2734085356127</v>
      </c>
      <c r="F17" s="634">
        <f t="shared" si="1"/>
        <v>625.51560569040839</v>
      </c>
      <c r="G17" s="638">
        <v>2223.502</v>
      </c>
      <c r="H17" s="645">
        <f t="shared" si="2"/>
        <v>1.0156202018542653</v>
      </c>
      <c r="I17" s="645">
        <f t="shared" si="3"/>
        <v>0.63456107305936071</v>
      </c>
      <c r="J17" s="1895"/>
    </row>
    <row r="18" spans="1:10" s="637" customFormat="1" hidden="1" outlineLevel="1">
      <c r="A18" s="639" t="s">
        <v>286</v>
      </c>
      <c r="B18" s="647" t="s">
        <v>294</v>
      </c>
      <c r="C18" s="648">
        <v>3504</v>
      </c>
      <c r="D18" s="634">
        <v>625.51560569040851</v>
      </c>
      <c r="E18" s="634">
        <f t="shared" si="0"/>
        <v>938.2734085356127</v>
      </c>
      <c r="F18" s="634">
        <f t="shared" si="1"/>
        <v>625.51560569040839</v>
      </c>
      <c r="G18" s="638">
        <v>2223.502</v>
      </c>
      <c r="H18" s="645">
        <f t="shared" si="2"/>
        <v>1.0156202018542653</v>
      </c>
      <c r="I18" s="645">
        <f t="shared" si="3"/>
        <v>0.63456107305936071</v>
      </c>
      <c r="J18" s="1895"/>
    </row>
    <row r="19" spans="1:10" s="637" customFormat="1" hidden="1" outlineLevel="1">
      <c r="A19" s="639" t="s">
        <v>287</v>
      </c>
      <c r="B19" s="647" t="s">
        <v>294</v>
      </c>
      <c r="C19" s="648">
        <v>3504</v>
      </c>
      <c r="D19" s="634">
        <v>625.51560569040851</v>
      </c>
      <c r="E19" s="634">
        <f t="shared" si="0"/>
        <v>938.2734085356127</v>
      </c>
      <c r="F19" s="634">
        <f t="shared" si="1"/>
        <v>625.51560569040839</v>
      </c>
      <c r="G19" s="638">
        <v>2223.502</v>
      </c>
      <c r="H19" s="645">
        <f t="shared" si="2"/>
        <v>1.0156202018542653</v>
      </c>
      <c r="I19" s="645">
        <f t="shared" si="3"/>
        <v>0.63456107305936071</v>
      </c>
      <c r="J19" s="1895"/>
    </row>
    <row r="20" spans="1:10" s="637" customFormat="1" hidden="1" outlineLevel="1">
      <c r="A20" s="639" t="s">
        <v>288</v>
      </c>
      <c r="B20" s="647" t="s">
        <v>294</v>
      </c>
      <c r="C20" s="648">
        <v>3504</v>
      </c>
      <c r="D20" s="634">
        <v>625.51560569040851</v>
      </c>
      <c r="E20" s="634">
        <f t="shared" si="0"/>
        <v>938.2734085356127</v>
      </c>
      <c r="F20" s="634">
        <f t="shared" si="1"/>
        <v>625.51560569040839</v>
      </c>
      <c r="G20" s="638">
        <v>2223.502</v>
      </c>
      <c r="H20" s="645">
        <f t="shared" si="2"/>
        <v>1.0156202018542653</v>
      </c>
      <c r="I20" s="645">
        <f t="shared" si="3"/>
        <v>0.63456107305936071</v>
      </c>
      <c r="J20" s="1895"/>
    </row>
    <row r="21" spans="1:10" collapsed="1">
      <c r="A21" s="640" t="s">
        <v>291</v>
      </c>
      <c r="B21" s="649" t="s">
        <v>294</v>
      </c>
      <c r="C21" s="650">
        <v>17520</v>
      </c>
      <c r="D21" s="643">
        <v>3127.5780284520429</v>
      </c>
      <c r="E21" s="643">
        <f t="shared" si="0"/>
        <v>4691.3670426780636</v>
      </c>
      <c r="F21" s="643">
        <f t="shared" si="1"/>
        <v>3127.5780284520424</v>
      </c>
      <c r="G21" s="644">
        <v>11117.51</v>
      </c>
      <c r="H21" s="645">
        <f t="shared" si="2"/>
        <v>1.0156202018542653</v>
      </c>
      <c r="I21" s="645">
        <f t="shared" si="3"/>
        <v>0.63456107305936071</v>
      </c>
      <c r="J21" s="1895"/>
    </row>
    <row r="22" spans="1:10" s="637" customFormat="1" hidden="1" outlineLevel="1">
      <c r="A22" s="639" t="s">
        <v>283</v>
      </c>
      <c r="B22" s="647" t="s">
        <v>295</v>
      </c>
      <c r="C22" s="648">
        <v>2400</v>
      </c>
      <c r="D22" s="634">
        <v>428.43534636329355</v>
      </c>
      <c r="E22" s="634">
        <f t="shared" si="0"/>
        <v>642.65301954494021</v>
      </c>
      <c r="F22" s="634">
        <f t="shared" si="1"/>
        <v>428.43534636329343</v>
      </c>
      <c r="G22" s="638">
        <v>868.22799999999995</v>
      </c>
      <c r="H22" s="645">
        <f t="shared" si="2"/>
        <v>0.57900251452828311</v>
      </c>
      <c r="I22" s="645">
        <f t="shared" si="3"/>
        <v>0.36176166666666665</v>
      </c>
      <c r="J22" s="1895"/>
    </row>
    <row r="23" spans="1:10" s="637" customFormat="1" hidden="1" outlineLevel="1">
      <c r="A23" s="639" t="s">
        <v>285</v>
      </c>
      <c r="B23" s="647" t="s">
        <v>295</v>
      </c>
      <c r="C23" s="648">
        <v>2400</v>
      </c>
      <c r="D23" s="634">
        <v>428.43534636329355</v>
      </c>
      <c r="E23" s="634">
        <f t="shared" si="0"/>
        <v>642.65301954494021</v>
      </c>
      <c r="F23" s="634">
        <f t="shared" si="1"/>
        <v>428.43534636329343</v>
      </c>
      <c r="G23" s="638">
        <v>868.22799999999995</v>
      </c>
      <c r="H23" s="645">
        <f t="shared" si="2"/>
        <v>0.57900251452828311</v>
      </c>
      <c r="I23" s="645">
        <f t="shared" si="3"/>
        <v>0.36176166666666665</v>
      </c>
      <c r="J23" s="1895"/>
    </row>
    <row r="24" spans="1:10" s="637" customFormat="1" hidden="1" outlineLevel="1">
      <c r="A24" s="639" t="s">
        <v>286</v>
      </c>
      <c r="B24" s="647" t="s">
        <v>295</v>
      </c>
      <c r="C24" s="648">
        <v>2400</v>
      </c>
      <c r="D24" s="634">
        <v>428.43534636329355</v>
      </c>
      <c r="E24" s="634">
        <f t="shared" si="0"/>
        <v>642.65301954494021</v>
      </c>
      <c r="F24" s="634">
        <f t="shared" si="1"/>
        <v>428.43534636329343</v>
      </c>
      <c r="G24" s="638">
        <v>868.22799999999995</v>
      </c>
      <c r="H24" s="645">
        <f t="shared" si="2"/>
        <v>0.57900251452828311</v>
      </c>
      <c r="I24" s="645">
        <f t="shared" si="3"/>
        <v>0.36176166666666665</v>
      </c>
      <c r="J24" s="1895"/>
    </row>
    <row r="25" spans="1:10" s="637" customFormat="1" hidden="1" outlineLevel="1">
      <c r="A25" s="639" t="s">
        <v>287</v>
      </c>
      <c r="B25" s="647" t="s">
        <v>295</v>
      </c>
      <c r="C25" s="648">
        <v>2400</v>
      </c>
      <c r="D25" s="634">
        <v>428.43534636329355</v>
      </c>
      <c r="E25" s="634">
        <f t="shared" si="0"/>
        <v>642.65301954494021</v>
      </c>
      <c r="F25" s="634">
        <f t="shared" si="1"/>
        <v>428.43534636329343</v>
      </c>
      <c r="G25" s="638">
        <v>868.22799999999995</v>
      </c>
      <c r="H25" s="645">
        <f t="shared" si="2"/>
        <v>0.57900251452828311</v>
      </c>
      <c r="I25" s="645">
        <f t="shared" si="3"/>
        <v>0.36176166666666665</v>
      </c>
      <c r="J25" s="1895"/>
    </row>
    <row r="26" spans="1:10" s="637" customFormat="1" hidden="1" outlineLevel="1">
      <c r="A26" s="639" t="s">
        <v>288</v>
      </c>
      <c r="B26" s="647" t="s">
        <v>295</v>
      </c>
      <c r="C26" s="648">
        <v>2400</v>
      </c>
      <c r="D26" s="634">
        <v>428.43534636329355</v>
      </c>
      <c r="E26" s="634">
        <f t="shared" si="0"/>
        <v>642.65301954494021</v>
      </c>
      <c r="F26" s="634">
        <f t="shared" si="1"/>
        <v>428.43534636329343</v>
      </c>
      <c r="G26" s="638">
        <v>868.22799999999995</v>
      </c>
      <c r="H26" s="645">
        <f t="shared" si="2"/>
        <v>0.57900251452828311</v>
      </c>
      <c r="I26" s="645">
        <f t="shared" si="3"/>
        <v>0.36176166666666665</v>
      </c>
      <c r="J26" s="1895"/>
    </row>
    <row r="27" spans="1:10" collapsed="1">
      <c r="A27" s="640" t="s">
        <v>291</v>
      </c>
      <c r="B27" s="649" t="s">
        <v>295</v>
      </c>
      <c r="C27" s="650">
        <v>12000</v>
      </c>
      <c r="D27" s="643">
        <v>2142.1767318164675</v>
      </c>
      <c r="E27" s="643">
        <f t="shared" si="0"/>
        <v>3213.2650977247008</v>
      </c>
      <c r="F27" s="643">
        <f t="shared" si="1"/>
        <v>2142.1767318164675</v>
      </c>
      <c r="G27" s="644">
        <v>4341.1400000000003</v>
      </c>
      <c r="H27" s="645">
        <f t="shared" si="2"/>
        <v>0.57900251452828322</v>
      </c>
      <c r="I27" s="645">
        <f t="shared" si="3"/>
        <v>0.3617616666666667</v>
      </c>
      <c r="J27" s="1895"/>
    </row>
    <row r="28" spans="1:10" s="637" customFormat="1" hidden="1" outlineLevel="1">
      <c r="A28" s="639" t="s">
        <v>283</v>
      </c>
      <c r="B28" s="647" t="s">
        <v>296</v>
      </c>
      <c r="C28" s="648">
        <v>2448</v>
      </c>
      <c r="D28" s="634">
        <v>437.0040532905594</v>
      </c>
      <c r="E28" s="634">
        <f t="shared" si="0"/>
        <v>655.50607993583901</v>
      </c>
      <c r="F28" s="634">
        <f t="shared" si="1"/>
        <v>437.00405329055934</v>
      </c>
      <c r="G28" s="638">
        <v>1624.5240000000001</v>
      </c>
      <c r="H28" s="645">
        <f t="shared" si="2"/>
        <v>1.0621176412226687</v>
      </c>
      <c r="I28" s="645">
        <f t="shared" si="3"/>
        <v>0.66361274509803925</v>
      </c>
      <c r="J28" s="1895"/>
    </row>
    <row r="29" spans="1:10" s="637" customFormat="1" hidden="1" outlineLevel="1">
      <c r="A29" s="639" t="s">
        <v>285</v>
      </c>
      <c r="B29" s="647" t="s">
        <v>296</v>
      </c>
      <c r="C29" s="648">
        <v>2448</v>
      </c>
      <c r="D29" s="634">
        <v>437.0040532905594</v>
      </c>
      <c r="E29" s="634">
        <f t="shared" si="0"/>
        <v>655.50607993583901</v>
      </c>
      <c r="F29" s="634">
        <f t="shared" si="1"/>
        <v>437.00405329055934</v>
      </c>
      <c r="G29" s="638">
        <v>1624.5240000000001</v>
      </c>
      <c r="H29" s="645">
        <f t="shared" si="2"/>
        <v>1.0621176412226687</v>
      </c>
      <c r="I29" s="645">
        <f t="shared" si="3"/>
        <v>0.66361274509803925</v>
      </c>
      <c r="J29" s="1895"/>
    </row>
    <row r="30" spans="1:10" s="637" customFormat="1" hidden="1" outlineLevel="1">
      <c r="A30" s="639" t="s">
        <v>286</v>
      </c>
      <c r="B30" s="647" t="s">
        <v>296</v>
      </c>
      <c r="C30" s="648">
        <v>2448</v>
      </c>
      <c r="D30" s="634">
        <v>437.0040532905594</v>
      </c>
      <c r="E30" s="634">
        <f t="shared" si="0"/>
        <v>655.50607993583901</v>
      </c>
      <c r="F30" s="634">
        <f t="shared" si="1"/>
        <v>437.00405329055934</v>
      </c>
      <c r="G30" s="638">
        <v>1624.5240000000001</v>
      </c>
      <c r="H30" s="645">
        <f t="shared" si="2"/>
        <v>1.0621176412226687</v>
      </c>
      <c r="I30" s="645">
        <f t="shared" si="3"/>
        <v>0.66361274509803925</v>
      </c>
      <c r="J30" s="1895"/>
    </row>
    <row r="31" spans="1:10" s="637" customFormat="1" hidden="1" outlineLevel="1">
      <c r="A31" s="639" t="s">
        <v>287</v>
      </c>
      <c r="B31" s="647" t="s">
        <v>296</v>
      </c>
      <c r="C31" s="648">
        <v>2448</v>
      </c>
      <c r="D31" s="634">
        <v>437.0040532905594</v>
      </c>
      <c r="E31" s="634">
        <f t="shared" si="0"/>
        <v>655.50607993583901</v>
      </c>
      <c r="F31" s="634">
        <f t="shared" si="1"/>
        <v>437.00405329055934</v>
      </c>
      <c r="G31" s="638">
        <v>1624.5240000000001</v>
      </c>
      <c r="H31" s="645">
        <f t="shared" si="2"/>
        <v>1.0621176412226687</v>
      </c>
      <c r="I31" s="645">
        <f t="shared" si="3"/>
        <v>0.66361274509803925</v>
      </c>
      <c r="J31" s="1895"/>
    </row>
    <row r="32" spans="1:10" s="637" customFormat="1" hidden="1" outlineLevel="1">
      <c r="A32" s="639" t="s">
        <v>288</v>
      </c>
      <c r="B32" s="647" t="s">
        <v>296</v>
      </c>
      <c r="C32" s="648">
        <v>2448</v>
      </c>
      <c r="D32" s="634">
        <v>437.0040532905594</v>
      </c>
      <c r="E32" s="634">
        <f t="shared" si="0"/>
        <v>655.50607993583901</v>
      </c>
      <c r="F32" s="634">
        <f t="shared" si="1"/>
        <v>437.00405329055934</v>
      </c>
      <c r="G32" s="638">
        <v>1624.5240000000001</v>
      </c>
      <c r="H32" s="645">
        <f t="shared" si="2"/>
        <v>1.0621176412226687</v>
      </c>
      <c r="I32" s="645">
        <f t="shared" si="3"/>
        <v>0.66361274509803925</v>
      </c>
      <c r="J32" s="1895"/>
    </row>
    <row r="33" spans="1:10" collapsed="1">
      <c r="A33" s="651" t="s">
        <v>291</v>
      </c>
      <c r="B33" s="652" t="s">
        <v>296</v>
      </c>
      <c r="C33" s="653">
        <v>12240</v>
      </c>
      <c r="D33" s="654">
        <v>2185.0202664527969</v>
      </c>
      <c r="E33" s="654">
        <f t="shared" si="0"/>
        <v>3277.5303996791949</v>
      </c>
      <c r="F33" s="654">
        <f t="shared" si="1"/>
        <v>2185.0202664527965</v>
      </c>
      <c r="G33" s="655">
        <v>8122.6200000000008</v>
      </c>
      <c r="H33" s="645">
        <f t="shared" si="2"/>
        <v>1.0621176412226687</v>
      </c>
      <c r="I33" s="645">
        <f t="shared" si="3"/>
        <v>0.66361274509803925</v>
      </c>
      <c r="J33" s="1895"/>
    </row>
    <row r="34" spans="1:10" s="637" customFormat="1" hidden="1" outlineLevel="1">
      <c r="A34" s="639" t="s">
        <v>283</v>
      </c>
      <c r="B34" s="647" t="s">
        <v>297</v>
      </c>
      <c r="C34" s="648">
        <v>960</v>
      </c>
      <c r="D34" s="634">
        <v>171.37413854531741</v>
      </c>
      <c r="E34" s="634">
        <f t="shared" si="0"/>
        <v>257.06120781797608</v>
      </c>
      <c r="F34" s="634">
        <f t="shared" si="1"/>
        <v>171.37413854531741</v>
      </c>
      <c r="G34" s="638">
        <v>1678.6</v>
      </c>
      <c r="H34" s="645">
        <f t="shared" si="2"/>
        <v>2.7985552783576892</v>
      </c>
      <c r="I34" s="645">
        <f t="shared" si="3"/>
        <v>1.7485416666666667</v>
      </c>
      <c r="J34" s="1895"/>
    </row>
    <row r="35" spans="1:10" s="637" customFormat="1" hidden="1" outlineLevel="1">
      <c r="A35" s="639" t="s">
        <v>285</v>
      </c>
      <c r="B35" s="647" t="s">
        <v>297</v>
      </c>
      <c r="C35" s="648">
        <v>960</v>
      </c>
      <c r="D35" s="634">
        <v>171.37413854531741</v>
      </c>
      <c r="E35" s="634">
        <f t="shared" si="0"/>
        <v>257.06120781797608</v>
      </c>
      <c r="F35" s="634">
        <f t="shared" si="1"/>
        <v>171.37413854531741</v>
      </c>
      <c r="G35" s="638">
        <v>1678.6</v>
      </c>
      <c r="H35" s="645">
        <f t="shared" si="2"/>
        <v>2.7985552783576892</v>
      </c>
      <c r="I35" s="645">
        <f t="shared" si="3"/>
        <v>1.7485416666666667</v>
      </c>
      <c r="J35" s="1895"/>
    </row>
    <row r="36" spans="1:10" s="637" customFormat="1" hidden="1" outlineLevel="1">
      <c r="A36" s="639" t="s">
        <v>286</v>
      </c>
      <c r="B36" s="647" t="s">
        <v>297</v>
      </c>
      <c r="C36" s="648">
        <v>960</v>
      </c>
      <c r="D36" s="634">
        <v>171.37413854531741</v>
      </c>
      <c r="E36" s="634">
        <f t="shared" si="0"/>
        <v>257.06120781797608</v>
      </c>
      <c r="F36" s="634">
        <f t="shared" si="1"/>
        <v>171.37413854531741</v>
      </c>
      <c r="G36" s="638">
        <v>1678.6</v>
      </c>
      <c r="H36" s="645">
        <f t="shared" si="2"/>
        <v>2.7985552783576892</v>
      </c>
      <c r="I36" s="645">
        <f t="shared" si="3"/>
        <v>1.7485416666666667</v>
      </c>
      <c r="J36" s="1895"/>
    </row>
    <row r="37" spans="1:10" s="637" customFormat="1" hidden="1" outlineLevel="1">
      <c r="A37" s="639" t="s">
        <v>287</v>
      </c>
      <c r="B37" s="647" t="s">
        <v>297</v>
      </c>
      <c r="C37" s="648">
        <v>960</v>
      </c>
      <c r="D37" s="634">
        <v>171.37413854531741</v>
      </c>
      <c r="E37" s="634">
        <f t="shared" si="0"/>
        <v>257.06120781797608</v>
      </c>
      <c r="F37" s="634">
        <f t="shared" si="1"/>
        <v>171.37413854531741</v>
      </c>
      <c r="G37" s="638">
        <v>1678.6</v>
      </c>
      <c r="H37" s="645">
        <f t="shared" si="2"/>
        <v>2.7985552783576892</v>
      </c>
      <c r="I37" s="645">
        <f t="shared" si="3"/>
        <v>1.7485416666666667</v>
      </c>
      <c r="J37" s="1895"/>
    </row>
    <row r="38" spans="1:10" s="637" customFormat="1" hidden="1" outlineLevel="1">
      <c r="A38" s="639" t="s">
        <v>288</v>
      </c>
      <c r="B38" s="647" t="s">
        <v>297</v>
      </c>
      <c r="C38" s="648">
        <v>960</v>
      </c>
      <c r="D38" s="634">
        <v>171.37413854531741</v>
      </c>
      <c r="E38" s="634">
        <f t="shared" si="0"/>
        <v>257.06120781797608</v>
      </c>
      <c r="F38" s="634">
        <f t="shared" si="1"/>
        <v>171.37413854531741</v>
      </c>
      <c r="G38" s="638">
        <v>1678.6</v>
      </c>
      <c r="H38" s="645">
        <f t="shared" si="2"/>
        <v>2.7985552783576892</v>
      </c>
      <c r="I38" s="645">
        <f t="shared" si="3"/>
        <v>1.7485416666666667</v>
      </c>
      <c r="J38" s="1895"/>
    </row>
    <row r="39" spans="1:10" collapsed="1">
      <c r="A39" s="640" t="s">
        <v>291</v>
      </c>
      <c r="B39" s="649" t="s">
        <v>297</v>
      </c>
      <c r="C39" s="650">
        <v>4800</v>
      </c>
      <c r="D39" s="643">
        <v>856.87069272658709</v>
      </c>
      <c r="E39" s="643">
        <f t="shared" si="0"/>
        <v>1285.3060390898804</v>
      </c>
      <c r="F39" s="643">
        <f t="shared" si="1"/>
        <v>856.87069272658687</v>
      </c>
      <c r="G39" s="644">
        <v>8393</v>
      </c>
      <c r="H39" s="645">
        <f t="shared" si="2"/>
        <v>2.7985552783576901</v>
      </c>
      <c r="I39" s="645">
        <f t="shared" si="3"/>
        <v>1.7485416666666667</v>
      </c>
      <c r="J39" s="1895"/>
    </row>
    <row r="40" spans="1:10" s="637" customFormat="1" hidden="1" outlineLevel="1">
      <c r="A40" s="639" t="s">
        <v>283</v>
      </c>
      <c r="B40" s="647" t="s">
        <v>298</v>
      </c>
      <c r="C40" s="648">
        <v>1063.92</v>
      </c>
      <c r="D40" s="634">
        <v>189.92538904284802</v>
      </c>
      <c r="E40" s="634">
        <f t="shared" si="0"/>
        <v>284.88808356427199</v>
      </c>
      <c r="F40" s="634">
        <f t="shared" si="1"/>
        <v>189.925389042848</v>
      </c>
      <c r="G40" s="638">
        <v>0</v>
      </c>
      <c r="H40" s="645">
        <f t="shared" si="2"/>
        <v>0</v>
      </c>
      <c r="I40" s="645">
        <f t="shared" si="3"/>
        <v>0</v>
      </c>
      <c r="J40" s="1895"/>
    </row>
    <row r="41" spans="1:10" s="637" customFormat="1" hidden="1" outlineLevel="1">
      <c r="A41" s="639" t="s">
        <v>285</v>
      </c>
      <c r="B41" s="647" t="s">
        <v>298</v>
      </c>
      <c r="C41" s="648">
        <v>1063.92</v>
      </c>
      <c r="D41" s="634">
        <v>189.92538904284802</v>
      </c>
      <c r="E41" s="634">
        <f t="shared" si="0"/>
        <v>284.88808356427199</v>
      </c>
      <c r="F41" s="634">
        <f t="shared" si="1"/>
        <v>189.925389042848</v>
      </c>
      <c r="G41" s="638">
        <v>0</v>
      </c>
      <c r="H41" s="645">
        <f t="shared" si="2"/>
        <v>0</v>
      </c>
      <c r="I41" s="645">
        <f t="shared" si="3"/>
        <v>0</v>
      </c>
      <c r="J41" s="1895"/>
    </row>
    <row r="42" spans="1:10" s="637" customFormat="1" hidden="1" outlineLevel="1">
      <c r="A42" s="639" t="s">
        <v>286</v>
      </c>
      <c r="B42" s="647" t="s">
        <v>298</v>
      </c>
      <c r="C42" s="648">
        <v>1063.92</v>
      </c>
      <c r="D42" s="634">
        <v>189.92538904284802</v>
      </c>
      <c r="E42" s="634">
        <f t="shared" si="0"/>
        <v>284.88808356427199</v>
      </c>
      <c r="F42" s="634">
        <f t="shared" si="1"/>
        <v>189.925389042848</v>
      </c>
      <c r="G42" s="638">
        <v>0</v>
      </c>
      <c r="H42" s="645">
        <f t="shared" si="2"/>
        <v>0</v>
      </c>
      <c r="I42" s="645">
        <f t="shared" si="3"/>
        <v>0</v>
      </c>
      <c r="J42" s="1895"/>
    </row>
    <row r="43" spans="1:10" s="637" customFormat="1" hidden="1" outlineLevel="1">
      <c r="A43" s="639" t="s">
        <v>287</v>
      </c>
      <c r="B43" s="647" t="s">
        <v>298</v>
      </c>
      <c r="C43" s="648">
        <v>1063.92</v>
      </c>
      <c r="D43" s="634">
        <v>189.92538904284802</v>
      </c>
      <c r="E43" s="634">
        <f t="shared" si="0"/>
        <v>284.88808356427199</v>
      </c>
      <c r="F43" s="634">
        <f t="shared" si="1"/>
        <v>189.925389042848</v>
      </c>
      <c r="G43" s="638">
        <v>0</v>
      </c>
      <c r="H43" s="645">
        <f t="shared" si="2"/>
        <v>0</v>
      </c>
      <c r="I43" s="645">
        <f t="shared" si="3"/>
        <v>0</v>
      </c>
      <c r="J43" s="1895"/>
    </row>
    <row r="44" spans="1:10" s="637" customFormat="1" hidden="1" outlineLevel="1">
      <c r="A44" s="639" t="s">
        <v>288</v>
      </c>
      <c r="B44" s="647" t="s">
        <v>298</v>
      </c>
      <c r="C44" s="648">
        <v>1063.92</v>
      </c>
      <c r="D44" s="634">
        <v>189.92538904284802</v>
      </c>
      <c r="E44" s="634">
        <f t="shared" si="0"/>
        <v>284.88808356427199</v>
      </c>
      <c r="F44" s="634">
        <f t="shared" si="1"/>
        <v>189.925389042848</v>
      </c>
      <c r="G44" s="638">
        <v>0</v>
      </c>
      <c r="H44" s="645">
        <f t="shared" si="2"/>
        <v>0</v>
      </c>
      <c r="I44" s="645">
        <f t="shared" si="3"/>
        <v>0</v>
      </c>
      <c r="J44" s="1895"/>
    </row>
    <row r="45" spans="1:10" collapsed="1">
      <c r="A45" s="640" t="s">
        <v>291</v>
      </c>
      <c r="B45" s="649" t="s">
        <v>298</v>
      </c>
      <c r="C45" s="650">
        <v>5319.6</v>
      </c>
      <c r="D45" s="643">
        <v>949.62694521424021</v>
      </c>
      <c r="E45" s="643">
        <f t="shared" si="0"/>
        <v>1424.4404178213601</v>
      </c>
      <c r="F45" s="643">
        <f t="shared" si="1"/>
        <v>949.62694521423998</v>
      </c>
      <c r="G45" s="644">
        <v>0</v>
      </c>
      <c r="H45" s="645">
        <f t="shared" si="2"/>
        <v>0</v>
      </c>
      <c r="I45" s="645">
        <f t="shared" si="3"/>
        <v>0</v>
      </c>
      <c r="J45" s="1895"/>
    </row>
    <row r="46" spans="1:10" s="637" customFormat="1" hidden="1" outlineLevel="1">
      <c r="A46" s="639" t="s">
        <v>283</v>
      </c>
      <c r="B46" s="647" t="s">
        <v>299</v>
      </c>
      <c r="C46" s="648">
        <v>150</v>
      </c>
      <c r="D46" s="634">
        <v>26.777209147705847</v>
      </c>
      <c r="E46" s="634">
        <f t="shared" si="0"/>
        <v>40.165813721558763</v>
      </c>
      <c r="F46" s="634">
        <f t="shared" si="1"/>
        <v>26.77720914770584</v>
      </c>
      <c r="G46" s="638">
        <v>0</v>
      </c>
      <c r="H46" s="645">
        <f t="shared" si="2"/>
        <v>0</v>
      </c>
      <c r="I46" s="645">
        <f t="shared" si="3"/>
        <v>0</v>
      </c>
      <c r="J46" s="1895"/>
    </row>
    <row r="47" spans="1:10" s="637" customFormat="1" hidden="1" outlineLevel="1">
      <c r="A47" s="639" t="s">
        <v>285</v>
      </c>
      <c r="B47" s="647" t="s">
        <v>299</v>
      </c>
      <c r="C47" s="648">
        <v>150</v>
      </c>
      <c r="D47" s="634">
        <v>26.777209147705847</v>
      </c>
      <c r="E47" s="634">
        <f t="shared" si="0"/>
        <v>40.165813721558763</v>
      </c>
      <c r="F47" s="634">
        <f t="shared" si="1"/>
        <v>26.77720914770584</v>
      </c>
      <c r="G47" s="638">
        <v>0</v>
      </c>
      <c r="H47" s="645">
        <f t="shared" si="2"/>
        <v>0</v>
      </c>
      <c r="I47" s="645">
        <f t="shared" si="3"/>
        <v>0</v>
      </c>
      <c r="J47" s="1895"/>
    </row>
    <row r="48" spans="1:10" s="637" customFormat="1" hidden="1" outlineLevel="1">
      <c r="A48" s="639" t="s">
        <v>286</v>
      </c>
      <c r="B48" s="647" t="s">
        <v>299</v>
      </c>
      <c r="C48" s="648">
        <v>150</v>
      </c>
      <c r="D48" s="634">
        <v>26.777209147705847</v>
      </c>
      <c r="E48" s="634">
        <f t="shared" si="0"/>
        <v>40.165813721558763</v>
      </c>
      <c r="F48" s="634">
        <f t="shared" si="1"/>
        <v>26.77720914770584</v>
      </c>
      <c r="G48" s="638">
        <v>0</v>
      </c>
      <c r="H48" s="645">
        <f t="shared" si="2"/>
        <v>0</v>
      </c>
      <c r="I48" s="645">
        <f t="shared" si="3"/>
        <v>0</v>
      </c>
      <c r="J48" s="1895"/>
    </row>
    <row r="49" spans="1:10" s="637" customFormat="1" hidden="1" outlineLevel="1">
      <c r="A49" s="639" t="s">
        <v>287</v>
      </c>
      <c r="B49" s="647" t="s">
        <v>299</v>
      </c>
      <c r="C49" s="648">
        <v>150</v>
      </c>
      <c r="D49" s="634">
        <v>26.777209147705847</v>
      </c>
      <c r="E49" s="634">
        <f t="shared" si="0"/>
        <v>40.165813721558763</v>
      </c>
      <c r="F49" s="634">
        <f t="shared" si="1"/>
        <v>26.77720914770584</v>
      </c>
      <c r="G49" s="638">
        <v>0</v>
      </c>
      <c r="H49" s="645">
        <f t="shared" si="2"/>
        <v>0</v>
      </c>
      <c r="I49" s="645">
        <f t="shared" si="3"/>
        <v>0</v>
      </c>
      <c r="J49" s="1895"/>
    </row>
    <row r="50" spans="1:10" s="637" customFormat="1" hidden="1" outlineLevel="1">
      <c r="A50" s="639" t="s">
        <v>288</v>
      </c>
      <c r="B50" s="647" t="s">
        <v>299</v>
      </c>
      <c r="C50" s="648">
        <v>150</v>
      </c>
      <c r="D50" s="634">
        <v>26.777209147705847</v>
      </c>
      <c r="E50" s="634">
        <f t="shared" si="0"/>
        <v>40.165813721558763</v>
      </c>
      <c r="F50" s="634">
        <f t="shared" si="1"/>
        <v>26.77720914770584</v>
      </c>
      <c r="G50" s="638">
        <v>0</v>
      </c>
      <c r="H50" s="645">
        <f t="shared" si="2"/>
        <v>0</v>
      </c>
      <c r="I50" s="645">
        <f t="shared" si="3"/>
        <v>0</v>
      </c>
      <c r="J50" s="1895"/>
    </row>
    <row r="51" spans="1:10" collapsed="1">
      <c r="A51" s="656" t="s">
        <v>291</v>
      </c>
      <c r="B51" s="657" t="s">
        <v>299</v>
      </c>
      <c r="C51" s="658">
        <v>750</v>
      </c>
      <c r="D51" s="643">
        <v>133.88604573852922</v>
      </c>
      <c r="E51" s="643">
        <f t="shared" si="0"/>
        <v>200.8290686077938</v>
      </c>
      <c r="F51" s="643">
        <f t="shared" si="1"/>
        <v>133.88604573852922</v>
      </c>
      <c r="G51" s="644">
        <v>0</v>
      </c>
      <c r="H51" s="645">
        <f t="shared" si="2"/>
        <v>0</v>
      </c>
      <c r="I51" s="645">
        <f t="shared" si="3"/>
        <v>0</v>
      </c>
      <c r="J51" s="1895"/>
    </row>
    <row r="52" spans="1:10" s="664" customFormat="1" ht="57" thickBot="1">
      <c r="A52" s="659" t="s">
        <v>300</v>
      </c>
      <c r="B52" s="660"/>
      <c r="C52" s="661">
        <v>173109.6</v>
      </c>
      <c r="D52" s="662">
        <v>30902.613097837999</v>
      </c>
      <c r="E52" s="662">
        <f t="shared" si="0"/>
        <v>46353.919646756985</v>
      </c>
      <c r="F52" s="662">
        <f t="shared" si="1"/>
        <v>30902.613097837992</v>
      </c>
      <c r="G52" s="663">
        <v>106412.38000000003</v>
      </c>
      <c r="H52" s="645">
        <f t="shared" si="2"/>
        <v>0.98385004033798817</v>
      </c>
      <c r="I52" s="645">
        <f t="shared" si="3"/>
        <v>0.61471102700254654</v>
      </c>
      <c r="J52" s="1896" t="s">
        <v>1016</v>
      </c>
    </row>
    <row r="53" spans="1:10" s="624" customFormat="1">
      <c r="A53" s="665" t="s">
        <v>301</v>
      </c>
      <c r="B53" s="666"/>
      <c r="C53" s="667"/>
      <c r="D53" s="668">
        <v>0</v>
      </c>
      <c r="E53" s="668">
        <f t="shared" si="0"/>
        <v>0</v>
      </c>
      <c r="F53" s="668">
        <f t="shared" si="1"/>
        <v>0</v>
      </c>
      <c r="G53" s="669"/>
      <c r="H53" s="645" t="str">
        <f t="shared" si="2"/>
        <v/>
      </c>
      <c r="I53" s="645"/>
      <c r="J53" s="1895"/>
    </row>
    <row r="54" spans="1:10" s="624" customFormat="1" ht="21" customHeight="1">
      <c r="A54" s="670" t="s">
        <v>302</v>
      </c>
      <c r="B54" s="671"/>
      <c r="C54" s="672"/>
      <c r="D54" s="671">
        <v>0</v>
      </c>
      <c r="E54" s="671">
        <f t="shared" si="0"/>
        <v>0</v>
      </c>
      <c r="F54" s="671">
        <f t="shared" si="1"/>
        <v>0</v>
      </c>
      <c r="G54" s="671"/>
      <c r="H54" s="645" t="str">
        <f t="shared" si="2"/>
        <v/>
      </c>
      <c r="I54" s="645"/>
      <c r="J54" s="1895"/>
    </row>
    <row r="55" spans="1:10">
      <c r="A55" s="656" t="s">
        <v>283</v>
      </c>
      <c r="B55" s="657" t="s">
        <v>303</v>
      </c>
      <c r="C55" s="658">
        <v>40000</v>
      </c>
      <c r="D55" s="643">
        <v>7140.589106054892</v>
      </c>
      <c r="E55" s="643">
        <f t="shared" si="0"/>
        <v>10710.883659082336</v>
      </c>
      <c r="F55" s="643">
        <f t="shared" si="1"/>
        <v>7140.5891060548902</v>
      </c>
      <c r="G55" s="644">
        <v>34374</v>
      </c>
      <c r="H55" s="645">
        <f t="shared" si="2"/>
        <v>1.3753967230539819</v>
      </c>
      <c r="I55" s="645">
        <f t="shared" ref="I55:I72" si="4">G55/C55</f>
        <v>0.85934999999999995</v>
      </c>
      <c r="J55" s="1895"/>
    </row>
    <row r="56" spans="1:10" s="624" customFormat="1">
      <c r="A56" s="673"/>
      <c r="B56" s="674"/>
      <c r="C56" s="675">
        <v>40000</v>
      </c>
      <c r="D56" s="676">
        <v>7140.589106054892</v>
      </c>
      <c r="E56" s="676">
        <f t="shared" si="0"/>
        <v>10710.883659082336</v>
      </c>
      <c r="F56" s="676">
        <f t="shared" si="1"/>
        <v>7140.5891060548902</v>
      </c>
      <c r="G56" s="677">
        <v>34374</v>
      </c>
      <c r="H56" s="645">
        <f t="shared" si="2"/>
        <v>1.3753967230539819</v>
      </c>
      <c r="I56" s="645">
        <f t="shared" si="4"/>
        <v>0.85934999999999995</v>
      </c>
      <c r="J56" s="1895"/>
    </row>
    <row r="57" spans="1:10">
      <c r="A57" s="656" t="s">
        <v>285</v>
      </c>
      <c r="B57" s="657" t="s">
        <v>304</v>
      </c>
      <c r="C57" s="658">
        <v>8000</v>
      </c>
      <c r="D57" s="643">
        <v>1428.1178212109785</v>
      </c>
      <c r="E57" s="643">
        <f t="shared" si="0"/>
        <v>2142.1767318164675</v>
      </c>
      <c r="F57" s="643">
        <f t="shared" si="1"/>
        <v>1428.1178212109783</v>
      </c>
      <c r="G57" s="644">
        <v>5289.9</v>
      </c>
      <c r="H57" s="645">
        <f t="shared" si="2"/>
        <v>1.0583160419624216</v>
      </c>
      <c r="I57" s="645">
        <f t="shared" si="4"/>
        <v>0.66123749999999992</v>
      </c>
      <c r="J57" s="1895"/>
    </row>
    <row r="58" spans="1:10" s="624" customFormat="1">
      <c r="A58" s="673"/>
      <c r="B58" s="674"/>
      <c r="C58" s="675">
        <v>8000</v>
      </c>
      <c r="D58" s="676">
        <v>1428.1178212109785</v>
      </c>
      <c r="E58" s="676">
        <f t="shared" si="0"/>
        <v>2142.1767318164675</v>
      </c>
      <c r="F58" s="676">
        <f t="shared" si="1"/>
        <v>1428.1178212109783</v>
      </c>
      <c r="G58" s="677">
        <v>5289.9</v>
      </c>
      <c r="H58" s="645">
        <f t="shared" si="2"/>
        <v>1.0583160419624216</v>
      </c>
      <c r="I58" s="645">
        <f t="shared" si="4"/>
        <v>0.66123749999999992</v>
      </c>
      <c r="J58" s="1895"/>
    </row>
    <row r="59" spans="1:10">
      <c r="A59" s="656" t="s">
        <v>286</v>
      </c>
      <c r="B59" s="657" t="s">
        <v>305</v>
      </c>
      <c r="C59" s="658">
        <v>64984</v>
      </c>
      <c r="D59" s="643">
        <v>11600.601061696778</v>
      </c>
      <c r="E59" s="643">
        <f t="shared" si="0"/>
        <v>17400.901592545164</v>
      </c>
      <c r="F59" s="643">
        <f t="shared" si="1"/>
        <v>11600.601061696776</v>
      </c>
      <c r="G59" s="644">
        <v>10566.640000000003</v>
      </c>
      <c r="H59" s="645">
        <f t="shared" si="2"/>
        <v>0.26024858401245782</v>
      </c>
      <c r="I59" s="645">
        <f t="shared" si="4"/>
        <v>0.16260371783823716</v>
      </c>
      <c r="J59" s="1895"/>
    </row>
    <row r="60" spans="1:10">
      <c r="A60" s="656" t="s">
        <v>286</v>
      </c>
      <c r="B60" s="657" t="s">
        <v>306</v>
      </c>
      <c r="C60" s="658">
        <v>25000</v>
      </c>
      <c r="D60" s="643">
        <v>4462.8681912843076</v>
      </c>
      <c r="E60" s="643">
        <f t="shared" si="0"/>
        <v>6694.3022869264605</v>
      </c>
      <c r="F60" s="643">
        <f t="shared" si="1"/>
        <v>4462.8681912843067</v>
      </c>
      <c r="G60" s="644">
        <v>491</v>
      </c>
      <c r="H60" s="645">
        <f t="shared" si="2"/>
        <v>3.1433981079630184E-2</v>
      </c>
      <c r="I60" s="645">
        <f t="shared" si="4"/>
        <v>1.9640000000000001E-2</v>
      </c>
      <c r="J60" s="1895"/>
    </row>
    <row r="61" spans="1:10">
      <c r="A61" s="656" t="s">
        <v>286</v>
      </c>
      <c r="B61" s="657" t="s">
        <v>307</v>
      </c>
      <c r="C61" s="658">
        <v>25000</v>
      </c>
      <c r="D61" s="643">
        <v>4462.8681912843076</v>
      </c>
      <c r="E61" s="643">
        <f t="shared" si="0"/>
        <v>6694.3022869264605</v>
      </c>
      <c r="F61" s="643">
        <f t="shared" si="1"/>
        <v>4462.8681912843067</v>
      </c>
      <c r="G61" s="644">
        <v>25096.61</v>
      </c>
      <c r="H61" s="645">
        <f t="shared" si="2"/>
        <v>1.6066932055048018</v>
      </c>
      <c r="I61" s="645">
        <f t="shared" si="4"/>
        <v>1.0038644000000001</v>
      </c>
      <c r="J61" s="1895"/>
    </row>
    <row r="62" spans="1:10">
      <c r="A62" s="656" t="s">
        <v>286</v>
      </c>
      <c r="B62" s="657" t="s">
        <v>308</v>
      </c>
      <c r="C62" s="658">
        <v>11000</v>
      </c>
      <c r="D62" s="643">
        <v>1963.6620041650954</v>
      </c>
      <c r="E62" s="643">
        <f t="shared" si="0"/>
        <v>2945.4930062476424</v>
      </c>
      <c r="F62" s="643">
        <f t="shared" si="1"/>
        <v>1963.6620041650949</v>
      </c>
      <c r="G62" s="644">
        <v>0</v>
      </c>
      <c r="H62" s="645">
        <f t="shared" si="2"/>
        <v>0</v>
      </c>
      <c r="I62" s="645">
        <f t="shared" si="4"/>
        <v>0</v>
      </c>
      <c r="J62" s="1895"/>
    </row>
    <row r="63" spans="1:10">
      <c r="A63" s="656" t="s">
        <v>286</v>
      </c>
      <c r="B63" s="657" t="s">
        <v>309</v>
      </c>
      <c r="C63" s="658">
        <v>2820</v>
      </c>
      <c r="D63" s="643">
        <v>503.41153197686987</v>
      </c>
      <c r="E63" s="643">
        <f t="shared" si="0"/>
        <v>755.11729796530472</v>
      </c>
      <c r="F63" s="643">
        <f t="shared" si="1"/>
        <v>503.41153197686981</v>
      </c>
      <c r="G63" s="644">
        <v>0</v>
      </c>
      <c r="H63" s="645">
        <f t="shared" si="2"/>
        <v>0</v>
      </c>
      <c r="I63" s="645">
        <f t="shared" si="4"/>
        <v>0</v>
      </c>
      <c r="J63" s="1895"/>
    </row>
    <row r="64" spans="1:10">
      <c r="A64" s="656" t="s">
        <v>286</v>
      </c>
      <c r="B64" s="657" t="s">
        <v>310</v>
      </c>
      <c r="C64" s="658">
        <v>38000</v>
      </c>
      <c r="D64" s="643">
        <v>6783.5596507521477</v>
      </c>
      <c r="E64" s="643">
        <f t="shared" si="0"/>
        <v>10175.33947612822</v>
      </c>
      <c r="F64" s="643">
        <f t="shared" si="1"/>
        <v>6783.5596507521468</v>
      </c>
      <c r="G64" s="644">
        <v>0</v>
      </c>
      <c r="H64" s="645">
        <f t="shared" si="2"/>
        <v>0</v>
      </c>
      <c r="I64" s="645">
        <f t="shared" si="4"/>
        <v>0</v>
      </c>
      <c r="J64" s="1895"/>
    </row>
    <row r="65" spans="1:10" s="624" customFormat="1">
      <c r="A65" s="673"/>
      <c r="B65" s="674"/>
      <c r="C65" s="675">
        <v>166804</v>
      </c>
      <c r="D65" s="676">
        <v>29776.970631159504</v>
      </c>
      <c r="E65" s="676">
        <f t="shared" si="0"/>
        <v>44665.455946739246</v>
      </c>
      <c r="F65" s="676">
        <f t="shared" si="1"/>
        <v>29776.970631159496</v>
      </c>
      <c r="G65" s="677">
        <v>36154.25</v>
      </c>
      <c r="H65" s="645">
        <f t="shared" si="2"/>
        <v>0.34690519201024173</v>
      </c>
      <c r="I65" s="645">
        <f t="shared" si="4"/>
        <v>0.21674690055394355</v>
      </c>
      <c r="J65" s="1895"/>
    </row>
    <row r="66" spans="1:10">
      <c r="A66" s="656" t="s">
        <v>287</v>
      </c>
      <c r="B66" s="657" t="s">
        <v>311</v>
      </c>
      <c r="C66" s="658">
        <v>30000</v>
      </c>
      <c r="D66" s="643">
        <v>5355.4418295411688</v>
      </c>
      <c r="E66" s="643">
        <f t="shared" si="0"/>
        <v>8033.1627443117522</v>
      </c>
      <c r="F66" s="643">
        <f t="shared" si="1"/>
        <v>5355.4418295411679</v>
      </c>
      <c r="G66" s="644">
        <v>180</v>
      </c>
      <c r="H66" s="645">
        <f t="shared" si="2"/>
        <v>9.603049209662989E-3</v>
      </c>
      <c r="I66" s="645">
        <f t="shared" si="4"/>
        <v>6.0000000000000001E-3</v>
      </c>
      <c r="J66" s="1895"/>
    </row>
    <row r="67" spans="1:10" s="624" customFormat="1">
      <c r="A67" s="673"/>
      <c r="B67" s="674"/>
      <c r="C67" s="675">
        <v>30000</v>
      </c>
      <c r="D67" s="676">
        <v>5355.4418295411688</v>
      </c>
      <c r="E67" s="676">
        <f t="shared" si="0"/>
        <v>8033.1627443117522</v>
      </c>
      <c r="F67" s="676">
        <f t="shared" si="1"/>
        <v>5355.4418295411679</v>
      </c>
      <c r="G67" s="677">
        <v>180</v>
      </c>
      <c r="H67" s="645">
        <f t="shared" si="2"/>
        <v>9.603049209662989E-3</v>
      </c>
      <c r="I67" s="645">
        <f t="shared" si="4"/>
        <v>6.0000000000000001E-3</v>
      </c>
      <c r="J67" s="1895"/>
    </row>
    <row r="68" spans="1:10">
      <c r="A68" s="640" t="s">
        <v>288</v>
      </c>
      <c r="B68" s="649" t="s">
        <v>312</v>
      </c>
      <c r="C68" s="650">
        <v>8600</v>
      </c>
      <c r="D68" s="643">
        <v>1535.2266578018018</v>
      </c>
      <c r="E68" s="643">
        <f t="shared" si="0"/>
        <v>2302.8399867027024</v>
      </c>
      <c r="F68" s="643">
        <f t="shared" si="1"/>
        <v>1535.2266578018016</v>
      </c>
      <c r="G68" s="644">
        <v>0</v>
      </c>
      <c r="H68" s="645">
        <f t="shared" si="2"/>
        <v>0</v>
      </c>
      <c r="I68" s="645">
        <f t="shared" si="4"/>
        <v>0</v>
      </c>
      <c r="J68" s="1895"/>
    </row>
    <row r="69" spans="1:10">
      <c r="A69" s="640" t="s">
        <v>288</v>
      </c>
      <c r="B69" s="649" t="s">
        <v>313</v>
      </c>
      <c r="C69" s="650">
        <v>6000</v>
      </c>
      <c r="D69" s="643">
        <v>1071.0883659082338</v>
      </c>
      <c r="E69" s="643">
        <f t="shared" si="0"/>
        <v>1606.6325488623504</v>
      </c>
      <c r="F69" s="643">
        <f t="shared" si="1"/>
        <v>1071.0883659082338</v>
      </c>
      <c r="G69" s="644">
        <v>0</v>
      </c>
      <c r="H69" s="645">
        <f t="shared" si="2"/>
        <v>0</v>
      </c>
      <c r="I69" s="645">
        <f t="shared" si="4"/>
        <v>0</v>
      </c>
      <c r="J69" s="1895"/>
    </row>
    <row r="70" spans="1:10" s="624" customFormat="1">
      <c r="A70" s="673"/>
      <c r="B70" s="674"/>
      <c r="C70" s="675">
        <v>14600</v>
      </c>
      <c r="D70" s="676">
        <v>2606.3150237100358</v>
      </c>
      <c r="E70" s="676">
        <f t="shared" si="0"/>
        <v>3909.4725355650535</v>
      </c>
      <c r="F70" s="676">
        <f t="shared" si="1"/>
        <v>2606.3150237100353</v>
      </c>
      <c r="G70" s="677">
        <v>0</v>
      </c>
      <c r="H70" s="645">
        <f t="shared" si="2"/>
        <v>0</v>
      </c>
      <c r="I70" s="645">
        <f t="shared" si="4"/>
        <v>0</v>
      </c>
      <c r="J70" s="1895"/>
    </row>
    <row r="71" spans="1:10" s="683" customFormat="1">
      <c r="A71" s="678" t="s">
        <v>314</v>
      </c>
      <c r="B71" s="679"/>
      <c r="C71" s="680">
        <v>259404</v>
      </c>
      <c r="D71" s="681">
        <v>46307.434411676579</v>
      </c>
      <c r="E71" s="681">
        <f t="shared" si="0"/>
        <v>69461.151617514857</v>
      </c>
      <c r="F71" s="681">
        <f t="shared" si="1"/>
        <v>46307.434411676571</v>
      </c>
      <c r="G71" s="682">
        <v>75998.149999999994</v>
      </c>
      <c r="H71" s="645">
        <f t="shared" si="2"/>
        <v>0.46890434373496503</v>
      </c>
      <c r="I71" s="645">
        <f t="shared" si="4"/>
        <v>0.29297215925737458</v>
      </c>
      <c r="J71" s="1895"/>
    </row>
    <row r="72" spans="1:10" s="683" customFormat="1" ht="34.5" thickBot="1">
      <c r="A72" s="659" t="s">
        <v>227</v>
      </c>
      <c r="B72" s="660"/>
      <c r="C72" s="661">
        <v>432513.6</v>
      </c>
      <c r="D72" s="662">
        <v>77210.047509514581</v>
      </c>
      <c r="E72" s="662">
        <f t="shared" si="0"/>
        <v>115815.07126427186</v>
      </c>
      <c r="F72" s="662">
        <f t="shared" si="1"/>
        <v>77210.047509514567</v>
      </c>
      <c r="G72" s="663">
        <v>182410.53000000003</v>
      </c>
      <c r="H72" s="645">
        <f t="shared" si="2"/>
        <v>0.6750066340691202</v>
      </c>
      <c r="I72" s="645">
        <f t="shared" si="4"/>
        <v>0.42174518905301484</v>
      </c>
      <c r="J72" s="1896" t="s">
        <v>1017</v>
      </c>
    </row>
    <row r="73" spans="1:10" s="686" customFormat="1">
      <c r="A73" s="665" t="s">
        <v>228</v>
      </c>
      <c r="B73" s="666"/>
      <c r="C73" s="667"/>
      <c r="D73" s="684">
        <v>0</v>
      </c>
      <c r="E73" s="684">
        <f t="shared" si="0"/>
        <v>0</v>
      </c>
      <c r="F73" s="684">
        <f t="shared" si="1"/>
        <v>0</v>
      </c>
      <c r="G73" s="685"/>
      <c r="H73" s="645" t="str">
        <f t="shared" si="2"/>
        <v/>
      </c>
      <c r="I73" s="645"/>
      <c r="J73" s="1895"/>
    </row>
    <row r="74" spans="1:10" s="692" customFormat="1">
      <c r="A74" s="687" t="s">
        <v>229</v>
      </c>
      <c r="B74" s="688"/>
      <c r="C74" s="689"/>
      <c r="D74" s="690">
        <v>0</v>
      </c>
      <c r="E74" s="690">
        <f t="shared" ref="E74:E137" si="5">$K$2*D74/$D$163</f>
        <v>0</v>
      </c>
      <c r="F74" s="690">
        <f t="shared" ref="F74:F137" si="6">$L$2*E74/$E$163</f>
        <v>0</v>
      </c>
      <c r="G74" s="691"/>
      <c r="H74" s="645" t="str">
        <f t="shared" ref="H74:H137" si="7">IFERROR(G74/(D74+E74+F74),"")</f>
        <v/>
      </c>
      <c r="I74" s="645"/>
      <c r="J74" s="1895"/>
    </row>
    <row r="75" spans="1:10" s="697" customFormat="1">
      <c r="A75" s="693" t="s">
        <v>315</v>
      </c>
      <c r="B75" s="694"/>
      <c r="C75" s="695"/>
      <c r="D75" s="676">
        <v>0</v>
      </c>
      <c r="E75" s="676">
        <f t="shared" si="5"/>
        <v>0</v>
      </c>
      <c r="F75" s="676">
        <f t="shared" si="6"/>
        <v>0</v>
      </c>
      <c r="G75" s="696"/>
      <c r="H75" s="645" t="str">
        <f t="shared" si="7"/>
        <v/>
      </c>
      <c r="I75" s="645"/>
      <c r="J75" s="1895"/>
    </row>
    <row r="76" spans="1:10" s="697" customFormat="1">
      <c r="A76" s="640"/>
      <c r="B76" s="649" t="s">
        <v>316</v>
      </c>
      <c r="C76" s="650">
        <v>6145.92</v>
      </c>
      <c r="D76" s="643">
        <v>1097.1372349671221</v>
      </c>
      <c r="E76" s="643">
        <f t="shared" si="5"/>
        <v>1645.7058524506829</v>
      </c>
      <c r="F76" s="643">
        <f t="shared" si="6"/>
        <v>1097.1372349671219</v>
      </c>
      <c r="G76" s="698">
        <v>5247.6300000000019</v>
      </c>
      <c r="H76" s="645">
        <f t="shared" si="7"/>
        <v>1.3665773153599952</v>
      </c>
      <c r="I76" s="645">
        <f t="shared" ref="I76:I123" si="8">G76/C76</f>
        <v>0.85383962043111561</v>
      </c>
      <c r="J76" s="1895"/>
    </row>
    <row r="77" spans="1:10" s="697" customFormat="1">
      <c r="A77" s="640"/>
      <c r="B77" s="649" t="s">
        <v>317</v>
      </c>
      <c r="C77" s="650">
        <v>4276.8</v>
      </c>
      <c r="D77" s="643">
        <v>763.47178721938906</v>
      </c>
      <c r="E77" s="643">
        <f t="shared" si="5"/>
        <v>1145.2076808290833</v>
      </c>
      <c r="F77" s="643">
        <f t="shared" si="6"/>
        <v>763.47178721938883</v>
      </c>
      <c r="G77" s="698">
        <v>2267.7899999999986</v>
      </c>
      <c r="H77" s="645">
        <f t="shared" si="7"/>
        <v>0.84867576097322062</v>
      </c>
      <c r="I77" s="645">
        <f t="shared" si="8"/>
        <v>0.53025392817059447</v>
      </c>
      <c r="J77" s="1895"/>
    </row>
    <row r="78" spans="1:10" s="697" customFormat="1">
      <c r="A78" s="640"/>
      <c r="B78" s="649" t="s">
        <v>318</v>
      </c>
      <c r="C78" s="650">
        <v>3516.48</v>
      </c>
      <c r="D78" s="643">
        <v>627.74346949149765</v>
      </c>
      <c r="E78" s="643">
        <f t="shared" si="5"/>
        <v>941.6152042372463</v>
      </c>
      <c r="F78" s="643">
        <f t="shared" si="6"/>
        <v>627.74346949149754</v>
      </c>
      <c r="G78" s="698">
        <v>3552.2299999999996</v>
      </c>
      <c r="H78" s="645">
        <f t="shared" si="7"/>
        <v>1.6167796344659602</v>
      </c>
      <c r="I78" s="645">
        <f t="shared" si="8"/>
        <v>1.0101664164164164</v>
      </c>
      <c r="J78" s="1895"/>
    </row>
    <row r="79" spans="1:10" s="697" customFormat="1">
      <c r="A79" s="640"/>
      <c r="B79" s="649" t="s">
        <v>319</v>
      </c>
      <c r="C79" s="650">
        <v>4118.3999999999996</v>
      </c>
      <c r="D79" s="643">
        <v>735.19505435941164</v>
      </c>
      <c r="E79" s="643">
        <f t="shared" si="5"/>
        <v>1102.7925815391172</v>
      </c>
      <c r="F79" s="643">
        <f t="shared" si="6"/>
        <v>735.19505435941153</v>
      </c>
      <c r="G79" s="698">
        <v>2750.22</v>
      </c>
      <c r="H79" s="645">
        <f t="shared" si="7"/>
        <v>1.0688009096331643</v>
      </c>
      <c r="I79" s="645">
        <f t="shared" si="8"/>
        <v>0.6677884615384615</v>
      </c>
      <c r="J79" s="1895"/>
    </row>
    <row r="80" spans="1:10" s="697" customFormat="1">
      <c r="A80" s="640"/>
      <c r="B80" s="649" t="s">
        <v>320</v>
      </c>
      <c r="C80" s="650">
        <v>2217.6</v>
      </c>
      <c r="D80" s="643">
        <v>395.87426003968318</v>
      </c>
      <c r="E80" s="643">
        <f t="shared" si="5"/>
        <v>593.81139005952468</v>
      </c>
      <c r="F80" s="643">
        <f t="shared" si="6"/>
        <v>395.87426003968307</v>
      </c>
      <c r="G80" s="698">
        <v>1933.6100000000004</v>
      </c>
      <c r="H80" s="645">
        <f t="shared" si="7"/>
        <v>1.3955441304635987</v>
      </c>
      <c r="I80" s="645">
        <f t="shared" si="8"/>
        <v>0.87193813131313147</v>
      </c>
      <c r="J80" s="1895"/>
    </row>
    <row r="81" spans="1:10" s="697" customFormat="1">
      <c r="A81" s="640"/>
      <c r="B81" s="657" t="s">
        <v>321</v>
      </c>
      <c r="C81" s="658">
        <v>2692.8</v>
      </c>
      <c r="D81" s="643">
        <v>480.70445861961537</v>
      </c>
      <c r="E81" s="643">
        <f t="shared" si="5"/>
        <v>721.05668792942299</v>
      </c>
      <c r="F81" s="643">
        <f t="shared" si="6"/>
        <v>480.70445861961531</v>
      </c>
      <c r="G81" s="698">
        <v>2860.6899999999996</v>
      </c>
      <c r="H81" s="645">
        <f t="shared" si="7"/>
        <v>1.7002962742369039</v>
      </c>
      <c r="I81" s="645">
        <f t="shared" si="8"/>
        <v>1.0623477421271537</v>
      </c>
      <c r="J81" s="1895"/>
    </row>
    <row r="82" spans="1:10" s="697" customFormat="1">
      <c r="A82" s="640"/>
      <c r="B82" s="649" t="s">
        <v>322</v>
      </c>
      <c r="C82" s="650">
        <v>3104.64</v>
      </c>
      <c r="D82" s="643">
        <v>554.22396405555651</v>
      </c>
      <c r="E82" s="643">
        <f t="shared" si="5"/>
        <v>831.33594608333465</v>
      </c>
      <c r="F82" s="643">
        <f t="shared" si="6"/>
        <v>554.22396405555639</v>
      </c>
      <c r="G82" s="698">
        <v>2781.7499999999991</v>
      </c>
      <c r="H82" s="645">
        <f t="shared" si="7"/>
        <v>1.4340515131641678</v>
      </c>
      <c r="I82" s="645">
        <f t="shared" si="8"/>
        <v>0.89599760358688907</v>
      </c>
      <c r="J82" s="1895"/>
    </row>
    <row r="83" spans="1:10" s="697" customFormat="1">
      <c r="A83" s="640"/>
      <c r="B83" s="649" t="s">
        <v>323</v>
      </c>
      <c r="C83" s="650">
        <v>3538.8</v>
      </c>
      <c r="D83" s="643">
        <v>631.72791821267629</v>
      </c>
      <c r="E83" s="643">
        <f t="shared" si="5"/>
        <v>947.59187731901432</v>
      </c>
      <c r="F83" s="643">
        <f t="shared" si="6"/>
        <v>631.72791821267617</v>
      </c>
      <c r="G83" s="698">
        <v>2203.0900000000006</v>
      </c>
      <c r="H83" s="645">
        <f t="shared" si="7"/>
        <v>0.99640093079181458</v>
      </c>
      <c r="I83" s="645">
        <f t="shared" si="8"/>
        <v>0.62255284277156109</v>
      </c>
      <c r="J83" s="1895"/>
    </row>
    <row r="84" spans="1:10" s="697" customFormat="1">
      <c r="A84" s="640"/>
      <c r="B84" s="649" t="s">
        <v>324</v>
      </c>
      <c r="C84" s="650">
        <v>3168</v>
      </c>
      <c r="D84" s="643">
        <v>565.5346571995475</v>
      </c>
      <c r="E84" s="643">
        <f t="shared" si="5"/>
        <v>848.30198579932119</v>
      </c>
      <c r="F84" s="643">
        <f t="shared" si="6"/>
        <v>565.5346571995475</v>
      </c>
      <c r="G84" s="698">
        <v>3379.8300000000008</v>
      </c>
      <c r="H84" s="645">
        <f t="shared" si="7"/>
        <v>1.7075270312655337</v>
      </c>
      <c r="I84" s="645">
        <f t="shared" si="8"/>
        <v>1.0668655303030306</v>
      </c>
      <c r="J84" s="1895"/>
    </row>
    <row r="85" spans="1:10" s="697" customFormat="1">
      <c r="A85" s="640"/>
      <c r="B85" s="649" t="s">
        <v>325</v>
      </c>
      <c r="C85" s="650">
        <v>633.6</v>
      </c>
      <c r="D85" s="643">
        <v>113.10693143990949</v>
      </c>
      <c r="E85" s="643">
        <f t="shared" si="5"/>
        <v>169.6603971598642</v>
      </c>
      <c r="F85" s="643">
        <f t="shared" si="6"/>
        <v>113.10693143990947</v>
      </c>
      <c r="G85" s="698">
        <v>0</v>
      </c>
      <c r="H85" s="645">
        <f t="shared" si="7"/>
        <v>0</v>
      </c>
      <c r="I85" s="645">
        <f t="shared" si="8"/>
        <v>0</v>
      </c>
      <c r="J85" s="1895"/>
    </row>
    <row r="86" spans="1:10" s="697" customFormat="1">
      <c r="A86" s="640"/>
      <c r="B86" s="649" t="s">
        <v>326</v>
      </c>
      <c r="C86" s="650">
        <v>2534.4</v>
      </c>
      <c r="D86" s="643">
        <v>452.42772575963795</v>
      </c>
      <c r="E86" s="643">
        <f t="shared" si="5"/>
        <v>678.64158863945681</v>
      </c>
      <c r="F86" s="643">
        <f t="shared" si="6"/>
        <v>452.42772575963789</v>
      </c>
      <c r="G86" s="698">
        <v>2100.88</v>
      </c>
      <c r="H86" s="645">
        <f t="shared" si="7"/>
        <v>1.3267344028564803</v>
      </c>
      <c r="I86" s="645">
        <f t="shared" si="8"/>
        <v>0.82894570707070714</v>
      </c>
      <c r="J86" s="1895"/>
    </row>
    <row r="87" spans="1:10" s="697" customFormat="1">
      <c r="A87" s="640"/>
      <c r="B87" s="649" t="s">
        <v>327</v>
      </c>
      <c r="C87" s="650">
        <v>2534.4</v>
      </c>
      <c r="D87" s="643">
        <v>452.42772575963795</v>
      </c>
      <c r="E87" s="643">
        <f t="shared" si="5"/>
        <v>678.64158863945681</v>
      </c>
      <c r="F87" s="643">
        <f t="shared" si="6"/>
        <v>452.42772575963789</v>
      </c>
      <c r="G87" s="698">
        <v>2578.91</v>
      </c>
      <c r="H87" s="645">
        <f t="shared" si="7"/>
        <v>1.6286168742958214</v>
      </c>
      <c r="I87" s="645">
        <f t="shared" si="8"/>
        <v>1.017562342171717</v>
      </c>
      <c r="J87" s="1895"/>
    </row>
    <row r="88" spans="1:10" s="697" customFormat="1">
      <c r="A88" s="640"/>
      <c r="B88" s="649" t="s">
        <v>328</v>
      </c>
      <c r="C88" s="650">
        <v>720</v>
      </c>
      <c r="D88" s="643">
        <v>128.53060390898807</v>
      </c>
      <c r="E88" s="643">
        <f t="shared" si="5"/>
        <v>192.79590586348209</v>
      </c>
      <c r="F88" s="643">
        <f t="shared" si="6"/>
        <v>128.53060390898804</v>
      </c>
      <c r="G88" s="698">
        <v>446.7</v>
      </c>
      <c r="H88" s="645">
        <f t="shared" si="7"/>
        <v>0.99298196341584644</v>
      </c>
      <c r="I88" s="645">
        <f t="shared" si="8"/>
        <v>0.62041666666666662</v>
      </c>
      <c r="J88" s="1895"/>
    </row>
    <row r="89" spans="1:10" s="697" customFormat="1">
      <c r="A89" s="693" t="s">
        <v>329</v>
      </c>
      <c r="B89" s="694"/>
      <c r="C89" s="695"/>
      <c r="D89" s="676">
        <v>0</v>
      </c>
      <c r="E89" s="676">
        <f t="shared" si="5"/>
        <v>0</v>
      </c>
      <c r="F89" s="676">
        <f t="shared" si="6"/>
        <v>0</v>
      </c>
      <c r="G89" s="696"/>
      <c r="H89" s="645" t="str">
        <f t="shared" si="7"/>
        <v/>
      </c>
      <c r="I89" s="645"/>
      <c r="J89" s="1895"/>
    </row>
    <row r="90" spans="1:10" s="697" customFormat="1">
      <c r="A90" s="699"/>
      <c r="B90" s="700" t="s">
        <v>330</v>
      </c>
      <c r="C90" s="701">
        <v>891</v>
      </c>
      <c r="D90" s="643">
        <v>159.05662233737272</v>
      </c>
      <c r="E90" s="643">
        <f t="shared" si="5"/>
        <v>238.58493350605903</v>
      </c>
      <c r="F90" s="643">
        <f t="shared" si="6"/>
        <v>159.05662233737269</v>
      </c>
      <c r="G90" s="698">
        <v>2376.15</v>
      </c>
      <c r="H90" s="645">
        <f t="shared" si="7"/>
        <v>4.2682913167865157</v>
      </c>
      <c r="I90" s="645">
        <f t="shared" si="8"/>
        <v>2.6668350168350168</v>
      </c>
      <c r="J90" s="1895"/>
    </row>
    <row r="91" spans="1:10" s="697" customFormat="1">
      <c r="A91" s="699"/>
      <c r="B91" s="649" t="s">
        <v>331</v>
      </c>
      <c r="C91" s="650">
        <v>540</v>
      </c>
      <c r="D91" s="643">
        <v>96.397952931741045</v>
      </c>
      <c r="E91" s="643">
        <f t="shared" si="5"/>
        <v>144.59692939761155</v>
      </c>
      <c r="F91" s="643">
        <f t="shared" si="6"/>
        <v>96.397952931741017</v>
      </c>
      <c r="G91" s="698">
        <v>320.88</v>
      </c>
      <c r="H91" s="645">
        <f t="shared" si="7"/>
        <v>0.95105754024588263</v>
      </c>
      <c r="I91" s="645">
        <f t="shared" si="8"/>
        <v>0.59422222222222221</v>
      </c>
      <c r="J91" s="1895"/>
    </row>
    <row r="92" spans="1:10" s="697" customFormat="1">
      <c r="A92" s="693"/>
      <c r="B92" s="694" t="s">
        <v>332</v>
      </c>
      <c r="C92" s="695"/>
      <c r="D92" s="676">
        <v>0</v>
      </c>
      <c r="E92" s="676">
        <f t="shared" si="5"/>
        <v>0</v>
      </c>
      <c r="F92" s="676">
        <f t="shared" si="6"/>
        <v>0</v>
      </c>
      <c r="G92" s="696"/>
      <c r="H92" s="645" t="str">
        <f t="shared" si="7"/>
        <v/>
      </c>
      <c r="I92" s="645"/>
      <c r="J92" s="1895"/>
    </row>
    <row r="93" spans="1:10" s="697" customFormat="1">
      <c r="A93" s="699"/>
      <c r="B93" s="649" t="s">
        <v>333</v>
      </c>
      <c r="C93" s="650">
        <v>1202.4000000000001</v>
      </c>
      <c r="D93" s="643">
        <v>214.64610852801007</v>
      </c>
      <c r="E93" s="643">
        <f t="shared" si="5"/>
        <v>321.96916279201508</v>
      </c>
      <c r="F93" s="643">
        <f t="shared" si="6"/>
        <v>214.64610852801007</v>
      </c>
      <c r="G93" s="698">
        <v>1105.32</v>
      </c>
      <c r="H93" s="645">
        <f t="shared" si="7"/>
        <v>1.4712855334365564</v>
      </c>
      <c r="I93" s="645">
        <f t="shared" si="8"/>
        <v>0.9192614770459081</v>
      </c>
      <c r="J93" s="1895"/>
    </row>
    <row r="94" spans="1:10" s="697" customFormat="1">
      <c r="A94" s="699"/>
      <c r="B94" s="649" t="s">
        <v>334</v>
      </c>
      <c r="C94" s="650">
        <v>858.6</v>
      </c>
      <c r="D94" s="643">
        <v>153.27274516146826</v>
      </c>
      <c r="E94" s="643">
        <f t="shared" si="5"/>
        <v>229.90911774220234</v>
      </c>
      <c r="F94" s="643">
        <f t="shared" si="6"/>
        <v>153.27274516146824</v>
      </c>
      <c r="G94" s="698">
        <v>557.75000000000011</v>
      </c>
      <c r="H94" s="645">
        <f t="shared" si="7"/>
        <v>1.0396965402378937</v>
      </c>
      <c r="I94" s="645">
        <f t="shared" si="8"/>
        <v>0.64960400652224559</v>
      </c>
      <c r="J94" s="1895"/>
    </row>
    <row r="95" spans="1:10" s="697" customFormat="1">
      <c r="A95" s="699"/>
      <c r="B95" s="649" t="s">
        <v>335</v>
      </c>
      <c r="C95" s="650">
        <v>343.8</v>
      </c>
      <c r="D95" s="643">
        <v>61.373363366541803</v>
      </c>
      <c r="E95" s="643">
        <f t="shared" si="5"/>
        <v>92.060045049812686</v>
      </c>
      <c r="F95" s="643">
        <f t="shared" si="6"/>
        <v>61.373363366541788</v>
      </c>
      <c r="G95" s="698">
        <v>250.90999999999997</v>
      </c>
      <c r="H95" s="645">
        <f t="shared" si="7"/>
        <v>1.1680730449857184</v>
      </c>
      <c r="I95" s="645">
        <f t="shared" si="8"/>
        <v>0.72981384525887127</v>
      </c>
      <c r="J95" s="1895"/>
    </row>
    <row r="96" spans="1:10" s="697" customFormat="1">
      <c r="A96" s="699"/>
      <c r="B96" s="649" t="s">
        <v>336</v>
      </c>
      <c r="C96" s="650">
        <v>324</v>
      </c>
      <c r="D96" s="643">
        <v>57.838771759044626</v>
      </c>
      <c r="E96" s="643">
        <f t="shared" si="5"/>
        <v>86.758157638566942</v>
      </c>
      <c r="F96" s="643">
        <f t="shared" si="6"/>
        <v>57.838771759044633</v>
      </c>
      <c r="G96" s="698">
        <v>223.94000000000005</v>
      </c>
      <c r="H96" s="645">
        <f t="shared" si="7"/>
        <v>1.1062277983600464</v>
      </c>
      <c r="I96" s="645">
        <f t="shared" si="8"/>
        <v>0.69117283950617303</v>
      </c>
      <c r="J96" s="1895"/>
    </row>
    <row r="97" spans="1:10" s="697" customFormat="1">
      <c r="A97" s="699"/>
      <c r="B97" s="649" t="s">
        <v>337</v>
      </c>
      <c r="C97" s="650">
        <v>288</v>
      </c>
      <c r="D97" s="643">
        <v>51.412241563595224</v>
      </c>
      <c r="E97" s="643">
        <f t="shared" si="5"/>
        <v>77.118362345392825</v>
      </c>
      <c r="F97" s="643">
        <f t="shared" si="6"/>
        <v>51.412241563595217</v>
      </c>
      <c r="G97" s="698">
        <v>98.01</v>
      </c>
      <c r="H97" s="645">
        <f t="shared" si="7"/>
        <v>0.5446729473605727</v>
      </c>
      <c r="I97" s="645">
        <f t="shared" si="8"/>
        <v>0.34031250000000002</v>
      </c>
      <c r="J97" s="1895"/>
    </row>
    <row r="98" spans="1:10" s="697" customFormat="1">
      <c r="A98" s="693"/>
      <c r="B98" s="694" t="s">
        <v>338</v>
      </c>
      <c r="C98" s="695"/>
      <c r="D98" s="676">
        <v>0</v>
      </c>
      <c r="E98" s="676">
        <f t="shared" si="5"/>
        <v>0</v>
      </c>
      <c r="F98" s="676">
        <f t="shared" si="6"/>
        <v>0</v>
      </c>
      <c r="G98" s="696"/>
      <c r="H98" s="645" t="str">
        <f t="shared" si="7"/>
        <v/>
      </c>
      <c r="I98" s="645"/>
      <c r="J98" s="1895"/>
    </row>
    <row r="99" spans="1:10" s="697" customFormat="1">
      <c r="A99" s="699"/>
      <c r="B99" s="649" t="s">
        <v>339</v>
      </c>
      <c r="C99" s="650">
        <v>720</v>
      </c>
      <c r="D99" s="643">
        <v>128.53060390898807</v>
      </c>
      <c r="E99" s="643">
        <f t="shared" si="5"/>
        <v>192.79590586348209</v>
      </c>
      <c r="F99" s="643">
        <f t="shared" si="6"/>
        <v>128.53060390898804</v>
      </c>
      <c r="G99" s="698">
        <v>414.91</v>
      </c>
      <c r="H99" s="645">
        <f t="shared" si="7"/>
        <v>0.92231508045862742</v>
      </c>
      <c r="I99" s="645">
        <f t="shared" si="8"/>
        <v>0.57626388888888891</v>
      </c>
      <c r="J99" s="1895"/>
    </row>
    <row r="100" spans="1:10" s="697" customFormat="1">
      <c r="A100" s="699"/>
      <c r="B100" s="649" t="s">
        <v>340</v>
      </c>
      <c r="C100" s="650">
        <v>936</v>
      </c>
      <c r="D100" s="643">
        <v>167.08978508168448</v>
      </c>
      <c r="E100" s="643">
        <f t="shared" si="5"/>
        <v>250.63467762252671</v>
      </c>
      <c r="F100" s="643">
        <f t="shared" si="6"/>
        <v>167.08978508168445</v>
      </c>
      <c r="G100" s="698">
        <v>775.58</v>
      </c>
      <c r="H100" s="645">
        <f t="shared" si="7"/>
        <v>1.326198879278921</v>
      </c>
      <c r="I100" s="645">
        <f t="shared" si="8"/>
        <v>0.82861111111111119</v>
      </c>
      <c r="J100" s="1895"/>
    </row>
    <row r="101" spans="1:10" s="697" customFormat="1">
      <c r="A101" s="699"/>
      <c r="B101" s="649" t="s">
        <v>341</v>
      </c>
      <c r="C101" s="650">
        <v>334.8</v>
      </c>
      <c r="D101" s="643">
        <v>59.766730817679452</v>
      </c>
      <c r="E101" s="643">
        <f t="shared" si="5"/>
        <v>89.650096226519167</v>
      </c>
      <c r="F101" s="643">
        <f t="shared" si="6"/>
        <v>59.766730817679445</v>
      </c>
      <c r="G101" s="698">
        <v>488.21000000000004</v>
      </c>
      <c r="H101" s="645">
        <f t="shared" si="7"/>
        <v>2.3338832410641017</v>
      </c>
      <c r="I101" s="645">
        <f t="shared" si="8"/>
        <v>1.4582138590203106</v>
      </c>
      <c r="J101" s="1895"/>
    </row>
    <row r="102" spans="1:10" s="697" customFormat="1">
      <c r="A102" s="699"/>
      <c r="B102" s="649" t="s">
        <v>342</v>
      </c>
      <c r="C102" s="650">
        <v>298.8</v>
      </c>
      <c r="D102" s="643">
        <v>53.340200622230043</v>
      </c>
      <c r="E102" s="643">
        <f t="shared" si="5"/>
        <v>80.01030093334505</v>
      </c>
      <c r="F102" s="643">
        <f t="shared" si="6"/>
        <v>53.340200622230029</v>
      </c>
      <c r="G102" s="698">
        <v>197.94000000000003</v>
      </c>
      <c r="H102" s="645">
        <f t="shared" si="7"/>
        <v>1.0602563367696856</v>
      </c>
      <c r="I102" s="645">
        <f t="shared" si="8"/>
        <v>0.66244979919678726</v>
      </c>
      <c r="J102" s="1895"/>
    </row>
    <row r="103" spans="1:10" s="697" customFormat="1">
      <c r="A103" s="699"/>
      <c r="B103" s="649" t="s">
        <v>343</v>
      </c>
      <c r="C103" s="650">
        <v>684</v>
      </c>
      <c r="D103" s="643">
        <v>122.10407371353865</v>
      </c>
      <c r="E103" s="643">
        <f t="shared" si="5"/>
        <v>183.15611057030796</v>
      </c>
      <c r="F103" s="643">
        <f t="shared" si="6"/>
        <v>122.10407371353864</v>
      </c>
      <c r="G103" s="698">
        <v>549.35</v>
      </c>
      <c r="H103" s="645">
        <f t="shared" si="7"/>
        <v>1.2854373984718233</v>
      </c>
      <c r="I103" s="645">
        <f t="shared" si="8"/>
        <v>0.80314327485380121</v>
      </c>
      <c r="J103" s="1895"/>
    </row>
    <row r="104" spans="1:10" s="697" customFormat="1">
      <c r="A104" s="699"/>
      <c r="B104" s="649" t="s">
        <v>344</v>
      </c>
      <c r="C104" s="650">
        <v>342</v>
      </c>
      <c r="D104" s="643">
        <v>61.052036856769327</v>
      </c>
      <c r="E104" s="643">
        <f t="shared" si="5"/>
        <v>91.57805528515398</v>
      </c>
      <c r="F104" s="643">
        <f t="shared" si="6"/>
        <v>61.05203685676932</v>
      </c>
      <c r="G104" s="698">
        <v>208.6</v>
      </c>
      <c r="H104" s="645">
        <f t="shared" si="7"/>
        <v>0.97621640601154935</v>
      </c>
      <c r="I104" s="645">
        <f t="shared" si="8"/>
        <v>0.60994152046783623</v>
      </c>
      <c r="J104" s="1895"/>
    </row>
    <row r="105" spans="1:10" s="697" customFormat="1">
      <c r="A105" s="699"/>
      <c r="B105" s="649" t="s">
        <v>345</v>
      </c>
      <c r="C105" s="650">
        <v>324</v>
      </c>
      <c r="D105" s="643">
        <v>57.838771759044626</v>
      </c>
      <c r="E105" s="643">
        <f t="shared" si="5"/>
        <v>86.758157638566942</v>
      </c>
      <c r="F105" s="643">
        <f t="shared" si="6"/>
        <v>57.838771759044633</v>
      </c>
      <c r="G105" s="698">
        <v>467.74000000000012</v>
      </c>
      <c r="H105" s="645">
        <f t="shared" si="7"/>
        <v>2.3105608216706619</v>
      </c>
      <c r="I105" s="645">
        <f t="shared" si="8"/>
        <v>1.4436419753086422</v>
      </c>
      <c r="J105" s="1895"/>
    </row>
    <row r="106" spans="1:10" s="697" customFormat="1">
      <c r="A106" s="693"/>
      <c r="B106" s="694" t="s">
        <v>346</v>
      </c>
      <c r="C106" s="695"/>
      <c r="D106" s="676">
        <v>0</v>
      </c>
      <c r="E106" s="676">
        <f t="shared" si="5"/>
        <v>0</v>
      </c>
      <c r="F106" s="676">
        <f t="shared" si="6"/>
        <v>0</v>
      </c>
      <c r="G106" s="696"/>
      <c r="H106" s="645" t="str">
        <f t="shared" si="7"/>
        <v/>
      </c>
      <c r="I106" s="645"/>
      <c r="J106" s="1895"/>
    </row>
    <row r="107" spans="1:10" s="697" customFormat="1">
      <c r="A107" s="699"/>
      <c r="B107" s="649" t="s">
        <v>347</v>
      </c>
      <c r="C107" s="650">
        <v>756</v>
      </c>
      <c r="D107" s="643">
        <v>134.95713410443747</v>
      </c>
      <c r="E107" s="643">
        <f t="shared" si="5"/>
        <v>202.43570115665619</v>
      </c>
      <c r="F107" s="643">
        <f t="shared" si="6"/>
        <v>134.95713410443744</v>
      </c>
      <c r="G107" s="698">
        <v>290.74</v>
      </c>
      <c r="H107" s="645">
        <f t="shared" si="7"/>
        <v>0.61551819383100026</v>
      </c>
      <c r="I107" s="645">
        <f t="shared" si="8"/>
        <v>0.38457671957671957</v>
      </c>
      <c r="J107" s="1895"/>
    </row>
    <row r="108" spans="1:10" s="697" customFormat="1">
      <c r="A108" s="699"/>
      <c r="B108" s="649" t="s">
        <v>348</v>
      </c>
      <c r="C108" s="650">
        <v>999</v>
      </c>
      <c r="D108" s="643">
        <v>178.33621292372092</v>
      </c>
      <c r="E108" s="643">
        <f t="shared" si="5"/>
        <v>267.50431938558137</v>
      </c>
      <c r="F108" s="643">
        <f t="shared" si="6"/>
        <v>178.33621292372089</v>
      </c>
      <c r="G108" s="698">
        <v>626.72999999999979</v>
      </c>
      <c r="H108" s="645">
        <f t="shared" si="7"/>
        <v>1.0040905957911384</v>
      </c>
      <c r="I108" s="645">
        <f t="shared" si="8"/>
        <v>0.62735735735735709</v>
      </c>
      <c r="J108" s="1895"/>
    </row>
    <row r="109" spans="1:10" s="697" customFormat="1">
      <c r="A109" s="699"/>
      <c r="B109" s="649" t="s">
        <v>349</v>
      </c>
      <c r="C109" s="650">
        <v>313.2</v>
      </c>
      <c r="D109" s="643">
        <v>55.910812700409799</v>
      </c>
      <c r="E109" s="643">
        <f t="shared" si="5"/>
        <v>83.866219050614689</v>
      </c>
      <c r="F109" s="643">
        <f t="shared" si="6"/>
        <v>55.910812700409792</v>
      </c>
      <c r="G109" s="698">
        <v>201.73999999999998</v>
      </c>
      <c r="H109" s="645">
        <f t="shared" si="7"/>
        <v>1.0309276008713344</v>
      </c>
      <c r="I109" s="645">
        <f t="shared" si="8"/>
        <v>0.64412515964240102</v>
      </c>
      <c r="J109" s="1895"/>
    </row>
    <row r="110" spans="1:10" s="697" customFormat="1">
      <c r="A110" s="693"/>
      <c r="B110" s="694" t="s">
        <v>350</v>
      </c>
      <c r="C110" s="695"/>
      <c r="D110" s="676">
        <v>0</v>
      </c>
      <c r="E110" s="676">
        <f t="shared" si="5"/>
        <v>0</v>
      </c>
      <c r="F110" s="676">
        <f t="shared" si="6"/>
        <v>0</v>
      </c>
      <c r="G110" s="696"/>
      <c r="H110" s="645" t="str">
        <f t="shared" si="7"/>
        <v/>
      </c>
      <c r="I110" s="645"/>
      <c r="J110" s="1895"/>
    </row>
    <row r="111" spans="1:10" s="697" customFormat="1">
      <c r="A111" s="699"/>
      <c r="B111" s="649" t="s">
        <v>351</v>
      </c>
      <c r="C111" s="650">
        <v>684</v>
      </c>
      <c r="D111" s="643">
        <v>122.10407371353865</v>
      </c>
      <c r="E111" s="643">
        <f t="shared" si="5"/>
        <v>183.15611057030796</v>
      </c>
      <c r="F111" s="643">
        <f t="shared" si="6"/>
        <v>122.10407371353864</v>
      </c>
      <c r="G111" s="698">
        <v>68.55</v>
      </c>
      <c r="H111" s="645">
        <f t="shared" si="7"/>
        <v>0.16040180880175386</v>
      </c>
      <c r="I111" s="645">
        <f t="shared" si="8"/>
        <v>0.10021929824561403</v>
      </c>
      <c r="J111" s="1895"/>
    </row>
    <row r="112" spans="1:10" s="697" customFormat="1">
      <c r="A112" s="699"/>
      <c r="B112" s="649" t="s">
        <v>352</v>
      </c>
      <c r="C112" s="650">
        <v>360</v>
      </c>
      <c r="D112" s="643">
        <v>64.265301954494035</v>
      </c>
      <c r="E112" s="643">
        <f t="shared" si="5"/>
        <v>96.397952931741045</v>
      </c>
      <c r="F112" s="643">
        <f t="shared" si="6"/>
        <v>64.265301954494021</v>
      </c>
      <c r="G112" s="698">
        <v>454.21</v>
      </c>
      <c r="H112" s="645">
        <f t="shared" si="7"/>
        <v>2.0193523062597341</v>
      </c>
      <c r="I112" s="645">
        <f t="shared" si="8"/>
        <v>1.2616944444444445</v>
      </c>
      <c r="J112" s="1895"/>
    </row>
    <row r="113" spans="1:10" s="697" customFormat="1">
      <c r="A113" s="699"/>
      <c r="B113" s="649" t="s">
        <v>353</v>
      </c>
      <c r="C113" s="650">
        <v>360</v>
      </c>
      <c r="D113" s="643">
        <v>64.265301954494035</v>
      </c>
      <c r="E113" s="643">
        <f t="shared" si="5"/>
        <v>96.397952931741045</v>
      </c>
      <c r="F113" s="643">
        <f t="shared" si="6"/>
        <v>64.265301954494021</v>
      </c>
      <c r="G113" s="698">
        <v>271.58999999999997</v>
      </c>
      <c r="H113" s="645">
        <f t="shared" si="7"/>
        <v>1.2074500624316531</v>
      </c>
      <c r="I113" s="645">
        <f t="shared" si="8"/>
        <v>0.75441666666666662</v>
      </c>
      <c r="J113" s="1895"/>
    </row>
    <row r="114" spans="1:10" s="697" customFormat="1">
      <c r="A114" s="699"/>
      <c r="B114" s="649" t="s">
        <v>354</v>
      </c>
      <c r="C114" s="650">
        <v>684</v>
      </c>
      <c r="D114" s="643">
        <v>122.10407371353865</v>
      </c>
      <c r="E114" s="643">
        <f t="shared" si="5"/>
        <v>183.15611057030796</v>
      </c>
      <c r="F114" s="643">
        <f t="shared" si="6"/>
        <v>122.10407371353864</v>
      </c>
      <c r="G114" s="698">
        <v>258.95</v>
      </c>
      <c r="H114" s="645">
        <f t="shared" si="7"/>
        <v>0.60592339006876972</v>
      </c>
      <c r="I114" s="645">
        <f t="shared" si="8"/>
        <v>0.37858187134502924</v>
      </c>
      <c r="J114" s="1895"/>
    </row>
    <row r="115" spans="1:10" s="697" customFormat="1">
      <c r="A115" s="699"/>
      <c r="B115" s="649" t="s">
        <v>355</v>
      </c>
      <c r="C115" s="650">
        <v>327.60000000000002</v>
      </c>
      <c r="D115" s="643">
        <v>58.48142477858957</v>
      </c>
      <c r="E115" s="643">
        <f t="shared" si="5"/>
        <v>87.722137167884355</v>
      </c>
      <c r="F115" s="643">
        <f t="shared" si="6"/>
        <v>58.48142477858957</v>
      </c>
      <c r="G115" s="698">
        <v>225.57</v>
      </c>
      <c r="H115" s="645">
        <f t="shared" si="7"/>
        <v>1.1020349054862026</v>
      </c>
      <c r="I115" s="645">
        <f t="shared" si="8"/>
        <v>0.68855311355311344</v>
      </c>
      <c r="J115" s="1895"/>
    </row>
    <row r="116" spans="1:10" s="697" customFormat="1">
      <c r="A116" s="699"/>
      <c r="B116" s="649" t="s">
        <v>356</v>
      </c>
      <c r="C116" s="650">
        <v>225</v>
      </c>
      <c r="D116" s="643">
        <v>40.16581372155877</v>
      </c>
      <c r="E116" s="643">
        <f t="shared" si="5"/>
        <v>60.248720582338144</v>
      </c>
      <c r="F116" s="643">
        <f>$L$2*E116/$E$163</f>
        <v>40.165813721558763</v>
      </c>
      <c r="G116" s="698">
        <v>152.30999999999997</v>
      </c>
      <c r="H116" s="645">
        <f t="shared" si="7"/>
        <v>1.083437351943533</v>
      </c>
      <c r="I116" s="645">
        <f t="shared" si="8"/>
        <v>0.67693333333333316</v>
      </c>
      <c r="J116" s="1895"/>
    </row>
    <row r="117" spans="1:10" s="697" customFormat="1">
      <c r="A117" s="699"/>
      <c r="B117" s="649" t="s">
        <v>357</v>
      </c>
      <c r="C117" s="650">
        <v>297</v>
      </c>
      <c r="D117" s="643">
        <v>53.018874112457574</v>
      </c>
      <c r="E117" s="643">
        <f t="shared" si="5"/>
        <v>79.528311168686358</v>
      </c>
      <c r="F117" s="643">
        <f t="shared" si="6"/>
        <v>53.018874112457574</v>
      </c>
      <c r="G117" s="698">
        <v>17.37</v>
      </c>
      <c r="H117" s="645">
        <f t="shared" si="7"/>
        <v>9.3605479669947311E-2</v>
      </c>
      <c r="I117" s="645">
        <f t="shared" si="8"/>
        <v>5.8484848484848487E-2</v>
      </c>
      <c r="J117" s="1895"/>
    </row>
    <row r="118" spans="1:10" s="697" customFormat="1">
      <c r="A118" s="699"/>
      <c r="B118" s="649" t="s">
        <v>358</v>
      </c>
      <c r="C118" s="650">
        <v>264.60000000000002</v>
      </c>
      <c r="D118" s="643">
        <v>47.234996936553117</v>
      </c>
      <c r="E118" s="643">
        <f t="shared" si="5"/>
        <v>70.852495404829668</v>
      </c>
      <c r="F118" s="643">
        <f t="shared" si="6"/>
        <v>47.234996936553117</v>
      </c>
      <c r="G118" s="698">
        <v>289.47999999999996</v>
      </c>
      <c r="H118" s="645">
        <f t="shared" si="7"/>
        <v>1.7510019433189978</v>
      </c>
      <c r="I118" s="645">
        <f t="shared" si="8"/>
        <v>1.0940287226001508</v>
      </c>
      <c r="J118" s="1895"/>
    </row>
    <row r="119" spans="1:10" s="697" customFormat="1">
      <c r="A119" s="702"/>
      <c r="B119" s="703" t="s">
        <v>359</v>
      </c>
      <c r="C119" s="704">
        <v>459</v>
      </c>
      <c r="D119" s="705">
        <v>81.938259991979891</v>
      </c>
      <c r="E119" s="705">
        <f t="shared" si="5"/>
        <v>122.90738998796982</v>
      </c>
      <c r="F119" s="705">
        <f t="shared" si="6"/>
        <v>81.938259991979876</v>
      </c>
      <c r="G119" s="706">
        <v>302.10000000000008</v>
      </c>
      <c r="H119" s="645">
        <f t="shared" si="7"/>
        <v>1.0534063784456027</v>
      </c>
      <c r="I119" s="645">
        <f t="shared" si="8"/>
        <v>0.65816993464052309</v>
      </c>
      <c r="J119" s="1895"/>
    </row>
    <row r="120" spans="1:10" s="697" customFormat="1">
      <c r="A120" s="707"/>
      <c r="B120" s="708" t="s">
        <v>360</v>
      </c>
      <c r="C120" s="709">
        <v>648</v>
      </c>
      <c r="D120" s="710">
        <v>115.67754351808925</v>
      </c>
      <c r="E120" s="710">
        <f t="shared" si="5"/>
        <v>173.51631527713388</v>
      </c>
      <c r="F120" s="710">
        <f t="shared" si="6"/>
        <v>115.67754351808927</v>
      </c>
      <c r="G120" s="711">
        <v>236.76000000000002</v>
      </c>
      <c r="H120" s="645">
        <f t="shared" si="7"/>
        <v>0.58477827440324304</v>
      </c>
      <c r="I120" s="645">
        <f t="shared" si="8"/>
        <v>0.3653703703703704</v>
      </c>
      <c r="J120" s="1895"/>
    </row>
    <row r="121" spans="1:10" s="697" customFormat="1">
      <c r="A121" s="702"/>
      <c r="B121" s="703" t="s">
        <v>361</v>
      </c>
      <c r="C121" s="704">
        <v>1080</v>
      </c>
      <c r="D121" s="705">
        <v>192.79590586348209</v>
      </c>
      <c r="E121" s="705">
        <f t="shared" si="5"/>
        <v>289.19385879522309</v>
      </c>
      <c r="F121" s="705">
        <f t="shared" si="6"/>
        <v>192.79590586348203</v>
      </c>
      <c r="G121" s="706">
        <v>630.62999999999988</v>
      </c>
      <c r="H121" s="645">
        <f t="shared" si="7"/>
        <v>0.93456341405706311</v>
      </c>
      <c r="I121" s="645">
        <f t="shared" si="8"/>
        <v>0.58391666666666653</v>
      </c>
      <c r="J121" s="1895"/>
    </row>
    <row r="122" spans="1:10" s="697" customFormat="1">
      <c r="A122" s="699"/>
      <c r="B122" s="649" t="s">
        <v>362</v>
      </c>
      <c r="C122" s="650">
        <v>1447.2</v>
      </c>
      <c r="D122" s="643">
        <v>258.34651385706599</v>
      </c>
      <c r="E122" s="643">
        <f t="shared" si="5"/>
        <v>387.51977078559889</v>
      </c>
      <c r="F122" s="643">
        <f t="shared" si="6"/>
        <v>258.34651385706593</v>
      </c>
      <c r="G122" s="698">
        <v>186.84</v>
      </c>
      <c r="H122" s="645">
        <f t="shared" si="7"/>
        <v>0.20663277528254942</v>
      </c>
      <c r="I122" s="645">
        <f t="shared" si="8"/>
        <v>0.1291044776119403</v>
      </c>
      <c r="J122" s="1895"/>
    </row>
    <row r="123" spans="1:10" s="697" customFormat="1" ht="33.75">
      <c r="A123" s="678"/>
      <c r="B123" s="679"/>
      <c r="C123" s="680">
        <v>56193.84</v>
      </c>
      <c r="D123" s="681">
        <v>10031.42804328479</v>
      </c>
      <c r="E123" s="681">
        <f t="shared" si="5"/>
        <v>15047.142064927182</v>
      </c>
      <c r="F123" s="681">
        <f t="shared" si="6"/>
        <v>10031.428043284788</v>
      </c>
      <c r="G123" s="682">
        <v>44352.19</v>
      </c>
      <c r="H123" s="645">
        <f t="shared" si="7"/>
        <v>1.2632353271174765</v>
      </c>
      <c r="I123" s="645">
        <f t="shared" si="8"/>
        <v>0.78927138632988958</v>
      </c>
      <c r="J123" s="1896" t="s">
        <v>1018</v>
      </c>
    </row>
    <row r="124" spans="1:10" s="697" customFormat="1">
      <c r="A124" s="687" t="s">
        <v>240</v>
      </c>
      <c r="B124" s="688"/>
      <c r="C124" s="689"/>
      <c r="D124" s="712">
        <v>0</v>
      </c>
      <c r="E124" s="712">
        <f t="shared" si="5"/>
        <v>0</v>
      </c>
      <c r="F124" s="712">
        <f t="shared" si="6"/>
        <v>0</v>
      </c>
      <c r="G124" s="691"/>
      <c r="H124" s="645" t="str">
        <f t="shared" si="7"/>
        <v/>
      </c>
      <c r="I124" s="645"/>
      <c r="J124" s="1895"/>
    </row>
    <row r="125" spans="1:10" s="697" customFormat="1">
      <c r="A125" s="699"/>
      <c r="B125" s="649" t="s">
        <v>363</v>
      </c>
      <c r="C125" s="650">
        <v>10000</v>
      </c>
      <c r="D125" s="643">
        <v>1785.147276513723</v>
      </c>
      <c r="E125" s="643">
        <f t="shared" si="5"/>
        <v>2677.7209147705839</v>
      </c>
      <c r="F125" s="643">
        <f t="shared" si="6"/>
        <v>1785.1472765137225</v>
      </c>
      <c r="G125" s="698">
        <v>10210.870000000003</v>
      </c>
      <c r="H125" s="645">
        <f t="shared" si="7"/>
        <v>1.6342581180578593</v>
      </c>
      <c r="I125" s="645">
        <f t="shared" ref="I125:I126" si="9">G125/C125</f>
        <v>1.0210870000000003</v>
      </c>
      <c r="J125" s="1895"/>
    </row>
    <row r="126" spans="1:10" s="697" customFormat="1" ht="22.5">
      <c r="A126" s="678"/>
      <c r="B126" s="679"/>
      <c r="C126" s="680">
        <v>10000</v>
      </c>
      <c r="D126" s="681">
        <v>1785.147276513723</v>
      </c>
      <c r="E126" s="681">
        <f t="shared" si="5"/>
        <v>2677.7209147705839</v>
      </c>
      <c r="F126" s="681">
        <f t="shared" si="6"/>
        <v>1785.1472765137225</v>
      </c>
      <c r="G126" s="682">
        <v>10210.870000000003</v>
      </c>
      <c r="H126" s="645">
        <f t="shared" si="7"/>
        <v>1.6342581180578593</v>
      </c>
      <c r="I126" s="645">
        <f t="shared" si="9"/>
        <v>1.0210870000000003</v>
      </c>
      <c r="J126" s="1896" t="s">
        <v>1019</v>
      </c>
    </row>
    <row r="127" spans="1:10" s="697" customFormat="1">
      <c r="A127" s="687" t="s">
        <v>244</v>
      </c>
      <c r="B127" s="688"/>
      <c r="C127" s="689"/>
      <c r="D127" s="712">
        <v>0</v>
      </c>
      <c r="E127" s="712">
        <f t="shared" si="5"/>
        <v>0</v>
      </c>
      <c r="F127" s="712">
        <f t="shared" si="6"/>
        <v>0</v>
      </c>
      <c r="G127" s="691"/>
      <c r="H127" s="645" t="str">
        <f t="shared" si="7"/>
        <v/>
      </c>
      <c r="I127" s="645"/>
      <c r="J127" s="1895"/>
    </row>
    <row r="128" spans="1:10" s="697" customFormat="1">
      <c r="A128" s="699"/>
      <c r="B128" s="649" t="s">
        <v>364</v>
      </c>
      <c r="C128" s="650">
        <v>40000</v>
      </c>
      <c r="D128" s="643">
        <v>7140.589106054892</v>
      </c>
      <c r="E128" s="643">
        <f t="shared" si="5"/>
        <v>10710.883659082336</v>
      </c>
      <c r="F128" s="643">
        <f t="shared" si="6"/>
        <v>7140.5891060548902</v>
      </c>
      <c r="G128" s="698">
        <v>38758.99</v>
      </c>
      <c r="H128" s="645">
        <f t="shared" si="7"/>
        <v>1.5508520345284822</v>
      </c>
      <c r="I128" s="645">
        <f t="shared" ref="I128:I129" si="10">G128/C128</f>
        <v>0.96897475</v>
      </c>
      <c r="J128" s="1895"/>
    </row>
    <row r="129" spans="1:10" s="697" customFormat="1" ht="22.5">
      <c r="A129" s="678"/>
      <c r="B129" s="679"/>
      <c r="C129" s="680">
        <v>40000</v>
      </c>
      <c r="D129" s="681">
        <v>7140.589106054892</v>
      </c>
      <c r="E129" s="681">
        <f t="shared" si="5"/>
        <v>10710.883659082336</v>
      </c>
      <c r="F129" s="681">
        <f t="shared" si="6"/>
        <v>7140.5891060548902</v>
      </c>
      <c r="G129" s="682">
        <v>38758.99</v>
      </c>
      <c r="H129" s="645">
        <f t="shared" si="7"/>
        <v>1.5508520345284822</v>
      </c>
      <c r="I129" s="645">
        <f t="shared" si="10"/>
        <v>0.96897475</v>
      </c>
      <c r="J129" s="1896" t="s">
        <v>1019</v>
      </c>
    </row>
    <row r="130" spans="1:10" s="697" customFormat="1">
      <c r="A130" s="687" t="s">
        <v>249</v>
      </c>
      <c r="B130" s="688"/>
      <c r="C130" s="689"/>
      <c r="D130" s="712">
        <v>0</v>
      </c>
      <c r="E130" s="712">
        <f t="shared" si="5"/>
        <v>0</v>
      </c>
      <c r="F130" s="712">
        <f t="shared" si="6"/>
        <v>0</v>
      </c>
      <c r="G130" s="713"/>
      <c r="H130" s="645" t="str">
        <f t="shared" si="7"/>
        <v/>
      </c>
      <c r="I130" s="645"/>
      <c r="J130" s="1895"/>
    </row>
    <row r="131" spans="1:10" s="697" customFormat="1">
      <c r="A131" s="699"/>
      <c r="B131" s="714"/>
      <c r="C131" s="715"/>
      <c r="D131" s="716">
        <v>0</v>
      </c>
      <c r="E131" s="716">
        <f t="shared" si="5"/>
        <v>0</v>
      </c>
      <c r="F131" s="716">
        <f t="shared" si="6"/>
        <v>0</v>
      </c>
      <c r="G131" s="698"/>
      <c r="H131" s="645" t="str">
        <f t="shared" si="7"/>
        <v/>
      </c>
      <c r="I131" s="645"/>
      <c r="J131" s="1895"/>
    </row>
    <row r="132" spans="1:10" s="697" customFormat="1">
      <c r="A132" s="678"/>
      <c r="B132" s="679"/>
      <c r="C132" s="680">
        <v>0</v>
      </c>
      <c r="D132" s="681">
        <v>0</v>
      </c>
      <c r="E132" s="681">
        <f t="shared" si="5"/>
        <v>0</v>
      </c>
      <c r="F132" s="681">
        <f t="shared" si="6"/>
        <v>0</v>
      </c>
      <c r="G132" s="682"/>
      <c r="H132" s="645" t="str">
        <f t="shared" si="7"/>
        <v/>
      </c>
      <c r="I132" s="645"/>
      <c r="J132" s="1895"/>
    </row>
    <row r="133" spans="1:10" s="697" customFormat="1">
      <c r="A133" s="687" t="s">
        <v>255</v>
      </c>
      <c r="B133" s="688"/>
      <c r="C133" s="689"/>
      <c r="D133" s="712">
        <v>0</v>
      </c>
      <c r="E133" s="712">
        <f t="shared" si="5"/>
        <v>0</v>
      </c>
      <c r="F133" s="712">
        <f t="shared" si="6"/>
        <v>0</v>
      </c>
      <c r="G133" s="713"/>
      <c r="H133" s="645" t="str">
        <f t="shared" si="7"/>
        <v/>
      </c>
      <c r="I133" s="645"/>
      <c r="J133" s="1895"/>
    </row>
    <row r="134" spans="1:10" s="697" customFormat="1" ht="22.5">
      <c r="A134" s="699"/>
      <c r="B134" s="700" t="s">
        <v>365</v>
      </c>
      <c r="C134" s="701">
        <v>4800</v>
      </c>
      <c r="D134" s="643">
        <v>856.87069272658709</v>
      </c>
      <c r="E134" s="643">
        <f t="shared" si="5"/>
        <v>1285.3060390898804</v>
      </c>
      <c r="F134" s="643">
        <f t="shared" si="6"/>
        <v>856.87069272658687</v>
      </c>
      <c r="G134" s="698">
        <v>10622.7</v>
      </c>
      <c r="H134" s="645">
        <f t="shared" si="7"/>
        <v>3.5420246819266334</v>
      </c>
      <c r="I134" s="645">
        <f t="shared" ref="I134:I137" si="11">G134/C134</f>
        <v>2.2130624999999999</v>
      </c>
      <c r="J134" s="1896" t="s">
        <v>1019</v>
      </c>
    </row>
    <row r="135" spans="1:10" s="697" customFormat="1">
      <c r="A135" s="699"/>
      <c r="B135" s="649" t="s">
        <v>366</v>
      </c>
      <c r="C135" s="650">
        <v>12800</v>
      </c>
      <c r="D135" s="643">
        <v>2284.9885139375656</v>
      </c>
      <c r="E135" s="643">
        <f t="shared" si="5"/>
        <v>3427.4827709063479</v>
      </c>
      <c r="F135" s="643">
        <f t="shared" si="6"/>
        <v>2284.9885139375651</v>
      </c>
      <c r="G135" s="698">
        <v>15938.350000000004</v>
      </c>
      <c r="H135" s="645">
        <f t="shared" si="7"/>
        <v>1.9929265543077097</v>
      </c>
      <c r="I135" s="645">
        <f t="shared" si="11"/>
        <v>1.2451835937500002</v>
      </c>
      <c r="J135" s="1895"/>
    </row>
    <row r="136" spans="1:10" s="697" customFormat="1">
      <c r="A136" s="699"/>
      <c r="B136" s="649" t="s">
        <v>367</v>
      </c>
      <c r="C136" s="650">
        <v>4752</v>
      </c>
      <c r="D136" s="643">
        <v>848.30198579932119</v>
      </c>
      <c r="E136" s="643">
        <f t="shared" si="5"/>
        <v>1272.4529786989817</v>
      </c>
      <c r="F136" s="643">
        <f t="shared" si="6"/>
        <v>848.30198579932119</v>
      </c>
      <c r="G136" s="698">
        <v>2341.3200000000015</v>
      </c>
      <c r="H136" s="645">
        <f t="shared" si="7"/>
        <v>0.78857362428339506</v>
      </c>
      <c r="I136" s="645">
        <f t="shared" si="11"/>
        <v>0.49270202020202053</v>
      </c>
      <c r="J136" s="1895"/>
    </row>
    <row r="137" spans="1:10" s="697" customFormat="1" ht="22.5">
      <c r="A137" s="678"/>
      <c r="B137" s="679"/>
      <c r="C137" s="680">
        <v>22352</v>
      </c>
      <c r="D137" s="681">
        <v>3990.1611924634735</v>
      </c>
      <c r="E137" s="681">
        <f t="shared" si="5"/>
        <v>5985.2417886952089</v>
      </c>
      <c r="F137" s="681">
        <f t="shared" si="6"/>
        <v>3990.1611924634726</v>
      </c>
      <c r="G137" s="682">
        <v>28902.370000000003</v>
      </c>
      <c r="H137" s="645">
        <f t="shared" si="7"/>
        <v>2.0695454648792602</v>
      </c>
      <c r="I137" s="645">
        <f t="shared" si="11"/>
        <v>1.293055207587688</v>
      </c>
      <c r="J137" s="1896" t="s">
        <v>1019</v>
      </c>
    </row>
    <row r="138" spans="1:10" s="697" customFormat="1">
      <c r="A138" s="687" t="s">
        <v>260</v>
      </c>
      <c r="B138" s="688"/>
      <c r="C138" s="689"/>
      <c r="D138" s="712">
        <v>0</v>
      </c>
      <c r="E138" s="712">
        <f t="shared" ref="E138:E163" si="12">$K$2*D138/$D$163</f>
        <v>0</v>
      </c>
      <c r="F138" s="712">
        <f t="shared" ref="F138:F163" si="13">$L$2*E138/$E$163</f>
        <v>0</v>
      </c>
      <c r="G138" s="713"/>
      <c r="H138" s="645" t="str">
        <f t="shared" ref="H138:H162" si="14">IFERROR(G138/(D138+E138+F138),"")</f>
        <v/>
      </c>
      <c r="I138" s="645"/>
      <c r="J138" s="1895"/>
    </row>
    <row r="139" spans="1:10" s="697" customFormat="1" ht="6.75" customHeight="1">
      <c r="A139" s="699"/>
      <c r="B139" s="714"/>
      <c r="C139" s="715"/>
      <c r="D139" s="716">
        <v>0</v>
      </c>
      <c r="E139" s="716">
        <f t="shared" si="12"/>
        <v>0</v>
      </c>
      <c r="F139" s="716">
        <f t="shared" si="13"/>
        <v>0</v>
      </c>
      <c r="G139" s="698"/>
      <c r="H139" s="645" t="str">
        <f t="shared" si="14"/>
        <v/>
      </c>
      <c r="I139" s="645"/>
      <c r="J139" s="1895"/>
    </row>
    <row r="140" spans="1:10" s="697" customFormat="1">
      <c r="A140" s="678"/>
      <c r="B140" s="679"/>
      <c r="C140" s="680">
        <v>0</v>
      </c>
      <c r="D140" s="681">
        <v>0</v>
      </c>
      <c r="E140" s="681">
        <f t="shared" si="12"/>
        <v>0</v>
      </c>
      <c r="F140" s="681">
        <f t="shared" si="13"/>
        <v>0</v>
      </c>
      <c r="G140" s="682"/>
      <c r="H140" s="645" t="str">
        <f t="shared" si="14"/>
        <v/>
      </c>
      <c r="I140" s="645"/>
      <c r="J140" s="1895"/>
    </row>
    <row r="141" spans="1:10" s="697" customFormat="1">
      <c r="A141" s="687" t="s">
        <v>262</v>
      </c>
      <c r="B141" s="688"/>
      <c r="C141" s="689"/>
      <c r="D141" s="712">
        <v>0</v>
      </c>
      <c r="E141" s="712">
        <f t="shared" si="12"/>
        <v>0</v>
      </c>
      <c r="F141" s="712">
        <f t="shared" si="13"/>
        <v>0</v>
      </c>
      <c r="G141" s="691"/>
      <c r="H141" s="645" t="str">
        <f t="shared" si="14"/>
        <v/>
      </c>
      <c r="I141" s="645"/>
      <c r="J141" s="1895"/>
    </row>
    <row r="142" spans="1:10" s="697" customFormat="1">
      <c r="A142" s="693"/>
      <c r="B142" s="694" t="s">
        <v>368</v>
      </c>
      <c r="C142" s="695"/>
      <c r="D142" s="676">
        <v>0</v>
      </c>
      <c r="E142" s="676">
        <f t="shared" si="12"/>
        <v>0</v>
      </c>
      <c r="F142" s="676">
        <f t="shared" si="13"/>
        <v>0</v>
      </c>
      <c r="G142" s="696"/>
      <c r="H142" s="645" t="str">
        <f t="shared" si="14"/>
        <v/>
      </c>
      <c r="I142" s="645"/>
      <c r="J142" s="1895"/>
    </row>
    <row r="143" spans="1:10" s="697" customFormat="1">
      <c r="A143" s="699"/>
      <c r="B143" s="649" t="s">
        <v>369</v>
      </c>
      <c r="C143" s="650">
        <v>504</v>
      </c>
      <c r="D143" s="643">
        <v>89.971422736291643</v>
      </c>
      <c r="E143" s="643">
        <f t="shared" si="12"/>
        <v>134.95713410443744</v>
      </c>
      <c r="F143" s="643">
        <f t="shared" si="13"/>
        <v>89.971422736291629</v>
      </c>
      <c r="G143" s="698">
        <v>2047.5900000000001</v>
      </c>
      <c r="H143" s="645">
        <f t="shared" si="14"/>
        <v>6.5023503740786515</v>
      </c>
      <c r="I143" s="645">
        <f t="shared" ref="I143:I149" si="15">G143/C143</f>
        <v>4.062678571428572</v>
      </c>
      <c r="J143" s="1895"/>
    </row>
    <row r="144" spans="1:10" s="697" customFormat="1">
      <c r="A144" s="699"/>
      <c r="B144" s="649" t="s">
        <v>370</v>
      </c>
      <c r="C144" s="650">
        <v>900</v>
      </c>
      <c r="D144" s="643">
        <v>160.66325488623508</v>
      </c>
      <c r="E144" s="643">
        <f t="shared" si="12"/>
        <v>240.99488232935258</v>
      </c>
      <c r="F144" s="643">
        <f t="shared" si="13"/>
        <v>160.66325488623505</v>
      </c>
      <c r="G144" s="698">
        <v>227.75</v>
      </c>
      <c r="H144" s="645">
        <f t="shared" si="14"/>
        <v>0.40501749212976768</v>
      </c>
      <c r="I144" s="645">
        <f t="shared" si="15"/>
        <v>0.25305555555555553</v>
      </c>
      <c r="J144" s="1895"/>
    </row>
    <row r="145" spans="1:10" s="697" customFormat="1">
      <c r="A145" s="699"/>
      <c r="B145" s="649" t="s">
        <v>371</v>
      </c>
      <c r="C145" s="650">
        <v>2880</v>
      </c>
      <c r="D145" s="643">
        <v>514.12241563595228</v>
      </c>
      <c r="E145" s="643">
        <f t="shared" si="12"/>
        <v>771.18362345392836</v>
      </c>
      <c r="F145" s="643">
        <f t="shared" si="13"/>
        <v>514.12241563595217</v>
      </c>
      <c r="G145" s="698">
        <v>3350.3700000000003</v>
      </c>
      <c r="H145" s="645">
        <f t="shared" si="14"/>
        <v>1.8619078692464461</v>
      </c>
      <c r="I145" s="645">
        <f t="shared" si="15"/>
        <v>1.1633229166666668</v>
      </c>
      <c r="J145" s="1895"/>
    </row>
    <row r="146" spans="1:10" s="697" customFormat="1">
      <c r="A146" s="699"/>
      <c r="B146" s="649" t="s">
        <v>372</v>
      </c>
      <c r="C146" s="650">
        <v>1440</v>
      </c>
      <c r="D146" s="643">
        <v>257.06120781797614</v>
      </c>
      <c r="E146" s="643">
        <f t="shared" si="12"/>
        <v>385.59181172696418</v>
      </c>
      <c r="F146" s="643">
        <f t="shared" si="13"/>
        <v>257.06120781797608</v>
      </c>
      <c r="G146" s="698">
        <v>1470.8300000000002</v>
      </c>
      <c r="H146" s="645">
        <f t="shared" si="14"/>
        <v>1.6347746376213674</v>
      </c>
      <c r="I146" s="645">
        <f t="shared" si="15"/>
        <v>1.0214097222222223</v>
      </c>
      <c r="J146" s="1895"/>
    </row>
    <row r="147" spans="1:10" s="697" customFormat="1">
      <c r="A147" s="699"/>
      <c r="B147" s="649" t="s">
        <v>373</v>
      </c>
      <c r="C147" s="650">
        <v>1800</v>
      </c>
      <c r="D147" s="643">
        <v>321.32650977247016</v>
      </c>
      <c r="E147" s="643">
        <f t="shared" si="12"/>
        <v>481.98976465870516</v>
      </c>
      <c r="F147" s="643">
        <f t="shared" si="13"/>
        <v>321.3265097724701</v>
      </c>
      <c r="G147" s="698">
        <v>1330.3399999999983</v>
      </c>
      <c r="H147" s="645">
        <f t="shared" si="14"/>
        <v>1.1829000449613929</v>
      </c>
      <c r="I147" s="645">
        <f t="shared" si="15"/>
        <v>0.73907777777777683</v>
      </c>
      <c r="J147" s="1895"/>
    </row>
    <row r="148" spans="1:10" s="697" customFormat="1">
      <c r="A148" s="699"/>
      <c r="B148" s="649" t="s">
        <v>374</v>
      </c>
      <c r="C148" s="650">
        <v>3240</v>
      </c>
      <c r="D148" s="643">
        <v>578.3877175904463</v>
      </c>
      <c r="E148" s="643">
        <f t="shared" si="12"/>
        <v>867.58157638566934</v>
      </c>
      <c r="F148" s="643">
        <f t="shared" si="13"/>
        <v>578.3877175904463</v>
      </c>
      <c r="G148" s="698">
        <v>1178.6299999999999</v>
      </c>
      <c r="H148" s="645">
        <f t="shared" si="14"/>
        <v>0.58222437705684593</v>
      </c>
      <c r="I148" s="645">
        <f t="shared" si="15"/>
        <v>0.36377469135802465</v>
      </c>
      <c r="J148" s="1895"/>
    </row>
    <row r="149" spans="1:10" s="697" customFormat="1">
      <c r="A149" s="699"/>
      <c r="B149" s="649" t="s">
        <v>375</v>
      </c>
      <c r="C149" s="650">
        <v>1440</v>
      </c>
      <c r="D149" s="643">
        <v>257.06120781797614</v>
      </c>
      <c r="E149" s="643">
        <f t="shared" si="12"/>
        <v>385.59181172696418</v>
      </c>
      <c r="F149" s="643">
        <f t="shared" si="13"/>
        <v>257.06120781797608</v>
      </c>
      <c r="G149" s="698">
        <v>1360.64</v>
      </c>
      <c r="H149" s="645">
        <f t="shared" si="14"/>
        <v>1.5123024162772973</v>
      </c>
      <c r="I149" s="645">
        <f t="shared" si="15"/>
        <v>0.944888888888889</v>
      </c>
      <c r="J149" s="1895"/>
    </row>
    <row r="150" spans="1:10" s="697" customFormat="1">
      <c r="A150" s="693"/>
      <c r="B150" s="694" t="s">
        <v>376</v>
      </c>
      <c r="C150" s="695"/>
      <c r="D150" s="676">
        <v>0</v>
      </c>
      <c r="E150" s="676">
        <f t="shared" si="12"/>
        <v>0</v>
      </c>
      <c r="F150" s="676">
        <f t="shared" si="13"/>
        <v>0</v>
      </c>
      <c r="G150" s="696"/>
      <c r="H150" s="645" t="str">
        <f t="shared" si="14"/>
        <v/>
      </c>
      <c r="I150" s="645"/>
      <c r="J150" s="1895"/>
    </row>
    <row r="151" spans="1:10" s="697" customFormat="1">
      <c r="A151" s="699"/>
      <c r="B151" s="649" t="s">
        <v>377</v>
      </c>
      <c r="C151" s="650">
        <v>17400</v>
      </c>
      <c r="D151" s="643">
        <v>3106.1562611338782</v>
      </c>
      <c r="E151" s="643">
        <f t="shared" si="12"/>
        <v>4659.2343917008166</v>
      </c>
      <c r="F151" s="643">
        <f t="shared" si="13"/>
        <v>3106.1562611338777</v>
      </c>
      <c r="G151" s="698">
        <v>6470</v>
      </c>
      <c r="H151" s="645">
        <f t="shared" si="14"/>
        <v>0.59513149795516795</v>
      </c>
      <c r="I151" s="645">
        <f t="shared" ref="I151:I163" si="16">G151/C151</f>
        <v>0.3718390804597701</v>
      </c>
      <c r="J151" s="1895"/>
    </row>
    <row r="152" spans="1:10" s="697" customFormat="1">
      <c r="A152" s="699"/>
      <c r="B152" s="649" t="s">
        <v>378</v>
      </c>
      <c r="C152" s="650">
        <v>6000</v>
      </c>
      <c r="D152" s="643">
        <v>1071.0883659082338</v>
      </c>
      <c r="E152" s="643">
        <f t="shared" si="12"/>
        <v>1606.6325488623504</v>
      </c>
      <c r="F152" s="643">
        <f t="shared" si="13"/>
        <v>1071.0883659082338</v>
      </c>
      <c r="G152" s="698">
        <v>4735</v>
      </c>
      <c r="H152" s="645">
        <f t="shared" si="14"/>
        <v>1.2630677224376181</v>
      </c>
      <c r="I152" s="645">
        <f t="shared" si="16"/>
        <v>0.78916666666666668</v>
      </c>
      <c r="J152" s="1895"/>
    </row>
    <row r="153" spans="1:10" s="697" customFormat="1">
      <c r="A153" s="699"/>
      <c r="B153" s="649" t="s">
        <v>379</v>
      </c>
      <c r="C153" s="650">
        <v>8271</v>
      </c>
      <c r="D153" s="643">
        <v>1476.4953124045003</v>
      </c>
      <c r="E153" s="643">
        <f t="shared" si="12"/>
        <v>2214.7429686067503</v>
      </c>
      <c r="F153" s="643">
        <f t="shared" si="13"/>
        <v>1476.4953124045003</v>
      </c>
      <c r="G153" s="698">
        <v>2025</v>
      </c>
      <c r="H153" s="645">
        <f t="shared" si="14"/>
        <v>0.39185456513858763</v>
      </c>
      <c r="I153" s="645">
        <f t="shared" si="16"/>
        <v>0.24483133841131666</v>
      </c>
      <c r="J153" s="1895"/>
    </row>
    <row r="154" spans="1:10" s="697" customFormat="1">
      <c r="A154" s="699"/>
      <c r="B154" s="649" t="s">
        <v>380</v>
      </c>
      <c r="C154" s="650">
        <v>6393.6</v>
      </c>
      <c r="D154" s="643">
        <v>1141.351762711814</v>
      </c>
      <c r="E154" s="643">
        <f t="shared" si="12"/>
        <v>1712.0276440677208</v>
      </c>
      <c r="F154" s="643">
        <f t="shared" si="13"/>
        <v>1141.3517627118138</v>
      </c>
      <c r="G154" s="698">
        <v>998.72</v>
      </c>
      <c r="H154" s="645">
        <f t="shared" si="14"/>
        <v>0.25000931417549371</v>
      </c>
      <c r="I154" s="645">
        <f t="shared" si="16"/>
        <v>0.15620620620620621</v>
      </c>
      <c r="J154" s="1895"/>
    </row>
    <row r="155" spans="1:10" s="697" customFormat="1">
      <c r="A155" s="699"/>
      <c r="B155" s="649" t="s">
        <v>381</v>
      </c>
      <c r="C155" s="650">
        <v>4800</v>
      </c>
      <c r="D155" s="643">
        <v>856.87069272658709</v>
      </c>
      <c r="E155" s="643">
        <f t="shared" si="12"/>
        <v>1285.3060390898804</v>
      </c>
      <c r="F155" s="643">
        <f t="shared" si="13"/>
        <v>856.87069272658687</v>
      </c>
      <c r="G155" s="698">
        <v>892.59999999999991</v>
      </c>
      <c r="H155" s="645">
        <f t="shared" si="14"/>
        <v>0.29762783765781886</v>
      </c>
      <c r="I155" s="645">
        <f t="shared" si="16"/>
        <v>0.18595833333333331</v>
      </c>
      <c r="J155" s="1895"/>
    </row>
    <row r="156" spans="1:10" s="697" customFormat="1">
      <c r="A156" s="699"/>
      <c r="B156" s="649" t="s">
        <v>382</v>
      </c>
      <c r="C156" s="650">
        <v>2400</v>
      </c>
      <c r="D156" s="643">
        <v>428.43534636329355</v>
      </c>
      <c r="E156" s="643">
        <f t="shared" si="12"/>
        <v>642.65301954494021</v>
      </c>
      <c r="F156" s="643">
        <f t="shared" si="13"/>
        <v>428.43534636329343</v>
      </c>
      <c r="G156" s="698">
        <v>105</v>
      </c>
      <c r="H156" s="645">
        <f t="shared" si="14"/>
        <v>7.0022233820459301E-2</v>
      </c>
      <c r="I156" s="645">
        <f t="shared" si="16"/>
        <v>4.3749999999999997E-2</v>
      </c>
      <c r="J156" s="1895"/>
    </row>
    <row r="157" spans="1:10" s="697" customFormat="1">
      <c r="A157" s="699"/>
      <c r="B157" s="649" t="s">
        <v>383</v>
      </c>
      <c r="C157" s="650">
        <v>4800</v>
      </c>
      <c r="D157" s="643">
        <v>856.87069272658709</v>
      </c>
      <c r="E157" s="643">
        <f t="shared" si="12"/>
        <v>1285.3060390898804</v>
      </c>
      <c r="F157" s="643">
        <f t="shared" si="13"/>
        <v>856.87069272658687</v>
      </c>
      <c r="G157" s="698">
        <v>8412.5000000000036</v>
      </c>
      <c r="H157" s="645">
        <f t="shared" si="14"/>
        <v>2.8050573429267338</v>
      </c>
      <c r="I157" s="645">
        <f t="shared" si="16"/>
        <v>1.7526041666666674</v>
      </c>
      <c r="J157" s="1895"/>
    </row>
    <row r="158" spans="1:10" s="697" customFormat="1">
      <c r="A158" s="699"/>
      <c r="B158" s="649" t="s">
        <v>384</v>
      </c>
      <c r="C158" s="650">
        <v>3600</v>
      </c>
      <c r="D158" s="643">
        <v>642.65301954494032</v>
      </c>
      <c r="E158" s="643">
        <f t="shared" si="12"/>
        <v>963.97952931741031</v>
      </c>
      <c r="F158" s="643">
        <f t="shared" si="13"/>
        <v>642.65301954494021</v>
      </c>
      <c r="G158" s="698">
        <v>1682.3</v>
      </c>
      <c r="H158" s="645">
        <f t="shared" si="14"/>
        <v>0.74792637432481679</v>
      </c>
      <c r="I158" s="645">
        <f t="shared" si="16"/>
        <v>0.46730555555555553</v>
      </c>
      <c r="J158" s="1895"/>
    </row>
    <row r="159" spans="1:10" s="697" customFormat="1">
      <c r="A159" s="678"/>
      <c r="B159" s="679"/>
      <c r="C159" s="680">
        <v>65868.600000000006</v>
      </c>
      <c r="D159" s="681">
        <v>11758.515189777183</v>
      </c>
      <c r="E159" s="681">
        <f t="shared" si="12"/>
        <v>17637.772784665773</v>
      </c>
      <c r="F159" s="681">
        <f t="shared" si="13"/>
        <v>11758.515189777181</v>
      </c>
      <c r="G159" s="682">
        <v>36287.270000000004</v>
      </c>
      <c r="H159" s="645">
        <f t="shared" si="14"/>
        <v>0.8817262435979295</v>
      </c>
      <c r="I159" s="645">
        <f t="shared" si="16"/>
        <v>0.55090392083633177</v>
      </c>
      <c r="J159" s="1895"/>
    </row>
    <row r="160" spans="1:10" s="717" customFormat="1" ht="22.5">
      <c r="A160" s="678" t="s">
        <v>385</v>
      </c>
      <c r="B160" s="679"/>
      <c r="C160" s="680">
        <v>194414.44</v>
      </c>
      <c r="D160" s="681">
        <v>34705.840808094064</v>
      </c>
      <c r="E160" s="681">
        <f t="shared" si="12"/>
        <v>52058.761212141093</v>
      </c>
      <c r="F160" s="681">
        <f t="shared" si="13"/>
        <v>34705.840808094064</v>
      </c>
      <c r="G160" s="682">
        <v>158511.69</v>
      </c>
      <c r="H160" s="645">
        <f t="shared" si="14"/>
        <v>1.3049404143855814</v>
      </c>
      <c r="I160" s="645">
        <f t="shared" si="16"/>
        <v>0.81532878936358844</v>
      </c>
      <c r="J160" s="1896" t="s">
        <v>1019</v>
      </c>
    </row>
    <row r="161" spans="1:10" s="683" customFormat="1" ht="12" thickBot="1">
      <c r="A161" s="718" t="s">
        <v>266</v>
      </c>
      <c r="B161" s="719"/>
      <c r="C161" s="720">
        <v>626928.04</v>
      </c>
      <c r="D161" s="721">
        <v>111915.88831760865</v>
      </c>
      <c r="E161" s="721">
        <f t="shared" si="12"/>
        <v>167873.83247641294</v>
      </c>
      <c r="F161" s="721">
        <f t="shared" si="13"/>
        <v>111915.88831760862</v>
      </c>
      <c r="G161" s="722">
        <v>340922.22000000003</v>
      </c>
      <c r="H161" s="645">
        <f t="shared" si="14"/>
        <v>0.87035317358154629</v>
      </c>
      <c r="I161" s="645">
        <f t="shared" si="16"/>
        <v>0.54379800909846054</v>
      </c>
      <c r="J161" s="1895"/>
    </row>
    <row r="162" spans="1:10" s="683" customFormat="1">
      <c r="A162" s="723" t="s">
        <v>386</v>
      </c>
      <c r="B162" s="724"/>
      <c r="C162" s="725">
        <f>C161*7%</f>
        <v>43884.962800000008</v>
      </c>
      <c r="D162" s="726">
        <v>7834.1116823913671</v>
      </c>
      <c r="E162" s="726">
        <f t="shared" si="12"/>
        <v>11751.16752358705</v>
      </c>
      <c r="F162" s="726">
        <f t="shared" si="13"/>
        <v>7834.1116823913662</v>
      </c>
      <c r="G162" s="727">
        <v>23864.560000000001</v>
      </c>
      <c r="H162" s="645">
        <f t="shared" si="14"/>
        <v>0.87035339687733182</v>
      </c>
      <c r="I162" s="645">
        <f t="shared" si="16"/>
        <v>0.54379811391796362</v>
      </c>
      <c r="J162" s="1895"/>
    </row>
    <row r="163" spans="1:10" s="733" customFormat="1" ht="23.25" thickBot="1">
      <c r="A163" s="728" t="s">
        <v>271</v>
      </c>
      <c r="B163" s="729"/>
      <c r="C163" s="730">
        <f>C162+C161</f>
        <v>670813.00280000002</v>
      </c>
      <c r="D163" s="731">
        <v>119750.00000000001</v>
      </c>
      <c r="E163" s="731">
        <f t="shared" si="12"/>
        <v>179625</v>
      </c>
      <c r="F163" s="731">
        <f t="shared" si="13"/>
        <v>119750</v>
      </c>
      <c r="G163" s="732">
        <v>364786.78</v>
      </c>
      <c r="H163" s="645">
        <f>IFERROR(G163/(D163+E163+F163),"")</f>
        <v>0.87035318818968099</v>
      </c>
      <c r="I163" s="645">
        <f t="shared" si="16"/>
        <v>0.54379801595581123</v>
      </c>
      <c r="J163" s="1896" t="s">
        <v>1020</v>
      </c>
    </row>
    <row r="164" spans="1:10" s="737" customFormat="1">
      <c r="A164" s="734"/>
      <c r="B164" s="734"/>
      <c r="C164" s="734"/>
      <c r="D164" s="735" t="b">
        <f>SUM(D142:D158,D139:D139,D134:D136,D131:D131,D128:D128,D125:D125,D75:D122,D68:D69,D66:D66,D59:D64,D57:D57,D55:D55,D51,D45,D39,D33,D27,D21,D15,D9)=D161</f>
        <v>1</v>
      </c>
      <c r="E164" s="735" t="b">
        <f>SUM(E142:E158,E139:E139,E134:E136,E131:E131,E128:E128,E125:E125,E75:E122,E68:E69,E66:E66,E59:E64,E57:E57,E55:E55,E51,E45,E39,E33,E27,E21,E15,E9)=E161</f>
        <v>1</v>
      </c>
      <c r="F164" s="735" t="b">
        <f>SUM(F142:F158,F139:F139,F134:F136,F131:F131,F128:F128,F125:F125,F75:F122,F68:F69,F66:F66,F59:F64,F57:F57,F55:F55,F51,F45,F39,F33,F27,F21,F15,F9)=F161</f>
        <v>1</v>
      </c>
      <c r="G164" s="735" t="b">
        <f>SUM(G142:G158,G139:G139,G134:G136,G131:G131,G128:G128,G125:G125,G75:G122,G68:G69,G66:G66,G59:G64,G57:G57,G55:G55,G51,G45,G39,G33,G27,G21,G15,G9)=G161</f>
        <v>1</v>
      </c>
      <c r="H164" s="736"/>
      <c r="I164" s="736"/>
      <c r="J164" s="1889"/>
    </row>
    <row r="165" spans="1:10" s="742" customFormat="1">
      <c r="A165" s="738"/>
      <c r="B165" s="738"/>
      <c r="C165" s="738"/>
      <c r="D165" s="739"/>
      <c r="E165" s="739"/>
      <c r="F165" s="739"/>
      <c r="G165" s="740"/>
      <c r="H165" s="741"/>
      <c r="I165" s="741"/>
      <c r="J165" s="1890"/>
    </row>
    <row r="166" spans="1:10" s="742" customFormat="1">
      <c r="A166" s="738"/>
      <c r="B166" s="738"/>
      <c r="C166" s="738"/>
      <c r="D166" s="739"/>
      <c r="E166" s="739"/>
      <c r="F166" s="739"/>
      <c r="G166" s="740"/>
      <c r="H166" s="741"/>
      <c r="I166" s="741"/>
      <c r="J166" s="1890"/>
    </row>
    <row r="167" spans="1:10" s="742" customFormat="1">
      <c r="A167" s="738"/>
      <c r="B167" s="738"/>
      <c r="C167" s="738"/>
      <c r="D167" s="743"/>
      <c r="E167" s="743"/>
      <c r="F167" s="743"/>
      <c r="G167" s="740"/>
      <c r="H167" s="741"/>
      <c r="I167" s="741"/>
      <c r="J167" s="1890"/>
    </row>
    <row r="168" spans="1:10" s="742" customFormat="1">
      <c r="A168" s="738"/>
      <c r="B168" s="738"/>
      <c r="C168" s="738"/>
      <c r="D168" s="739"/>
      <c r="E168" s="739"/>
      <c r="F168" s="739"/>
      <c r="G168" s="740"/>
      <c r="H168" s="741"/>
      <c r="I168" s="741"/>
      <c r="J168" s="1890"/>
    </row>
    <row r="169" spans="1:10" s="742" customFormat="1">
      <c r="A169" s="738"/>
      <c r="B169" s="738"/>
      <c r="C169" s="738"/>
      <c r="D169" s="739"/>
      <c r="E169" s="739"/>
      <c r="F169" s="739"/>
      <c r="G169" s="740"/>
      <c r="H169" s="741"/>
      <c r="I169" s="741"/>
      <c r="J169" s="1890"/>
    </row>
    <row r="170" spans="1:10" s="742" customFormat="1">
      <c r="A170" s="738"/>
      <c r="B170" s="738"/>
      <c r="C170" s="738"/>
      <c r="D170" s="739"/>
      <c r="E170" s="739"/>
      <c r="F170" s="739"/>
      <c r="G170" s="740"/>
      <c r="H170" s="741"/>
      <c r="I170" s="741"/>
      <c r="J170" s="1890"/>
    </row>
    <row r="171" spans="1:10" s="742" customFormat="1">
      <c r="A171" s="738"/>
      <c r="B171" s="738"/>
      <c r="C171" s="738"/>
      <c r="D171" s="739"/>
      <c r="E171" s="739"/>
      <c r="F171" s="739"/>
      <c r="G171" s="740"/>
      <c r="H171" s="741"/>
      <c r="I171" s="741"/>
      <c r="J171" s="1890"/>
    </row>
    <row r="172" spans="1:10" s="742" customFormat="1">
      <c r="A172" s="738"/>
      <c r="B172" s="738"/>
      <c r="C172" s="738"/>
      <c r="D172" s="739"/>
      <c r="E172" s="739"/>
      <c r="F172" s="739"/>
      <c r="G172" s="740"/>
      <c r="H172" s="741"/>
      <c r="I172" s="741"/>
      <c r="J172" s="1890"/>
    </row>
    <row r="173" spans="1:10" s="742" customFormat="1">
      <c r="A173" s="738"/>
      <c r="B173" s="738"/>
      <c r="C173" s="738"/>
      <c r="D173" s="739"/>
      <c r="E173" s="739"/>
      <c r="F173" s="739"/>
      <c r="G173" s="740"/>
      <c r="H173" s="741"/>
      <c r="I173" s="741"/>
      <c r="J173" s="1890"/>
    </row>
  </sheetData>
  <conditionalFormatting sqref="A164:C164 H164:XFD164">
    <cfRule type="containsText" dxfId="5" priority="6" operator="containsText" text="f">
      <formula>NOT(ISERROR(SEARCH("f",A164)))</formula>
    </cfRule>
  </conditionalFormatting>
  <conditionalFormatting sqref="E164">
    <cfRule type="containsText" dxfId="4" priority="5" operator="containsText" text="f">
      <formula>NOT(ISERROR(SEARCH("f",E164)))</formula>
    </cfRule>
  </conditionalFormatting>
  <conditionalFormatting sqref="G164">
    <cfRule type="containsText" dxfId="3" priority="4" operator="containsText" text="f">
      <formula>NOT(ISERROR(SEARCH("f",G164)))</formula>
    </cfRule>
  </conditionalFormatting>
  <conditionalFormatting sqref="D164">
    <cfRule type="containsText" dxfId="2" priority="3" operator="containsText" text="f">
      <formula>NOT(ISERROR(SEARCH("f",D164)))</formula>
    </cfRule>
  </conditionalFormatting>
  <conditionalFormatting sqref="F164">
    <cfRule type="containsText" dxfId="1" priority="2" operator="containsText" text="f">
      <formula>NOT(ISERROR(SEARCH("f",F164)))</formula>
    </cfRule>
  </conditionalFormatting>
  <conditionalFormatting sqref="C1">
    <cfRule type="cellIs" dxfId="0"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138"/>
  <sheetViews>
    <sheetView topLeftCell="AB1" workbookViewId="0">
      <selection activeCell="AB1" sqref="AB1"/>
    </sheetView>
  </sheetViews>
  <sheetFormatPr defaultColWidth="16.42578125" defaultRowHeight="11.25"/>
  <cols>
    <col min="1" max="1" width="10" style="1932" customWidth="1"/>
    <col min="2" max="2" width="8" style="1932" customWidth="1"/>
    <col min="3" max="3" width="32.42578125" style="2058" customWidth="1"/>
    <col min="4" max="4" width="10.42578125" style="2058" customWidth="1"/>
    <col min="5" max="5" width="9.7109375" style="1932" customWidth="1"/>
    <col min="6" max="6" width="6.5703125" style="2372" customWidth="1"/>
    <col min="7" max="7" width="6.7109375" style="2372" customWidth="1"/>
    <col min="8" max="8" width="5.85546875" style="2372" customWidth="1"/>
    <col min="9" max="9" width="13.85546875" style="2372" customWidth="1"/>
    <col min="10" max="10" width="13.28515625" style="2058" customWidth="1"/>
    <col min="11" max="11" width="5" style="1932" customWidth="1"/>
    <col min="12" max="12" width="5.140625" style="1932" customWidth="1"/>
    <col min="13" max="13" width="5.7109375" style="1932" customWidth="1"/>
    <col min="14" max="14" width="17.5703125" style="2058" customWidth="1"/>
    <col min="15" max="15" width="13.140625" style="2374" customWidth="1"/>
    <col min="16" max="16" width="11" style="2436" customWidth="1"/>
    <col min="17" max="17" width="8.85546875" style="2377" hidden="1" customWidth="1"/>
    <col min="18" max="18" width="13.28515625" style="2058" customWidth="1"/>
    <col min="19" max="19" width="4.140625" style="2437" customWidth="1"/>
    <col min="20" max="20" width="7.7109375" style="2372" customWidth="1"/>
    <col min="21" max="21" width="12.140625" style="2372" customWidth="1"/>
    <col min="22" max="22" width="12" style="2372" customWidth="1"/>
    <col min="23" max="23" width="13.5703125" style="2372" customWidth="1"/>
    <col min="24" max="24" width="6.140625" style="2381" customWidth="1"/>
    <col min="25" max="25" width="9" style="2381" customWidth="1"/>
    <col min="26" max="26" width="13.42578125" style="2381" customWidth="1"/>
    <col min="27" max="27" width="16.42578125" style="2058" customWidth="1"/>
    <col min="28" max="28" width="14.42578125" style="2374" customWidth="1"/>
    <col min="29" max="29" width="11.42578125" style="2436" customWidth="1"/>
    <col min="30" max="30" width="13.7109375" style="2441" hidden="1" customWidth="1"/>
    <col min="31" max="31" width="9.42578125" style="2058" customWidth="1"/>
    <col min="32" max="32" width="13" style="2058" customWidth="1"/>
    <col min="33" max="33" width="14.5703125" style="2058" customWidth="1"/>
    <col min="34" max="34" width="8.140625" style="1932" customWidth="1"/>
    <col min="35" max="35" width="13.28515625" style="1932" customWidth="1"/>
    <col min="36" max="36" width="13.28515625" style="1933" customWidth="1"/>
    <col min="37" max="37" width="13.5703125" style="1934" customWidth="1"/>
    <col min="38" max="38" width="47.28515625" style="1932" customWidth="1"/>
    <col min="39" max="39" width="45.5703125" style="1935" customWidth="1"/>
    <col min="40" max="265" width="16.42578125" style="1932"/>
    <col min="266" max="266" width="10.140625" style="1932" customWidth="1"/>
    <col min="267" max="267" width="39" style="1932" customWidth="1"/>
    <col min="268" max="268" width="27.5703125" style="1932" customWidth="1"/>
    <col min="269" max="269" width="10" style="1932" customWidth="1"/>
    <col min="270" max="270" width="6.5703125" style="1932" customWidth="1"/>
    <col min="271" max="271" width="7.42578125" style="1932" customWidth="1"/>
    <col min="272" max="272" width="8.42578125" style="1932" customWidth="1"/>
    <col min="273" max="273" width="15.7109375" style="1932" customWidth="1"/>
    <col min="274" max="274" width="8.28515625" style="1932" customWidth="1"/>
    <col min="275" max="275" width="14.28515625" style="1932" customWidth="1"/>
    <col min="276" max="276" width="10.85546875" style="1932" bestFit="1" customWidth="1"/>
    <col min="277" max="277" width="12.28515625" style="1932" customWidth="1"/>
    <col min="278" max="278" width="11.85546875" style="1932" customWidth="1"/>
    <col min="279" max="279" width="14" style="1932" customWidth="1"/>
    <col min="280" max="280" width="12.85546875" style="1932" customWidth="1"/>
    <col min="281" max="281" width="12.7109375" style="1932" customWidth="1"/>
    <col min="282" max="282" width="15" style="1932" customWidth="1"/>
    <col min="283" max="283" width="10.85546875" style="1932" customWidth="1"/>
    <col min="284" max="284" width="17.42578125" style="1932" customWidth="1"/>
    <col min="285" max="285" width="49.28515625" style="1932" customWidth="1"/>
    <col min="286" max="521" width="16.42578125" style="1932"/>
    <col min="522" max="522" width="10.140625" style="1932" customWidth="1"/>
    <col min="523" max="523" width="39" style="1932" customWidth="1"/>
    <col min="524" max="524" width="27.5703125" style="1932" customWidth="1"/>
    <col min="525" max="525" width="10" style="1932" customWidth="1"/>
    <col min="526" max="526" width="6.5703125" style="1932" customWidth="1"/>
    <col min="527" max="527" width="7.42578125" style="1932" customWidth="1"/>
    <col min="528" max="528" width="8.42578125" style="1932" customWidth="1"/>
    <col min="529" max="529" width="15.7109375" style="1932" customWidth="1"/>
    <col min="530" max="530" width="8.28515625" style="1932" customWidth="1"/>
    <col min="531" max="531" width="14.28515625" style="1932" customWidth="1"/>
    <col min="532" max="532" width="10.85546875" style="1932" bestFit="1" customWidth="1"/>
    <col min="533" max="533" width="12.28515625" style="1932" customWidth="1"/>
    <col min="534" max="534" width="11.85546875" style="1932" customWidth="1"/>
    <col min="535" max="535" width="14" style="1932" customWidth="1"/>
    <col min="536" max="536" width="12.85546875" style="1932" customWidth="1"/>
    <col min="537" max="537" width="12.7109375" style="1932" customWidth="1"/>
    <col min="538" max="538" width="15" style="1932" customWidth="1"/>
    <col min="539" max="539" width="10.85546875" style="1932" customWidth="1"/>
    <col min="540" max="540" width="17.42578125" style="1932" customWidth="1"/>
    <col min="541" max="541" width="49.28515625" style="1932" customWidth="1"/>
    <col min="542" max="777" width="16.42578125" style="1932"/>
    <col min="778" max="778" width="10.140625" style="1932" customWidth="1"/>
    <col min="779" max="779" width="39" style="1932" customWidth="1"/>
    <col min="780" max="780" width="27.5703125" style="1932" customWidth="1"/>
    <col min="781" max="781" width="10" style="1932" customWidth="1"/>
    <col min="782" max="782" width="6.5703125" style="1932" customWidth="1"/>
    <col min="783" max="783" width="7.42578125" style="1932" customWidth="1"/>
    <col min="784" max="784" width="8.42578125" style="1932" customWidth="1"/>
    <col min="785" max="785" width="15.7109375" style="1932" customWidth="1"/>
    <col min="786" max="786" width="8.28515625" style="1932" customWidth="1"/>
    <col min="787" max="787" width="14.28515625" style="1932" customWidth="1"/>
    <col min="788" max="788" width="10.85546875" style="1932" bestFit="1" customWidth="1"/>
    <col min="789" max="789" width="12.28515625" style="1932" customWidth="1"/>
    <col min="790" max="790" width="11.85546875" style="1932" customWidth="1"/>
    <col min="791" max="791" width="14" style="1932" customWidth="1"/>
    <col min="792" max="792" width="12.85546875" style="1932" customWidth="1"/>
    <col min="793" max="793" width="12.7109375" style="1932" customWidth="1"/>
    <col min="794" max="794" width="15" style="1932" customWidth="1"/>
    <col min="795" max="795" width="10.85546875" style="1932" customWidth="1"/>
    <col min="796" max="796" width="17.42578125" style="1932" customWidth="1"/>
    <col min="797" max="797" width="49.28515625" style="1932" customWidth="1"/>
    <col min="798" max="1033" width="16.42578125" style="1932"/>
    <col min="1034" max="1034" width="10.140625" style="1932" customWidth="1"/>
    <col min="1035" max="1035" width="39" style="1932" customWidth="1"/>
    <col min="1036" max="1036" width="27.5703125" style="1932" customWidth="1"/>
    <col min="1037" max="1037" width="10" style="1932" customWidth="1"/>
    <col min="1038" max="1038" width="6.5703125" style="1932" customWidth="1"/>
    <col min="1039" max="1039" width="7.42578125" style="1932" customWidth="1"/>
    <col min="1040" max="1040" width="8.42578125" style="1932" customWidth="1"/>
    <col min="1041" max="1041" width="15.7109375" style="1932" customWidth="1"/>
    <col min="1042" max="1042" width="8.28515625" style="1932" customWidth="1"/>
    <col min="1043" max="1043" width="14.28515625" style="1932" customWidth="1"/>
    <col min="1044" max="1044" width="10.85546875" style="1932" bestFit="1" customWidth="1"/>
    <col min="1045" max="1045" width="12.28515625" style="1932" customWidth="1"/>
    <col min="1046" max="1046" width="11.85546875" style="1932" customWidth="1"/>
    <col min="1047" max="1047" width="14" style="1932" customWidth="1"/>
    <col min="1048" max="1048" width="12.85546875" style="1932" customWidth="1"/>
    <col min="1049" max="1049" width="12.7109375" style="1932" customWidth="1"/>
    <col min="1050" max="1050" width="15" style="1932" customWidth="1"/>
    <col min="1051" max="1051" width="10.85546875" style="1932" customWidth="1"/>
    <col min="1052" max="1052" width="17.42578125" style="1932" customWidth="1"/>
    <col min="1053" max="1053" width="49.28515625" style="1932" customWidth="1"/>
    <col min="1054" max="1289" width="16.42578125" style="1932"/>
    <col min="1290" max="1290" width="10.140625" style="1932" customWidth="1"/>
    <col min="1291" max="1291" width="39" style="1932" customWidth="1"/>
    <col min="1292" max="1292" width="27.5703125" style="1932" customWidth="1"/>
    <col min="1293" max="1293" width="10" style="1932" customWidth="1"/>
    <col min="1294" max="1294" width="6.5703125" style="1932" customWidth="1"/>
    <col min="1295" max="1295" width="7.42578125" style="1932" customWidth="1"/>
    <col min="1296" max="1296" width="8.42578125" style="1932" customWidth="1"/>
    <col min="1297" max="1297" width="15.7109375" style="1932" customWidth="1"/>
    <col min="1298" max="1298" width="8.28515625" style="1932" customWidth="1"/>
    <col min="1299" max="1299" width="14.28515625" style="1932" customWidth="1"/>
    <col min="1300" max="1300" width="10.85546875" style="1932" bestFit="1" customWidth="1"/>
    <col min="1301" max="1301" width="12.28515625" style="1932" customWidth="1"/>
    <col min="1302" max="1302" width="11.85546875" style="1932" customWidth="1"/>
    <col min="1303" max="1303" width="14" style="1932" customWidth="1"/>
    <col min="1304" max="1304" width="12.85546875" style="1932" customWidth="1"/>
    <col min="1305" max="1305" width="12.7109375" style="1932" customWidth="1"/>
    <col min="1306" max="1306" width="15" style="1932" customWidth="1"/>
    <col min="1307" max="1307" width="10.85546875" style="1932" customWidth="1"/>
    <col min="1308" max="1308" width="17.42578125" style="1932" customWidth="1"/>
    <col min="1309" max="1309" width="49.28515625" style="1932" customWidth="1"/>
    <col min="1310" max="1545" width="16.42578125" style="1932"/>
    <col min="1546" max="1546" width="10.140625" style="1932" customWidth="1"/>
    <col min="1547" max="1547" width="39" style="1932" customWidth="1"/>
    <col min="1548" max="1548" width="27.5703125" style="1932" customWidth="1"/>
    <col min="1549" max="1549" width="10" style="1932" customWidth="1"/>
    <col min="1550" max="1550" width="6.5703125" style="1932" customWidth="1"/>
    <col min="1551" max="1551" width="7.42578125" style="1932" customWidth="1"/>
    <col min="1552" max="1552" width="8.42578125" style="1932" customWidth="1"/>
    <col min="1553" max="1553" width="15.7109375" style="1932" customWidth="1"/>
    <col min="1554" max="1554" width="8.28515625" style="1932" customWidth="1"/>
    <col min="1555" max="1555" width="14.28515625" style="1932" customWidth="1"/>
    <col min="1556" max="1556" width="10.85546875" style="1932" bestFit="1" customWidth="1"/>
    <col min="1557" max="1557" width="12.28515625" style="1932" customWidth="1"/>
    <col min="1558" max="1558" width="11.85546875" style="1932" customWidth="1"/>
    <col min="1559" max="1559" width="14" style="1932" customWidth="1"/>
    <col min="1560" max="1560" width="12.85546875" style="1932" customWidth="1"/>
    <col min="1561" max="1561" width="12.7109375" style="1932" customWidth="1"/>
    <col min="1562" max="1562" width="15" style="1932" customWidth="1"/>
    <col min="1563" max="1563" width="10.85546875" style="1932" customWidth="1"/>
    <col min="1564" max="1564" width="17.42578125" style="1932" customWidth="1"/>
    <col min="1565" max="1565" width="49.28515625" style="1932" customWidth="1"/>
    <col min="1566" max="1801" width="16.42578125" style="1932"/>
    <col min="1802" max="1802" width="10.140625" style="1932" customWidth="1"/>
    <col min="1803" max="1803" width="39" style="1932" customWidth="1"/>
    <col min="1804" max="1804" width="27.5703125" style="1932" customWidth="1"/>
    <col min="1805" max="1805" width="10" style="1932" customWidth="1"/>
    <col min="1806" max="1806" width="6.5703125" style="1932" customWidth="1"/>
    <col min="1807" max="1807" width="7.42578125" style="1932" customWidth="1"/>
    <col min="1808" max="1808" width="8.42578125" style="1932" customWidth="1"/>
    <col min="1809" max="1809" width="15.7109375" style="1932" customWidth="1"/>
    <col min="1810" max="1810" width="8.28515625" style="1932" customWidth="1"/>
    <col min="1811" max="1811" width="14.28515625" style="1932" customWidth="1"/>
    <col min="1812" max="1812" width="10.85546875" style="1932" bestFit="1" customWidth="1"/>
    <col min="1813" max="1813" width="12.28515625" style="1932" customWidth="1"/>
    <col min="1814" max="1814" width="11.85546875" style="1932" customWidth="1"/>
    <col min="1815" max="1815" width="14" style="1932" customWidth="1"/>
    <col min="1816" max="1816" width="12.85546875" style="1932" customWidth="1"/>
    <col min="1817" max="1817" width="12.7109375" style="1932" customWidth="1"/>
    <col min="1818" max="1818" width="15" style="1932" customWidth="1"/>
    <col min="1819" max="1819" width="10.85546875" style="1932" customWidth="1"/>
    <col min="1820" max="1820" width="17.42578125" style="1932" customWidth="1"/>
    <col min="1821" max="1821" width="49.28515625" style="1932" customWidth="1"/>
    <col min="1822" max="2057" width="16.42578125" style="1932"/>
    <col min="2058" max="2058" width="10.140625" style="1932" customWidth="1"/>
    <col min="2059" max="2059" width="39" style="1932" customWidth="1"/>
    <col min="2060" max="2060" width="27.5703125" style="1932" customWidth="1"/>
    <col min="2061" max="2061" width="10" style="1932" customWidth="1"/>
    <col min="2062" max="2062" width="6.5703125" style="1932" customWidth="1"/>
    <col min="2063" max="2063" width="7.42578125" style="1932" customWidth="1"/>
    <col min="2064" max="2064" width="8.42578125" style="1932" customWidth="1"/>
    <col min="2065" max="2065" width="15.7109375" style="1932" customWidth="1"/>
    <col min="2066" max="2066" width="8.28515625" style="1932" customWidth="1"/>
    <col min="2067" max="2067" width="14.28515625" style="1932" customWidth="1"/>
    <col min="2068" max="2068" width="10.85546875" style="1932" bestFit="1" customWidth="1"/>
    <col min="2069" max="2069" width="12.28515625" style="1932" customWidth="1"/>
    <col min="2070" max="2070" width="11.85546875" style="1932" customWidth="1"/>
    <col min="2071" max="2071" width="14" style="1932" customWidth="1"/>
    <col min="2072" max="2072" width="12.85546875" style="1932" customWidth="1"/>
    <col min="2073" max="2073" width="12.7109375" style="1932" customWidth="1"/>
    <col min="2074" max="2074" width="15" style="1932" customWidth="1"/>
    <col min="2075" max="2075" width="10.85546875" style="1932" customWidth="1"/>
    <col min="2076" max="2076" width="17.42578125" style="1932" customWidth="1"/>
    <col min="2077" max="2077" width="49.28515625" style="1932" customWidth="1"/>
    <col min="2078" max="2313" width="16.42578125" style="1932"/>
    <col min="2314" max="2314" width="10.140625" style="1932" customWidth="1"/>
    <col min="2315" max="2315" width="39" style="1932" customWidth="1"/>
    <col min="2316" max="2316" width="27.5703125" style="1932" customWidth="1"/>
    <col min="2317" max="2317" width="10" style="1932" customWidth="1"/>
    <col min="2318" max="2318" width="6.5703125" style="1932" customWidth="1"/>
    <col min="2319" max="2319" width="7.42578125" style="1932" customWidth="1"/>
    <col min="2320" max="2320" width="8.42578125" style="1932" customWidth="1"/>
    <col min="2321" max="2321" width="15.7109375" style="1932" customWidth="1"/>
    <col min="2322" max="2322" width="8.28515625" style="1932" customWidth="1"/>
    <col min="2323" max="2323" width="14.28515625" style="1932" customWidth="1"/>
    <col min="2324" max="2324" width="10.85546875" style="1932" bestFit="1" customWidth="1"/>
    <col min="2325" max="2325" width="12.28515625" style="1932" customWidth="1"/>
    <col min="2326" max="2326" width="11.85546875" style="1932" customWidth="1"/>
    <col min="2327" max="2327" width="14" style="1932" customWidth="1"/>
    <col min="2328" max="2328" width="12.85546875" style="1932" customWidth="1"/>
    <col min="2329" max="2329" width="12.7109375" style="1932" customWidth="1"/>
    <col min="2330" max="2330" width="15" style="1932" customWidth="1"/>
    <col min="2331" max="2331" width="10.85546875" style="1932" customWidth="1"/>
    <col min="2332" max="2332" width="17.42578125" style="1932" customWidth="1"/>
    <col min="2333" max="2333" width="49.28515625" style="1932" customWidth="1"/>
    <col min="2334" max="2569" width="16.42578125" style="1932"/>
    <col min="2570" max="2570" width="10.140625" style="1932" customWidth="1"/>
    <col min="2571" max="2571" width="39" style="1932" customWidth="1"/>
    <col min="2572" max="2572" width="27.5703125" style="1932" customWidth="1"/>
    <col min="2573" max="2573" width="10" style="1932" customWidth="1"/>
    <col min="2574" max="2574" width="6.5703125" style="1932" customWidth="1"/>
    <col min="2575" max="2575" width="7.42578125" style="1932" customWidth="1"/>
    <col min="2576" max="2576" width="8.42578125" style="1932" customWidth="1"/>
    <col min="2577" max="2577" width="15.7109375" style="1932" customWidth="1"/>
    <col min="2578" max="2578" width="8.28515625" style="1932" customWidth="1"/>
    <col min="2579" max="2579" width="14.28515625" style="1932" customWidth="1"/>
    <col min="2580" max="2580" width="10.85546875" style="1932" bestFit="1" customWidth="1"/>
    <col min="2581" max="2581" width="12.28515625" style="1932" customWidth="1"/>
    <col min="2582" max="2582" width="11.85546875" style="1932" customWidth="1"/>
    <col min="2583" max="2583" width="14" style="1932" customWidth="1"/>
    <col min="2584" max="2584" width="12.85546875" style="1932" customWidth="1"/>
    <col min="2585" max="2585" width="12.7109375" style="1932" customWidth="1"/>
    <col min="2586" max="2586" width="15" style="1932" customWidth="1"/>
    <col min="2587" max="2587" width="10.85546875" style="1932" customWidth="1"/>
    <col min="2588" max="2588" width="17.42578125" style="1932" customWidth="1"/>
    <col min="2589" max="2589" width="49.28515625" style="1932" customWidth="1"/>
    <col min="2590" max="2825" width="16.42578125" style="1932"/>
    <col min="2826" max="2826" width="10.140625" style="1932" customWidth="1"/>
    <col min="2827" max="2827" width="39" style="1932" customWidth="1"/>
    <col min="2828" max="2828" width="27.5703125" style="1932" customWidth="1"/>
    <col min="2829" max="2829" width="10" style="1932" customWidth="1"/>
    <col min="2830" max="2830" width="6.5703125" style="1932" customWidth="1"/>
    <col min="2831" max="2831" width="7.42578125" style="1932" customWidth="1"/>
    <col min="2832" max="2832" width="8.42578125" style="1932" customWidth="1"/>
    <col min="2833" max="2833" width="15.7109375" style="1932" customWidth="1"/>
    <col min="2834" max="2834" width="8.28515625" style="1932" customWidth="1"/>
    <col min="2835" max="2835" width="14.28515625" style="1932" customWidth="1"/>
    <col min="2836" max="2836" width="10.85546875" style="1932" bestFit="1" customWidth="1"/>
    <col min="2837" max="2837" width="12.28515625" style="1932" customWidth="1"/>
    <col min="2838" max="2838" width="11.85546875" style="1932" customWidth="1"/>
    <col min="2839" max="2839" width="14" style="1932" customWidth="1"/>
    <col min="2840" max="2840" width="12.85546875" style="1932" customWidth="1"/>
    <col min="2841" max="2841" width="12.7109375" style="1932" customWidth="1"/>
    <col min="2842" max="2842" width="15" style="1932" customWidth="1"/>
    <col min="2843" max="2843" width="10.85546875" style="1932" customWidth="1"/>
    <col min="2844" max="2844" width="17.42578125" style="1932" customWidth="1"/>
    <col min="2845" max="2845" width="49.28515625" style="1932" customWidth="1"/>
    <col min="2846" max="3081" width="16.42578125" style="1932"/>
    <col min="3082" max="3082" width="10.140625" style="1932" customWidth="1"/>
    <col min="3083" max="3083" width="39" style="1932" customWidth="1"/>
    <col min="3084" max="3084" width="27.5703125" style="1932" customWidth="1"/>
    <col min="3085" max="3085" width="10" style="1932" customWidth="1"/>
    <col min="3086" max="3086" width="6.5703125" style="1932" customWidth="1"/>
    <col min="3087" max="3087" width="7.42578125" style="1932" customWidth="1"/>
    <col min="3088" max="3088" width="8.42578125" style="1932" customWidth="1"/>
    <col min="3089" max="3089" width="15.7109375" style="1932" customWidth="1"/>
    <col min="3090" max="3090" width="8.28515625" style="1932" customWidth="1"/>
    <col min="3091" max="3091" width="14.28515625" style="1932" customWidth="1"/>
    <col min="3092" max="3092" width="10.85546875" style="1932" bestFit="1" customWidth="1"/>
    <col min="3093" max="3093" width="12.28515625" style="1932" customWidth="1"/>
    <col min="3094" max="3094" width="11.85546875" style="1932" customWidth="1"/>
    <col min="3095" max="3095" width="14" style="1932" customWidth="1"/>
    <col min="3096" max="3096" width="12.85546875" style="1932" customWidth="1"/>
    <col min="3097" max="3097" width="12.7109375" style="1932" customWidth="1"/>
    <col min="3098" max="3098" width="15" style="1932" customWidth="1"/>
    <col min="3099" max="3099" width="10.85546875" style="1932" customWidth="1"/>
    <col min="3100" max="3100" width="17.42578125" style="1932" customWidth="1"/>
    <col min="3101" max="3101" width="49.28515625" style="1932" customWidth="1"/>
    <col min="3102" max="3337" width="16.42578125" style="1932"/>
    <col min="3338" max="3338" width="10.140625" style="1932" customWidth="1"/>
    <col min="3339" max="3339" width="39" style="1932" customWidth="1"/>
    <col min="3340" max="3340" width="27.5703125" style="1932" customWidth="1"/>
    <col min="3341" max="3341" width="10" style="1932" customWidth="1"/>
    <col min="3342" max="3342" width="6.5703125" style="1932" customWidth="1"/>
    <col min="3343" max="3343" width="7.42578125" style="1932" customWidth="1"/>
    <col min="3344" max="3344" width="8.42578125" style="1932" customWidth="1"/>
    <col min="3345" max="3345" width="15.7109375" style="1932" customWidth="1"/>
    <col min="3346" max="3346" width="8.28515625" style="1932" customWidth="1"/>
    <col min="3347" max="3347" width="14.28515625" style="1932" customWidth="1"/>
    <col min="3348" max="3348" width="10.85546875" style="1932" bestFit="1" customWidth="1"/>
    <col min="3349" max="3349" width="12.28515625" style="1932" customWidth="1"/>
    <col min="3350" max="3350" width="11.85546875" style="1932" customWidth="1"/>
    <col min="3351" max="3351" width="14" style="1932" customWidth="1"/>
    <col min="3352" max="3352" width="12.85546875" style="1932" customWidth="1"/>
    <col min="3353" max="3353" width="12.7109375" style="1932" customWidth="1"/>
    <col min="3354" max="3354" width="15" style="1932" customWidth="1"/>
    <col min="3355" max="3355" width="10.85546875" style="1932" customWidth="1"/>
    <col min="3356" max="3356" width="17.42578125" style="1932" customWidth="1"/>
    <col min="3357" max="3357" width="49.28515625" style="1932" customWidth="1"/>
    <col min="3358" max="3593" width="16.42578125" style="1932"/>
    <col min="3594" max="3594" width="10.140625" style="1932" customWidth="1"/>
    <col min="3595" max="3595" width="39" style="1932" customWidth="1"/>
    <col min="3596" max="3596" width="27.5703125" style="1932" customWidth="1"/>
    <col min="3597" max="3597" width="10" style="1932" customWidth="1"/>
    <col min="3598" max="3598" width="6.5703125" style="1932" customWidth="1"/>
    <col min="3599" max="3599" width="7.42578125" style="1932" customWidth="1"/>
    <col min="3600" max="3600" width="8.42578125" style="1932" customWidth="1"/>
    <col min="3601" max="3601" width="15.7109375" style="1932" customWidth="1"/>
    <col min="3602" max="3602" width="8.28515625" style="1932" customWidth="1"/>
    <col min="3603" max="3603" width="14.28515625" style="1932" customWidth="1"/>
    <col min="3604" max="3604" width="10.85546875" style="1932" bestFit="1" customWidth="1"/>
    <col min="3605" max="3605" width="12.28515625" style="1932" customWidth="1"/>
    <col min="3606" max="3606" width="11.85546875" style="1932" customWidth="1"/>
    <col min="3607" max="3607" width="14" style="1932" customWidth="1"/>
    <col min="3608" max="3608" width="12.85546875" style="1932" customWidth="1"/>
    <col min="3609" max="3609" width="12.7109375" style="1932" customWidth="1"/>
    <col min="3610" max="3610" width="15" style="1932" customWidth="1"/>
    <col min="3611" max="3611" width="10.85546875" style="1932" customWidth="1"/>
    <col min="3612" max="3612" width="17.42578125" style="1932" customWidth="1"/>
    <col min="3613" max="3613" width="49.28515625" style="1932" customWidth="1"/>
    <col min="3614" max="3849" width="16.42578125" style="1932"/>
    <col min="3850" max="3850" width="10.140625" style="1932" customWidth="1"/>
    <col min="3851" max="3851" width="39" style="1932" customWidth="1"/>
    <col min="3852" max="3852" width="27.5703125" style="1932" customWidth="1"/>
    <col min="3853" max="3853" width="10" style="1932" customWidth="1"/>
    <col min="3854" max="3854" width="6.5703125" style="1932" customWidth="1"/>
    <col min="3855" max="3855" width="7.42578125" style="1932" customWidth="1"/>
    <col min="3856" max="3856" width="8.42578125" style="1932" customWidth="1"/>
    <col min="3857" max="3857" width="15.7109375" style="1932" customWidth="1"/>
    <col min="3858" max="3858" width="8.28515625" style="1932" customWidth="1"/>
    <col min="3859" max="3859" width="14.28515625" style="1932" customWidth="1"/>
    <col min="3860" max="3860" width="10.85546875" style="1932" bestFit="1" customWidth="1"/>
    <col min="3861" max="3861" width="12.28515625" style="1932" customWidth="1"/>
    <col min="3862" max="3862" width="11.85546875" style="1932" customWidth="1"/>
    <col min="3863" max="3863" width="14" style="1932" customWidth="1"/>
    <col min="3864" max="3864" width="12.85546875" style="1932" customWidth="1"/>
    <col min="3865" max="3865" width="12.7109375" style="1932" customWidth="1"/>
    <col min="3866" max="3866" width="15" style="1932" customWidth="1"/>
    <col min="3867" max="3867" width="10.85546875" style="1932" customWidth="1"/>
    <col min="3868" max="3868" width="17.42578125" style="1932" customWidth="1"/>
    <col min="3869" max="3869" width="49.28515625" style="1932" customWidth="1"/>
    <col min="3870" max="4105" width="16.42578125" style="1932"/>
    <col min="4106" max="4106" width="10.140625" style="1932" customWidth="1"/>
    <col min="4107" max="4107" width="39" style="1932" customWidth="1"/>
    <col min="4108" max="4108" width="27.5703125" style="1932" customWidth="1"/>
    <col min="4109" max="4109" width="10" style="1932" customWidth="1"/>
    <col min="4110" max="4110" width="6.5703125" style="1932" customWidth="1"/>
    <col min="4111" max="4111" width="7.42578125" style="1932" customWidth="1"/>
    <col min="4112" max="4112" width="8.42578125" style="1932" customWidth="1"/>
    <col min="4113" max="4113" width="15.7109375" style="1932" customWidth="1"/>
    <col min="4114" max="4114" width="8.28515625" style="1932" customWidth="1"/>
    <col min="4115" max="4115" width="14.28515625" style="1932" customWidth="1"/>
    <col min="4116" max="4116" width="10.85546875" style="1932" bestFit="1" customWidth="1"/>
    <col min="4117" max="4117" width="12.28515625" style="1932" customWidth="1"/>
    <col min="4118" max="4118" width="11.85546875" style="1932" customWidth="1"/>
    <col min="4119" max="4119" width="14" style="1932" customWidth="1"/>
    <col min="4120" max="4120" width="12.85546875" style="1932" customWidth="1"/>
    <col min="4121" max="4121" width="12.7109375" style="1932" customWidth="1"/>
    <col min="4122" max="4122" width="15" style="1932" customWidth="1"/>
    <col min="4123" max="4123" width="10.85546875" style="1932" customWidth="1"/>
    <col min="4124" max="4124" width="17.42578125" style="1932" customWidth="1"/>
    <col min="4125" max="4125" width="49.28515625" style="1932" customWidth="1"/>
    <col min="4126" max="4361" width="16.42578125" style="1932"/>
    <col min="4362" max="4362" width="10.140625" style="1932" customWidth="1"/>
    <col min="4363" max="4363" width="39" style="1932" customWidth="1"/>
    <col min="4364" max="4364" width="27.5703125" style="1932" customWidth="1"/>
    <col min="4365" max="4365" width="10" style="1932" customWidth="1"/>
    <col min="4366" max="4366" width="6.5703125" style="1932" customWidth="1"/>
    <col min="4367" max="4367" width="7.42578125" style="1932" customWidth="1"/>
    <col min="4368" max="4368" width="8.42578125" style="1932" customWidth="1"/>
    <col min="4369" max="4369" width="15.7109375" style="1932" customWidth="1"/>
    <col min="4370" max="4370" width="8.28515625" style="1932" customWidth="1"/>
    <col min="4371" max="4371" width="14.28515625" style="1932" customWidth="1"/>
    <col min="4372" max="4372" width="10.85546875" style="1932" bestFit="1" customWidth="1"/>
    <col min="4373" max="4373" width="12.28515625" style="1932" customWidth="1"/>
    <col min="4374" max="4374" width="11.85546875" style="1932" customWidth="1"/>
    <col min="4375" max="4375" width="14" style="1932" customWidth="1"/>
    <col min="4376" max="4376" width="12.85546875" style="1932" customWidth="1"/>
    <col min="4377" max="4377" width="12.7109375" style="1932" customWidth="1"/>
    <col min="4378" max="4378" width="15" style="1932" customWidth="1"/>
    <col min="4379" max="4379" width="10.85546875" style="1932" customWidth="1"/>
    <col min="4380" max="4380" width="17.42578125" style="1932" customWidth="1"/>
    <col min="4381" max="4381" width="49.28515625" style="1932" customWidth="1"/>
    <col min="4382" max="4617" width="16.42578125" style="1932"/>
    <col min="4618" max="4618" width="10.140625" style="1932" customWidth="1"/>
    <col min="4619" max="4619" width="39" style="1932" customWidth="1"/>
    <col min="4620" max="4620" width="27.5703125" style="1932" customWidth="1"/>
    <col min="4621" max="4621" width="10" style="1932" customWidth="1"/>
    <col min="4622" max="4622" width="6.5703125" style="1932" customWidth="1"/>
    <col min="4623" max="4623" width="7.42578125" style="1932" customWidth="1"/>
    <col min="4624" max="4624" width="8.42578125" style="1932" customWidth="1"/>
    <col min="4625" max="4625" width="15.7109375" style="1932" customWidth="1"/>
    <col min="4626" max="4626" width="8.28515625" style="1932" customWidth="1"/>
    <col min="4627" max="4627" width="14.28515625" style="1932" customWidth="1"/>
    <col min="4628" max="4628" width="10.85546875" style="1932" bestFit="1" customWidth="1"/>
    <col min="4629" max="4629" width="12.28515625" style="1932" customWidth="1"/>
    <col min="4630" max="4630" width="11.85546875" style="1932" customWidth="1"/>
    <col min="4631" max="4631" width="14" style="1932" customWidth="1"/>
    <col min="4632" max="4632" width="12.85546875" style="1932" customWidth="1"/>
    <col min="4633" max="4633" width="12.7109375" style="1932" customWidth="1"/>
    <col min="4634" max="4634" width="15" style="1932" customWidth="1"/>
    <col min="4635" max="4635" width="10.85546875" style="1932" customWidth="1"/>
    <col min="4636" max="4636" width="17.42578125" style="1932" customWidth="1"/>
    <col min="4637" max="4637" width="49.28515625" style="1932" customWidth="1"/>
    <col min="4638" max="4873" width="16.42578125" style="1932"/>
    <col min="4874" max="4874" width="10.140625" style="1932" customWidth="1"/>
    <col min="4875" max="4875" width="39" style="1932" customWidth="1"/>
    <col min="4876" max="4876" width="27.5703125" style="1932" customWidth="1"/>
    <col min="4877" max="4877" width="10" style="1932" customWidth="1"/>
    <col min="4878" max="4878" width="6.5703125" style="1932" customWidth="1"/>
    <col min="4879" max="4879" width="7.42578125" style="1932" customWidth="1"/>
    <col min="4880" max="4880" width="8.42578125" style="1932" customWidth="1"/>
    <col min="4881" max="4881" width="15.7109375" style="1932" customWidth="1"/>
    <col min="4882" max="4882" width="8.28515625" style="1932" customWidth="1"/>
    <col min="4883" max="4883" width="14.28515625" style="1932" customWidth="1"/>
    <col min="4884" max="4884" width="10.85546875" style="1932" bestFit="1" customWidth="1"/>
    <col min="4885" max="4885" width="12.28515625" style="1932" customWidth="1"/>
    <col min="4886" max="4886" width="11.85546875" style="1932" customWidth="1"/>
    <col min="4887" max="4887" width="14" style="1932" customWidth="1"/>
    <col min="4888" max="4888" width="12.85546875" style="1932" customWidth="1"/>
    <col min="4889" max="4889" width="12.7109375" style="1932" customWidth="1"/>
    <col min="4890" max="4890" width="15" style="1932" customWidth="1"/>
    <col min="4891" max="4891" width="10.85546875" style="1932" customWidth="1"/>
    <col min="4892" max="4892" width="17.42578125" style="1932" customWidth="1"/>
    <col min="4893" max="4893" width="49.28515625" style="1932" customWidth="1"/>
    <col min="4894" max="5129" width="16.42578125" style="1932"/>
    <col min="5130" max="5130" width="10.140625" style="1932" customWidth="1"/>
    <col min="5131" max="5131" width="39" style="1932" customWidth="1"/>
    <col min="5132" max="5132" width="27.5703125" style="1932" customWidth="1"/>
    <col min="5133" max="5133" width="10" style="1932" customWidth="1"/>
    <col min="5134" max="5134" width="6.5703125" style="1932" customWidth="1"/>
    <col min="5135" max="5135" width="7.42578125" style="1932" customWidth="1"/>
    <col min="5136" max="5136" width="8.42578125" style="1932" customWidth="1"/>
    <col min="5137" max="5137" width="15.7109375" style="1932" customWidth="1"/>
    <col min="5138" max="5138" width="8.28515625" style="1932" customWidth="1"/>
    <col min="5139" max="5139" width="14.28515625" style="1932" customWidth="1"/>
    <col min="5140" max="5140" width="10.85546875" style="1932" bestFit="1" customWidth="1"/>
    <col min="5141" max="5141" width="12.28515625" style="1932" customWidth="1"/>
    <col min="5142" max="5142" width="11.85546875" style="1932" customWidth="1"/>
    <col min="5143" max="5143" width="14" style="1932" customWidth="1"/>
    <col min="5144" max="5144" width="12.85546875" style="1932" customWidth="1"/>
    <col min="5145" max="5145" width="12.7109375" style="1932" customWidth="1"/>
    <col min="5146" max="5146" width="15" style="1932" customWidth="1"/>
    <col min="5147" max="5147" width="10.85546875" style="1932" customWidth="1"/>
    <col min="5148" max="5148" width="17.42578125" style="1932" customWidth="1"/>
    <col min="5149" max="5149" width="49.28515625" style="1932" customWidth="1"/>
    <col min="5150" max="5385" width="16.42578125" style="1932"/>
    <col min="5386" max="5386" width="10.140625" style="1932" customWidth="1"/>
    <col min="5387" max="5387" width="39" style="1932" customWidth="1"/>
    <col min="5388" max="5388" width="27.5703125" style="1932" customWidth="1"/>
    <col min="5389" max="5389" width="10" style="1932" customWidth="1"/>
    <col min="5390" max="5390" width="6.5703125" style="1932" customWidth="1"/>
    <col min="5391" max="5391" width="7.42578125" style="1932" customWidth="1"/>
    <col min="5392" max="5392" width="8.42578125" style="1932" customWidth="1"/>
    <col min="5393" max="5393" width="15.7109375" style="1932" customWidth="1"/>
    <col min="5394" max="5394" width="8.28515625" style="1932" customWidth="1"/>
    <col min="5395" max="5395" width="14.28515625" style="1932" customWidth="1"/>
    <col min="5396" max="5396" width="10.85546875" style="1932" bestFit="1" customWidth="1"/>
    <col min="5397" max="5397" width="12.28515625" style="1932" customWidth="1"/>
    <col min="5398" max="5398" width="11.85546875" style="1932" customWidth="1"/>
    <col min="5399" max="5399" width="14" style="1932" customWidth="1"/>
    <col min="5400" max="5400" width="12.85546875" style="1932" customWidth="1"/>
    <col min="5401" max="5401" width="12.7109375" style="1932" customWidth="1"/>
    <col min="5402" max="5402" width="15" style="1932" customWidth="1"/>
    <col min="5403" max="5403" width="10.85546875" style="1932" customWidth="1"/>
    <col min="5404" max="5404" width="17.42578125" style="1932" customWidth="1"/>
    <col min="5405" max="5405" width="49.28515625" style="1932" customWidth="1"/>
    <col min="5406" max="5641" width="16.42578125" style="1932"/>
    <col min="5642" max="5642" width="10.140625" style="1932" customWidth="1"/>
    <col min="5643" max="5643" width="39" style="1932" customWidth="1"/>
    <col min="5644" max="5644" width="27.5703125" style="1932" customWidth="1"/>
    <col min="5645" max="5645" width="10" style="1932" customWidth="1"/>
    <col min="5646" max="5646" width="6.5703125" style="1932" customWidth="1"/>
    <col min="5647" max="5647" width="7.42578125" style="1932" customWidth="1"/>
    <col min="5648" max="5648" width="8.42578125" style="1932" customWidth="1"/>
    <col min="5649" max="5649" width="15.7109375" style="1932" customWidth="1"/>
    <col min="5650" max="5650" width="8.28515625" style="1932" customWidth="1"/>
    <col min="5651" max="5651" width="14.28515625" style="1932" customWidth="1"/>
    <col min="5652" max="5652" width="10.85546875" style="1932" bestFit="1" customWidth="1"/>
    <col min="5653" max="5653" width="12.28515625" style="1932" customWidth="1"/>
    <col min="5654" max="5654" width="11.85546875" style="1932" customWidth="1"/>
    <col min="5655" max="5655" width="14" style="1932" customWidth="1"/>
    <col min="5656" max="5656" width="12.85546875" style="1932" customWidth="1"/>
    <col min="5657" max="5657" width="12.7109375" style="1932" customWidth="1"/>
    <col min="5658" max="5658" width="15" style="1932" customWidth="1"/>
    <col min="5659" max="5659" width="10.85546875" style="1932" customWidth="1"/>
    <col min="5660" max="5660" width="17.42578125" style="1932" customWidth="1"/>
    <col min="5661" max="5661" width="49.28515625" style="1932" customWidth="1"/>
    <col min="5662" max="5897" width="16.42578125" style="1932"/>
    <col min="5898" max="5898" width="10.140625" style="1932" customWidth="1"/>
    <col min="5899" max="5899" width="39" style="1932" customWidth="1"/>
    <col min="5900" max="5900" width="27.5703125" style="1932" customWidth="1"/>
    <col min="5901" max="5901" width="10" style="1932" customWidth="1"/>
    <col min="5902" max="5902" width="6.5703125" style="1932" customWidth="1"/>
    <col min="5903" max="5903" width="7.42578125" style="1932" customWidth="1"/>
    <col min="5904" max="5904" width="8.42578125" style="1932" customWidth="1"/>
    <col min="5905" max="5905" width="15.7109375" style="1932" customWidth="1"/>
    <col min="5906" max="5906" width="8.28515625" style="1932" customWidth="1"/>
    <col min="5907" max="5907" width="14.28515625" style="1932" customWidth="1"/>
    <col min="5908" max="5908" width="10.85546875" style="1932" bestFit="1" customWidth="1"/>
    <col min="5909" max="5909" width="12.28515625" style="1932" customWidth="1"/>
    <col min="5910" max="5910" width="11.85546875" style="1932" customWidth="1"/>
    <col min="5911" max="5911" width="14" style="1932" customWidth="1"/>
    <col min="5912" max="5912" width="12.85546875" style="1932" customWidth="1"/>
    <col min="5913" max="5913" width="12.7109375" style="1932" customWidth="1"/>
    <col min="5914" max="5914" width="15" style="1932" customWidth="1"/>
    <col min="5915" max="5915" width="10.85546875" style="1932" customWidth="1"/>
    <col min="5916" max="5916" width="17.42578125" style="1932" customWidth="1"/>
    <col min="5917" max="5917" width="49.28515625" style="1932" customWidth="1"/>
    <col min="5918" max="6153" width="16.42578125" style="1932"/>
    <col min="6154" max="6154" width="10.140625" style="1932" customWidth="1"/>
    <col min="6155" max="6155" width="39" style="1932" customWidth="1"/>
    <col min="6156" max="6156" width="27.5703125" style="1932" customWidth="1"/>
    <col min="6157" max="6157" width="10" style="1932" customWidth="1"/>
    <col min="6158" max="6158" width="6.5703125" style="1932" customWidth="1"/>
    <col min="6159" max="6159" width="7.42578125" style="1932" customWidth="1"/>
    <col min="6160" max="6160" width="8.42578125" style="1932" customWidth="1"/>
    <col min="6161" max="6161" width="15.7109375" style="1932" customWidth="1"/>
    <col min="6162" max="6162" width="8.28515625" style="1932" customWidth="1"/>
    <col min="6163" max="6163" width="14.28515625" style="1932" customWidth="1"/>
    <col min="6164" max="6164" width="10.85546875" style="1932" bestFit="1" customWidth="1"/>
    <col min="6165" max="6165" width="12.28515625" style="1932" customWidth="1"/>
    <col min="6166" max="6166" width="11.85546875" style="1932" customWidth="1"/>
    <col min="6167" max="6167" width="14" style="1932" customWidth="1"/>
    <col min="6168" max="6168" width="12.85546875" style="1932" customWidth="1"/>
    <col min="6169" max="6169" width="12.7109375" style="1932" customWidth="1"/>
    <col min="6170" max="6170" width="15" style="1932" customWidth="1"/>
    <col min="6171" max="6171" width="10.85546875" style="1932" customWidth="1"/>
    <col min="6172" max="6172" width="17.42578125" style="1932" customWidth="1"/>
    <col min="6173" max="6173" width="49.28515625" style="1932" customWidth="1"/>
    <col min="6174" max="6409" width="16.42578125" style="1932"/>
    <col min="6410" max="6410" width="10.140625" style="1932" customWidth="1"/>
    <col min="6411" max="6411" width="39" style="1932" customWidth="1"/>
    <col min="6412" max="6412" width="27.5703125" style="1932" customWidth="1"/>
    <col min="6413" max="6413" width="10" style="1932" customWidth="1"/>
    <col min="6414" max="6414" width="6.5703125" style="1932" customWidth="1"/>
    <col min="6415" max="6415" width="7.42578125" style="1932" customWidth="1"/>
    <col min="6416" max="6416" width="8.42578125" style="1932" customWidth="1"/>
    <col min="6417" max="6417" width="15.7109375" style="1932" customWidth="1"/>
    <col min="6418" max="6418" width="8.28515625" style="1932" customWidth="1"/>
    <col min="6419" max="6419" width="14.28515625" style="1932" customWidth="1"/>
    <col min="6420" max="6420" width="10.85546875" style="1932" bestFit="1" customWidth="1"/>
    <col min="6421" max="6421" width="12.28515625" style="1932" customWidth="1"/>
    <col min="6422" max="6422" width="11.85546875" style="1932" customWidth="1"/>
    <col min="6423" max="6423" width="14" style="1932" customWidth="1"/>
    <col min="6424" max="6424" width="12.85546875" style="1932" customWidth="1"/>
    <col min="6425" max="6425" width="12.7109375" style="1932" customWidth="1"/>
    <col min="6426" max="6426" width="15" style="1932" customWidth="1"/>
    <col min="6427" max="6427" width="10.85546875" style="1932" customWidth="1"/>
    <col min="6428" max="6428" width="17.42578125" style="1932" customWidth="1"/>
    <col min="6429" max="6429" width="49.28515625" style="1932" customWidth="1"/>
    <col min="6430" max="6665" width="16.42578125" style="1932"/>
    <col min="6666" max="6666" width="10.140625" style="1932" customWidth="1"/>
    <col min="6667" max="6667" width="39" style="1932" customWidth="1"/>
    <col min="6668" max="6668" width="27.5703125" style="1932" customWidth="1"/>
    <col min="6669" max="6669" width="10" style="1932" customWidth="1"/>
    <col min="6670" max="6670" width="6.5703125" style="1932" customWidth="1"/>
    <col min="6671" max="6671" width="7.42578125" style="1932" customWidth="1"/>
    <col min="6672" max="6672" width="8.42578125" style="1932" customWidth="1"/>
    <col min="6673" max="6673" width="15.7109375" style="1932" customWidth="1"/>
    <col min="6674" max="6674" width="8.28515625" style="1932" customWidth="1"/>
    <col min="6675" max="6675" width="14.28515625" style="1932" customWidth="1"/>
    <col min="6676" max="6676" width="10.85546875" style="1932" bestFit="1" customWidth="1"/>
    <col min="6677" max="6677" width="12.28515625" style="1932" customWidth="1"/>
    <col min="6678" max="6678" width="11.85546875" style="1932" customWidth="1"/>
    <col min="6679" max="6679" width="14" style="1932" customWidth="1"/>
    <col min="6680" max="6680" width="12.85546875" style="1932" customWidth="1"/>
    <col min="6681" max="6681" width="12.7109375" style="1932" customWidth="1"/>
    <col min="6682" max="6682" width="15" style="1932" customWidth="1"/>
    <col min="6683" max="6683" width="10.85546875" style="1932" customWidth="1"/>
    <col min="6684" max="6684" width="17.42578125" style="1932" customWidth="1"/>
    <col min="6685" max="6685" width="49.28515625" style="1932" customWidth="1"/>
    <col min="6686" max="6921" width="16.42578125" style="1932"/>
    <col min="6922" max="6922" width="10.140625" style="1932" customWidth="1"/>
    <col min="6923" max="6923" width="39" style="1932" customWidth="1"/>
    <col min="6924" max="6924" width="27.5703125" style="1932" customWidth="1"/>
    <col min="6925" max="6925" width="10" style="1932" customWidth="1"/>
    <col min="6926" max="6926" width="6.5703125" style="1932" customWidth="1"/>
    <col min="6927" max="6927" width="7.42578125" style="1932" customWidth="1"/>
    <col min="6928" max="6928" width="8.42578125" style="1932" customWidth="1"/>
    <col min="6929" max="6929" width="15.7109375" style="1932" customWidth="1"/>
    <col min="6930" max="6930" width="8.28515625" style="1932" customWidth="1"/>
    <col min="6931" max="6931" width="14.28515625" style="1932" customWidth="1"/>
    <col min="6932" max="6932" width="10.85546875" style="1932" bestFit="1" customWidth="1"/>
    <col min="6933" max="6933" width="12.28515625" style="1932" customWidth="1"/>
    <col min="6934" max="6934" width="11.85546875" style="1932" customWidth="1"/>
    <col min="6935" max="6935" width="14" style="1932" customWidth="1"/>
    <col min="6936" max="6936" width="12.85546875" style="1932" customWidth="1"/>
    <col min="6937" max="6937" width="12.7109375" style="1932" customWidth="1"/>
    <col min="6938" max="6938" width="15" style="1932" customWidth="1"/>
    <col min="6939" max="6939" width="10.85546875" style="1932" customWidth="1"/>
    <col min="6940" max="6940" width="17.42578125" style="1932" customWidth="1"/>
    <col min="6941" max="6941" width="49.28515625" style="1932" customWidth="1"/>
    <col min="6942" max="7177" width="16.42578125" style="1932"/>
    <col min="7178" max="7178" width="10.140625" style="1932" customWidth="1"/>
    <col min="7179" max="7179" width="39" style="1932" customWidth="1"/>
    <col min="7180" max="7180" width="27.5703125" style="1932" customWidth="1"/>
    <col min="7181" max="7181" width="10" style="1932" customWidth="1"/>
    <col min="7182" max="7182" width="6.5703125" style="1932" customWidth="1"/>
    <col min="7183" max="7183" width="7.42578125" style="1932" customWidth="1"/>
    <col min="7184" max="7184" width="8.42578125" style="1932" customWidth="1"/>
    <col min="7185" max="7185" width="15.7109375" style="1932" customWidth="1"/>
    <col min="7186" max="7186" width="8.28515625" style="1932" customWidth="1"/>
    <col min="7187" max="7187" width="14.28515625" style="1932" customWidth="1"/>
    <col min="7188" max="7188" width="10.85546875" style="1932" bestFit="1" customWidth="1"/>
    <col min="7189" max="7189" width="12.28515625" style="1932" customWidth="1"/>
    <col min="7190" max="7190" width="11.85546875" style="1932" customWidth="1"/>
    <col min="7191" max="7191" width="14" style="1932" customWidth="1"/>
    <col min="7192" max="7192" width="12.85546875" style="1932" customWidth="1"/>
    <col min="7193" max="7193" width="12.7109375" style="1932" customWidth="1"/>
    <col min="7194" max="7194" width="15" style="1932" customWidth="1"/>
    <col min="7195" max="7195" width="10.85546875" style="1932" customWidth="1"/>
    <col min="7196" max="7196" width="17.42578125" style="1932" customWidth="1"/>
    <col min="7197" max="7197" width="49.28515625" style="1932" customWidth="1"/>
    <col min="7198" max="7433" width="16.42578125" style="1932"/>
    <col min="7434" max="7434" width="10.140625" style="1932" customWidth="1"/>
    <col min="7435" max="7435" width="39" style="1932" customWidth="1"/>
    <col min="7436" max="7436" width="27.5703125" style="1932" customWidth="1"/>
    <col min="7437" max="7437" width="10" style="1932" customWidth="1"/>
    <col min="7438" max="7438" width="6.5703125" style="1932" customWidth="1"/>
    <col min="7439" max="7439" width="7.42578125" style="1932" customWidth="1"/>
    <col min="7440" max="7440" width="8.42578125" style="1932" customWidth="1"/>
    <col min="7441" max="7441" width="15.7109375" style="1932" customWidth="1"/>
    <col min="7442" max="7442" width="8.28515625" style="1932" customWidth="1"/>
    <col min="7443" max="7443" width="14.28515625" style="1932" customWidth="1"/>
    <col min="7444" max="7444" width="10.85546875" style="1932" bestFit="1" customWidth="1"/>
    <col min="7445" max="7445" width="12.28515625" style="1932" customWidth="1"/>
    <col min="7446" max="7446" width="11.85546875" style="1932" customWidth="1"/>
    <col min="7447" max="7447" width="14" style="1932" customWidth="1"/>
    <col min="7448" max="7448" width="12.85546875" style="1932" customWidth="1"/>
    <col min="7449" max="7449" width="12.7109375" style="1932" customWidth="1"/>
    <col min="7450" max="7450" width="15" style="1932" customWidth="1"/>
    <col min="7451" max="7451" width="10.85546875" style="1932" customWidth="1"/>
    <col min="7452" max="7452" width="17.42578125" style="1932" customWidth="1"/>
    <col min="7453" max="7453" width="49.28515625" style="1932" customWidth="1"/>
    <col min="7454" max="7689" width="16.42578125" style="1932"/>
    <col min="7690" max="7690" width="10.140625" style="1932" customWidth="1"/>
    <col min="7691" max="7691" width="39" style="1932" customWidth="1"/>
    <col min="7692" max="7692" width="27.5703125" style="1932" customWidth="1"/>
    <col min="7693" max="7693" width="10" style="1932" customWidth="1"/>
    <col min="7694" max="7694" width="6.5703125" style="1932" customWidth="1"/>
    <col min="7695" max="7695" width="7.42578125" style="1932" customWidth="1"/>
    <col min="7696" max="7696" width="8.42578125" style="1932" customWidth="1"/>
    <col min="7697" max="7697" width="15.7109375" style="1932" customWidth="1"/>
    <col min="7698" max="7698" width="8.28515625" style="1932" customWidth="1"/>
    <col min="7699" max="7699" width="14.28515625" style="1932" customWidth="1"/>
    <col min="7700" max="7700" width="10.85546875" style="1932" bestFit="1" customWidth="1"/>
    <col min="7701" max="7701" width="12.28515625" style="1932" customWidth="1"/>
    <col min="7702" max="7702" width="11.85546875" style="1932" customWidth="1"/>
    <col min="7703" max="7703" width="14" style="1932" customWidth="1"/>
    <col min="7704" max="7704" width="12.85546875" style="1932" customWidth="1"/>
    <col min="7705" max="7705" width="12.7109375" style="1932" customWidth="1"/>
    <col min="7706" max="7706" width="15" style="1932" customWidth="1"/>
    <col min="7707" max="7707" width="10.85546875" style="1932" customWidth="1"/>
    <col min="7708" max="7708" width="17.42578125" style="1932" customWidth="1"/>
    <col min="7709" max="7709" width="49.28515625" style="1932" customWidth="1"/>
    <col min="7710" max="7945" width="16.42578125" style="1932"/>
    <col min="7946" max="7946" width="10.140625" style="1932" customWidth="1"/>
    <col min="7947" max="7947" width="39" style="1932" customWidth="1"/>
    <col min="7948" max="7948" width="27.5703125" style="1932" customWidth="1"/>
    <col min="7949" max="7949" width="10" style="1932" customWidth="1"/>
    <col min="7950" max="7950" width="6.5703125" style="1932" customWidth="1"/>
    <col min="7951" max="7951" width="7.42578125" style="1932" customWidth="1"/>
    <col min="7952" max="7952" width="8.42578125" style="1932" customWidth="1"/>
    <col min="7953" max="7953" width="15.7109375" style="1932" customWidth="1"/>
    <col min="7954" max="7954" width="8.28515625" style="1932" customWidth="1"/>
    <col min="7955" max="7955" width="14.28515625" style="1932" customWidth="1"/>
    <col min="7956" max="7956" width="10.85546875" style="1932" bestFit="1" customWidth="1"/>
    <col min="7957" max="7957" width="12.28515625" style="1932" customWidth="1"/>
    <col min="7958" max="7958" width="11.85546875" style="1932" customWidth="1"/>
    <col min="7959" max="7959" width="14" style="1932" customWidth="1"/>
    <col min="7960" max="7960" width="12.85546875" style="1932" customWidth="1"/>
    <col min="7961" max="7961" width="12.7109375" style="1932" customWidth="1"/>
    <col min="7962" max="7962" width="15" style="1932" customWidth="1"/>
    <col min="7963" max="7963" width="10.85546875" style="1932" customWidth="1"/>
    <col min="7964" max="7964" width="17.42578125" style="1932" customWidth="1"/>
    <col min="7965" max="7965" width="49.28515625" style="1932" customWidth="1"/>
    <col min="7966" max="8201" width="16.42578125" style="1932"/>
    <col min="8202" max="8202" width="10.140625" style="1932" customWidth="1"/>
    <col min="8203" max="8203" width="39" style="1932" customWidth="1"/>
    <col min="8204" max="8204" width="27.5703125" style="1932" customWidth="1"/>
    <col min="8205" max="8205" width="10" style="1932" customWidth="1"/>
    <col min="8206" max="8206" width="6.5703125" style="1932" customWidth="1"/>
    <col min="8207" max="8207" width="7.42578125" style="1932" customWidth="1"/>
    <col min="8208" max="8208" width="8.42578125" style="1932" customWidth="1"/>
    <col min="8209" max="8209" width="15.7109375" style="1932" customWidth="1"/>
    <col min="8210" max="8210" width="8.28515625" style="1932" customWidth="1"/>
    <col min="8211" max="8211" width="14.28515625" style="1932" customWidth="1"/>
    <col min="8212" max="8212" width="10.85546875" style="1932" bestFit="1" customWidth="1"/>
    <col min="8213" max="8213" width="12.28515625" style="1932" customWidth="1"/>
    <col min="8214" max="8214" width="11.85546875" style="1932" customWidth="1"/>
    <col min="8215" max="8215" width="14" style="1932" customWidth="1"/>
    <col min="8216" max="8216" width="12.85546875" style="1932" customWidth="1"/>
    <col min="8217" max="8217" width="12.7109375" style="1932" customWidth="1"/>
    <col min="8218" max="8218" width="15" style="1932" customWidth="1"/>
    <col min="8219" max="8219" width="10.85546875" style="1932" customWidth="1"/>
    <col min="8220" max="8220" width="17.42578125" style="1932" customWidth="1"/>
    <col min="8221" max="8221" width="49.28515625" style="1932" customWidth="1"/>
    <col min="8222" max="8457" width="16.42578125" style="1932"/>
    <col min="8458" max="8458" width="10.140625" style="1932" customWidth="1"/>
    <col min="8459" max="8459" width="39" style="1932" customWidth="1"/>
    <col min="8460" max="8460" width="27.5703125" style="1932" customWidth="1"/>
    <col min="8461" max="8461" width="10" style="1932" customWidth="1"/>
    <col min="8462" max="8462" width="6.5703125" style="1932" customWidth="1"/>
    <col min="8463" max="8463" width="7.42578125" style="1932" customWidth="1"/>
    <col min="8464" max="8464" width="8.42578125" style="1932" customWidth="1"/>
    <col min="8465" max="8465" width="15.7109375" style="1932" customWidth="1"/>
    <col min="8466" max="8466" width="8.28515625" style="1932" customWidth="1"/>
    <col min="8467" max="8467" width="14.28515625" style="1932" customWidth="1"/>
    <col min="8468" max="8468" width="10.85546875" style="1932" bestFit="1" customWidth="1"/>
    <col min="8469" max="8469" width="12.28515625" style="1932" customWidth="1"/>
    <col min="8470" max="8470" width="11.85546875" style="1932" customWidth="1"/>
    <col min="8471" max="8471" width="14" style="1932" customWidth="1"/>
    <col min="8472" max="8472" width="12.85546875" style="1932" customWidth="1"/>
    <col min="8473" max="8473" width="12.7109375" style="1932" customWidth="1"/>
    <col min="8474" max="8474" width="15" style="1932" customWidth="1"/>
    <col min="8475" max="8475" width="10.85546875" style="1932" customWidth="1"/>
    <col min="8476" max="8476" width="17.42578125" style="1932" customWidth="1"/>
    <col min="8477" max="8477" width="49.28515625" style="1932" customWidth="1"/>
    <col min="8478" max="8713" width="16.42578125" style="1932"/>
    <col min="8714" max="8714" width="10.140625" style="1932" customWidth="1"/>
    <col min="8715" max="8715" width="39" style="1932" customWidth="1"/>
    <col min="8716" max="8716" width="27.5703125" style="1932" customWidth="1"/>
    <col min="8717" max="8717" width="10" style="1932" customWidth="1"/>
    <col min="8718" max="8718" width="6.5703125" style="1932" customWidth="1"/>
    <col min="8719" max="8719" width="7.42578125" style="1932" customWidth="1"/>
    <col min="8720" max="8720" width="8.42578125" style="1932" customWidth="1"/>
    <col min="8721" max="8721" width="15.7109375" style="1932" customWidth="1"/>
    <col min="8722" max="8722" width="8.28515625" style="1932" customWidth="1"/>
    <col min="8723" max="8723" width="14.28515625" style="1932" customWidth="1"/>
    <col min="8724" max="8724" width="10.85546875" style="1932" bestFit="1" customWidth="1"/>
    <col min="8725" max="8725" width="12.28515625" style="1932" customWidth="1"/>
    <col min="8726" max="8726" width="11.85546875" style="1932" customWidth="1"/>
    <col min="8727" max="8727" width="14" style="1932" customWidth="1"/>
    <col min="8728" max="8728" width="12.85546875" style="1932" customWidth="1"/>
    <col min="8729" max="8729" width="12.7109375" style="1932" customWidth="1"/>
    <col min="8730" max="8730" width="15" style="1932" customWidth="1"/>
    <col min="8731" max="8731" width="10.85546875" style="1932" customWidth="1"/>
    <col min="8732" max="8732" width="17.42578125" style="1932" customWidth="1"/>
    <col min="8733" max="8733" width="49.28515625" style="1932" customWidth="1"/>
    <col min="8734" max="8969" width="16.42578125" style="1932"/>
    <col min="8970" max="8970" width="10.140625" style="1932" customWidth="1"/>
    <col min="8971" max="8971" width="39" style="1932" customWidth="1"/>
    <col min="8972" max="8972" width="27.5703125" style="1932" customWidth="1"/>
    <col min="8973" max="8973" width="10" style="1932" customWidth="1"/>
    <col min="8974" max="8974" width="6.5703125" style="1932" customWidth="1"/>
    <col min="8975" max="8975" width="7.42578125" style="1932" customWidth="1"/>
    <col min="8976" max="8976" width="8.42578125" style="1932" customWidth="1"/>
    <col min="8977" max="8977" width="15.7109375" style="1932" customWidth="1"/>
    <col min="8978" max="8978" width="8.28515625" style="1932" customWidth="1"/>
    <col min="8979" max="8979" width="14.28515625" style="1932" customWidth="1"/>
    <col min="8980" max="8980" width="10.85546875" style="1932" bestFit="1" customWidth="1"/>
    <col min="8981" max="8981" width="12.28515625" style="1932" customWidth="1"/>
    <col min="8982" max="8982" width="11.85546875" style="1932" customWidth="1"/>
    <col min="8983" max="8983" width="14" style="1932" customWidth="1"/>
    <col min="8984" max="8984" width="12.85546875" style="1932" customWidth="1"/>
    <col min="8985" max="8985" width="12.7109375" style="1932" customWidth="1"/>
    <col min="8986" max="8986" width="15" style="1932" customWidth="1"/>
    <col min="8987" max="8987" width="10.85546875" style="1932" customWidth="1"/>
    <col min="8988" max="8988" width="17.42578125" style="1932" customWidth="1"/>
    <col min="8989" max="8989" width="49.28515625" style="1932" customWidth="1"/>
    <col min="8990" max="9225" width="16.42578125" style="1932"/>
    <col min="9226" max="9226" width="10.140625" style="1932" customWidth="1"/>
    <col min="9227" max="9227" width="39" style="1932" customWidth="1"/>
    <col min="9228" max="9228" width="27.5703125" style="1932" customWidth="1"/>
    <col min="9229" max="9229" width="10" style="1932" customWidth="1"/>
    <col min="9230" max="9230" width="6.5703125" style="1932" customWidth="1"/>
    <col min="9231" max="9231" width="7.42578125" style="1932" customWidth="1"/>
    <col min="9232" max="9232" width="8.42578125" style="1932" customWidth="1"/>
    <col min="9233" max="9233" width="15.7109375" style="1932" customWidth="1"/>
    <col min="9234" max="9234" width="8.28515625" style="1932" customWidth="1"/>
    <col min="9235" max="9235" width="14.28515625" style="1932" customWidth="1"/>
    <col min="9236" max="9236" width="10.85546875" style="1932" bestFit="1" customWidth="1"/>
    <col min="9237" max="9237" width="12.28515625" style="1932" customWidth="1"/>
    <col min="9238" max="9238" width="11.85546875" style="1932" customWidth="1"/>
    <col min="9239" max="9239" width="14" style="1932" customWidth="1"/>
    <col min="9240" max="9240" width="12.85546875" style="1932" customWidth="1"/>
    <col min="9241" max="9241" width="12.7109375" style="1932" customWidth="1"/>
    <col min="9242" max="9242" width="15" style="1932" customWidth="1"/>
    <col min="9243" max="9243" width="10.85546875" style="1932" customWidth="1"/>
    <col min="9244" max="9244" width="17.42578125" style="1932" customWidth="1"/>
    <col min="9245" max="9245" width="49.28515625" style="1932" customWidth="1"/>
    <col min="9246" max="9481" width="16.42578125" style="1932"/>
    <col min="9482" max="9482" width="10.140625" style="1932" customWidth="1"/>
    <col min="9483" max="9483" width="39" style="1932" customWidth="1"/>
    <col min="9484" max="9484" width="27.5703125" style="1932" customWidth="1"/>
    <col min="9485" max="9485" width="10" style="1932" customWidth="1"/>
    <col min="9486" max="9486" width="6.5703125" style="1932" customWidth="1"/>
    <col min="9487" max="9487" width="7.42578125" style="1932" customWidth="1"/>
    <col min="9488" max="9488" width="8.42578125" style="1932" customWidth="1"/>
    <col min="9489" max="9489" width="15.7109375" style="1932" customWidth="1"/>
    <col min="9490" max="9490" width="8.28515625" style="1932" customWidth="1"/>
    <col min="9491" max="9491" width="14.28515625" style="1932" customWidth="1"/>
    <col min="9492" max="9492" width="10.85546875" style="1932" bestFit="1" customWidth="1"/>
    <col min="9493" max="9493" width="12.28515625" style="1932" customWidth="1"/>
    <col min="9494" max="9494" width="11.85546875" style="1932" customWidth="1"/>
    <col min="9495" max="9495" width="14" style="1932" customWidth="1"/>
    <col min="9496" max="9496" width="12.85546875" style="1932" customWidth="1"/>
    <col min="9497" max="9497" width="12.7109375" style="1932" customWidth="1"/>
    <col min="9498" max="9498" width="15" style="1932" customWidth="1"/>
    <col min="9499" max="9499" width="10.85546875" style="1932" customWidth="1"/>
    <col min="9500" max="9500" width="17.42578125" style="1932" customWidth="1"/>
    <col min="9501" max="9501" width="49.28515625" style="1932" customWidth="1"/>
    <col min="9502" max="9737" width="16.42578125" style="1932"/>
    <col min="9738" max="9738" width="10.140625" style="1932" customWidth="1"/>
    <col min="9739" max="9739" width="39" style="1932" customWidth="1"/>
    <col min="9740" max="9740" width="27.5703125" style="1932" customWidth="1"/>
    <col min="9741" max="9741" width="10" style="1932" customWidth="1"/>
    <col min="9742" max="9742" width="6.5703125" style="1932" customWidth="1"/>
    <col min="9743" max="9743" width="7.42578125" style="1932" customWidth="1"/>
    <col min="9744" max="9744" width="8.42578125" style="1932" customWidth="1"/>
    <col min="9745" max="9745" width="15.7109375" style="1932" customWidth="1"/>
    <col min="9746" max="9746" width="8.28515625" style="1932" customWidth="1"/>
    <col min="9747" max="9747" width="14.28515625" style="1932" customWidth="1"/>
    <col min="9748" max="9748" width="10.85546875" style="1932" bestFit="1" customWidth="1"/>
    <col min="9749" max="9749" width="12.28515625" style="1932" customWidth="1"/>
    <col min="9750" max="9750" width="11.85546875" style="1932" customWidth="1"/>
    <col min="9751" max="9751" width="14" style="1932" customWidth="1"/>
    <col min="9752" max="9752" width="12.85546875" style="1932" customWidth="1"/>
    <col min="9753" max="9753" width="12.7109375" style="1932" customWidth="1"/>
    <col min="9754" max="9754" width="15" style="1932" customWidth="1"/>
    <col min="9755" max="9755" width="10.85546875" style="1932" customWidth="1"/>
    <col min="9756" max="9756" width="17.42578125" style="1932" customWidth="1"/>
    <col min="9757" max="9757" width="49.28515625" style="1932" customWidth="1"/>
    <col min="9758" max="9993" width="16.42578125" style="1932"/>
    <col min="9994" max="9994" width="10.140625" style="1932" customWidth="1"/>
    <col min="9995" max="9995" width="39" style="1932" customWidth="1"/>
    <col min="9996" max="9996" width="27.5703125" style="1932" customWidth="1"/>
    <col min="9997" max="9997" width="10" style="1932" customWidth="1"/>
    <col min="9998" max="9998" width="6.5703125" style="1932" customWidth="1"/>
    <col min="9999" max="9999" width="7.42578125" style="1932" customWidth="1"/>
    <col min="10000" max="10000" width="8.42578125" style="1932" customWidth="1"/>
    <col min="10001" max="10001" width="15.7109375" style="1932" customWidth="1"/>
    <col min="10002" max="10002" width="8.28515625" style="1932" customWidth="1"/>
    <col min="10003" max="10003" width="14.28515625" style="1932" customWidth="1"/>
    <col min="10004" max="10004" width="10.85546875" style="1932" bestFit="1" customWidth="1"/>
    <col min="10005" max="10005" width="12.28515625" style="1932" customWidth="1"/>
    <col min="10006" max="10006" width="11.85546875" style="1932" customWidth="1"/>
    <col min="10007" max="10007" width="14" style="1932" customWidth="1"/>
    <col min="10008" max="10008" width="12.85546875" style="1932" customWidth="1"/>
    <col min="10009" max="10009" width="12.7109375" style="1932" customWidth="1"/>
    <col min="10010" max="10010" width="15" style="1932" customWidth="1"/>
    <col min="10011" max="10011" width="10.85546875" style="1932" customWidth="1"/>
    <col min="10012" max="10012" width="17.42578125" style="1932" customWidth="1"/>
    <col min="10013" max="10013" width="49.28515625" style="1932" customWidth="1"/>
    <col min="10014" max="10249" width="16.42578125" style="1932"/>
    <col min="10250" max="10250" width="10.140625" style="1932" customWidth="1"/>
    <col min="10251" max="10251" width="39" style="1932" customWidth="1"/>
    <col min="10252" max="10252" width="27.5703125" style="1932" customWidth="1"/>
    <col min="10253" max="10253" width="10" style="1932" customWidth="1"/>
    <col min="10254" max="10254" width="6.5703125" style="1932" customWidth="1"/>
    <col min="10255" max="10255" width="7.42578125" style="1932" customWidth="1"/>
    <col min="10256" max="10256" width="8.42578125" style="1932" customWidth="1"/>
    <col min="10257" max="10257" width="15.7109375" style="1932" customWidth="1"/>
    <col min="10258" max="10258" width="8.28515625" style="1932" customWidth="1"/>
    <col min="10259" max="10259" width="14.28515625" style="1932" customWidth="1"/>
    <col min="10260" max="10260" width="10.85546875" style="1932" bestFit="1" customWidth="1"/>
    <col min="10261" max="10261" width="12.28515625" style="1932" customWidth="1"/>
    <col min="10262" max="10262" width="11.85546875" style="1932" customWidth="1"/>
    <col min="10263" max="10263" width="14" style="1932" customWidth="1"/>
    <col min="10264" max="10264" width="12.85546875" style="1932" customWidth="1"/>
    <col min="10265" max="10265" width="12.7109375" style="1932" customWidth="1"/>
    <col min="10266" max="10266" width="15" style="1932" customWidth="1"/>
    <col min="10267" max="10267" width="10.85546875" style="1932" customWidth="1"/>
    <col min="10268" max="10268" width="17.42578125" style="1932" customWidth="1"/>
    <col min="10269" max="10269" width="49.28515625" style="1932" customWidth="1"/>
    <col min="10270" max="10505" width="16.42578125" style="1932"/>
    <col min="10506" max="10506" width="10.140625" style="1932" customWidth="1"/>
    <col min="10507" max="10507" width="39" style="1932" customWidth="1"/>
    <col min="10508" max="10508" width="27.5703125" style="1932" customWidth="1"/>
    <col min="10509" max="10509" width="10" style="1932" customWidth="1"/>
    <col min="10510" max="10510" width="6.5703125" style="1932" customWidth="1"/>
    <col min="10511" max="10511" width="7.42578125" style="1932" customWidth="1"/>
    <col min="10512" max="10512" width="8.42578125" style="1932" customWidth="1"/>
    <col min="10513" max="10513" width="15.7109375" style="1932" customWidth="1"/>
    <col min="10514" max="10514" width="8.28515625" style="1932" customWidth="1"/>
    <col min="10515" max="10515" width="14.28515625" style="1932" customWidth="1"/>
    <col min="10516" max="10516" width="10.85546875" style="1932" bestFit="1" customWidth="1"/>
    <col min="10517" max="10517" width="12.28515625" style="1932" customWidth="1"/>
    <col min="10518" max="10518" width="11.85546875" style="1932" customWidth="1"/>
    <col min="10519" max="10519" width="14" style="1932" customWidth="1"/>
    <col min="10520" max="10520" width="12.85546875" style="1932" customWidth="1"/>
    <col min="10521" max="10521" width="12.7109375" style="1932" customWidth="1"/>
    <col min="10522" max="10522" width="15" style="1932" customWidth="1"/>
    <col min="10523" max="10523" width="10.85546875" style="1932" customWidth="1"/>
    <col min="10524" max="10524" width="17.42578125" style="1932" customWidth="1"/>
    <col min="10525" max="10525" width="49.28515625" style="1932" customWidth="1"/>
    <col min="10526" max="10761" width="16.42578125" style="1932"/>
    <col min="10762" max="10762" width="10.140625" style="1932" customWidth="1"/>
    <col min="10763" max="10763" width="39" style="1932" customWidth="1"/>
    <col min="10764" max="10764" width="27.5703125" style="1932" customWidth="1"/>
    <col min="10765" max="10765" width="10" style="1932" customWidth="1"/>
    <col min="10766" max="10766" width="6.5703125" style="1932" customWidth="1"/>
    <col min="10767" max="10767" width="7.42578125" style="1932" customWidth="1"/>
    <col min="10768" max="10768" width="8.42578125" style="1932" customWidth="1"/>
    <col min="10769" max="10769" width="15.7109375" style="1932" customWidth="1"/>
    <col min="10770" max="10770" width="8.28515625" style="1932" customWidth="1"/>
    <col min="10771" max="10771" width="14.28515625" style="1932" customWidth="1"/>
    <col min="10772" max="10772" width="10.85546875" style="1932" bestFit="1" customWidth="1"/>
    <col min="10773" max="10773" width="12.28515625" style="1932" customWidth="1"/>
    <col min="10774" max="10774" width="11.85546875" style="1932" customWidth="1"/>
    <col min="10775" max="10775" width="14" style="1932" customWidth="1"/>
    <col min="10776" max="10776" width="12.85546875" style="1932" customWidth="1"/>
    <col min="10777" max="10777" width="12.7109375" style="1932" customWidth="1"/>
    <col min="10778" max="10778" width="15" style="1932" customWidth="1"/>
    <col min="10779" max="10779" width="10.85546875" style="1932" customWidth="1"/>
    <col min="10780" max="10780" width="17.42578125" style="1932" customWidth="1"/>
    <col min="10781" max="10781" width="49.28515625" style="1932" customWidth="1"/>
    <col min="10782" max="11017" width="16.42578125" style="1932"/>
    <col min="11018" max="11018" width="10.140625" style="1932" customWidth="1"/>
    <col min="11019" max="11019" width="39" style="1932" customWidth="1"/>
    <col min="11020" max="11020" width="27.5703125" style="1932" customWidth="1"/>
    <col min="11021" max="11021" width="10" style="1932" customWidth="1"/>
    <col min="11022" max="11022" width="6.5703125" style="1932" customWidth="1"/>
    <col min="11023" max="11023" width="7.42578125" style="1932" customWidth="1"/>
    <col min="11024" max="11024" width="8.42578125" style="1932" customWidth="1"/>
    <col min="11025" max="11025" width="15.7109375" style="1932" customWidth="1"/>
    <col min="11026" max="11026" width="8.28515625" style="1932" customWidth="1"/>
    <col min="11027" max="11027" width="14.28515625" style="1932" customWidth="1"/>
    <col min="11028" max="11028" width="10.85546875" style="1932" bestFit="1" customWidth="1"/>
    <col min="11029" max="11029" width="12.28515625" style="1932" customWidth="1"/>
    <col min="11030" max="11030" width="11.85546875" style="1932" customWidth="1"/>
    <col min="11031" max="11031" width="14" style="1932" customWidth="1"/>
    <col min="11032" max="11032" width="12.85546875" style="1932" customWidth="1"/>
    <col min="11033" max="11033" width="12.7109375" style="1932" customWidth="1"/>
    <col min="11034" max="11034" width="15" style="1932" customWidth="1"/>
    <col min="11035" max="11035" width="10.85546875" style="1932" customWidth="1"/>
    <col min="11036" max="11036" width="17.42578125" style="1932" customWidth="1"/>
    <col min="11037" max="11037" width="49.28515625" style="1932" customWidth="1"/>
    <col min="11038" max="11273" width="16.42578125" style="1932"/>
    <col min="11274" max="11274" width="10.140625" style="1932" customWidth="1"/>
    <col min="11275" max="11275" width="39" style="1932" customWidth="1"/>
    <col min="11276" max="11276" width="27.5703125" style="1932" customWidth="1"/>
    <col min="11277" max="11277" width="10" style="1932" customWidth="1"/>
    <col min="11278" max="11278" width="6.5703125" style="1932" customWidth="1"/>
    <col min="11279" max="11279" width="7.42578125" style="1932" customWidth="1"/>
    <col min="11280" max="11280" width="8.42578125" style="1932" customWidth="1"/>
    <col min="11281" max="11281" width="15.7109375" style="1932" customWidth="1"/>
    <col min="11282" max="11282" width="8.28515625" style="1932" customWidth="1"/>
    <col min="11283" max="11283" width="14.28515625" style="1932" customWidth="1"/>
    <col min="11284" max="11284" width="10.85546875" style="1932" bestFit="1" customWidth="1"/>
    <col min="11285" max="11285" width="12.28515625" style="1932" customWidth="1"/>
    <col min="11286" max="11286" width="11.85546875" style="1932" customWidth="1"/>
    <col min="11287" max="11287" width="14" style="1932" customWidth="1"/>
    <col min="11288" max="11288" width="12.85546875" style="1932" customWidth="1"/>
    <col min="11289" max="11289" width="12.7109375" style="1932" customWidth="1"/>
    <col min="11290" max="11290" width="15" style="1932" customWidth="1"/>
    <col min="11291" max="11291" width="10.85546875" style="1932" customWidth="1"/>
    <col min="11292" max="11292" width="17.42578125" style="1932" customWidth="1"/>
    <col min="11293" max="11293" width="49.28515625" style="1932" customWidth="1"/>
    <col min="11294" max="11529" width="16.42578125" style="1932"/>
    <col min="11530" max="11530" width="10.140625" style="1932" customWidth="1"/>
    <col min="11531" max="11531" width="39" style="1932" customWidth="1"/>
    <col min="11532" max="11532" width="27.5703125" style="1932" customWidth="1"/>
    <col min="11533" max="11533" width="10" style="1932" customWidth="1"/>
    <col min="11534" max="11534" width="6.5703125" style="1932" customWidth="1"/>
    <col min="11535" max="11535" width="7.42578125" style="1932" customWidth="1"/>
    <col min="11536" max="11536" width="8.42578125" style="1932" customWidth="1"/>
    <col min="11537" max="11537" width="15.7109375" style="1932" customWidth="1"/>
    <col min="11538" max="11538" width="8.28515625" style="1932" customWidth="1"/>
    <col min="11539" max="11539" width="14.28515625" style="1932" customWidth="1"/>
    <col min="11540" max="11540" width="10.85546875" style="1932" bestFit="1" customWidth="1"/>
    <col min="11541" max="11541" width="12.28515625" style="1932" customWidth="1"/>
    <col min="11542" max="11542" width="11.85546875" style="1932" customWidth="1"/>
    <col min="11543" max="11543" width="14" style="1932" customWidth="1"/>
    <col min="11544" max="11544" width="12.85546875" style="1932" customWidth="1"/>
    <col min="11545" max="11545" width="12.7109375" style="1932" customWidth="1"/>
    <col min="11546" max="11546" width="15" style="1932" customWidth="1"/>
    <col min="11547" max="11547" width="10.85546875" style="1932" customWidth="1"/>
    <col min="11548" max="11548" width="17.42578125" style="1932" customWidth="1"/>
    <col min="11549" max="11549" width="49.28515625" style="1932" customWidth="1"/>
    <col min="11550" max="11785" width="16.42578125" style="1932"/>
    <col min="11786" max="11786" width="10.140625" style="1932" customWidth="1"/>
    <col min="11787" max="11787" width="39" style="1932" customWidth="1"/>
    <col min="11788" max="11788" width="27.5703125" style="1932" customWidth="1"/>
    <col min="11789" max="11789" width="10" style="1932" customWidth="1"/>
    <col min="11790" max="11790" width="6.5703125" style="1932" customWidth="1"/>
    <col min="11791" max="11791" width="7.42578125" style="1932" customWidth="1"/>
    <col min="11792" max="11792" width="8.42578125" style="1932" customWidth="1"/>
    <col min="11793" max="11793" width="15.7109375" style="1932" customWidth="1"/>
    <col min="11794" max="11794" width="8.28515625" style="1932" customWidth="1"/>
    <col min="11795" max="11795" width="14.28515625" style="1932" customWidth="1"/>
    <col min="11796" max="11796" width="10.85546875" style="1932" bestFit="1" customWidth="1"/>
    <col min="11797" max="11797" width="12.28515625" style="1932" customWidth="1"/>
    <col min="11798" max="11798" width="11.85546875" style="1932" customWidth="1"/>
    <col min="11799" max="11799" width="14" style="1932" customWidth="1"/>
    <col min="11800" max="11800" width="12.85546875" style="1932" customWidth="1"/>
    <col min="11801" max="11801" width="12.7109375" style="1932" customWidth="1"/>
    <col min="11802" max="11802" width="15" style="1932" customWidth="1"/>
    <col min="11803" max="11803" width="10.85546875" style="1932" customWidth="1"/>
    <col min="11804" max="11804" width="17.42578125" style="1932" customWidth="1"/>
    <col min="11805" max="11805" width="49.28515625" style="1932" customWidth="1"/>
    <col min="11806" max="12041" width="16.42578125" style="1932"/>
    <col min="12042" max="12042" width="10.140625" style="1932" customWidth="1"/>
    <col min="12043" max="12043" width="39" style="1932" customWidth="1"/>
    <col min="12044" max="12044" width="27.5703125" style="1932" customWidth="1"/>
    <col min="12045" max="12045" width="10" style="1932" customWidth="1"/>
    <col min="12046" max="12046" width="6.5703125" style="1932" customWidth="1"/>
    <col min="12047" max="12047" width="7.42578125" style="1932" customWidth="1"/>
    <col min="12048" max="12048" width="8.42578125" style="1932" customWidth="1"/>
    <col min="12049" max="12049" width="15.7109375" style="1932" customWidth="1"/>
    <col min="12050" max="12050" width="8.28515625" style="1932" customWidth="1"/>
    <col min="12051" max="12051" width="14.28515625" style="1932" customWidth="1"/>
    <col min="12052" max="12052" width="10.85546875" style="1932" bestFit="1" customWidth="1"/>
    <col min="12053" max="12053" width="12.28515625" style="1932" customWidth="1"/>
    <col min="12054" max="12054" width="11.85546875" style="1932" customWidth="1"/>
    <col min="12055" max="12055" width="14" style="1932" customWidth="1"/>
    <col min="12056" max="12056" width="12.85546875" style="1932" customWidth="1"/>
    <col min="12057" max="12057" width="12.7109375" style="1932" customWidth="1"/>
    <col min="12058" max="12058" width="15" style="1932" customWidth="1"/>
    <col min="12059" max="12059" width="10.85546875" style="1932" customWidth="1"/>
    <col min="12060" max="12060" width="17.42578125" style="1932" customWidth="1"/>
    <col min="12061" max="12061" width="49.28515625" style="1932" customWidth="1"/>
    <col min="12062" max="12297" width="16.42578125" style="1932"/>
    <col min="12298" max="12298" width="10.140625" style="1932" customWidth="1"/>
    <col min="12299" max="12299" width="39" style="1932" customWidth="1"/>
    <col min="12300" max="12300" width="27.5703125" style="1932" customWidth="1"/>
    <col min="12301" max="12301" width="10" style="1932" customWidth="1"/>
    <col min="12302" max="12302" width="6.5703125" style="1932" customWidth="1"/>
    <col min="12303" max="12303" width="7.42578125" style="1932" customWidth="1"/>
    <col min="12304" max="12304" width="8.42578125" style="1932" customWidth="1"/>
    <col min="12305" max="12305" width="15.7109375" style="1932" customWidth="1"/>
    <col min="12306" max="12306" width="8.28515625" style="1932" customWidth="1"/>
    <col min="12307" max="12307" width="14.28515625" style="1932" customWidth="1"/>
    <col min="12308" max="12308" width="10.85546875" style="1932" bestFit="1" customWidth="1"/>
    <col min="12309" max="12309" width="12.28515625" style="1932" customWidth="1"/>
    <col min="12310" max="12310" width="11.85546875" style="1932" customWidth="1"/>
    <col min="12311" max="12311" width="14" style="1932" customWidth="1"/>
    <col min="12312" max="12312" width="12.85546875" style="1932" customWidth="1"/>
    <col min="12313" max="12313" width="12.7109375" style="1932" customWidth="1"/>
    <col min="12314" max="12314" width="15" style="1932" customWidth="1"/>
    <col min="12315" max="12315" width="10.85546875" style="1932" customWidth="1"/>
    <col min="12316" max="12316" width="17.42578125" style="1932" customWidth="1"/>
    <col min="12317" max="12317" width="49.28515625" style="1932" customWidth="1"/>
    <col min="12318" max="12553" width="16.42578125" style="1932"/>
    <col min="12554" max="12554" width="10.140625" style="1932" customWidth="1"/>
    <col min="12555" max="12555" width="39" style="1932" customWidth="1"/>
    <col min="12556" max="12556" width="27.5703125" style="1932" customWidth="1"/>
    <col min="12557" max="12557" width="10" style="1932" customWidth="1"/>
    <col min="12558" max="12558" width="6.5703125" style="1932" customWidth="1"/>
    <col min="12559" max="12559" width="7.42578125" style="1932" customWidth="1"/>
    <col min="12560" max="12560" width="8.42578125" style="1932" customWidth="1"/>
    <col min="12561" max="12561" width="15.7109375" style="1932" customWidth="1"/>
    <col min="12562" max="12562" width="8.28515625" style="1932" customWidth="1"/>
    <col min="12563" max="12563" width="14.28515625" style="1932" customWidth="1"/>
    <col min="12564" max="12564" width="10.85546875" style="1932" bestFit="1" customWidth="1"/>
    <col min="12565" max="12565" width="12.28515625" style="1932" customWidth="1"/>
    <col min="12566" max="12566" width="11.85546875" style="1932" customWidth="1"/>
    <col min="12567" max="12567" width="14" style="1932" customWidth="1"/>
    <col min="12568" max="12568" width="12.85546875" style="1932" customWidth="1"/>
    <col min="12569" max="12569" width="12.7109375" style="1932" customWidth="1"/>
    <col min="12570" max="12570" width="15" style="1932" customWidth="1"/>
    <col min="12571" max="12571" width="10.85546875" style="1932" customWidth="1"/>
    <col min="12572" max="12572" width="17.42578125" style="1932" customWidth="1"/>
    <col min="12573" max="12573" width="49.28515625" style="1932" customWidth="1"/>
    <col min="12574" max="12809" width="16.42578125" style="1932"/>
    <col min="12810" max="12810" width="10.140625" style="1932" customWidth="1"/>
    <col min="12811" max="12811" width="39" style="1932" customWidth="1"/>
    <col min="12812" max="12812" width="27.5703125" style="1932" customWidth="1"/>
    <col min="12813" max="12813" width="10" style="1932" customWidth="1"/>
    <col min="12814" max="12814" width="6.5703125" style="1932" customWidth="1"/>
    <col min="12815" max="12815" width="7.42578125" style="1932" customWidth="1"/>
    <col min="12816" max="12816" width="8.42578125" style="1932" customWidth="1"/>
    <col min="12817" max="12817" width="15.7109375" style="1932" customWidth="1"/>
    <col min="12818" max="12818" width="8.28515625" style="1932" customWidth="1"/>
    <col min="12819" max="12819" width="14.28515625" style="1932" customWidth="1"/>
    <col min="12820" max="12820" width="10.85546875" style="1932" bestFit="1" customWidth="1"/>
    <col min="12821" max="12821" width="12.28515625" style="1932" customWidth="1"/>
    <col min="12822" max="12822" width="11.85546875" style="1932" customWidth="1"/>
    <col min="12823" max="12823" width="14" style="1932" customWidth="1"/>
    <col min="12824" max="12824" width="12.85546875" style="1932" customWidth="1"/>
    <col min="12825" max="12825" width="12.7109375" style="1932" customWidth="1"/>
    <col min="12826" max="12826" width="15" style="1932" customWidth="1"/>
    <col min="12827" max="12827" width="10.85546875" style="1932" customWidth="1"/>
    <col min="12828" max="12828" width="17.42578125" style="1932" customWidth="1"/>
    <col min="12829" max="12829" width="49.28515625" style="1932" customWidth="1"/>
    <col min="12830" max="13065" width="16.42578125" style="1932"/>
    <col min="13066" max="13066" width="10.140625" style="1932" customWidth="1"/>
    <col min="13067" max="13067" width="39" style="1932" customWidth="1"/>
    <col min="13068" max="13068" width="27.5703125" style="1932" customWidth="1"/>
    <col min="13069" max="13069" width="10" style="1932" customWidth="1"/>
    <col min="13070" max="13070" width="6.5703125" style="1932" customWidth="1"/>
    <col min="13071" max="13071" width="7.42578125" style="1932" customWidth="1"/>
    <col min="13072" max="13072" width="8.42578125" style="1932" customWidth="1"/>
    <col min="13073" max="13073" width="15.7109375" style="1932" customWidth="1"/>
    <col min="13074" max="13074" width="8.28515625" style="1932" customWidth="1"/>
    <col min="13075" max="13075" width="14.28515625" style="1932" customWidth="1"/>
    <col min="13076" max="13076" width="10.85546875" style="1932" bestFit="1" customWidth="1"/>
    <col min="13077" max="13077" width="12.28515625" style="1932" customWidth="1"/>
    <col min="13078" max="13078" width="11.85546875" style="1932" customWidth="1"/>
    <col min="13079" max="13079" width="14" style="1932" customWidth="1"/>
    <col min="13080" max="13080" width="12.85546875" style="1932" customWidth="1"/>
    <col min="13081" max="13081" width="12.7109375" style="1932" customWidth="1"/>
    <col min="13082" max="13082" width="15" style="1932" customWidth="1"/>
    <col min="13083" max="13083" width="10.85546875" style="1932" customWidth="1"/>
    <col min="13084" max="13084" width="17.42578125" style="1932" customWidth="1"/>
    <col min="13085" max="13085" width="49.28515625" style="1932" customWidth="1"/>
    <col min="13086" max="13321" width="16.42578125" style="1932"/>
    <col min="13322" max="13322" width="10.140625" style="1932" customWidth="1"/>
    <col min="13323" max="13323" width="39" style="1932" customWidth="1"/>
    <col min="13324" max="13324" width="27.5703125" style="1932" customWidth="1"/>
    <col min="13325" max="13325" width="10" style="1932" customWidth="1"/>
    <col min="13326" max="13326" width="6.5703125" style="1932" customWidth="1"/>
    <col min="13327" max="13327" width="7.42578125" style="1932" customWidth="1"/>
    <col min="13328" max="13328" width="8.42578125" style="1932" customWidth="1"/>
    <col min="13329" max="13329" width="15.7109375" style="1932" customWidth="1"/>
    <col min="13330" max="13330" width="8.28515625" style="1932" customWidth="1"/>
    <col min="13331" max="13331" width="14.28515625" style="1932" customWidth="1"/>
    <col min="13332" max="13332" width="10.85546875" style="1932" bestFit="1" customWidth="1"/>
    <col min="13333" max="13333" width="12.28515625" style="1932" customWidth="1"/>
    <col min="13334" max="13334" width="11.85546875" style="1932" customWidth="1"/>
    <col min="13335" max="13335" width="14" style="1932" customWidth="1"/>
    <col min="13336" max="13336" width="12.85546875" style="1932" customWidth="1"/>
    <col min="13337" max="13337" width="12.7109375" style="1932" customWidth="1"/>
    <col min="13338" max="13338" width="15" style="1932" customWidth="1"/>
    <col min="13339" max="13339" width="10.85546875" style="1932" customWidth="1"/>
    <col min="13340" max="13340" width="17.42578125" style="1932" customWidth="1"/>
    <col min="13341" max="13341" width="49.28515625" style="1932" customWidth="1"/>
    <col min="13342" max="13577" width="16.42578125" style="1932"/>
    <col min="13578" max="13578" width="10.140625" style="1932" customWidth="1"/>
    <col min="13579" max="13579" width="39" style="1932" customWidth="1"/>
    <col min="13580" max="13580" width="27.5703125" style="1932" customWidth="1"/>
    <col min="13581" max="13581" width="10" style="1932" customWidth="1"/>
    <col min="13582" max="13582" width="6.5703125" style="1932" customWidth="1"/>
    <col min="13583" max="13583" width="7.42578125" style="1932" customWidth="1"/>
    <col min="13584" max="13584" width="8.42578125" style="1932" customWidth="1"/>
    <col min="13585" max="13585" width="15.7109375" style="1932" customWidth="1"/>
    <col min="13586" max="13586" width="8.28515625" style="1932" customWidth="1"/>
    <col min="13587" max="13587" width="14.28515625" style="1932" customWidth="1"/>
    <col min="13588" max="13588" width="10.85546875" style="1932" bestFit="1" customWidth="1"/>
    <col min="13589" max="13589" width="12.28515625" style="1932" customWidth="1"/>
    <col min="13590" max="13590" width="11.85546875" style="1932" customWidth="1"/>
    <col min="13591" max="13591" width="14" style="1932" customWidth="1"/>
    <col min="13592" max="13592" width="12.85546875" style="1932" customWidth="1"/>
    <col min="13593" max="13593" width="12.7109375" style="1932" customWidth="1"/>
    <col min="13594" max="13594" width="15" style="1932" customWidth="1"/>
    <col min="13595" max="13595" width="10.85546875" style="1932" customWidth="1"/>
    <col min="13596" max="13596" width="17.42578125" style="1932" customWidth="1"/>
    <col min="13597" max="13597" width="49.28515625" style="1932" customWidth="1"/>
    <col min="13598" max="13833" width="16.42578125" style="1932"/>
    <col min="13834" max="13834" width="10.140625" style="1932" customWidth="1"/>
    <col min="13835" max="13835" width="39" style="1932" customWidth="1"/>
    <col min="13836" max="13836" width="27.5703125" style="1932" customWidth="1"/>
    <col min="13837" max="13837" width="10" style="1932" customWidth="1"/>
    <col min="13838" max="13838" width="6.5703125" style="1932" customWidth="1"/>
    <col min="13839" max="13839" width="7.42578125" style="1932" customWidth="1"/>
    <col min="13840" max="13840" width="8.42578125" style="1932" customWidth="1"/>
    <col min="13841" max="13841" width="15.7109375" style="1932" customWidth="1"/>
    <col min="13842" max="13842" width="8.28515625" style="1932" customWidth="1"/>
    <col min="13843" max="13843" width="14.28515625" style="1932" customWidth="1"/>
    <col min="13844" max="13844" width="10.85546875" style="1932" bestFit="1" customWidth="1"/>
    <col min="13845" max="13845" width="12.28515625" style="1932" customWidth="1"/>
    <col min="13846" max="13846" width="11.85546875" style="1932" customWidth="1"/>
    <col min="13847" max="13847" width="14" style="1932" customWidth="1"/>
    <col min="13848" max="13848" width="12.85546875" style="1932" customWidth="1"/>
    <col min="13849" max="13849" width="12.7109375" style="1932" customWidth="1"/>
    <col min="13850" max="13850" width="15" style="1932" customWidth="1"/>
    <col min="13851" max="13851" width="10.85546875" style="1932" customWidth="1"/>
    <col min="13852" max="13852" width="17.42578125" style="1932" customWidth="1"/>
    <col min="13853" max="13853" width="49.28515625" style="1932" customWidth="1"/>
    <col min="13854" max="14089" width="16.42578125" style="1932"/>
    <col min="14090" max="14090" width="10.140625" style="1932" customWidth="1"/>
    <col min="14091" max="14091" width="39" style="1932" customWidth="1"/>
    <col min="14092" max="14092" width="27.5703125" style="1932" customWidth="1"/>
    <col min="14093" max="14093" width="10" style="1932" customWidth="1"/>
    <col min="14094" max="14094" width="6.5703125" style="1932" customWidth="1"/>
    <col min="14095" max="14095" width="7.42578125" style="1932" customWidth="1"/>
    <col min="14096" max="14096" width="8.42578125" style="1932" customWidth="1"/>
    <col min="14097" max="14097" width="15.7109375" style="1932" customWidth="1"/>
    <col min="14098" max="14098" width="8.28515625" style="1932" customWidth="1"/>
    <col min="14099" max="14099" width="14.28515625" style="1932" customWidth="1"/>
    <col min="14100" max="14100" width="10.85546875" style="1932" bestFit="1" customWidth="1"/>
    <col min="14101" max="14101" width="12.28515625" style="1932" customWidth="1"/>
    <col min="14102" max="14102" width="11.85546875" style="1932" customWidth="1"/>
    <col min="14103" max="14103" width="14" style="1932" customWidth="1"/>
    <col min="14104" max="14104" width="12.85546875" style="1932" customWidth="1"/>
    <col min="14105" max="14105" width="12.7109375" style="1932" customWidth="1"/>
    <col min="14106" max="14106" width="15" style="1932" customWidth="1"/>
    <col min="14107" max="14107" width="10.85546875" style="1932" customWidth="1"/>
    <col min="14108" max="14108" width="17.42578125" style="1932" customWidth="1"/>
    <col min="14109" max="14109" width="49.28515625" style="1932" customWidth="1"/>
    <col min="14110" max="14345" width="16.42578125" style="1932"/>
    <col min="14346" max="14346" width="10.140625" style="1932" customWidth="1"/>
    <col min="14347" max="14347" width="39" style="1932" customWidth="1"/>
    <col min="14348" max="14348" width="27.5703125" style="1932" customWidth="1"/>
    <col min="14349" max="14349" width="10" style="1932" customWidth="1"/>
    <col min="14350" max="14350" width="6.5703125" style="1932" customWidth="1"/>
    <col min="14351" max="14351" width="7.42578125" style="1932" customWidth="1"/>
    <col min="14352" max="14352" width="8.42578125" style="1932" customWidth="1"/>
    <col min="14353" max="14353" width="15.7109375" style="1932" customWidth="1"/>
    <col min="14354" max="14354" width="8.28515625" style="1932" customWidth="1"/>
    <col min="14355" max="14355" width="14.28515625" style="1932" customWidth="1"/>
    <col min="14356" max="14356" width="10.85546875" style="1932" bestFit="1" customWidth="1"/>
    <col min="14357" max="14357" width="12.28515625" style="1932" customWidth="1"/>
    <col min="14358" max="14358" width="11.85546875" style="1932" customWidth="1"/>
    <col min="14359" max="14359" width="14" style="1932" customWidth="1"/>
    <col min="14360" max="14360" width="12.85546875" style="1932" customWidth="1"/>
    <col min="14361" max="14361" width="12.7109375" style="1932" customWidth="1"/>
    <col min="14362" max="14362" width="15" style="1932" customWidth="1"/>
    <col min="14363" max="14363" width="10.85546875" style="1932" customWidth="1"/>
    <col min="14364" max="14364" width="17.42578125" style="1932" customWidth="1"/>
    <col min="14365" max="14365" width="49.28515625" style="1932" customWidth="1"/>
    <col min="14366" max="14601" width="16.42578125" style="1932"/>
    <col min="14602" max="14602" width="10.140625" style="1932" customWidth="1"/>
    <col min="14603" max="14603" width="39" style="1932" customWidth="1"/>
    <col min="14604" max="14604" width="27.5703125" style="1932" customWidth="1"/>
    <col min="14605" max="14605" width="10" style="1932" customWidth="1"/>
    <col min="14606" max="14606" width="6.5703125" style="1932" customWidth="1"/>
    <col min="14607" max="14607" width="7.42578125" style="1932" customWidth="1"/>
    <col min="14608" max="14608" width="8.42578125" style="1932" customWidth="1"/>
    <col min="14609" max="14609" width="15.7109375" style="1932" customWidth="1"/>
    <col min="14610" max="14610" width="8.28515625" style="1932" customWidth="1"/>
    <col min="14611" max="14611" width="14.28515625" style="1932" customWidth="1"/>
    <col min="14612" max="14612" width="10.85546875" style="1932" bestFit="1" customWidth="1"/>
    <col min="14613" max="14613" width="12.28515625" style="1932" customWidth="1"/>
    <col min="14614" max="14614" width="11.85546875" style="1932" customWidth="1"/>
    <col min="14615" max="14615" width="14" style="1932" customWidth="1"/>
    <col min="14616" max="14616" width="12.85546875" style="1932" customWidth="1"/>
    <col min="14617" max="14617" width="12.7109375" style="1932" customWidth="1"/>
    <col min="14618" max="14618" width="15" style="1932" customWidth="1"/>
    <col min="14619" max="14619" width="10.85546875" style="1932" customWidth="1"/>
    <col min="14620" max="14620" width="17.42578125" style="1932" customWidth="1"/>
    <col min="14621" max="14621" width="49.28515625" style="1932" customWidth="1"/>
    <col min="14622" max="14857" width="16.42578125" style="1932"/>
    <col min="14858" max="14858" width="10.140625" style="1932" customWidth="1"/>
    <col min="14859" max="14859" width="39" style="1932" customWidth="1"/>
    <col min="14860" max="14860" width="27.5703125" style="1932" customWidth="1"/>
    <col min="14861" max="14861" width="10" style="1932" customWidth="1"/>
    <col min="14862" max="14862" width="6.5703125" style="1932" customWidth="1"/>
    <col min="14863" max="14863" width="7.42578125" style="1932" customWidth="1"/>
    <col min="14864" max="14864" width="8.42578125" style="1932" customWidth="1"/>
    <col min="14865" max="14865" width="15.7109375" style="1932" customWidth="1"/>
    <col min="14866" max="14866" width="8.28515625" style="1932" customWidth="1"/>
    <col min="14867" max="14867" width="14.28515625" style="1932" customWidth="1"/>
    <col min="14868" max="14868" width="10.85546875" style="1932" bestFit="1" customWidth="1"/>
    <col min="14869" max="14869" width="12.28515625" style="1932" customWidth="1"/>
    <col min="14870" max="14870" width="11.85546875" style="1932" customWidth="1"/>
    <col min="14871" max="14871" width="14" style="1932" customWidth="1"/>
    <col min="14872" max="14872" width="12.85546875" style="1932" customWidth="1"/>
    <col min="14873" max="14873" width="12.7109375" style="1932" customWidth="1"/>
    <col min="14874" max="14874" width="15" style="1932" customWidth="1"/>
    <col min="14875" max="14875" width="10.85546875" style="1932" customWidth="1"/>
    <col min="14876" max="14876" width="17.42578125" style="1932" customWidth="1"/>
    <col min="14877" max="14877" width="49.28515625" style="1932" customWidth="1"/>
    <col min="14878" max="15113" width="16.42578125" style="1932"/>
    <col min="15114" max="15114" width="10.140625" style="1932" customWidth="1"/>
    <col min="15115" max="15115" width="39" style="1932" customWidth="1"/>
    <col min="15116" max="15116" width="27.5703125" style="1932" customWidth="1"/>
    <col min="15117" max="15117" width="10" style="1932" customWidth="1"/>
    <col min="15118" max="15118" width="6.5703125" style="1932" customWidth="1"/>
    <col min="15119" max="15119" width="7.42578125" style="1932" customWidth="1"/>
    <col min="15120" max="15120" width="8.42578125" style="1932" customWidth="1"/>
    <col min="15121" max="15121" width="15.7109375" style="1932" customWidth="1"/>
    <col min="15122" max="15122" width="8.28515625" style="1932" customWidth="1"/>
    <col min="15123" max="15123" width="14.28515625" style="1932" customWidth="1"/>
    <col min="15124" max="15124" width="10.85546875" style="1932" bestFit="1" customWidth="1"/>
    <col min="15125" max="15125" width="12.28515625" style="1932" customWidth="1"/>
    <col min="15126" max="15126" width="11.85546875" style="1932" customWidth="1"/>
    <col min="15127" max="15127" width="14" style="1932" customWidth="1"/>
    <col min="15128" max="15128" width="12.85546875" style="1932" customWidth="1"/>
    <col min="15129" max="15129" width="12.7109375" style="1932" customWidth="1"/>
    <col min="15130" max="15130" width="15" style="1932" customWidth="1"/>
    <col min="15131" max="15131" width="10.85546875" style="1932" customWidth="1"/>
    <col min="15132" max="15132" width="17.42578125" style="1932" customWidth="1"/>
    <col min="15133" max="15133" width="49.28515625" style="1932" customWidth="1"/>
    <col min="15134" max="15369" width="16.42578125" style="1932"/>
    <col min="15370" max="15370" width="10.140625" style="1932" customWidth="1"/>
    <col min="15371" max="15371" width="39" style="1932" customWidth="1"/>
    <col min="15372" max="15372" width="27.5703125" style="1932" customWidth="1"/>
    <col min="15373" max="15373" width="10" style="1932" customWidth="1"/>
    <col min="15374" max="15374" width="6.5703125" style="1932" customWidth="1"/>
    <col min="15375" max="15375" width="7.42578125" style="1932" customWidth="1"/>
    <col min="15376" max="15376" width="8.42578125" style="1932" customWidth="1"/>
    <col min="15377" max="15377" width="15.7109375" style="1932" customWidth="1"/>
    <col min="15378" max="15378" width="8.28515625" style="1932" customWidth="1"/>
    <col min="15379" max="15379" width="14.28515625" style="1932" customWidth="1"/>
    <col min="15380" max="15380" width="10.85546875" style="1932" bestFit="1" customWidth="1"/>
    <col min="15381" max="15381" width="12.28515625" style="1932" customWidth="1"/>
    <col min="15382" max="15382" width="11.85546875" style="1932" customWidth="1"/>
    <col min="15383" max="15383" width="14" style="1932" customWidth="1"/>
    <col min="15384" max="15384" width="12.85546875" style="1932" customWidth="1"/>
    <col min="15385" max="15385" width="12.7109375" style="1932" customWidth="1"/>
    <col min="15386" max="15386" width="15" style="1932" customWidth="1"/>
    <col min="15387" max="15387" width="10.85546875" style="1932" customWidth="1"/>
    <col min="15388" max="15388" width="17.42578125" style="1932" customWidth="1"/>
    <col min="15389" max="15389" width="49.28515625" style="1932" customWidth="1"/>
    <col min="15390" max="15625" width="16.42578125" style="1932"/>
    <col min="15626" max="15626" width="10.140625" style="1932" customWidth="1"/>
    <col min="15627" max="15627" width="39" style="1932" customWidth="1"/>
    <col min="15628" max="15628" width="27.5703125" style="1932" customWidth="1"/>
    <col min="15629" max="15629" width="10" style="1932" customWidth="1"/>
    <col min="15630" max="15630" width="6.5703125" style="1932" customWidth="1"/>
    <col min="15631" max="15631" width="7.42578125" style="1932" customWidth="1"/>
    <col min="15632" max="15632" width="8.42578125" style="1932" customWidth="1"/>
    <col min="15633" max="15633" width="15.7109375" style="1932" customWidth="1"/>
    <col min="15634" max="15634" width="8.28515625" style="1932" customWidth="1"/>
    <col min="15635" max="15635" width="14.28515625" style="1932" customWidth="1"/>
    <col min="15636" max="15636" width="10.85546875" style="1932" bestFit="1" customWidth="1"/>
    <col min="15637" max="15637" width="12.28515625" style="1932" customWidth="1"/>
    <col min="15638" max="15638" width="11.85546875" style="1932" customWidth="1"/>
    <col min="15639" max="15639" width="14" style="1932" customWidth="1"/>
    <col min="15640" max="15640" width="12.85546875" style="1932" customWidth="1"/>
    <col min="15641" max="15641" width="12.7109375" style="1932" customWidth="1"/>
    <col min="15642" max="15642" width="15" style="1932" customWidth="1"/>
    <col min="15643" max="15643" width="10.85546875" style="1932" customWidth="1"/>
    <col min="15644" max="15644" width="17.42578125" style="1932" customWidth="1"/>
    <col min="15645" max="15645" width="49.28515625" style="1932" customWidth="1"/>
    <col min="15646" max="15881" width="16.42578125" style="1932"/>
    <col min="15882" max="15882" width="10.140625" style="1932" customWidth="1"/>
    <col min="15883" max="15883" width="39" style="1932" customWidth="1"/>
    <col min="15884" max="15884" width="27.5703125" style="1932" customWidth="1"/>
    <col min="15885" max="15885" width="10" style="1932" customWidth="1"/>
    <col min="15886" max="15886" width="6.5703125" style="1932" customWidth="1"/>
    <col min="15887" max="15887" width="7.42578125" style="1932" customWidth="1"/>
    <col min="15888" max="15888" width="8.42578125" style="1932" customWidth="1"/>
    <col min="15889" max="15889" width="15.7109375" style="1932" customWidth="1"/>
    <col min="15890" max="15890" width="8.28515625" style="1932" customWidth="1"/>
    <col min="15891" max="15891" width="14.28515625" style="1932" customWidth="1"/>
    <col min="15892" max="15892" width="10.85546875" style="1932" bestFit="1" customWidth="1"/>
    <col min="15893" max="15893" width="12.28515625" style="1932" customWidth="1"/>
    <col min="15894" max="15894" width="11.85546875" style="1932" customWidth="1"/>
    <col min="15895" max="15895" width="14" style="1932" customWidth="1"/>
    <col min="15896" max="15896" width="12.85546875" style="1932" customWidth="1"/>
    <col min="15897" max="15897" width="12.7109375" style="1932" customWidth="1"/>
    <col min="15898" max="15898" width="15" style="1932" customWidth="1"/>
    <col min="15899" max="15899" width="10.85546875" style="1932" customWidth="1"/>
    <col min="15900" max="15900" width="17.42578125" style="1932" customWidth="1"/>
    <col min="15901" max="15901" width="49.28515625" style="1932" customWidth="1"/>
    <col min="15902" max="16137" width="16.42578125" style="1932"/>
    <col min="16138" max="16138" width="10.140625" style="1932" customWidth="1"/>
    <col min="16139" max="16139" width="39" style="1932" customWidth="1"/>
    <col min="16140" max="16140" width="27.5703125" style="1932" customWidth="1"/>
    <col min="16141" max="16141" width="10" style="1932" customWidth="1"/>
    <col min="16142" max="16142" width="6.5703125" style="1932" customWidth="1"/>
    <col min="16143" max="16143" width="7.42578125" style="1932" customWidth="1"/>
    <col min="16144" max="16144" width="8.42578125" style="1932" customWidth="1"/>
    <col min="16145" max="16145" width="15.7109375" style="1932" customWidth="1"/>
    <col min="16146" max="16146" width="8.28515625" style="1932" customWidth="1"/>
    <col min="16147" max="16147" width="14.28515625" style="1932" customWidth="1"/>
    <col min="16148" max="16148" width="10.85546875" style="1932" bestFit="1" customWidth="1"/>
    <col min="16149" max="16149" width="12.28515625" style="1932" customWidth="1"/>
    <col min="16150" max="16150" width="11.85546875" style="1932" customWidth="1"/>
    <col min="16151" max="16151" width="14" style="1932" customWidth="1"/>
    <col min="16152" max="16152" width="12.85546875" style="1932" customWidth="1"/>
    <col min="16153" max="16153" width="12.7109375" style="1932" customWidth="1"/>
    <col min="16154" max="16154" width="15" style="1932" customWidth="1"/>
    <col min="16155" max="16155" width="10.85546875" style="1932" customWidth="1"/>
    <col min="16156" max="16156" width="17.42578125" style="1932" customWidth="1"/>
    <col min="16157" max="16157" width="49.28515625" style="1932" customWidth="1"/>
    <col min="16158" max="16384" width="16.42578125" style="1932"/>
  </cols>
  <sheetData>
    <row r="1" spans="1:40" ht="23.25" customHeight="1">
      <c r="A1" s="1921"/>
      <c r="B1" s="1921"/>
      <c r="C1" s="1922"/>
      <c r="D1" s="1922"/>
      <c r="E1" s="1923" t="s">
        <v>0</v>
      </c>
      <c r="F1" s="1924"/>
      <c r="G1" s="1924"/>
      <c r="H1" s="1924"/>
      <c r="I1" s="1925"/>
      <c r="J1" s="1922"/>
      <c r="K1" s="1923"/>
      <c r="L1" s="1923"/>
      <c r="M1" s="1923"/>
      <c r="N1" s="1922"/>
      <c r="O1" s="1926"/>
      <c r="P1" s="1927"/>
      <c r="Q1" s="1928"/>
      <c r="R1" s="1922"/>
      <c r="S1" s="1929"/>
      <c r="T1" s="1925"/>
      <c r="U1" s="1925"/>
      <c r="V1" s="1925"/>
      <c r="W1" s="1925"/>
      <c r="X1" s="1930"/>
      <c r="Y1" s="1930"/>
      <c r="Z1" s="1930"/>
      <c r="AA1" s="1922"/>
      <c r="AB1" s="1926"/>
      <c r="AC1" s="1927"/>
      <c r="AD1" s="1931"/>
      <c r="AE1" s="1922"/>
      <c r="AF1" s="1922"/>
      <c r="AG1" s="1922"/>
    </row>
    <row r="2" spans="1:40" ht="24" customHeight="1">
      <c r="A2" s="1936" t="s">
        <v>1047</v>
      </c>
      <c r="B2" s="1936"/>
      <c r="C2" s="1937"/>
      <c r="D2" s="1938" t="s">
        <v>1048</v>
      </c>
      <c r="E2" s="1921"/>
      <c r="F2" s="1925"/>
      <c r="G2" s="1925"/>
      <c r="H2" s="1925"/>
      <c r="I2" s="1925"/>
      <c r="J2" s="1922"/>
      <c r="K2" s="1921"/>
      <c r="L2" s="1921"/>
      <c r="M2" s="1921"/>
      <c r="N2" s="1922"/>
      <c r="O2" s="1926"/>
      <c r="P2" s="1927"/>
      <c r="Q2" s="1928"/>
      <c r="R2" s="1922"/>
      <c r="S2" s="1929"/>
      <c r="T2" s="1925"/>
      <c r="U2" s="1925"/>
      <c r="V2" s="1925"/>
      <c r="W2" s="1925"/>
      <c r="X2" s="1930"/>
      <c r="Y2" s="1930"/>
      <c r="Z2" s="1930"/>
      <c r="AA2" s="1922"/>
      <c r="AB2" s="1926"/>
      <c r="AC2" s="1927"/>
      <c r="AD2" s="1931"/>
      <c r="AE2" s="1922"/>
      <c r="AF2" s="1922"/>
      <c r="AG2" s="1922"/>
    </row>
    <row r="3" spans="1:40" ht="21.75" customHeight="1">
      <c r="A3" s="1936" t="s">
        <v>3</v>
      </c>
      <c r="B3" s="1936"/>
      <c r="C3" s="1937"/>
      <c r="D3" s="1938" t="s">
        <v>508</v>
      </c>
      <c r="E3" s="1921"/>
      <c r="F3" s="1925"/>
      <c r="G3" s="1925"/>
      <c r="H3" s="1925"/>
      <c r="I3" s="1925"/>
      <c r="J3" s="1922"/>
      <c r="K3" s="1921"/>
      <c r="L3" s="1921"/>
      <c r="M3" s="1921"/>
      <c r="N3" s="1922"/>
      <c r="O3" s="1926"/>
      <c r="P3" s="1927"/>
      <c r="Q3" s="1928"/>
      <c r="R3" s="1922"/>
      <c r="S3" s="1929"/>
      <c r="T3" s="1925"/>
      <c r="U3" s="1925"/>
      <c r="V3" s="1925"/>
      <c r="W3" s="1925"/>
      <c r="X3" s="1930"/>
      <c r="Y3" s="1930"/>
      <c r="Z3" s="1930"/>
      <c r="AA3" s="1922"/>
      <c r="AB3" s="1926"/>
      <c r="AC3" s="1927"/>
      <c r="AD3" s="1931"/>
      <c r="AE3" s="1922"/>
      <c r="AF3" s="1922"/>
      <c r="AG3" s="1922"/>
    </row>
    <row r="4" spans="1:40" ht="48" hidden="1" customHeight="1">
      <c r="A4" s="1936" t="s">
        <v>5</v>
      </c>
      <c r="B4" s="1936"/>
      <c r="C4" s="1939"/>
      <c r="D4" s="1940" t="s">
        <v>6</v>
      </c>
      <c r="E4" s="1941"/>
      <c r="F4" s="1942"/>
      <c r="G4" s="1942"/>
      <c r="H4" s="1942"/>
      <c r="I4" s="1943"/>
      <c r="J4" s="1941"/>
      <c r="K4" s="1941"/>
      <c r="L4" s="1941"/>
      <c r="M4" s="1941"/>
      <c r="N4" s="1944"/>
      <c r="O4" s="1944"/>
      <c r="P4" s="1945"/>
      <c r="Q4" s="1946"/>
      <c r="R4" s="1941"/>
      <c r="S4" s="1947"/>
      <c r="T4" s="1942"/>
      <c r="U4" s="1942"/>
      <c r="V4" s="1942"/>
      <c r="W4" s="1943"/>
      <c r="X4" s="1941"/>
      <c r="Y4" s="1941"/>
      <c r="Z4" s="1941"/>
      <c r="AA4" s="1944"/>
      <c r="AB4" s="1944"/>
      <c r="AC4" s="1945"/>
      <c r="AD4" s="1948"/>
      <c r="AE4" s="1941"/>
      <c r="AF4" s="1941"/>
      <c r="AG4" s="1941"/>
    </row>
    <row r="5" spans="1:40" ht="48" hidden="1" customHeight="1">
      <c r="A5" s="1936" t="s">
        <v>509</v>
      </c>
      <c r="B5" s="1936"/>
      <c r="C5" s="1949"/>
      <c r="D5" s="1950">
        <f>AG115</f>
        <v>541214.95499999996</v>
      </c>
      <c r="E5" s="1941"/>
      <c r="F5" s="1942"/>
      <c r="G5" s="1942"/>
      <c r="H5" s="1942"/>
      <c r="I5" s="1943"/>
      <c r="J5" s="1941"/>
      <c r="K5" s="1941"/>
      <c r="L5" s="1941"/>
      <c r="M5" s="1941"/>
      <c r="N5" s="1944"/>
      <c r="O5" s="1944"/>
      <c r="P5" s="1945"/>
      <c r="Q5" s="1946"/>
      <c r="R5" s="1941"/>
      <c r="S5" s="1947"/>
      <c r="T5" s="1942"/>
      <c r="U5" s="1942"/>
      <c r="V5" s="1942"/>
      <c r="W5" s="1943"/>
      <c r="X5" s="1941"/>
      <c r="Y5" s="1941"/>
      <c r="Z5" s="1941"/>
      <c r="AA5" s="1944"/>
      <c r="AB5" s="1944"/>
      <c r="AC5" s="1945"/>
      <c r="AD5" s="1948"/>
      <c r="AE5" s="1941"/>
      <c r="AF5" s="1941"/>
      <c r="AG5" s="1941"/>
    </row>
    <row r="6" spans="1:40" ht="48" hidden="1" customHeight="1">
      <c r="A6" s="1923" t="s">
        <v>1049</v>
      </c>
      <c r="B6" s="1923"/>
      <c r="C6" s="1939"/>
      <c r="D6" s="1950">
        <f>D5*0.07</f>
        <v>37885.046849999999</v>
      </c>
      <c r="E6" s="1941"/>
      <c r="F6" s="1942"/>
      <c r="G6" s="1942"/>
      <c r="H6" s="1942"/>
      <c r="I6" s="1943"/>
      <c r="J6" s="1941"/>
      <c r="K6" s="1941"/>
      <c r="L6" s="1941"/>
      <c r="M6" s="1941"/>
      <c r="N6" s="1944"/>
      <c r="O6" s="1944"/>
      <c r="P6" s="1945"/>
      <c r="Q6" s="1946"/>
      <c r="R6" s="1941" t="e">
        <f>A65/95</f>
        <v>#REF!</v>
      </c>
      <c r="S6" s="1947"/>
      <c r="T6" s="1942"/>
      <c r="U6" s="1942"/>
      <c r="V6" s="1942"/>
      <c r="W6" s="1943"/>
      <c r="X6" s="1941"/>
      <c r="Y6" s="1941"/>
      <c r="Z6" s="1941"/>
      <c r="AA6" s="1944"/>
      <c r="AB6" s="1944"/>
      <c r="AC6" s="1945"/>
      <c r="AD6" s="1948"/>
      <c r="AE6" s="1941"/>
      <c r="AF6" s="1941"/>
      <c r="AG6" s="1941"/>
    </row>
    <row r="7" spans="1:40" ht="48" hidden="1" customHeight="1">
      <c r="A7" s="1923" t="s">
        <v>511</v>
      </c>
      <c r="B7" s="1923"/>
      <c r="C7" s="1939"/>
      <c r="D7" s="1951">
        <f>D5+D6</f>
        <v>579100.00185</v>
      </c>
      <c r="E7" s="1941"/>
      <c r="F7" s="1942"/>
      <c r="G7" s="1942"/>
      <c r="H7" s="1942"/>
      <c r="I7" s="1943"/>
      <c r="J7" s="1941"/>
      <c r="K7" s="1941"/>
      <c r="L7" s="1941"/>
      <c r="M7" s="1941"/>
      <c r="N7" s="1944"/>
      <c r="O7" s="1944"/>
      <c r="P7" s="1945"/>
      <c r="Q7" s="1946"/>
      <c r="R7" s="1941"/>
      <c r="S7" s="1947"/>
      <c r="T7" s="1942"/>
      <c r="U7" s="1942"/>
      <c r="V7" s="1942"/>
      <c r="W7" s="1943"/>
      <c r="X7" s="1941"/>
      <c r="Y7" s="1941"/>
      <c r="Z7" s="1941"/>
      <c r="AA7" s="1944"/>
      <c r="AB7" s="1944"/>
      <c r="AC7" s="1945"/>
      <c r="AD7" s="1948"/>
      <c r="AE7" s="1941"/>
      <c r="AF7" s="1941"/>
      <c r="AG7" s="1941"/>
    </row>
    <row r="8" spans="1:40" ht="48" hidden="1" customHeight="1">
      <c r="A8" s="1921"/>
      <c r="B8" s="1921"/>
      <c r="C8" s="1922"/>
      <c r="D8" s="1922"/>
      <c r="E8" s="1921"/>
      <c r="F8" s="1925"/>
      <c r="G8" s="1925"/>
      <c r="H8" s="1925"/>
      <c r="I8" s="1925"/>
      <c r="J8" s="1922"/>
      <c r="K8" s="1921"/>
      <c r="L8" s="1921"/>
      <c r="M8" s="1921"/>
      <c r="N8" s="1922"/>
      <c r="O8" s="1926"/>
      <c r="P8" s="1927"/>
      <c r="Q8" s="1928"/>
      <c r="R8" s="1922"/>
      <c r="S8" s="1929"/>
      <c r="T8" s="1925"/>
      <c r="U8" s="1925"/>
      <c r="V8" s="1925"/>
      <c r="W8" s="1925"/>
      <c r="X8" s="1930"/>
      <c r="Y8" s="1930"/>
      <c r="Z8" s="1930"/>
      <c r="AA8" s="1922"/>
      <c r="AB8" s="1926"/>
      <c r="AC8" s="1927"/>
      <c r="AD8" s="1931"/>
      <c r="AE8" s="1922"/>
      <c r="AF8" s="1922"/>
      <c r="AG8" s="1922"/>
    </row>
    <row r="9" spans="1:40" ht="45" customHeight="1">
      <c r="A9" s="1952" t="s">
        <v>10</v>
      </c>
      <c r="B9" s="1952"/>
      <c r="C9" s="1952" t="s">
        <v>11</v>
      </c>
      <c r="D9" s="1952" t="s">
        <v>12</v>
      </c>
      <c r="E9" s="1952" t="s">
        <v>13</v>
      </c>
      <c r="F9" s="1953" t="s">
        <v>14</v>
      </c>
      <c r="G9" s="1953" t="s">
        <v>15</v>
      </c>
      <c r="H9" s="1953" t="s">
        <v>16</v>
      </c>
      <c r="I9" s="1954" t="s">
        <v>17</v>
      </c>
      <c r="J9" s="1955" t="s">
        <v>18</v>
      </c>
      <c r="K9" s="1952" t="s">
        <v>14</v>
      </c>
      <c r="L9" s="1952" t="s">
        <v>15</v>
      </c>
      <c r="M9" s="1952" t="s">
        <v>16</v>
      </c>
      <c r="N9" s="1956" t="s">
        <v>17</v>
      </c>
      <c r="O9" s="1957" t="s">
        <v>1050</v>
      </c>
      <c r="P9" s="1958" t="s">
        <v>1051</v>
      </c>
      <c r="Q9" s="1959" t="s">
        <v>1052</v>
      </c>
      <c r="R9" s="1955" t="s">
        <v>19</v>
      </c>
      <c r="S9" s="1960"/>
      <c r="T9" s="1953" t="s">
        <v>14</v>
      </c>
      <c r="U9" s="1953" t="s">
        <v>15</v>
      </c>
      <c r="V9" s="1953" t="s">
        <v>16</v>
      </c>
      <c r="W9" s="1952" t="s">
        <v>20</v>
      </c>
      <c r="X9" s="1952" t="s">
        <v>14</v>
      </c>
      <c r="Y9" s="1952" t="s">
        <v>15</v>
      </c>
      <c r="Z9" s="1952" t="s">
        <v>16</v>
      </c>
      <c r="AA9" s="1952" t="s">
        <v>20</v>
      </c>
      <c r="AB9" s="1961" t="s">
        <v>1050</v>
      </c>
      <c r="AC9" s="1952" t="s">
        <v>1051</v>
      </c>
      <c r="AD9" s="1962" t="s">
        <v>1052</v>
      </c>
      <c r="AE9" s="1955" t="s">
        <v>18</v>
      </c>
      <c r="AF9" s="1955" t="s">
        <v>19</v>
      </c>
      <c r="AG9" s="1955" t="s">
        <v>21</v>
      </c>
      <c r="AH9" s="1955" t="s">
        <v>22</v>
      </c>
      <c r="AI9" s="1955" t="s">
        <v>23</v>
      </c>
      <c r="AJ9" s="1963" t="s">
        <v>1053</v>
      </c>
      <c r="AK9" s="1964" t="s">
        <v>1054</v>
      </c>
      <c r="AL9" s="1955" t="s">
        <v>513</v>
      </c>
      <c r="AM9" s="1965" t="s">
        <v>1055</v>
      </c>
    </row>
    <row r="10" spans="1:40" s="1977" customFormat="1" ht="32.25" customHeight="1">
      <c r="A10" s="2693" t="s">
        <v>27</v>
      </c>
      <c r="B10" s="2694"/>
      <c r="C10" s="2694"/>
      <c r="D10" s="2694"/>
      <c r="E10" s="1966"/>
      <c r="F10" s="2695" t="s">
        <v>1056</v>
      </c>
      <c r="G10" s="2695"/>
      <c r="H10" s="2695"/>
      <c r="I10" s="2695"/>
      <c r="J10" s="1967"/>
      <c r="K10" s="2659" t="s">
        <v>1057</v>
      </c>
      <c r="L10" s="2659"/>
      <c r="M10" s="2659"/>
      <c r="N10" s="2659"/>
      <c r="O10" s="1968"/>
      <c r="P10" s="1968"/>
      <c r="Q10" s="1967"/>
      <c r="R10" s="1966"/>
      <c r="S10" s="1969"/>
      <c r="T10" s="2695" t="s">
        <v>1058</v>
      </c>
      <c r="U10" s="2695"/>
      <c r="V10" s="2695"/>
      <c r="W10" s="2695"/>
      <c r="X10" s="2659" t="s">
        <v>1059</v>
      </c>
      <c r="Y10" s="2659"/>
      <c r="Z10" s="2659"/>
      <c r="AA10" s="2659"/>
      <c r="AB10" s="1970"/>
      <c r="AC10" s="1971"/>
      <c r="AD10" s="1972"/>
      <c r="AE10" s="1966"/>
      <c r="AF10" s="1966"/>
      <c r="AG10" s="1966"/>
      <c r="AH10" s="1966"/>
      <c r="AI10" s="1966"/>
      <c r="AJ10" s="1973"/>
      <c r="AK10" s="1974"/>
      <c r="AL10" s="1966"/>
      <c r="AM10" s="1975"/>
      <c r="AN10" s="1976"/>
    </row>
    <row r="11" spans="1:40" s="1997" customFormat="1" ht="46.5" customHeight="1">
      <c r="A11" s="2691" t="s">
        <v>1060</v>
      </c>
      <c r="B11" s="2692"/>
      <c r="C11" s="2692"/>
      <c r="D11" s="2692"/>
      <c r="E11" s="1978"/>
      <c r="F11" s="1979"/>
      <c r="G11" s="1979"/>
      <c r="H11" s="1979"/>
      <c r="I11" s="1980">
        <f>+I120</f>
        <v>252428.27425000002</v>
      </c>
      <c r="J11" s="1981"/>
      <c r="K11" s="1982"/>
      <c r="L11" s="1978"/>
      <c r="M11" s="1978"/>
      <c r="N11" s="1983">
        <f>+N120</f>
        <v>277500.97970000003</v>
      </c>
      <c r="O11" s="1981">
        <f>I11-N11</f>
        <v>-25072.705450000009</v>
      </c>
      <c r="P11" s="1984">
        <f t="shared" ref="P11" si="0">O11/N11</f>
        <v>-9.0351772729255E-2</v>
      </c>
      <c r="Q11" s="1978"/>
      <c r="R11" s="1985">
        <f>+AG11</f>
        <v>579100.00185</v>
      </c>
      <c r="S11" s="1986"/>
      <c r="T11" s="1979"/>
      <c r="U11" s="1979"/>
      <c r="V11" s="1979"/>
      <c r="W11" s="1987">
        <f>+W120</f>
        <v>326671.72759999998</v>
      </c>
      <c r="X11" s="1988"/>
      <c r="Y11" s="1988"/>
      <c r="Z11" s="1989"/>
      <c r="AA11" s="1983">
        <f>+AA120</f>
        <v>311027.86749999999</v>
      </c>
      <c r="AB11" s="1981">
        <f>W11-AA11</f>
        <v>15643.860099999991</v>
      </c>
      <c r="AC11" s="1984">
        <f>AB11/AA11</f>
        <v>5.0297294019803519E-2</v>
      </c>
      <c r="AD11" s="1990"/>
      <c r="AE11" s="1978"/>
      <c r="AF11" s="1991"/>
      <c r="AG11" s="1992">
        <f>+AG120</f>
        <v>579100.00185</v>
      </c>
      <c r="AH11" s="1978"/>
      <c r="AI11" s="1978"/>
      <c r="AJ11" s="1993">
        <f>+AJ120</f>
        <v>244573</v>
      </c>
      <c r="AK11" s="1994">
        <f>AJ11/AG11</f>
        <v>0.42233292906006575</v>
      </c>
      <c r="AL11" s="1995"/>
      <c r="AM11" s="1996"/>
    </row>
    <row r="12" spans="1:40" ht="44.25" customHeight="1">
      <c r="A12" s="2662" t="s">
        <v>1061</v>
      </c>
      <c r="B12" s="1998">
        <v>711001</v>
      </c>
      <c r="C12" s="1999" t="s">
        <v>1062</v>
      </c>
      <c r="D12" s="2000" t="s">
        <v>38</v>
      </c>
      <c r="E12" s="2001"/>
      <c r="F12" s="2002">
        <v>110</v>
      </c>
      <c r="G12" s="2002">
        <f>1969/110/2</f>
        <v>8.9499999999999993</v>
      </c>
      <c r="H12" s="2002">
        <v>2</v>
      </c>
      <c r="I12" s="2003">
        <f t="shared" ref="I12:I36" si="1">F12*G12*H12</f>
        <v>1968.9999999999998</v>
      </c>
      <c r="J12" s="2004">
        <f>10/90</f>
        <v>0.1111111111111111</v>
      </c>
      <c r="K12" s="2005">
        <v>110</v>
      </c>
      <c r="L12" s="2006">
        <v>8</v>
      </c>
      <c r="M12" s="2006">
        <v>2</v>
      </c>
      <c r="N12" s="2007">
        <f>K12*L12*M12</f>
        <v>1760</v>
      </c>
      <c r="O12" s="2008">
        <f>-N12+I12</f>
        <v>208.99999999999977</v>
      </c>
      <c r="P12" s="2009">
        <f>O12/N12</f>
        <v>0.11874999999999987</v>
      </c>
      <c r="Q12" s="2010"/>
      <c r="R12" s="2007">
        <f t="shared" ref="R12:R29" si="2">I12*J12</f>
        <v>218.77777777777774</v>
      </c>
      <c r="S12" s="2011"/>
      <c r="T12" s="2002"/>
      <c r="U12" s="2002"/>
      <c r="V12" s="2002"/>
      <c r="W12" s="2003"/>
      <c r="X12" s="2012"/>
      <c r="Y12" s="2012"/>
      <c r="Z12" s="2012"/>
      <c r="AA12" s="2007"/>
      <c r="AB12" s="2008">
        <f>-AA12+W12</f>
        <v>0</v>
      </c>
      <c r="AC12" s="2009">
        <v>0</v>
      </c>
      <c r="AD12" s="2013"/>
      <c r="AE12" s="2014"/>
      <c r="AF12" s="2014"/>
      <c r="AG12" s="2007">
        <f t="shared" ref="AG12:AG29" si="3">I12+W12</f>
        <v>1968.9999999999998</v>
      </c>
      <c r="AH12" s="2004">
        <f>10/90</f>
        <v>0.1111111111111111</v>
      </c>
      <c r="AI12" s="2015">
        <f>AG12*AH12</f>
        <v>218.77777777777774</v>
      </c>
      <c r="AJ12" s="2016">
        <v>2049</v>
      </c>
      <c r="AK12" s="2017">
        <f>AJ12/AG12</f>
        <v>1.0406297613001525</v>
      </c>
      <c r="AL12" s="2018" t="s">
        <v>1063</v>
      </c>
      <c r="AM12" s="2006"/>
    </row>
    <row r="13" spans="1:40" ht="42.75" customHeight="1">
      <c r="A13" s="2663"/>
      <c r="B13" s="1998">
        <v>711002</v>
      </c>
      <c r="C13" s="1999" t="s">
        <v>1064</v>
      </c>
      <c r="D13" s="2000" t="s">
        <v>38</v>
      </c>
      <c r="E13" s="2001"/>
      <c r="F13" s="2002">
        <v>75</v>
      </c>
      <c r="G13" s="2002">
        <f>567.75/75/2</f>
        <v>3.7850000000000001</v>
      </c>
      <c r="H13" s="2002">
        <v>2</v>
      </c>
      <c r="I13" s="2003">
        <f t="shared" si="1"/>
        <v>567.75</v>
      </c>
      <c r="J13" s="2004">
        <v>0.5</v>
      </c>
      <c r="K13" s="2005">
        <v>75</v>
      </c>
      <c r="L13" s="2006">
        <v>4</v>
      </c>
      <c r="M13" s="2006">
        <v>2</v>
      </c>
      <c r="N13" s="2007">
        <f t="shared" ref="N13:N22" si="4">K13*L13*M13</f>
        <v>600</v>
      </c>
      <c r="O13" s="2008">
        <f>-N13+I13</f>
        <v>-32.25</v>
      </c>
      <c r="P13" s="2009">
        <f t="shared" ref="P13:P71" si="5">O13/N13</f>
        <v>-5.3749999999999999E-2</v>
      </c>
      <c r="Q13" s="2010"/>
      <c r="R13" s="2007">
        <f t="shared" si="2"/>
        <v>283.875</v>
      </c>
      <c r="S13" s="2011"/>
      <c r="T13" s="2003"/>
      <c r="U13" s="2003"/>
      <c r="V13" s="2003"/>
      <c r="W13" s="2003">
        <v>0</v>
      </c>
      <c r="X13" s="2012"/>
      <c r="Y13" s="2012"/>
      <c r="Z13" s="2012"/>
      <c r="AA13" s="2007"/>
      <c r="AB13" s="2008">
        <f t="shared" ref="AB13:AB79" si="6">-AA13+W13</f>
        <v>0</v>
      </c>
      <c r="AC13" s="2009">
        <v>0</v>
      </c>
      <c r="AD13" s="2013"/>
      <c r="AE13" s="2014"/>
      <c r="AF13" s="2014"/>
      <c r="AG13" s="2007">
        <f t="shared" si="3"/>
        <v>567.75</v>
      </c>
      <c r="AH13" s="2004">
        <f>10/90</f>
        <v>0.1111111111111111</v>
      </c>
      <c r="AI13" s="2015">
        <f t="shared" ref="AI13:AI22" si="7">AG13*AH13</f>
        <v>63.083333333333329</v>
      </c>
      <c r="AJ13" s="2016">
        <v>568</v>
      </c>
      <c r="AK13" s="2017">
        <f t="shared" ref="AK13:AK71" si="8">AJ13/AG13</f>
        <v>1.0004403346543373</v>
      </c>
      <c r="AL13" s="2018" t="s">
        <v>1065</v>
      </c>
      <c r="AM13" s="2006"/>
    </row>
    <row r="14" spans="1:40" ht="42" customHeight="1">
      <c r="A14" s="2663"/>
      <c r="B14" s="1998">
        <v>711003</v>
      </c>
      <c r="C14" s="1999" t="s">
        <v>1066</v>
      </c>
      <c r="D14" s="2006" t="s">
        <v>38</v>
      </c>
      <c r="E14" s="2019"/>
      <c r="F14" s="2002">
        <v>250</v>
      </c>
      <c r="G14" s="2002">
        <f>3715/250/2</f>
        <v>7.43</v>
      </c>
      <c r="H14" s="2002">
        <v>2</v>
      </c>
      <c r="I14" s="2003">
        <f t="shared" si="1"/>
        <v>3715</v>
      </c>
      <c r="J14" s="2004">
        <v>0.36</v>
      </c>
      <c r="K14" s="2006">
        <v>250</v>
      </c>
      <c r="L14" s="2006">
        <v>8</v>
      </c>
      <c r="M14" s="2006">
        <v>2</v>
      </c>
      <c r="N14" s="2007">
        <f t="shared" si="4"/>
        <v>4000</v>
      </c>
      <c r="O14" s="2008">
        <f>+N14-I14</f>
        <v>285</v>
      </c>
      <c r="P14" s="2009">
        <f t="shared" si="5"/>
        <v>7.1249999999999994E-2</v>
      </c>
      <c r="Q14" s="2010"/>
      <c r="R14" s="2007">
        <f t="shared" si="2"/>
        <v>1337.3999999999999</v>
      </c>
      <c r="S14" s="2011"/>
      <c r="T14" s="2003"/>
      <c r="U14" s="2003"/>
      <c r="V14" s="2003"/>
      <c r="W14" s="2003">
        <v>0</v>
      </c>
      <c r="X14" s="2012"/>
      <c r="Y14" s="2012"/>
      <c r="Z14" s="2012"/>
      <c r="AA14" s="2007">
        <v>0</v>
      </c>
      <c r="AB14" s="2008">
        <f t="shared" si="6"/>
        <v>0</v>
      </c>
      <c r="AC14" s="2009">
        <v>0</v>
      </c>
      <c r="AD14" s="2013"/>
      <c r="AE14" s="2014"/>
      <c r="AF14" s="2014"/>
      <c r="AG14" s="2007">
        <f t="shared" si="3"/>
        <v>3715</v>
      </c>
      <c r="AH14" s="2004">
        <v>0.4</v>
      </c>
      <c r="AI14" s="2015">
        <f t="shared" si="7"/>
        <v>1486</v>
      </c>
      <c r="AJ14" s="2016">
        <v>3715</v>
      </c>
      <c r="AK14" s="2017">
        <f t="shared" si="8"/>
        <v>1</v>
      </c>
      <c r="AL14" s="2018" t="s">
        <v>1067</v>
      </c>
      <c r="AM14" s="2006"/>
    </row>
    <row r="15" spans="1:40" ht="45.75" customHeight="1">
      <c r="A15" s="2663"/>
      <c r="B15" s="1998">
        <v>711004</v>
      </c>
      <c r="C15" s="1999" t="s">
        <v>1068</v>
      </c>
      <c r="D15" s="2006" t="s">
        <v>38</v>
      </c>
      <c r="E15" s="2019"/>
      <c r="F15" s="2002">
        <v>89</v>
      </c>
      <c r="G15" s="2020">
        <f>1007/89/2</f>
        <v>5.6573033707865168</v>
      </c>
      <c r="H15" s="2002">
        <v>2</v>
      </c>
      <c r="I15" s="2003">
        <f t="shared" si="1"/>
        <v>1007</v>
      </c>
      <c r="J15" s="2004">
        <f>32/108</f>
        <v>0.29629629629629628</v>
      </c>
      <c r="K15" s="2006">
        <v>89</v>
      </c>
      <c r="L15" s="2006">
        <v>9</v>
      </c>
      <c r="M15" s="2006">
        <v>2</v>
      </c>
      <c r="N15" s="2007">
        <f t="shared" si="4"/>
        <v>1602</v>
      </c>
      <c r="O15" s="2008">
        <f>-N15+I15</f>
        <v>-595</v>
      </c>
      <c r="P15" s="2009">
        <f t="shared" si="5"/>
        <v>-0.37141073657927592</v>
      </c>
      <c r="Q15" s="2010"/>
      <c r="R15" s="2007">
        <f t="shared" si="2"/>
        <v>298.37037037037038</v>
      </c>
      <c r="S15" s="2011"/>
      <c r="T15" s="2003"/>
      <c r="U15" s="2003"/>
      <c r="V15" s="2003"/>
      <c r="W15" s="2003">
        <v>0</v>
      </c>
      <c r="X15" s="2012"/>
      <c r="Y15" s="2012"/>
      <c r="Z15" s="2012"/>
      <c r="AA15" s="2007"/>
      <c r="AB15" s="2008">
        <f t="shared" si="6"/>
        <v>0</v>
      </c>
      <c r="AC15" s="2009">
        <v>0</v>
      </c>
      <c r="AD15" s="2013"/>
      <c r="AE15" s="2014"/>
      <c r="AF15" s="2014"/>
      <c r="AG15" s="2007">
        <f t="shared" si="3"/>
        <v>1007</v>
      </c>
      <c r="AH15" s="2004">
        <f>32/108</f>
        <v>0.29629629629629628</v>
      </c>
      <c r="AI15" s="2015">
        <f t="shared" si="7"/>
        <v>298.37037037037038</v>
      </c>
      <c r="AJ15" s="2016">
        <v>837</v>
      </c>
      <c r="AK15" s="2017">
        <f t="shared" si="8"/>
        <v>0.83118172790466738</v>
      </c>
      <c r="AL15" s="2018" t="s">
        <v>1067</v>
      </c>
      <c r="AM15" s="2006"/>
    </row>
    <row r="16" spans="1:40" s="2036" customFormat="1" ht="63" customHeight="1">
      <c r="A16" s="2663"/>
      <c r="B16" s="2021">
        <v>711005</v>
      </c>
      <c r="C16" s="2022" t="s">
        <v>1069</v>
      </c>
      <c r="D16" s="2022" t="s">
        <v>38</v>
      </c>
      <c r="E16" s="2022"/>
      <c r="F16" s="2022">
        <v>1</v>
      </c>
      <c r="G16" s="2023">
        <f>4965/7+0.215</f>
        <v>709.50071428571437</v>
      </c>
      <c r="H16" s="2022">
        <v>7</v>
      </c>
      <c r="I16" s="2024">
        <f t="shared" si="1"/>
        <v>4966.505000000001</v>
      </c>
      <c r="J16" s="2025">
        <v>0.25</v>
      </c>
      <c r="K16" s="2022">
        <v>1</v>
      </c>
      <c r="L16" s="2022">
        <v>1000</v>
      </c>
      <c r="M16" s="2022">
        <v>7</v>
      </c>
      <c r="N16" s="2024">
        <f t="shared" si="4"/>
        <v>7000</v>
      </c>
      <c r="O16" s="2026">
        <f>-N16+I16</f>
        <v>-2033.494999999999</v>
      </c>
      <c r="P16" s="2027">
        <f t="shared" si="5"/>
        <v>-0.29049928571428557</v>
      </c>
      <c r="Q16" s="2028" t="s">
        <v>1070</v>
      </c>
      <c r="R16" s="2024">
        <f t="shared" si="2"/>
        <v>1241.6262500000003</v>
      </c>
      <c r="S16" s="2011"/>
      <c r="T16" s="2022">
        <v>1</v>
      </c>
      <c r="U16" s="2023">
        <v>945</v>
      </c>
      <c r="V16" s="2022">
        <v>11</v>
      </c>
      <c r="W16" s="2024">
        <f t="shared" ref="W16:W21" si="9">T16*U16*V16</f>
        <v>10395</v>
      </c>
      <c r="X16" s="2029">
        <v>1</v>
      </c>
      <c r="Y16" s="2029">
        <v>945</v>
      </c>
      <c r="Z16" s="2029">
        <v>11</v>
      </c>
      <c r="AA16" s="2024">
        <f>X16*Y16*Z16</f>
        <v>10395</v>
      </c>
      <c r="AB16" s="2026">
        <f t="shared" si="6"/>
        <v>0</v>
      </c>
      <c r="AC16" s="2027">
        <f t="shared" ref="AC16:AC80" si="10">AB16/AA16</f>
        <v>0</v>
      </c>
      <c r="AD16" s="2030"/>
      <c r="AE16" s="2025">
        <v>0.25</v>
      </c>
      <c r="AF16" s="2031">
        <f>W16*AE16</f>
        <v>2598.75</v>
      </c>
      <c r="AG16" s="2024">
        <f t="shared" si="3"/>
        <v>15361.505000000001</v>
      </c>
      <c r="AH16" s="2025">
        <v>0.25</v>
      </c>
      <c r="AI16" s="2032">
        <f t="shared" si="7"/>
        <v>3840.3762500000003</v>
      </c>
      <c r="AJ16" s="2033">
        <v>5198</v>
      </c>
      <c r="AK16" s="2034">
        <f t="shared" si="8"/>
        <v>0.33837830342795189</v>
      </c>
      <c r="AL16" s="2035" t="s">
        <v>1071</v>
      </c>
      <c r="AM16" s="2022" t="s">
        <v>1072</v>
      </c>
    </row>
    <row r="17" spans="1:39" s="2051" customFormat="1" ht="112.5">
      <c r="A17" s="2663"/>
      <c r="B17" s="2037">
        <v>711006</v>
      </c>
      <c r="C17" s="2038" t="s">
        <v>1073</v>
      </c>
      <c r="D17" s="2038" t="s">
        <v>1074</v>
      </c>
      <c r="E17" s="2038"/>
      <c r="F17" s="2038">
        <v>1</v>
      </c>
      <c r="G17" s="2038">
        <v>270</v>
      </c>
      <c r="H17" s="2038">
        <v>8</v>
      </c>
      <c r="I17" s="2039">
        <f t="shared" si="1"/>
        <v>2160</v>
      </c>
      <c r="J17" s="2040">
        <v>1</v>
      </c>
      <c r="K17" s="2038">
        <v>1</v>
      </c>
      <c r="L17" s="2038">
        <v>270</v>
      </c>
      <c r="M17" s="2038">
        <v>8</v>
      </c>
      <c r="N17" s="2039">
        <f t="shared" si="4"/>
        <v>2160</v>
      </c>
      <c r="O17" s="2041">
        <f>N17-I17</f>
        <v>0</v>
      </c>
      <c r="P17" s="2042">
        <f t="shared" si="5"/>
        <v>0</v>
      </c>
      <c r="Q17" s="2040"/>
      <c r="R17" s="2039">
        <f t="shared" si="2"/>
        <v>2160</v>
      </c>
      <c r="S17" s="2011"/>
      <c r="T17" s="2038">
        <v>1</v>
      </c>
      <c r="U17" s="2038">
        <f>(2160+4320)/8</f>
        <v>810</v>
      </c>
      <c r="V17" s="2038">
        <v>8</v>
      </c>
      <c r="W17" s="2039">
        <f t="shared" si="9"/>
        <v>6480</v>
      </c>
      <c r="X17" s="2043">
        <v>1</v>
      </c>
      <c r="Y17" s="2043">
        <v>270</v>
      </c>
      <c r="Z17" s="2043">
        <v>8</v>
      </c>
      <c r="AA17" s="2039">
        <f>X17*Y17*Z17</f>
        <v>2160</v>
      </c>
      <c r="AB17" s="2041">
        <f t="shared" si="6"/>
        <v>4320</v>
      </c>
      <c r="AC17" s="2042">
        <f t="shared" si="10"/>
        <v>2</v>
      </c>
      <c r="AD17" s="2044" t="s">
        <v>1075</v>
      </c>
      <c r="AE17" s="2040">
        <v>1</v>
      </c>
      <c r="AF17" s="2045">
        <f t="shared" ref="AF17:AF22" si="11">W17*AE17</f>
        <v>6480</v>
      </c>
      <c r="AG17" s="2039">
        <f t="shared" si="3"/>
        <v>8640</v>
      </c>
      <c r="AH17" s="2040">
        <v>1</v>
      </c>
      <c r="AI17" s="2046">
        <f t="shared" si="7"/>
        <v>8640</v>
      </c>
      <c r="AJ17" s="2047">
        <v>2160</v>
      </c>
      <c r="AK17" s="2048">
        <f t="shared" si="8"/>
        <v>0.25</v>
      </c>
      <c r="AL17" s="2049" t="s">
        <v>1076</v>
      </c>
      <c r="AM17" s="2050" t="s">
        <v>1077</v>
      </c>
    </row>
    <row r="18" spans="1:39" s="2051" customFormat="1" ht="70.5" customHeight="1">
      <c r="A18" s="2663"/>
      <c r="B18" s="2037">
        <v>711007</v>
      </c>
      <c r="C18" s="2038" t="s">
        <v>1078</v>
      </c>
      <c r="D18" s="2038" t="s">
        <v>1079</v>
      </c>
      <c r="E18" s="2038"/>
      <c r="F18" s="2038">
        <v>2</v>
      </c>
      <c r="G18" s="2038">
        <f>(-392+6400)/2/8</f>
        <v>375.5</v>
      </c>
      <c r="H18" s="2038">
        <v>8</v>
      </c>
      <c r="I18" s="2039">
        <f t="shared" si="1"/>
        <v>6008</v>
      </c>
      <c r="J18" s="2040">
        <v>0.75</v>
      </c>
      <c r="K18" s="2038">
        <v>2</v>
      </c>
      <c r="L18" s="2038">
        <v>400</v>
      </c>
      <c r="M18" s="2038">
        <v>8</v>
      </c>
      <c r="N18" s="2039">
        <f t="shared" si="4"/>
        <v>6400</v>
      </c>
      <c r="O18" s="2041">
        <f>-N18+I18</f>
        <v>-392</v>
      </c>
      <c r="P18" s="2042">
        <f t="shared" si="5"/>
        <v>-6.1249999999999999E-2</v>
      </c>
      <c r="Q18" s="2040"/>
      <c r="R18" s="2039">
        <f t="shared" si="2"/>
        <v>4506</v>
      </c>
      <c r="S18" s="2011"/>
      <c r="T18" s="2038">
        <v>2</v>
      </c>
      <c r="U18" s="2038">
        <f>(6400+10290)/8/2</f>
        <v>1043.125</v>
      </c>
      <c r="V18" s="2038">
        <v>8</v>
      </c>
      <c r="W18" s="2039">
        <f t="shared" si="9"/>
        <v>16690</v>
      </c>
      <c r="X18" s="2043">
        <v>2</v>
      </c>
      <c r="Y18" s="2043">
        <v>400</v>
      </c>
      <c r="Z18" s="2043">
        <v>8</v>
      </c>
      <c r="AA18" s="2039">
        <f>X18*Y18*Z18</f>
        <v>6400</v>
      </c>
      <c r="AB18" s="2041">
        <f t="shared" si="6"/>
        <v>10290</v>
      </c>
      <c r="AC18" s="2042">
        <f t="shared" si="10"/>
        <v>1.6078125000000001</v>
      </c>
      <c r="AD18" s="2044" t="s">
        <v>1080</v>
      </c>
      <c r="AE18" s="2040">
        <v>0.75</v>
      </c>
      <c r="AF18" s="2045">
        <f t="shared" si="11"/>
        <v>12517.5</v>
      </c>
      <c r="AG18" s="2039">
        <f t="shared" si="3"/>
        <v>22698</v>
      </c>
      <c r="AH18" s="2040">
        <v>0.75</v>
      </c>
      <c r="AI18" s="2046">
        <f t="shared" si="7"/>
        <v>17023.5</v>
      </c>
      <c r="AJ18" s="2047">
        <v>6038</v>
      </c>
      <c r="AK18" s="2048">
        <f t="shared" si="8"/>
        <v>0.26601462683936911</v>
      </c>
      <c r="AL18" s="2049" t="s">
        <v>1081</v>
      </c>
      <c r="AM18" s="2050" t="s">
        <v>1082</v>
      </c>
    </row>
    <row r="19" spans="1:39" s="2051" customFormat="1" ht="51" customHeight="1">
      <c r="A19" s="2663"/>
      <c r="B19" s="2037">
        <v>711008</v>
      </c>
      <c r="C19" s="2038" t="s">
        <v>1083</v>
      </c>
      <c r="D19" s="2038" t="s">
        <v>1079</v>
      </c>
      <c r="E19" s="2038"/>
      <c r="F19" s="2038">
        <v>1</v>
      </c>
      <c r="G19" s="2038">
        <v>725</v>
      </c>
      <c r="H19" s="2038">
        <v>8</v>
      </c>
      <c r="I19" s="2039">
        <f t="shared" si="1"/>
        <v>5800</v>
      </c>
      <c r="J19" s="2040">
        <v>0.5</v>
      </c>
      <c r="K19" s="2038">
        <v>1</v>
      </c>
      <c r="L19" s="2038">
        <v>725</v>
      </c>
      <c r="M19" s="2038">
        <v>8</v>
      </c>
      <c r="N19" s="2039">
        <f t="shared" si="4"/>
        <v>5800</v>
      </c>
      <c r="O19" s="2041">
        <f>N19-I19</f>
        <v>0</v>
      </c>
      <c r="P19" s="2042">
        <f t="shared" si="5"/>
        <v>0</v>
      </c>
      <c r="Q19" s="2040"/>
      <c r="R19" s="2039">
        <f t="shared" si="2"/>
        <v>2900</v>
      </c>
      <c r="S19" s="2011"/>
      <c r="T19" s="2038">
        <v>1</v>
      </c>
      <c r="U19" s="2038">
        <f>(5800+4320)/8</f>
        <v>1265</v>
      </c>
      <c r="V19" s="2038">
        <v>8</v>
      </c>
      <c r="W19" s="2039">
        <f t="shared" si="9"/>
        <v>10120</v>
      </c>
      <c r="X19" s="2043">
        <v>1</v>
      </c>
      <c r="Y19" s="2043">
        <v>725</v>
      </c>
      <c r="Z19" s="2043">
        <v>8</v>
      </c>
      <c r="AA19" s="2039">
        <f>X19*Y19*Z19</f>
        <v>5800</v>
      </c>
      <c r="AB19" s="2041">
        <f t="shared" si="6"/>
        <v>4320</v>
      </c>
      <c r="AC19" s="2042">
        <f t="shared" si="10"/>
        <v>0.7448275862068966</v>
      </c>
      <c r="AD19" s="2044" t="s">
        <v>1084</v>
      </c>
      <c r="AE19" s="2040">
        <v>0.5</v>
      </c>
      <c r="AF19" s="2045">
        <f t="shared" si="11"/>
        <v>5060</v>
      </c>
      <c r="AG19" s="2039">
        <f t="shared" si="3"/>
        <v>15920</v>
      </c>
      <c r="AH19" s="2040">
        <v>0.5</v>
      </c>
      <c r="AI19" s="2046">
        <f t="shared" si="7"/>
        <v>7960</v>
      </c>
      <c r="AJ19" s="2047">
        <v>5740</v>
      </c>
      <c r="AK19" s="2048">
        <f t="shared" si="8"/>
        <v>0.36055276381909546</v>
      </c>
      <c r="AL19" s="2049" t="s">
        <v>1076</v>
      </c>
      <c r="AM19" s="2050" t="s">
        <v>1085</v>
      </c>
    </row>
    <row r="20" spans="1:39" s="2036" customFormat="1" ht="105" customHeight="1">
      <c r="A20" s="2663"/>
      <c r="B20" s="2021">
        <v>711009</v>
      </c>
      <c r="C20" s="2022" t="s">
        <v>1086</v>
      </c>
      <c r="D20" s="2022" t="s">
        <v>38</v>
      </c>
      <c r="E20" s="2022"/>
      <c r="F20" s="2022">
        <v>8</v>
      </c>
      <c r="G20" s="2022">
        <f>812/8/8</f>
        <v>12.6875</v>
      </c>
      <c r="H20" s="2022">
        <v>8</v>
      </c>
      <c r="I20" s="2024">
        <f t="shared" si="1"/>
        <v>812</v>
      </c>
      <c r="J20" s="2025">
        <v>1</v>
      </c>
      <c r="K20" s="2022">
        <v>8</v>
      </c>
      <c r="L20" s="2022">
        <v>40</v>
      </c>
      <c r="M20" s="2022">
        <v>8</v>
      </c>
      <c r="N20" s="2024">
        <f t="shared" si="4"/>
        <v>2560</v>
      </c>
      <c r="O20" s="2026">
        <f t="shared" ref="O20:O25" si="12">-N20+I20</f>
        <v>-1748</v>
      </c>
      <c r="P20" s="2027">
        <f t="shared" si="5"/>
        <v>-0.68281250000000004</v>
      </c>
      <c r="Q20" s="2025"/>
      <c r="R20" s="2024">
        <f t="shared" si="2"/>
        <v>812</v>
      </c>
      <c r="S20" s="2011"/>
      <c r="T20" s="2022">
        <v>8</v>
      </c>
      <c r="U20" s="2022">
        <v>40</v>
      </c>
      <c r="V20" s="2022">
        <v>10</v>
      </c>
      <c r="W20" s="2024">
        <f t="shared" si="9"/>
        <v>3200</v>
      </c>
      <c r="X20" s="2029">
        <v>8</v>
      </c>
      <c r="Y20" s="2029">
        <v>40</v>
      </c>
      <c r="Z20" s="2029">
        <v>10</v>
      </c>
      <c r="AA20" s="2024">
        <f>X20*Y20*Z20</f>
        <v>3200</v>
      </c>
      <c r="AB20" s="2026">
        <f t="shared" si="6"/>
        <v>0</v>
      </c>
      <c r="AC20" s="2027">
        <f t="shared" si="10"/>
        <v>0</v>
      </c>
      <c r="AD20" s="2052"/>
      <c r="AE20" s="2025">
        <v>1</v>
      </c>
      <c r="AF20" s="2031">
        <f t="shared" si="11"/>
        <v>3200</v>
      </c>
      <c r="AG20" s="2024">
        <f t="shared" si="3"/>
        <v>4012</v>
      </c>
      <c r="AH20" s="2025">
        <v>1</v>
      </c>
      <c r="AI20" s="2032">
        <f t="shared" si="7"/>
        <v>4012</v>
      </c>
      <c r="AJ20" s="2033">
        <v>927</v>
      </c>
      <c r="AK20" s="2034">
        <f t="shared" si="8"/>
        <v>0.23105682951146561</v>
      </c>
      <c r="AL20" s="2035" t="s">
        <v>1087</v>
      </c>
      <c r="AM20" s="2022" t="s">
        <v>1088</v>
      </c>
    </row>
    <row r="21" spans="1:39" s="2058" customFormat="1" ht="86.25" customHeight="1">
      <c r="A21" s="2663"/>
      <c r="B21" s="2053">
        <v>711010</v>
      </c>
      <c r="C21" s="1999" t="s">
        <v>1089</v>
      </c>
      <c r="D21" s="1999" t="s">
        <v>38</v>
      </c>
      <c r="E21" s="1999" t="s">
        <v>1048</v>
      </c>
      <c r="F21" s="2002">
        <v>1</v>
      </c>
      <c r="G21" s="2002">
        <v>270</v>
      </c>
      <c r="H21" s="2002">
        <v>1</v>
      </c>
      <c r="I21" s="2003">
        <f t="shared" si="1"/>
        <v>270</v>
      </c>
      <c r="J21" s="2004">
        <v>1</v>
      </c>
      <c r="K21" s="1999">
        <v>1</v>
      </c>
      <c r="L21" s="1999">
        <v>250</v>
      </c>
      <c r="M21" s="1999">
        <v>1</v>
      </c>
      <c r="N21" s="2007">
        <f t="shared" si="4"/>
        <v>250</v>
      </c>
      <c r="O21" s="2008">
        <f t="shared" si="12"/>
        <v>20</v>
      </c>
      <c r="P21" s="2009">
        <f t="shared" si="5"/>
        <v>0.08</v>
      </c>
      <c r="Q21" s="2004"/>
      <c r="R21" s="2007">
        <f t="shared" si="2"/>
        <v>270</v>
      </c>
      <c r="S21" s="2011"/>
      <c r="T21" s="2002"/>
      <c r="U21" s="2003"/>
      <c r="V21" s="2003"/>
      <c r="W21" s="2003">
        <f t="shared" si="9"/>
        <v>0</v>
      </c>
      <c r="X21" s="2012"/>
      <c r="Y21" s="2012"/>
      <c r="Z21" s="2012"/>
      <c r="AA21" s="2007"/>
      <c r="AB21" s="2008">
        <f t="shared" si="6"/>
        <v>0</v>
      </c>
      <c r="AC21" s="2009">
        <v>1</v>
      </c>
      <c r="AD21" s="2054"/>
      <c r="AE21" s="2004">
        <v>1</v>
      </c>
      <c r="AF21" s="2014">
        <f t="shared" si="11"/>
        <v>0</v>
      </c>
      <c r="AG21" s="2007">
        <f t="shared" si="3"/>
        <v>270</v>
      </c>
      <c r="AH21" s="2004">
        <v>1</v>
      </c>
      <c r="AI21" s="2055">
        <f t="shared" si="7"/>
        <v>270</v>
      </c>
      <c r="AJ21" s="2056">
        <v>1070</v>
      </c>
      <c r="AK21" s="2017">
        <f t="shared" si="8"/>
        <v>3.9629629629629628</v>
      </c>
      <c r="AL21" s="2057" t="s">
        <v>1090</v>
      </c>
      <c r="AM21" s="1999"/>
    </row>
    <row r="22" spans="1:39" s="2036" customFormat="1" ht="51" customHeight="1">
      <c r="A22" s="2663"/>
      <c r="B22" s="2021">
        <v>711011</v>
      </c>
      <c r="C22" s="2022" t="s">
        <v>1091</v>
      </c>
      <c r="D22" s="2022" t="s">
        <v>33</v>
      </c>
      <c r="E22" s="2022"/>
      <c r="F22" s="2022">
        <v>1</v>
      </c>
      <c r="G22" s="2022">
        <v>90</v>
      </c>
      <c r="H22" s="2022">
        <v>1</v>
      </c>
      <c r="I22" s="2024">
        <f t="shared" si="1"/>
        <v>90</v>
      </c>
      <c r="J22" s="2025">
        <v>1</v>
      </c>
      <c r="K22" s="2022">
        <v>1</v>
      </c>
      <c r="L22" s="2022">
        <v>65</v>
      </c>
      <c r="M22" s="2022">
        <v>13</v>
      </c>
      <c r="N22" s="2024">
        <f t="shared" si="4"/>
        <v>845</v>
      </c>
      <c r="O22" s="2026">
        <f t="shared" si="12"/>
        <v>-755</v>
      </c>
      <c r="P22" s="2027">
        <f t="shared" si="5"/>
        <v>-0.89349112426035504</v>
      </c>
      <c r="Q22" s="2024"/>
      <c r="R22" s="2024">
        <f t="shared" si="2"/>
        <v>90</v>
      </c>
      <c r="S22" s="2011"/>
      <c r="T22" s="2024"/>
      <c r="U22" s="2024"/>
      <c r="V22" s="2024"/>
      <c r="W22" s="2024"/>
      <c r="X22" s="2059"/>
      <c r="Y22" s="2059"/>
      <c r="Z22" s="2059"/>
      <c r="AA22" s="2024"/>
      <c r="AB22" s="2026">
        <f t="shared" si="6"/>
        <v>0</v>
      </c>
      <c r="AC22" s="2027">
        <v>0</v>
      </c>
      <c r="AD22" s="2052"/>
      <c r="AE22" s="2025">
        <v>1</v>
      </c>
      <c r="AF22" s="2031">
        <f t="shared" si="11"/>
        <v>0</v>
      </c>
      <c r="AG22" s="2024">
        <f t="shared" si="3"/>
        <v>90</v>
      </c>
      <c r="AH22" s="2025">
        <v>1</v>
      </c>
      <c r="AI22" s="2032">
        <f t="shared" si="7"/>
        <v>90</v>
      </c>
      <c r="AJ22" s="2033">
        <v>90</v>
      </c>
      <c r="AK22" s="2034">
        <f t="shared" si="8"/>
        <v>1</v>
      </c>
      <c r="AL22" s="2035" t="s">
        <v>1092</v>
      </c>
      <c r="AM22" s="2022" t="s">
        <v>1093</v>
      </c>
    </row>
    <row r="23" spans="1:39" s="2058" customFormat="1" ht="55.5" customHeight="1">
      <c r="A23" s="2663"/>
      <c r="B23" s="2053">
        <v>711012</v>
      </c>
      <c r="C23" s="1999" t="s">
        <v>1094</v>
      </c>
      <c r="D23" s="1999" t="s">
        <v>50</v>
      </c>
      <c r="E23" s="2000" t="s">
        <v>1048</v>
      </c>
      <c r="F23" s="2002">
        <v>1</v>
      </c>
      <c r="G23" s="2002">
        <v>3649.97</v>
      </c>
      <c r="H23" s="2002">
        <v>1</v>
      </c>
      <c r="I23" s="2003">
        <f t="shared" si="1"/>
        <v>3649.97</v>
      </c>
      <c r="J23" s="2004">
        <v>1</v>
      </c>
      <c r="K23" s="1999">
        <v>1</v>
      </c>
      <c r="L23" s="1999">
        <v>4000</v>
      </c>
      <c r="M23" s="1999">
        <v>1</v>
      </c>
      <c r="N23" s="2007">
        <f>K23*L23*M23</f>
        <v>4000</v>
      </c>
      <c r="O23" s="2008">
        <f t="shared" si="12"/>
        <v>-350.0300000000002</v>
      </c>
      <c r="P23" s="2009">
        <f t="shared" si="5"/>
        <v>-8.7507500000000044E-2</v>
      </c>
      <c r="Q23" s="2004"/>
      <c r="R23" s="2007">
        <f t="shared" si="2"/>
        <v>3649.97</v>
      </c>
      <c r="S23" s="2011"/>
      <c r="T23" s="2003">
        <v>1</v>
      </c>
      <c r="U23" s="2003">
        <v>3000</v>
      </c>
      <c r="V23" s="2003">
        <v>1</v>
      </c>
      <c r="W23" s="2003">
        <f>T23*U23*V23</f>
        <v>3000</v>
      </c>
      <c r="X23" s="2012">
        <v>1</v>
      </c>
      <c r="Y23" s="2012">
        <v>3000</v>
      </c>
      <c r="Z23" s="2012">
        <v>1</v>
      </c>
      <c r="AA23" s="2007">
        <f>X23*Y23*Z23</f>
        <v>3000</v>
      </c>
      <c r="AB23" s="2008">
        <f t="shared" si="6"/>
        <v>0</v>
      </c>
      <c r="AC23" s="2009">
        <f t="shared" si="10"/>
        <v>0</v>
      </c>
      <c r="AD23" s="2054"/>
      <c r="AE23" s="2004">
        <v>1</v>
      </c>
      <c r="AF23" s="2014">
        <f>W23*AE23</f>
        <v>3000</v>
      </c>
      <c r="AG23" s="2007">
        <f t="shared" si="3"/>
        <v>6649.9699999999993</v>
      </c>
      <c r="AH23" s="2004">
        <v>1</v>
      </c>
      <c r="AI23" s="2055">
        <f>AG23*AH23</f>
        <v>6649.9699999999993</v>
      </c>
      <c r="AJ23" s="2056">
        <v>3600</v>
      </c>
      <c r="AK23" s="2017">
        <f t="shared" si="8"/>
        <v>0.54135582566537899</v>
      </c>
      <c r="AL23" s="2057" t="s">
        <v>1095</v>
      </c>
      <c r="AM23" s="1999"/>
    </row>
    <row r="24" spans="1:39" s="2058" customFormat="1" ht="46.5" customHeight="1">
      <c r="A24" s="2663"/>
      <c r="B24" s="2053">
        <v>711013</v>
      </c>
      <c r="C24" s="1999" t="s">
        <v>1096</v>
      </c>
      <c r="D24" s="1999" t="s">
        <v>38</v>
      </c>
      <c r="E24" s="1999"/>
      <c r="F24" s="2002">
        <v>15</v>
      </c>
      <c r="G24" s="2002">
        <f>1350/15</f>
        <v>90</v>
      </c>
      <c r="H24" s="2002">
        <v>1</v>
      </c>
      <c r="I24" s="2003">
        <f t="shared" si="1"/>
        <v>1350</v>
      </c>
      <c r="J24" s="2004">
        <v>1</v>
      </c>
      <c r="K24" s="1999">
        <v>15</v>
      </c>
      <c r="L24" s="1999">
        <v>75</v>
      </c>
      <c r="M24" s="1999">
        <v>1</v>
      </c>
      <c r="N24" s="2007">
        <f t="shared" ref="N24:N36" si="13">K24*L24*M24</f>
        <v>1125</v>
      </c>
      <c r="O24" s="2008">
        <f t="shared" si="12"/>
        <v>225</v>
      </c>
      <c r="P24" s="2009">
        <f t="shared" si="5"/>
        <v>0.2</v>
      </c>
      <c r="Q24" s="2004"/>
      <c r="R24" s="2007">
        <f t="shared" si="2"/>
        <v>1350</v>
      </c>
      <c r="S24" s="2011"/>
      <c r="T24" s="2002">
        <v>15</v>
      </c>
      <c r="U24" s="2002">
        <v>65</v>
      </c>
      <c r="V24" s="2002">
        <v>1</v>
      </c>
      <c r="W24" s="2003">
        <f t="shared" ref="W24:W36" si="14">T24*U24*V24</f>
        <v>975</v>
      </c>
      <c r="X24" s="2060">
        <v>15</v>
      </c>
      <c r="Y24" s="2060">
        <v>65</v>
      </c>
      <c r="Z24" s="2060">
        <v>1</v>
      </c>
      <c r="AA24" s="2007">
        <f t="shared" ref="AA24:AA36" si="15">X24*Y24*Z24</f>
        <v>975</v>
      </c>
      <c r="AB24" s="2008">
        <f t="shared" si="6"/>
        <v>0</v>
      </c>
      <c r="AC24" s="2009">
        <f t="shared" si="10"/>
        <v>0</v>
      </c>
      <c r="AD24" s="2054"/>
      <c r="AE24" s="2004">
        <v>1</v>
      </c>
      <c r="AF24" s="2014">
        <f t="shared" ref="AF24:AF29" si="16">W24*AE24</f>
        <v>975</v>
      </c>
      <c r="AG24" s="2007">
        <f t="shared" si="3"/>
        <v>2325</v>
      </c>
      <c r="AH24" s="2004">
        <v>1</v>
      </c>
      <c r="AI24" s="2055">
        <f t="shared" ref="AI24:AI36" si="17">AG24*AH24</f>
        <v>2325</v>
      </c>
      <c r="AJ24" s="2056">
        <v>1350</v>
      </c>
      <c r="AK24" s="2017">
        <f t="shared" si="8"/>
        <v>0.58064516129032262</v>
      </c>
      <c r="AL24" s="2057" t="s">
        <v>1097</v>
      </c>
      <c r="AM24" s="1999"/>
    </row>
    <row r="25" spans="1:39" s="2058" customFormat="1" ht="46.5" customHeight="1">
      <c r="A25" s="2663"/>
      <c r="B25" s="2053">
        <v>711014</v>
      </c>
      <c r="C25" s="1999" t="s">
        <v>1098</v>
      </c>
      <c r="D25" s="1999" t="s">
        <v>38</v>
      </c>
      <c r="E25" s="1999"/>
      <c r="F25" s="2002">
        <v>1</v>
      </c>
      <c r="G25" s="2002">
        <v>1280</v>
      </c>
      <c r="H25" s="2002">
        <f>1*1</f>
        <v>1</v>
      </c>
      <c r="I25" s="2003">
        <f t="shared" si="1"/>
        <v>1280</v>
      </c>
      <c r="J25" s="2004">
        <v>1</v>
      </c>
      <c r="K25" s="1999">
        <v>1</v>
      </c>
      <c r="L25" s="1999">
        <v>1125</v>
      </c>
      <c r="M25" s="1999">
        <v>1</v>
      </c>
      <c r="N25" s="2007">
        <f t="shared" si="13"/>
        <v>1125</v>
      </c>
      <c r="O25" s="2008">
        <f t="shared" si="12"/>
        <v>155</v>
      </c>
      <c r="P25" s="2009">
        <f t="shared" si="5"/>
        <v>0.13777777777777778</v>
      </c>
      <c r="Q25" s="2004"/>
      <c r="R25" s="2007">
        <f t="shared" si="2"/>
        <v>1280</v>
      </c>
      <c r="S25" s="2011"/>
      <c r="T25" s="2002">
        <v>1</v>
      </c>
      <c r="U25" s="2002">
        <v>1125</v>
      </c>
      <c r="V25" s="2002">
        <f>1*0</f>
        <v>0</v>
      </c>
      <c r="W25" s="2003">
        <f t="shared" si="14"/>
        <v>0</v>
      </c>
      <c r="X25" s="2060"/>
      <c r="Y25" s="2060"/>
      <c r="Z25" s="2060"/>
      <c r="AA25" s="2007">
        <f t="shared" si="15"/>
        <v>0</v>
      </c>
      <c r="AB25" s="2008">
        <f t="shared" si="6"/>
        <v>0</v>
      </c>
      <c r="AC25" s="2009">
        <v>0</v>
      </c>
      <c r="AD25" s="2054"/>
      <c r="AE25" s="2004">
        <v>1</v>
      </c>
      <c r="AF25" s="2014">
        <f t="shared" si="16"/>
        <v>0</v>
      </c>
      <c r="AG25" s="2007">
        <f t="shared" si="3"/>
        <v>1280</v>
      </c>
      <c r="AH25" s="2004">
        <v>1</v>
      </c>
      <c r="AI25" s="2055">
        <f t="shared" si="17"/>
        <v>1280</v>
      </c>
      <c r="AJ25" s="2056">
        <v>1350</v>
      </c>
      <c r="AK25" s="2017">
        <f t="shared" si="8"/>
        <v>1.0546875</v>
      </c>
      <c r="AL25" s="2057" t="s">
        <v>1099</v>
      </c>
      <c r="AM25" s="1999"/>
    </row>
    <row r="26" spans="1:39" s="2058" customFormat="1" ht="46.5" customHeight="1">
      <c r="A26" s="2663"/>
      <c r="B26" s="2061">
        <v>711015</v>
      </c>
      <c r="C26" s="1999" t="s">
        <v>1100</v>
      </c>
      <c r="D26" s="1999" t="s">
        <v>50</v>
      </c>
      <c r="E26" s="1999"/>
      <c r="F26" s="2002">
        <v>0</v>
      </c>
      <c r="G26" s="2002">
        <v>0</v>
      </c>
      <c r="H26" s="2002">
        <v>0</v>
      </c>
      <c r="I26" s="2003">
        <f t="shared" si="1"/>
        <v>0</v>
      </c>
      <c r="J26" s="2004">
        <v>1</v>
      </c>
      <c r="K26" s="1999">
        <v>0</v>
      </c>
      <c r="L26" s="1999">
        <v>0</v>
      </c>
      <c r="M26" s="1999">
        <v>0</v>
      </c>
      <c r="N26" s="2007">
        <f t="shared" si="13"/>
        <v>0</v>
      </c>
      <c r="O26" s="2008">
        <f>N26-I26</f>
        <v>0</v>
      </c>
      <c r="P26" s="2009">
        <v>0</v>
      </c>
      <c r="Q26" s="2004"/>
      <c r="R26" s="2007">
        <f t="shared" si="2"/>
        <v>0</v>
      </c>
      <c r="S26" s="2011"/>
      <c r="T26" s="2002">
        <v>0</v>
      </c>
      <c r="U26" s="2002">
        <v>0</v>
      </c>
      <c r="V26" s="2002">
        <v>0</v>
      </c>
      <c r="W26" s="2003">
        <f t="shared" si="14"/>
        <v>0</v>
      </c>
      <c r="X26" s="2060">
        <v>0</v>
      </c>
      <c r="Y26" s="2060">
        <v>0</v>
      </c>
      <c r="Z26" s="2060">
        <v>0</v>
      </c>
      <c r="AA26" s="2007">
        <f t="shared" si="15"/>
        <v>0</v>
      </c>
      <c r="AB26" s="2008">
        <f t="shared" si="6"/>
        <v>0</v>
      </c>
      <c r="AC26" s="2009">
        <v>0</v>
      </c>
      <c r="AD26" s="2054"/>
      <c r="AE26" s="2004">
        <v>1</v>
      </c>
      <c r="AF26" s="2014">
        <f t="shared" si="16"/>
        <v>0</v>
      </c>
      <c r="AG26" s="2007">
        <f t="shared" si="3"/>
        <v>0</v>
      </c>
      <c r="AH26" s="2004">
        <v>1</v>
      </c>
      <c r="AI26" s="2055">
        <f t="shared" si="17"/>
        <v>0</v>
      </c>
      <c r="AJ26" s="2056">
        <v>0</v>
      </c>
      <c r="AK26" s="2017" t="e">
        <f t="shared" si="8"/>
        <v>#DIV/0!</v>
      </c>
      <c r="AL26" s="2062" t="s">
        <v>1101</v>
      </c>
      <c r="AM26" s="1999"/>
    </row>
    <row r="27" spans="1:39" s="2058" customFormat="1" ht="46.5" customHeight="1">
      <c r="A27" s="2663"/>
      <c r="B27" s="2053">
        <v>711016</v>
      </c>
      <c r="C27" s="1999" t="s">
        <v>1102</v>
      </c>
      <c r="D27" s="1999" t="s">
        <v>38</v>
      </c>
      <c r="E27" s="1999"/>
      <c r="F27" s="2002">
        <v>4</v>
      </c>
      <c r="G27" s="2002">
        <f>1870/4</f>
        <v>467.5</v>
      </c>
      <c r="H27" s="2002">
        <v>1</v>
      </c>
      <c r="I27" s="2003">
        <f t="shared" si="1"/>
        <v>1870</v>
      </c>
      <c r="J27" s="2004">
        <v>1</v>
      </c>
      <c r="K27" s="1999">
        <v>4</v>
      </c>
      <c r="L27" s="1999">
        <v>300</v>
      </c>
      <c r="M27" s="1999">
        <v>1</v>
      </c>
      <c r="N27" s="2007">
        <f t="shared" si="13"/>
        <v>1200</v>
      </c>
      <c r="O27" s="2008">
        <f t="shared" ref="O27:O32" si="18">-N27+I27</f>
        <v>670</v>
      </c>
      <c r="P27" s="2009">
        <f t="shared" si="5"/>
        <v>0.55833333333333335</v>
      </c>
      <c r="Q27" s="2063"/>
      <c r="R27" s="2007">
        <f t="shared" si="2"/>
        <v>1870</v>
      </c>
      <c r="S27" s="2011"/>
      <c r="T27" s="2002"/>
      <c r="U27" s="2002"/>
      <c r="V27" s="2002"/>
      <c r="W27" s="2003">
        <f t="shared" si="14"/>
        <v>0</v>
      </c>
      <c r="X27" s="2060"/>
      <c r="Y27" s="2060"/>
      <c r="Z27" s="2060"/>
      <c r="AA27" s="2007">
        <f t="shared" si="15"/>
        <v>0</v>
      </c>
      <c r="AB27" s="2008">
        <f t="shared" si="6"/>
        <v>0</v>
      </c>
      <c r="AC27" s="2009">
        <v>0</v>
      </c>
      <c r="AD27" s="2054"/>
      <c r="AE27" s="2004">
        <v>1</v>
      </c>
      <c r="AF27" s="2014">
        <f t="shared" si="16"/>
        <v>0</v>
      </c>
      <c r="AG27" s="2007">
        <f t="shared" si="3"/>
        <v>1870</v>
      </c>
      <c r="AH27" s="2004">
        <v>1</v>
      </c>
      <c r="AI27" s="2055">
        <f t="shared" si="17"/>
        <v>1870</v>
      </c>
      <c r="AJ27" s="2056">
        <v>1870</v>
      </c>
      <c r="AK27" s="2017">
        <f t="shared" si="8"/>
        <v>1</v>
      </c>
      <c r="AL27" s="2057" t="s">
        <v>1103</v>
      </c>
      <c r="AM27" s="1999"/>
    </row>
    <row r="28" spans="1:39" s="2058" customFormat="1" ht="60" customHeight="1">
      <c r="A28" s="2663"/>
      <c r="B28" s="2053">
        <v>711017</v>
      </c>
      <c r="C28" s="1999" t="s">
        <v>1104</v>
      </c>
      <c r="D28" s="1999" t="s">
        <v>38</v>
      </c>
      <c r="E28" s="1999"/>
      <c r="F28" s="2002">
        <v>15</v>
      </c>
      <c r="G28" s="2002">
        <f>638.75/15</f>
        <v>42.583333333333336</v>
      </c>
      <c r="H28" s="2002">
        <v>1</v>
      </c>
      <c r="I28" s="2003">
        <f t="shared" si="1"/>
        <v>638.75</v>
      </c>
      <c r="J28" s="2004">
        <v>1</v>
      </c>
      <c r="K28" s="1999">
        <v>15</v>
      </c>
      <c r="L28" s="1999">
        <v>40</v>
      </c>
      <c r="M28" s="1999">
        <v>1</v>
      </c>
      <c r="N28" s="2007">
        <f t="shared" si="13"/>
        <v>600</v>
      </c>
      <c r="O28" s="2008">
        <f t="shared" si="18"/>
        <v>38.75</v>
      </c>
      <c r="P28" s="2009">
        <f t="shared" si="5"/>
        <v>6.458333333333334E-2</v>
      </c>
      <c r="Q28" s="2004"/>
      <c r="R28" s="2007">
        <f t="shared" si="2"/>
        <v>638.75</v>
      </c>
      <c r="S28" s="2011"/>
      <c r="T28" s="2002"/>
      <c r="U28" s="2002"/>
      <c r="V28" s="2002"/>
      <c r="W28" s="2003">
        <f t="shared" si="14"/>
        <v>0</v>
      </c>
      <c r="X28" s="2060"/>
      <c r="Y28" s="2060"/>
      <c r="Z28" s="2060"/>
      <c r="AA28" s="2007">
        <f t="shared" si="15"/>
        <v>0</v>
      </c>
      <c r="AB28" s="2008">
        <f t="shared" si="6"/>
        <v>0</v>
      </c>
      <c r="AC28" s="2009">
        <v>0</v>
      </c>
      <c r="AD28" s="2054"/>
      <c r="AE28" s="2004">
        <v>1</v>
      </c>
      <c r="AF28" s="2014">
        <f t="shared" si="16"/>
        <v>0</v>
      </c>
      <c r="AG28" s="2007">
        <f t="shared" si="3"/>
        <v>638.75</v>
      </c>
      <c r="AH28" s="2004">
        <v>1</v>
      </c>
      <c r="AI28" s="2055">
        <f t="shared" si="17"/>
        <v>638.75</v>
      </c>
      <c r="AJ28" s="2056">
        <v>640</v>
      </c>
      <c r="AK28" s="2017">
        <f t="shared" si="8"/>
        <v>1.0019569471624266</v>
      </c>
      <c r="AL28" s="2057" t="s">
        <v>1105</v>
      </c>
      <c r="AM28" s="1999"/>
    </row>
    <row r="29" spans="1:39" s="2036" customFormat="1" ht="55.5" customHeight="1">
      <c r="A29" s="2663"/>
      <c r="B29" s="2021">
        <v>711018</v>
      </c>
      <c r="C29" s="2022" t="s">
        <v>1106</v>
      </c>
      <c r="D29" s="2022" t="s">
        <v>50</v>
      </c>
      <c r="E29" s="2022" t="s">
        <v>1107</v>
      </c>
      <c r="F29" s="2022">
        <v>1</v>
      </c>
      <c r="G29" s="2022">
        <f>11260/9</f>
        <v>1251.1111111111111</v>
      </c>
      <c r="H29" s="2022">
        <v>9</v>
      </c>
      <c r="I29" s="2024">
        <f t="shared" si="1"/>
        <v>11260</v>
      </c>
      <c r="J29" s="2025">
        <v>0.97</v>
      </c>
      <c r="K29" s="2022">
        <v>1</v>
      </c>
      <c r="L29" s="2022">
        <v>1325</v>
      </c>
      <c r="M29" s="2022">
        <v>9</v>
      </c>
      <c r="N29" s="2024">
        <f t="shared" si="13"/>
        <v>11925</v>
      </c>
      <c r="O29" s="2026">
        <f t="shared" si="18"/>
        <v>-665</v>
      </c>
      <c r="P29" s="2027">
        <f t="shared" si="5"/>
        <v>-5.5765199161425576E-2</v>
      </c>
      <c r="Q29" s="2025"/>
      <c r="R29" s="2024">
        <f t="shared" si="2"/>
        <v>10922.199999999999</v>
      </c>
      <c r="S29" s="2011"/>
      <c r="T29" s="2022">
        <f>1*0</f>
        <v>0</v>
      </c>
      <c r="U29" s="2022">
        <v>1325</v>
      </c>
      <c r="V29" s="2022">
        <v>12</v>
      </c>
      <c r="W29" s="2024">
        <f t="shared" si="14"/>
        <v>0</v>
      </c>
      <c r="X29" s="2029">
        <v>1</v>
      </c>
      <c r="Y29" s="2029">
        <v>1325</v>
      </c>
      <c r="Z29" s="2029">
        <v>12</v>
      </c>
      <c r="AA29" s="2024">
        <f t="shared" si="15"/>
        <v>15900</v>
      </c>
      <c r="AB29" s="2026">
        <f t="shared" si="6"/>
        <v>-15900</v>
      </c>
      <c r="AC29" s="2027">
        <f t="shared" si="10"/>
        <v>-1</v>
      </c>
      <c r="AD29" s="2052" t="s">
        <v>1108</v>
      </c>
      <c r="AE29" s="2025">
        <v>0.97</v>
      </c>
      <c r="AF29" s="2031">
        <f t="shared" si="16"/>
        <v>0</v>
      </c>
      <c r="AG29" s="2024">
        <f t="shared" si="3"/>
        <v>11260</v>
      </c>
      <c r="AH29" s="2025">
        <v>0.97</v>
      </c>
      <c r="AI29" s="2032">
        <f t="shared" si="17"/>
        <v>10922.199999999999</v>
      </c>
      <c r="AJ29" s="2033">
        <v>10480</v>
      </c>
      <c r="AK29" s="2034">
        <f t="shared" si="8"/>
        <v>0.93072824156305511</v>
      </c>
      <c r="AL29" s="2035" t="s">
        <v>1109</v>
      </c>
      <c r="AM29" s="2022" t="s">
        <v>1110</v>
      </c>
    </row>
    <row r="30" spans="1:39" s="2058" customFormat="1" ht="24.75" customHeight="1">
      <c r="A30" s="2663"/>
      <c r="B30" s="2053">
        <v>711019</v>
      </c>
      <c r="C30" s="1999" t="s">
        <v>1111</v>
      </c>
      <c r="D30" s="1999" t="s">
        <v>38</v>
      </c>
      <c r="E30" s="1999"/>
      <c r="F30" s="2002">
        <v>9</v>
      </c>
      <c r="G30" s="2002">
        <f>685/9</f>
        <v>76.111111111111114</v>
      </c>
      <c r="H30" s="2002">
        <v>1</v>
      </c>
      <c r="I30" s="2003">
        <f t="shared" si="1"/>
        <v>685</v>
      </c>
      <c r="J30" s="2004">
        <v>1</v>
      </c>
      <c r="K30" s="1999">
        <v>9</v>
      </c>
      <c r="L30" s="1999">
        <v>85</v>
      </c>
      <c r="M30" s="1999">
        <v>1</v>
      </c>
      <c r="N30" s="2007">
        <f t="shared" si="13"/>
        <v>765</v>
      </c>
      <c r="O30" s="2008">
        <f t="shared" si="18"/>
        <v>-80</v>
      </c>
      <c r="P30" s="2009">
        <f t="shared" si="5"/>
        <v>-0.10457516339869281</v>
      </c>
      <c r="Q30" s="2004"/>
      <c r="R30" s="2007">
        <f t="shared" ref="R30:R36" si="19">+I30*J30</f>
        <v>685</v>
      </c>
      <c r="S30" s="2011"/>
      <c r="T30" s="2002">
        <v>16</v>
      </c>
      <c r="U30" s="2002">
        <v>85</v>
      </c>
      <c r="V30" s="2002">
        <v>1</v>
      </c>
      <c r="W30" s="2003">
        <f t="shared" si="14"/>
        <v>1360</v>
      </c>
      <c r="X30" s="2060">
        <v>16</v>
      </c>
      <c r="Y30" s="2060">
        <v>85</v>
      </c>
      <c r="Z30" s="2060">
        <v>1</v>
      </c>
      <c r="AA30" s="2007">
        <f t="shared" si="15"/>
        <v>1360</v>
      </c>
      <c r="AB30" s="2008">
        <f t="shared" si="6"/>
        <v>0</v>
      </c>
      <c r="AC30" s="2009">
        <f t="shared" si="10"/>
        <v>0</v>
      </c>
      <c r="AD30" s="2054"/>
      <c r="AE30" s="2004">
        <v>1</v>
      </c>
      <c r="AF30" s="2014">
        <f t="shared" ref="AF30:AF36" si="20">+W30*AE30</f>
        <v>1360</v>
      </c>
      <c r="AG30" s="2007">
        <f t="shared" ref="AG30:AG36" si="21">+I30+W30</f>
        <v>2045</v>
      </c>
      <c r="AH30" s="2004">
        <v>1</v>
      </c>
      <c r="AI30" s="2055">
        <f t="shared" si="17"/>
        <v>2045</v>
      </c>
      <c r="AJ30" s="2056">
        <v>784</v>
      </c>
      <c r="AK30" s="2017">
        <f t="shared" si="8"/>
        <v>0.38337408312958438</v>
      </c>
      <c r="AL30" s="2057" t="s">
        <v>1112</v>
      </c>
      <c r="AM30" s="1999"/>
    </row>
    <row r="31" spans="1:39" s="2058" customFormat="1" ht="33.75" customHeight="1">
      <c r="A31" s="2663"/>
      <c r="B31" s="2053">
        <v>711020</v>
      </c>
      <c r="C31" s="1999" t="s">
        <v>1113</v>
      </c>
      <c r="D31" s="1999" t="s">
        <v>38</v>
      </c>
      <c r="E31" s="1999"/>
      <c r="F31" s="2002">
        <v>16</v>
      </c>
      <c r="G31" s="2002">
        <f>402.75/16</f>
        <v>25.171875</v>
      </c>
      <c r="H31" s="2002">
        <v>1</v>
      </c>
      <c r="I31" s="2003">
        <f t="shared" si="1"/>
        <v>402.75</v>
      </c>
      <c r="J31" s="2004">
        <v>1</v>
      </c>
      <c r="K31" s="1999">
        <v>16</v>
      </c>
      <c r="L31" s="1999">
        <v>30</v>
      </c>
      <c r="M31" s="1999">
        <v>1</v>
      </c>
      <c r="N31" s="2007">
        <f t="shared" si="13"/>
        <v>480</v>
      </c>
      <c r="O31" s="2008">
        <f t="shared" si="18"/>
        <v>-77.25</v>
      </c>
      <c r="P31" s="2009">
        <f t="shared" si="5"/>
        <v>-0.16093750000000001</v>
      </c>
      <c r="Q31" s="2004"/>
      <c r="R31" s="2007">
        <f t="shared" si="19"/>
        <v>402.75</v>
      </c>
      <c r="S31" s="2011"/>
      <c r="T31" s="2002">
        <v>26</v>
      </c>
      <c r="U31" s="2002">
        <v>30</v>
      </c>
      <c r="V31" s="2002">
        <v>1</v>
      </c>
      <c r="W31" s="2003">
        <f t="shared" si="14"/>
        <v>780</v>
      </c>
      <c r="X31" s="2060">
        <v>26</v>
      </c>
      <c r="Y31" s="2060">
        <v>30</v>
      </c>
      <c r="Z31" s="2060">
        <v>1</v>
      </c>
      <c r="AA31" s="2007">
        <f t="shared" si="15"/>
        <v>780</v>
      </c>
      <c r="AB31" s="2008">
        <f t="shared" si="6"/>
        <v>0</v>
      </c>
      <c r="AC31" s="2009">
        <f t="shared" si="10"/>
        <v>0</v>
      </c>
      <c r="AD31" s="2054"/>
      <c r="AE31" s="2004">
        <v>1</v>
      </c>
      <c r="AF31" s="2014">
        <f t="shared" si="20"/>
        <v>780</v>
      </c>
      <c r="AG31" s="2007">
        <f t="shared" si="21"/>
        <v>1182.75</v>
      </c>
      <c r="AH31" s="2004">
        <v>1</v>
      </c>
      <c r="AI31" s="2055">
        <f t="shared" si="17"/>
        <v>1182.75</v>
      </c>
      <c r="AJ31" s="2056">
        <v>184</v>
      </c>
      <c r="AK31" s="2017">
        <f t="shared" si="8"/>
        <v>0.15556964700908898</v>
      </c>
      <c r="AL31" s="2057" t="s">
        <v>1114</v>
      </c>
      <c r="AM31" s="1999"/>
    </row>
    <row r="32" spans="1:39" s="2058" customFormat="1" ht="78.75" customHeight="1">
      <c r="A32" s="2663"/>
      <c r="B32" s="2053">
        <v>711021</v>
      </c>
      <c r="C32" s="1999" t="s">
        <v>1115</v>
      </c>
      <c r="D32" s="1999" t="s">
        <v>38</v>
      </c>
      <c r="E32" s="1999"/>
      <c r="F32" s="2002">
        <v>2</v>
      </c>
      <c r="G32" s="2002">
        <v>125</v>
      </c>
      <c r="H32" s="2002">
        <v>0</v>
      </c>
      <c r="I32" s="2003">
        <f t="shared" si="1"/>
        <v>0</v>
      </c>
      <c r="J32" s="2004">
        <v>1</v>
      </c>
      <c r="K32" s="1999">
        <v>2</v>
      </c>
      <c r="L32" s="1999">
        <v>125</v>
      </c>
      <c r="M32" s="1999">
        <v>1</v>
      </c>
      <c r="N32" s="2007">
        <f t="shared" si="13"/>
        <v>250</v>
      </c>
      <c r="O32" s="2008">
        <f t="shared" si="18"/>
        <v>-250</v>
      </c>
      <c r="P32" s="2009">
        <f t="shared" si="5"/>
        <v>-1</v>
      </c>
      <c r="Q32" s="2004" t="s">
        <v>1116</v>
      </c>
      <c r="R32" s="2007">
        <f t="shared" si="19"/>
        <v>0</v>
      </c>
      <c r="S32" s="2011"/>
      <c r="T32" s="2002">
        <v>7</v>
      </c>
      <c r="U32" s="2020">
        <f>(875+250)/7</f>
        <v>160.71428571428572</v>
      </c>
      <c r="V32" s="2002">
        <v>1</v>
      </c>
      <c r="W32" s="2003">
        <f t="shared" si="14"/>
        <v>1125</v>
      </c>
      <c r="X32" s="2060">
        <v>7</v>
      </c>
      <c r="Y32" s="2060">
        <v>125</v>
      </c>
      <c r="Z32" s="2060">
        <v>1</v>
      </c>
      <c r="AA32" s="2007">
        <f t="shared" si="15"/>
        <v>875</v>
      </c>
      <c r="AB32" s="2008">
        <f t="shared" si="6"/>
        <v>250</v>
      </c>
      <c r="AC32" s="2009">
        <f t="shared" si="10"/>
        <v>0.2857142857142857</v>
      </c>
      <c r="AD32" s="2054"/>
      <c r="AE32" s="2004">
        <v>1</v>
      </c>
      <c r="AF32" s="2014">
        <f t="shared" si="20"/>
        <v>1125</v>
      </c>
      <c r="AG32" s="2007">
        <f t="shared" si="21"/>
        <v>1125</v>
      </c>
      <c r="AH32" s="2004">
        <v>1</v>
      </c>
      <c r="AI32" s="2055">
        <f t="shared" si="17"/>
        <v>1125</v>
      </c>
      <c r="AJ32" s="2056">
        <v>0</v>
      </c>
      <c r="AK32" s="2017">
        <f t="shared" si="8"/>
        <v>0</v>
      </c>
      <c r="AL32" s="2057" t="s">
        <v>1117</v>
      </c>
      <c r="AM32" s="1999" t="s">
        <v>1118</v>
      </c>
    </row>
    <row r="33" spans="1:39" s="2075" customFormat="1" ht="78.75" customHeight="1">
      <c r="A33" s="2663"/>
      <c r="B33" s="2064">
        <v>711022</v>
      </c>
      <c r="C33" s="2065" t="s">
        <v>1119</v>
      </c>
      <c r="D33" s="2065"/>
      <c r="E33" s="2065"/>
      <c r="F33" s="2065"/>
      <c r="G33" s="2065"/>
      <c r="H33" s="2065"/>
      <c r="I33" s="2041">
        <f t="shared" si="1"/>
        <v>0</v>
      </c>
      <c r="J33" s="2066">
        <v>1</v>
      </c>
      <c r="K33" s="2065"/>
      <c r="L33" s="2065"/>
      <c r="M33" s="2065"/>
      <c r="N33" s="2041">
        <f t="shared" si="13"/>
        <v>0</v>
      </c>
      <c r="O33" s="2041">
        <f>N33-I33</f>
        <v>0</v>
      </c>
      <c r="P33" s="2067" t="e">
        <f t="shared" si="5"/>
        <v>#DIV/0!</v>
      </c>
      <c r="Q33" s="2066"/>
      <c r="R33" s="2041">
        <f t="shared" si="19"/>
        <v>0</v>
      </c>
      <c r="S33" s="2068"/>
      <c r="T33" s="2065">
        <v>4</v>
      </c>
      <c r="U33" s="2069">
        <v>700</v>
      </c>
      <c r="V33" s="2065">
        <v>1</v>
      </c>
      <c r="W33" s="2041">
        <f t="shared" si="14"/>
        <v>2800</v>
      </c>
      <c r="X33" s="2070"/>
      <c r="Y33" s="2070"/>
      <c r="Z33" s="2070"/>
      <c r="AA33" s="2041">
        <f t="shared" si="15"/>
        <v>0</v>
      </c>
      <c r="AB33" s="2041">
        <f t="shared" si="6"/>
        <v>2800</v>
      </c>
      <c r="AC33" s="2067">
        <v>1</v>
      </c>
      <c r="AD33" s="2071"/>
      <c r="AE33" s="2066">
        <v>1</v>
      </c>
      <c r="AF33" s="2072">
        <f t="shared" si="20"/>
        <v>2800</v>
      </c>
      <c r="AG33" s="2041">
        <f t="shared" si="21"/>
        <v>2800</v>
      </c>
      <c r="AH33" s="2066">
        <v>1</v>
      </c>
      <c r="AI33" s="2047">
        <f t="shared" si="17"/>
        <v>2800</v>
      </c>
      <c r="AJ33" s="2047">
        <v>0</v>
      </c>
      <c r="AK33" s="2048">
        <f t="shared" si="8"/>
        <v>0</v>
      </c>
      <c r="AL33" s="2073" t="s">
        <v>1120</v>
      </c>
      <c r="AM33" s="2074" t="s">
        <v>1121</v>
      </c>
    </row>
    <row r="34" spans="1:39" s="2075" customFormat="1" ht="78.75" customHeight="1">
      <c r="A34" s="2663"/>
      <c r="B34" s="2064">
        <v>711023</v>
      </c>
      <c r="C34" s="2065" t="s">
        <v>1122</v>
      </c>
      <c r="D34" s="2065"/>
      <c r="E34" s="2065"/>
      <c r="F34" s="2065"/>
      <c r="G34" s="2065"/>
      <c r="H34" s="2065"/>
      <c r="I34" s="2041">
        <f t="shared" si="1"/>
        <v>0</v>
      </c>
      <c r="J34" s="2066">
        <v>1</v>
      </c>
      <c r="K34" s="2065"/>
      <c r="L34" s="2065"/>
      <c r="M34" s="2065"/>
      <c r="N34" s="2041">
        <f t="shared" si="13"/>
        <v>0</v>
      </c>
      <c r="O34" s="2041">
        <f>N34-I34</f>
        <v>0</v>
      </c>
      <c r="P34" s="2067" t="e">
        <f t="shared" si="5"/>
        <v>#DIV/0!</v>
      </c>
      <c r="Q34" s="2066"/>
      <c r="R34" s="2041">
        <f t="shared" si="19"/>
        <v>0</v>
      </c>
      <c r="S34" s="2068"/>
      <c r="T34" s="2065">
        <v>4</v>
      </c>
      <c r="U34" s="2069">
        <v>900</v>
      </c>
      <c r="V34" s="2065">
        <v>1</v>
      </c>
      <c r="W34" s="2041">
        <f t="shared" si="14"/>
        <v>3600</v>
      </c>
      <c r="X34" s="2070"/>
      <c r="Y34" s="2070"/>
      <c r="Z34" s="2070"/>
      <c r="AA34" s="2041">
        <f t="shared" si="15"/>
        <v>0</v>
      </c>
      <c r="AB34" s="2041">
        <f t="shared" si="6"/>
        <v>3600</v>
      </c>
      <c r="AC34" s="2067">
        <v>1</v>
      </c>
      <c r="AD34" s="2071"/>
      <c r="AE34" s="2066">
        <v>1</v>
      </c>
      <c r="AF34" s="2072">
        <f t="shared" si="20"/>
        <v>3600</v>
      </c>
      <c r="AG34" s="2041">
        <f t="shared" si="21"/>
        <v>3600</v>
      </c>
      <c r="AH34" s="2066">
        <v>1</v>
      </c>
      <c r="AI34" s="2047">
        <f t="shared" si="17"/>
        <v>3600</v>
      </c>
      <c r="AJ34" s="2047">
        <v>0</v>
      </c>
      <c r="AK34" s="2048">
        <f t="shared" si="8"/>
        <v>0</v>
      </c>
      <c r="AL34" s="2073" t="s">
        <v>1123</v>
      </c>
      <c r="AM34" s="2074" t="s">
        <v>1124</v>
      </c>
    </row>
    <row r="35" spans="1:39" s="2075" customFormat="1" ht="78.75" customHeight="1">
      <c r="A35" s="2663"/>
      <c r="B35" s="2064">
        <v>711024</v>
      </c>
      <c r="C35" s="2065" t="s">
        <v>1125</v>
      </c>
      <c r="D35" s="2065"/>
      <c r="E35" s="2065"/>
      <c r="F35" s="2065"/>
      <c r="G35" s="2065"/>
      <c r="H35" s="2065"/>
      <c r="I35" s="2041">
        <f t="shared" si="1"/>
        <v>0</v>
      </c>
      <c r="J35" s="2066">
        <v>1</v>
      </c>
      <c r="K35" s="2065"/>
      <c r="L35" s="2065"/>
      <c r="M35" s="2065"/>
      <c r="N35" s="2041">
        <f t="shared" si="13"/>
        <v>0</v>
      </c>
      <c r="O35" s="2041">
        <f>N35-I35</f>
        <v>0</v>
      </c>
      <c r="P35" s="2067" t="e">
        <f t="shared" si="5"/>
        <v>#DIV/0!</v>
      </c>
      <c r="Q35" s="2066"/>
      <c r="R35" s="2041">
        <f t="shared" si="19"/>
        <v>0</v>
      </c>
      <c r="S35" s="2068"/>
      <c r="T35" s="2065">
        <v>8</v>
      </c>
      <c r="U35" s="2069">
        <f>+'[5]Détail Budget solicité'!H9</f>
        <v>378.38541666666669</v>
      </c>
      <c r="V35" s="2065">
        <v>12</v>
      </c>
      <c r="W35" s="2076">
        <v>38725</v>
      </c>
      <c r="X35" s="2070"/>
      <c r="Y35" s="2070"/>
      <c r="Z35" s="2070"/>
      <c r="AA35" s="2041">
        <f t="shared" si="15"/>
        <v>0</v>
      </c>
      <c r="AB35" s="2041">
        <f t="shared" si="6"/>
        <v>38725</v>
      </c>
      <c r="AC35" s="2067">
        <v>1</v>
      </c>
      <c r="AD35" s="2071"/>
      <c r="AE35" s="2066">
        <v>1</v>
      </c>
      <c r="AF35" s="2072">
        <f t="shared" si="20"/>
        <v>38725</v>
      </c>
      <c r="AG35" s="2041">
        <f t="shared" si="21"/>
        <v>38725</v>
      </c>
      <c r="AH35" s="2066">
        <v>1</v>
      </c>
      <c r="AI35" s="2047">
        <f t="shared" si="17"/>
        <v>38725</v>
      </c>
      <c r="AJ35" s="2047">
        <v>0</v>
      </c>
      <c r="AK35" s="2048">
        <f t="shared" si="8"/>
        <v>0</v>
      </c>
      <c r="AL35" s="2073" t="str">
        <f>+'[5]Détail Budget solicité'!K9</f>
        <v>Il s'agit d'appuyer 8 structures sanitaires (FOSA) aux activités/depenses suivantes: i) 6PEPx1400$ =8400$, ii) Medicaments et materiels medicaux essentiels (Kits IST, etc.) x 750$ x 8 FOSA= 6000$, iii) Primes services 8FOSA et supervision BCZS  x 125$ x10mois = 10000$, IV) Remb. transport survivants= 150x15,5$ =2325$, V) 1Sup. Medicale x12moisx1000$=12000$</v>
      </c>
      <c r="AM35" s="2077" t="s">
        <v>1126</v>
      </c>
    </row>
    <row r="36" spans="1:39" s="2075" customFormat="1" ht="78.75" customHeight="1">
      <c r="A36" s="2663"/>
      <c r="B36" s="2064">
        <v>711025</v>
      </c>
      <c r="C36" s="2065" t="s">
        <v>1127</v>
      </c>
      <c r="D36" s="2065"/>
      <c r="E36" s="2065"/>
      <c r="F36" s="2065"/>
      <c r="G36" s="2065"/>
      <c r="H36" s="2065"/>
      <c r="I36" s="2041">
        <f t="shared" si="1"/>
        <v>0</v>
      </c>
      <c r="J36" s="2066">
        <v>1</v>
      </c>
      <c r="K36" s="2065"/>
      <c r="L36" s="2065"/>
      <c r="M36" s="2065"/>
      <c r="N36" s="2041">
        <f t="shared" si="13"/>
        <v>0</v>
      </c>
      <c r="O36" s="2041">
        <f>N36-I36</f>
        <v>0</v>
      </c>
      <c r="P36" s="2067" t="e">
        <f t="shared" si="5"/>
        <v>#DIV/0!</v>
      </c>
      <c r="Q36" s="2066"/>
      <c r="R36" s="2041">
        <f t="shared" si="19"/>
        <v>0</v>
      </c>
      <c r="S36" s="2068"/>
      <c r="T36" s="2065">
        <v>1</v>
      </c>
      <c r="U36" s="2065">
        <v>864</v>
      </c>
      <c r="V36" s="2065">
        <v>1</v>
      </c>
      <c r="W36" s="2041">
        <f t="shared" si="14"/>
        <v>864</v>
      </c>
      <c r="X36" s="2070"/>
      <c r="Y36" s="2070"/>
      <c r="Z36" s="2070"/>
      <c r="AA36" s="2041">
        <f t="shared" si="15"/>
        <v>0</v>
      </c>
      <c r="AB36" s="2041">
        <f t="shared" si="6"/>
        <v>864</v>
      </c>
      <c r="AC36" s="2067">
        <v>1</v>
      </c>
      <c r="AD36" s="2071"/>
      <c r="AE36" s="2066">
        <v>1</v>
      </c>
      <c r="AF36" s="2072">
        <f t="shared" si="20"/>
        <v>864</v>
      </c>
      <c r="AG36" s="2041">
        <f t="shared" si="21"/>
        <v>864</v>
      </c>
      <c r="AH36" s="2066">
        <v>1</v>
      </c>
      <c r="AI36" s="2047">
        <f t="shared" si="17"/>
        <v>864</v>
      </c>
      <c r="AJ36" s="2047">
        <v>0</v>
      </c>
      <c r="AK36" s="2048">
        <f t="shared" si="8"/>
        <v>0</v>
      </c>
      <c r="AL36" s="2073" t="s">
        <v>1128</v>
      </c>
      <c r="AM36" s="2077" t="s">
        <v>1129</v>
      </c>
    </row>
    <row r="37" spans="1:39" s="2096" customFormat="1" ht="18.75" customHeight="1">
      <c r="A37" s="2664"/>
      <c r="B37" s="2078"/>
      <c r="C37" s="2079"/>
      <c r="D37" s="2079"/>
      <c r="E37" s="2080" t="s">
        <v>47</v>
      </c>
      <c r="F37" s="2081"/>
      <c r="G37" s="2081"/>
      <c r="H37" s="2081"/>
      <c r="I37" s="2082">
        <f>SUM(I12:I36)</f>
        <v>48501.725000000006</v>
      </c>
      <c r="J37" s="2083"/>
      <c r="K37" s="2080"/>
      <c r="L37" s="2080"/>
      <c r="M37" s="2080"/>
      <c r="N37" s="2083">
        <f>SUM(N12:N36)</f>
        <v>54447</v>
      </c>
      <c r="O37" s="2084">
        <f>SUM(O12:O36)</f>
        <v>-5375.2749999999996</v>
      </c>
      <c r="P37" s="2085">
        <f t="shared" si="5"/>
        <v>-9.8724906790089439E-2</v>
      </c>
      <c r="Q37" s="2083"/>
      <c r="R37" s="2083">
        <f>SUM(R12:R36)</f>
        <v>34916.719398148147</v>
      </c>
      <c r="S37" s="2086"/>
      <c r="T37" s="2082"/>
      <c r="U37" s="2082"/>
      <c r="V37" s="2082"/>
      <c r="W37" s="2082">
        <f>SUM(W12:W36)</f>
        <v>100114</v>
      </c>
      <c r="X37" s="2087"/>
      <c r="Y37" s="2087"/>
      <c r="Z37" s="2087"/>
      <c r="AA37" s="2088">
        <f>SUM(AA12:AA36)</f>
        <v>50845</v>
      </c>
      <c r="AB37" s="2089">
        <f>SUM(AB12:AB36)</f>
        <v>49269</v>
      </c>
      <c r="AC37" s="2090">
        <f t="shared" si="10"/>
        <v>0.96900383518536726</v>
      </c>
      <c r="AD37" s="2091"/>
      <c r="AE37" s="2083"/>
      <c r="AF37" s="2083">
        <f>SUM(AF12:AF36)</f>
        <v>83085.25</v>
      </c>
      <c r="AG37" s="2083">
        <f>SUM(AG12:AG36)</f>
        <v>148615.72500000001</v>
      </c>
      <c r="AH37" s="2083"/>
      <c r="AI37" s="2092">
        <f>SUM(AI12:AI36)</f>
        <v>117929.77773148149</v>
      </c>
      <c r="AJ37" s="2093">
        <f>SUM(AJ12:AJ36)</f>
        <v>48650</v>
      </c>
      <c r="AK37" s="2094">
        <f t="shared" si="8"/>
        <v>0.32735432270037373</v>
      </c>
      <c r="AL37" s="2095" t="s">
        <v>1130</v>
      </c>
      <c r="AM37" s="2079"/>
    </row>
    <row r="38" spans="1:39" s="2058" customFormat="1" ht="43.5" customHeight="1">
      <c r="A38" s="2665" t="s">
        <v>1131</v>
      </c>
      <c r="B38" s="2053" t="s">
        <v>1132</v>
      </c>
      <c r="C38" s="1999" t="s">
        <v>1133</v>
      </c>
      <c r="D38" s="1999" t="s">
        <v>38</v>
      </c>
      <c r="E38" s="1999"/>
      <c r="F38" s="2002">
        <v>15</v>
      </c>
      <c r="G38" s="2002">
        <f>386.75/15</f>
        <v>25.783333333333335</v>
      </c>
      <c r="H38" s="2002">
        <v>1</v>
      </c>
      <c r="I38" s="2003">
        <f>F38*G38*H38</f>
        <v>386.75</v>
      </c>
      <c r="J38" s="2004">
        <v>1</v>
      </c>
      <c r="K38" s="1999">
        <v>15</v>
      </c>
      <c r="L38" s="1999">
        <v>25</v>
      </c>
      <c r="M38" s="1999">
        <v>1</v>
      </c>
      <c r="N38" s="2007">
        <f>K38*L38*M38</f>
        <v>375</v>
      </c>
      <c r="O38" s="2008">
        <f>-N38+I38</f>
        <v>11.75</v>
      </c>
      <c r="P38" s="2009">
        <f t="shared" si="5"/>
        <v>3.1333333333333331E-2</v>
      </c>
      <c r="Q38" s="2004"/>
      <c r="R38" s="2007">
        <f>+I38*J38</f>
        <v>386.75</v>
      </c>
      <c r="S38" s="2011"/>
      <c r="T38" s="2002"/>
      <c r="U38" s="2002"/>
      <c r="V38" s="2002"/>
      <c r="W38" s="2003">
        <f>T38*U38*V38</f>
        <v>0</v>
      </c>
      <c r="X38" s="2060"/>
      <c r="Y38" s="2060"/>
      <c r="Z38" s="2060"/>
      <c r="AA38" s="2007">
        <f>X38*Y38*Z38</f>
        <v>0</v>
      </c>
      <c r="AB38" s="2008">
        <f t="shared" si="6"/>
        <v>0</v>
      </c>
      <c r="AC38" s="2009" t="e">
        <f t="shared" si="10"/>
        <v>#DIV/0!</v>
      </c>
      <c r="AD38" s="2054"/>
      <c r="AE38" s="2004">
        <v>1</v>
      </c>
      <c r="AF38" s="2014">
        <f>+W38*AE38</f>
        <v>0</v>
      </c>
      <c r="AG38" s="2007">
        <f>I38+W38</f>
        <v>386.75</v>
      </c>
      <c r="AH38" s="2004">
        <v>1</v>
      </c>
      <c r="AI38" s="2055">
        <f>AG38*AH38</f>
        <v>386.75</v>
      </c>
      <c r="AJ38" s="2056">
        <v>509</v>
      </c>
      <c r="AK38" s="2017">
        <f t="shared" si="8"/>
        <v>1.3160956690368455</v>
      </c>
      <c r="AL38" s="2057" t="s">
        <v>1134</v>
      </c>
      <c r="AM38" s="1999"/>
    </row>
    <row r="39" spans="1:39" s="2058" customFormat="1" ht="34.5" customHeight="1">
      <c r="A39" s="2666"/>
      <c r="B39" s="2053" t="s">
        <v>1135</v>
      </c>
      <c r="C39" s="1999" t="s">
        <v>1136</v>
      </c>
      <c r="D39" s="1999" t="s">
        <v>38</v>
      </c>
      <c r="E39" s="1999"/>
      <c r="F39" s="2002">
        <v>645</v>
      </c>
      <c r="G39" s="2002">
        <f>472/645</f>
        <v>0.7317829457364341</v>
      </c>
      <c r="H39" s="2002">
        <v>1</v>
      </c>
      <c r="I39" s="2003">
        <f>F39*G39*H39</f>
        <v>472</v>
      </c>
      <c r="J39" s="2004">
        <v>1</v>
      </c>
      <c r="K39" s="1999">
        <v>645</v>
      </c>
      <c r="L39" s="1999">
        <v>0.75</v>
      </c>
      <c r="M39" s="1999">
        <v>1</v>
      </c>
      <c r="N39" s="2007">
        <f>K39*L39*M39</f>
        <v>483.75</v>
      </c>
      <c r="O39" s="2008">
        <f>-N39+I39</f>
        <v>-11.75</v>
      </c>
      <c r="P39" s="2009">
        <f t="shared" si="5"/>
        <v>-2.428940568475452E-2</v>
      </c>
      <c r="Q39" s="2004"/>
      <c r="R39" s="2007">
        <f>+I39*J39</f>
        <v>472</v>
      </c>
      <c r="S39" s="2011"/>
      <c r="T39" s="2002">
        <v>1155</v>
      </c>
      <c r="U39" s="2002">
        <v>0.75</v>
      </c>
      <c r="V39" s="2002">
        <v>1</v>
      </c>
      <c r="W39" s="2003">
        <f>T39*U39*V39</f>
        <v>866.25</v>
      </c>
      <c r="X39" s="2060">
        <v>1155</v>
      </c>
      <c r="Y39" s="2060">
        <v>0.75</v>
      </c>
      <c r="Z39" s="2060">
        <v>1</v>
      </c>
      <c r="AA39" s="2007">
        <f>X39*Y39*Z39</f>
        <v>866.25</v>
      </c>
      <c r="AB39" s="2008">
        <f t="shared" si="6"/>
        <v>0</v>
      </c>
      <c r="AC39" s="2009">
        <f t="shared" si="10"/>
        <v>0</v>
      </c>
      <c r="AD39" s="2054"/>
      <c r="AE39" s="2004">
        <v>1</v>
      </c>
      <c r="AF39" s="2014">
        <f>+W39*AE39</f>
        <v>866.25</v>
      </c>
      <c r="AG39" s="2007">
        <f>I39+W39</f>
        <v>1338.25</v>
      </c>
      <c r="AH39" s="2004">
        <v>1</v>
      </c>
      <c r="AI39" s="2055">
        <f>AG39*AH39</f>
        <v>1338.25</v>
      </c>
      <c r="AJ39" s="2056">
        <v>472</v>
      </c>
      <c r="AK39" s="2017">
        <f t="shared" si="8"/>
        <v>0.35269942088548478</v>
      </c>
      <c r="AL39" s="2057" t="s">
        <v>1137</v>
      </c>
      <c r="AM39" s="1999"/>
    </row>
    <row r="40" spans="1:39" s="2036" customFormat="1" ht="87" customHeight="1">
      <c r="A40" s="2666"/>
      <c r="B40" s="2021" t="s">
        <v>1138</v>
      </c>
      <c r="C40" s="2022" t="s">
        <v>1139</v>
      </c>
      <c r="D40" s="2022" t="s">
        <v>38</v>
      </c>
      <c r="E40" s="2022"/>
      <c r="F40" s="2022">
        <f>30*0</f>
        <v>0</v>
      </c>
      <c r="G40" s="2022">
        <v>15</v>
      </c>
      <c r="H40" s="2022">
        <v>8</v>
      </c>
      <c r="I40" s="2024">
        <f>F40*G40*H40</f>
        <v>0</v>
      </c>
      <c r="J40" s="2025">
        <v>1</v>
      </c>
      <c r="K40" s="2022">
        <v>30</v>
      </c>
      <c r="L40" s="2022">
        <v>15</v>
      </c>
      <c r="M40" s="2022">
        <v>8</v>
      </c>
      <c r="N40" s="2024">
        <f>K40*L40*M40</f>
        <v>3600</v>
      </c>
      <c r="O40" s="2026">
        <f>-N40+I40</f>
        <v>-3600</v>
      </c>
      <c r="P40" s="2027">
        <v>1</v>
      </c>
      <c r="Q40" s="2028"/>
      <c r="R40" s="2024">
        <f>+I40*J40</f>
        <v>0</v>
      </c>
      <c r="S40" s="2011"/>
      <c r="T40" s="2022">
        <v>30</v>
      </c>
      <c r="U40" s="2022">
        <v>15</v>
      </c>
      <c r="V40" s="2022">
        <v>10</v>
      </c>
      <c r="W40" s="2024">
        <f>T40*U40*V40</f>
        <v>4500</v>
      </c>
      <c r="X40" s="2029">
        <v>30</v>
      </c>
      <c r="Y40" s="2029">
        <v>15</v>
      </c>
      <c r="Z40" s="2029">
        <v>10</v>
      </c>
      <c r="AA40" s="2024">
        <f>X40*Y40*Z40</f>
        <v>4500</v>
      </c>
      <c r="AB40" s="2026">
        <f t="shared" si="6"/>
        <v>0</v>
      </c>
      <c r="AC40" s="2027">
        <f t="shared" si="10"/>
        <v>0</v>
      </c>
      <c r="AD40" s="2030"/>
      <c r="AE40" s="2025">
        <v>1</v>
      </c>
      <c r="AF40" s="2031">
        <f>+W40*AE40</f>
        <v>4500</v>
      </c>
      <c r="AG40" s="2024">
        <f>I40+W40</f>
        <v>4500</v>
      </c>
      <c r="AH40" s="2025">
        <v>1</v>
      </c>
      <c r="AI40" s="2032">
        <f>AG40*AH40</f>
        <v>4500</v>
      </c>
      <c r="AJ40" s="2033">
        <v>0</v>
      </c>
      <c r="AK40" s="2034">
        <f t="shared" si="8"/>
        <v>0</v>
      </c>
      <c r="AL40" s="2035" t="s">
        <v>1140</v>
      </c>
      <c r="AM40" s="2022" t="s">
        <v>1141</v>
      </c>
    </row>
    <row r="41" spans="1:39" s="2036" customFormat="1" ht="44.25" customHeight="1">
      <c r="A41" s="2666"/>
      <c r="B41" s="2021" t="s">
        <v>1142</v>
      </c>
      <c r="C41" s="2022" t="s">
        <v>1143</v>
      </c>
      <c r="D41" s="2022" t="s">
        <v>38</v>
      </c>
      <c r="E41" s="2022"/>
      <c r="F41" s="2022">
        <v>30</v>
      </c>
      <c r="G41" s="2022">
        <f>1100/30</f>
        <v>36.666666666666664</v>
      </c>
      <c r="H41" s="2022">
        <v>1</v>
      </c>
      <c r="I41" s="2024">
        <f>F41*G41*H41</f>
        <v>1100</v>
      </c>
      <c r="J41" s="2025">
        <v>1</v>
      </c>
      <c r="K41" s="2022">
        <v>30</v>
      </c>
      <c r="L41" s="2022">
        <v>70</v>
      </c>
      <c r="M41" s="2022">
        <v>1</v>
      </c>
      <c r="N41" s="2024">
        <f>K41*L41*M41</f>
        <v>2100</v>
      </c>
      <c r="O41" s="2026">
        <f>-N41+I41</f>
        <v>-1000</v>
      </c>
      <c r="P41" s="2027">
        <f t="shared" si="5"/>
        <v>-0.47619047619047616</v>
      </c>
      <c r="Q41" s="2025"/>
      <c r="R41" s="2024">
        <f>+I41*J41</f>
        <v>1100</v>
      </c>
      <c r="S41" s="2011"/>
      <c r="T41" s="2022">
        <v>0</v>
      </c>
      <c r="U41" s="2022">
        <v>0</v>
      </c>
      <c r="V41" s="2022">
        <v>0</v>
      </c>
      <c r="W41" s="2024">
        <f>T41*U41*V41</f>
        <v>0</v>
      </c>
      <c r="X41" s="2029">
        <v>0</v>
      </c>
      <c r="Y41" s="2029">
        <v>0</v>
      </c>
      <c r="Z41" s="2029">
        <v>0</v>
      </c>
      <c r="AA41" s="2024">
        <f>X41*Y41*Z41</f>
        <v>0</v>
      </c>
      <c r="AB41" s="2026">
        <f t="shared" si="6"/>
        <v>0</v>
      </c>
      <c r="AC41" s="2027">
        <v>0</v>
      </c>
      <c r="AD41" s="2052"/>
      <c r="AE41" s="2025">
        <v>1</v>
      </c>
      <c r="AF41" s="2031">
        <f>+W41*AE41</f>
        <v>0</v>
      </c>
      <c r="AG41" s="2024">
        <f>I41+W41</f>
        <v>1100</v>
      </c>
      <c r="AH41" s="2025">
        <v>1</v>
      </c>
      <c r="AI41" s="2032">
        <f>AG41*AH41</f>
        <v>1100</v>
      </c>
      <c r="AJ41" s="2033">
        <v>1100</v>
      </c>
      <c r="AK41" s="2034">
        <f t="shared" si="8"/>
        <v>1</v>
      </c>
      <c r="AL41" s="2035" t="s">
        <v>1144</v>
      </c>
      <c r="AM41" s="2022" t="s">
        <v>1145</v>
      </c>
    </row>
    <row r="42" spans="1:39" s="2036" customFormat="1" ht="48.75" customHeight="1">
      <c r="A42" s="2666"/>
      <c r="B42" s="2021" t="s">
        <v>1146</v>
      </c>
      <c r="C42" s="2022" t="s">
        <v>1147</v>
      </c>
      <c r="D42" s="2022" t="s">
        <v>38</v>
      </c>
      <c r="E42" s="2022"/>
      <c r="F42" s="2022">
        <v>7</v>
      </c>
      <c r="G42" s="2022">
        <f>525/7</f>
        <v>75</v>
      </c>
      <c r="H42" s="2022">
        <v>1</v>
      </c>
      <c r="I42" s="2024">
        <f>F42*G42*H42</f>
        <v>525</v>
      </c>
      <c r="J42" s="2025">
        <v>1</v>
      </c>
      <c r="K42" s="2022">
        <v>7</v>
      </c>
      <c r="L42" s="2022">
        <v>150</v>
      </c>
      <c r="M42" s="2022">
        <v>1</v>
      </c>
      <c r="N42" s="2024">
        <f>K42*L42*M42</f>
        <v>1050</v>
      </c>
      <c r="O42" s="2026">
        <f>-N42+I42</f>
        <v>-525</v>
      </c>
      <c r="P42" s="2027">
        <f t="shared" si="5"/>
        <v>-0.5</v>
      </c>
      <c r="Q42" s="2025"/>
      <c r="R42" s="2024">
        <f>+I42*J42</f>
        <v>525</v>
      </c>
      <c r="S42" s="2011"/>
      <c r="T42" s="2022">
        <v>7</v>
      </c>
      <c r="U42" s="2022">
        <v>150</v>
      </c>
      <c r="V42" s="2022">
        <v>1</v>
      </c>
      <c r="W42" s="2024">
        <f>T42*U42*V42</f>
        <v>1050</v>
      </c>
      <c r="X42" s="2029">
        <v>7</v>
      </c>
      <c r="Y42" s="2029">
        <v>150</v>
      </c>
      <c r="Z42" s="2029">
        <v>1</v>
      </c>
      <c r="AA42" s="2024">
        <f>X42*Y42*Z42</f>
        <v>1050</v>
      </c>
      <c r="AB42" s="2026">
        <f t="shared" si="6"/>
        <v>0</v>
      </c>
      <c r="AC42" s="2027">
        <f t="shared" si="10"/>
        <v>0</v>
      </c>
      <c r="AD42" s="2052"/>
      <c r="AE42" s="2025">
        <v>1</v>
      </c>
      <c r="AF42" s="2031">
        <f>+W42*AE42</f>
        <v>1050</v>
      </c>
      <c r="AG42" s="2024">
        <f>I42+W42</f>
        <v>1575</v>
      </c>
      <c r="AH42" s="2025">
        <v>1</v>
      </c>
      <c r="AI42" s="2032">
        <f>AG42*AH42</f>
        <v>1575</v>
      </c>
      <c r="AJ42" s="2033">
        <v>702</v>
      </c>
      <c r="AK42" s="2034">
        <f t="shared" si="8"/>
        <v>0.44571428571428573</v>
      </c>
      <c r="AL42" s="2035" t="s">
        <v>1148</v>
      </c>
      <c r="AM42" s="2022" t="s">
        <v>1149</v>
      </c>
    </row>
    <row r="43" spans="1:39" s="2096" customFormat="1" ht="18.75" customHeight="1">
      <c r="A43" s="2667"/>
      <c r="B43" s="2097"/>
      <c r="C43" s="2079"/>
      <c r="D43" s="2079"/>
      <c r="E43" s="2080" t="s">
        <v>47</v>
      </c>
      <c r="F43" s="2079"/>
      <c r="G43" s="2079"/>
      <c r="H43" s="2079"/>
      <c r="I43" s="2083">
        <f>SUM(I38:I42)</f>
        <v>2483.75</v>
      </c>
      <c r="J43" s="2083"/>
      <c r="K43" s="2080"/>
      <c r="L43" s="2080"/>
      <c r="M43" s="2080"/>
      <c r="N43" s="2083">
        <f>SUM(N38:N42)</f>
        <v>7608.75</v>
      </c>
      <c r="O43" s="2084">
        <f>SUM(O38:O42)</f>
        <v>-5125</v>
      </c>
      <c r="P43" s="2085">
        <f t="shared" si="5"/>
        <v>-0.67356661738130441</v>
      </c>
      <c r="Q43" s="2083"/>
      <c r="R43" s="2083">
        <f>SUM(R38:R42)</f>
        <v>2483.75</v>
      </c>
      <c r="S43" s="2086"/>
      <c r="T43" s="2082"/>
      <c r="U43" s="2082"/>
      <c r="V43" s="2082"/>
      <c r="W43" s="2082">
        <f>SUM(W38:W42)</f>
        <v>6416.25</v>
      </c>
      <c r="X43" s="2087"/>
      <c r="Y43" s="2087"/>
      <c r="Z43" s="2087"/>
      <c r="AA43" s="2088">
        <f>SUM(AA38:AA42)</f>
        <v>6416.25</v>
      </c>
      <c r="AB43" s="2089">
        <f>SUM(AB38:AB42)</f>
        <v>0</v>
      </c>
      <c r="AC43" s="2090">
        <f t="shared" si="10"/>
        <v>0</v>
      </c>
      <c r="AD43" s="2091"/>
      <c r="AE43" s="2083"/>
      <c r="AF43" s="2083">
        <f>SUM(AF38:AF42)</f>
        <v>6416.25</v>
      </c>
      <c r="AG43" s="2083">
        <f>SUM(AG38:AG42)</f>
        <v>8900</v>
      </c>
      <c r="AH43" s="2083"/>
      <c r="AI43" s="2092">
        <f>SUM(AI38:AI42)</f>
        <v>8900</v>
      </c>
      <c r="AJ43" s="2093">
        <f>SUM(AJ38:AJ42)</f>
        <v>2783</v>
      </c>
      <c r="AK43" s="2094">
        <f t="shared" si="8"/>
        <v>0.31269662921348312</v>
      </c>
      <c r="AL43" s="2095" t="s">
        <v>1130</v>
      </c>
      <c r="AM43" s="2079"/>
    </row>
    <row r="44" spans="1:39" s="2036" customFormat="1" ht="49.5" customHeight="1">
      <c r="A44" s="2656" t="s">
        <v>1150</v>
      </c>
      <c r="B44" s="2021" t="s">
        <v>1151</v>
      </c>
      <c r="C44" s="2022" t="s">
        <v>1152</v>
      </c>
      <c r="D44" s="2022" t="s">
        <v>50</v>
      </c>
      <c r="E44" s="2098" t="s">
        <v>1048</v>
      </c>
      <c r="F44" s="2022">
        <v>8</v>
      </c>
      <c r="G44" s="2022">
        <f>480/8/8</f>
        <v>7.5</v>
      </c>
      <c r="H44" s="2022">
        <v>8</v>
      </c>
      <c r="I44" s="2024">
        <f t="shared" ref="I44:I60" si="22">F44*G44*H44</f>
        <v>480</v>
      </c>
      <c r="J44" s="2025">
        <v>0.75</v>
      </c>
      <c r="K44" s="2022">
        <v>8</v>
      </c>
      <c r="L44" s="2022">
        <v>40</v>
      </c>
      <c r="M44" s="2022">
        <v>8</v>
      </c>
      <c r="N44" s="2024">
        <f>K44*L44*M44</f>
        <v>2560</v>
      </c>
      <c r="O44" s="2026">
        <f t="shared" ref="O44:O49" si="23">-N44+I44</f>
        <v>-2080</v>
      </c>
      <c r="P44" s="2027">
        <f t="shared" si="5"/>
        <v>-0.8125</v>
      </c>
      <c r="Q44" s="2025" t="s">
        <v>1153</v>
      </c>
      <c r="R44" s="2024">
        <f t="shared" ref="R44:R60" si="24">I44*J44</f>
        <v>360</v>
      </c>
      <c r="S44" s="2011"/>
      <c r="T44" s="2022">
        <v>8</v>
      </c>
      <c r="U44" s="2022">
        <v>40</v>
      </c>
      <c r="V44" s="2022">
        <v>10</v>
      </c>
      <c r="W44" s="2024">
        <f>T44*U44*V44</f>
        <v>3200</v>
      </c>
      <c r="X44" s="2029">
        <v>8</v>
      </c>
      <c r="Y44" s="2029">
        <v>40</v>
      </c>
      <c r="Z44" s="2029">
        <v>10</v>
      </c>
      <c r="AA44" s="2024">
        <f>X44*Y44*Z44</f>
        <v>3200</v>
      </c>
      <c r="AB44" s="2026">
        <f t="shared" si="6"/>
        <v>0</v>
      </c>
      <c r="AC44" s="2027">
        <f t="shared" si="10"/>
        <v>0</v>
      </c>
      <c r="AD44" s="2052"/>
      <c r="AE44" s="2025">
        <v>0.75</v>
      </c>
      <c r="AF44" s="2031">
        <f>W44*AE44</f>
        <v>2400</v>
      </c>
      <c r="AG44" s="2024">
        <f t="shared" ref="AG44:AG60" si="25">+I44+W44</f>
        <v>3680</v>
      </c>
      <c r="AH44" s="2025">
        <v>0.75</v>
      </c>
      <c r="AI44" s="2032">
        <f>AG44*AH44</f>
        <v>2760</v>
      </c>
      <c r="AJ44" s="2033">
        <v>240</v>
      </c>
      <c r="AK44" s="2034">
        <f t="shared" si="8"/>
        <v>6.5217391304347824E-2</v>
      </c>
      <c r="AL44" s="2035" t="s">
        <v>1154</v>
      </c>
      <c r="AM44" s="2022" t="s">
        <v>1155</v>
      </c>
    </row>
    <row r="45" spans="1:39" s="2036" customFormat="1" ht="61.5" customHeight="1">
      <c r="A45" s="2668"/>
      <c r="B45" s="2021" t="s">
        <v>1156</v>
      </c>
      <c r="C45" s="2022" t="s">
        <v>1157</v>
      </c>
      <c r="D45" s="2022" t="s">
        <v>38</v>
      </c>
      <c r="E45" s="2022"/>
      <c r="F45" s="2022">
        <v>1</v>
      </c>
      <c r="G45" s="2022">
        <f>1681</f>
        <v>1681</v>
      </c>
      <c r="H45" s="2022">
        <v>1</v>
      </c>
      <c r="I45" s="2024">
        <f t="shared" si="22"/>
        <v>1681</v>
      </c>
      <c r="J45" s="2025">
        <v>1</v>
      </c>
      <c r="K45" s="2022">
        <v>1</v>
      </c>
      <c r="L45" s="2022">
        <v>2850</v>
      </c>
      <c r="M45" s="2022">
        <v>1</v>
      </c>
      <c r="N45" s="2024">
        <f t="shared" ref="N45:N60" si="26">K45*L45*M45</f>
        <v>2850</v>
      </c>
      <c r="O45" s="2026">
        <f t="shared" si="23"/>
        <v>-1169</v>
      </c>
      <c r="P45" s="2027">
        <f t="shared" si="5"/>
        <v>-0.41017543859649125</v>
      </c>
      <c r="Q45" s="2025"/>
      <c r="R45" s="2024">
        <f t="shared" si="24"/>
        <v>1681</v>
      </c>
      <c r="S45" s="2011"/>
      <c r="T45" s="2022">
        <v>1</v>
      </c>
      <c r="U45" s="2022">
        <v>2000</v>
      </c>
      <c r="V45" s="2022">
        <v>1</v>
      </c>
      <c r="W45" s="2024">
        <f>T45*U45*V45</f>
        <v>2000</v>
      </c>
      <c r="X45" s="2029">
        <v>1</v>
      </c>
      <c r="Y45" s="2029">
        <v>2715</v>
      </c>
      <c r="Z45" s="2029">
        <v>1</v>
      </c>
      <c r="AA45" s="2024">
        <f>X45*Y45*Z45</f>
        <v>2715</v>
      </c>
      <c r="AB45" s="2026">
        <f t="shared" si="6"/>
        <v>-715</v>
      </c>
      <c r="AC45" s="2027">
        <f t="shared" si="10"/>
        <v>-0.26335174953959484</v>
      </c>
      <c r="AD45" s="2052"/>
      <c r="AE45" s="2025">
        <v>1</v>
      </c>
      <c r="AF45" s="2031">
        <f t="shared" ref="AF45:AF60" si="27">W45*AE45</f>
        <v>2000</v>
      </c>
      <c r="AG45" s="2024">
        <f t="shared" si="25"/>
        <v>3681</v>
      </c>
      <c r="AH45" s="2025">
        <v>1</v>
      </c>
      <c r="AI45" s="2032">
        <f t="shared" ref="AI45:AI60" si="28">AG45*AH45</f>
        <v>3681</v>
      </c>
      <c r="AJ45" s="2033">
        <v>1681</v>
      </c>
      <c r="AK45" s="2034">
        <f t="shared" si="8"/>
        <v>0.45666938331975004</v>
      </c>
      <c r="AL45" s="2035" t="s">
        <v>1158</v>
      </c>
      <c r="AM45" s="2022" t="s">
        <v>1159</v>
      </c>
    </row>
    <row r="46" spans="1:39" s="2058" customFormat="1" ht="43.5" customHeight="1">
      <c r="A46" s="2668"/>
      <c r="B46" s="2053" t="s">
        <v>1160</v>
      </c>
      <c r="C46" s="1999" t="s">
        <v>1161</v>
      </c>
      <c r="D46" s="1999" t="s">
        <v>33</v>
      </c>
      <c r="E46" s="2000"/>
      <c r="F46" s="2002">
        <v>7</v>
      </c>
      <c r="G46" s="2002">
        <f>5350/7</f>
        <v>764.28571428571433</v>
      </c>
      <c r="H46" s="2002">
        <v>1</v>
      </c>
      <c r="I46" s="2003">
        <f t="shared" si="22"/>
        <v>5350</v>
      </c>
      <c r="J46" s="2004">
        <v>1</v>
      </c>
      <c r="K46" s="1999">
        <v>7</v>
      </c>
      <c r="L46" s="1999">
        <v>850</v>
      </c>
      <c r="M46" s="1999">
        <v>1</v>
      </c>
      <c r="N46" s="2007">
        <f t="shared" si="26"/>
        <v>5950</v>
      </c>
      <c r="O46" s="2008">
        <f t="shared" si="23"/>
        <v>-600</v>
      </c>
      <c r="P46" s="2009">
        <f t="shared" si="5"/>
        <v>-0.10084033613445378</v>
      </c>
      <c r="Q46" s="2004"/>
      <c r="R46" s="2007">
        <f t="shared" si="24"/>
        <v>5350</v>
      </c>
      <c r="S46" s="2011"/>
      <c r="T46" s="2003"/>
      <c r="U46" s="2003"/>
      <c r="V46" s="2003"/>
      <c r="W46" s="2003">
        <v>0</v>
      </c>
      <c r="X46" s="2012"/>
      <c r="Y46" s="2012"/>
      <c r="Z46" s="2012"/>
      <c r="AA46" s="2007">
        <v>0</v>
      </c>
      <c r="AB46" s="2008">
        <f t="shared" si="6"/>
        <v>0</v>
      </c>
      <c r="AC46" s="2009">
        <v>0</v>
      </c>
      <c r="AD46" s="2054"/>
      <c r="AE46" s="2004">
        <v>1</v>
      </c>
      <c r="AF46" s="2014">
        <f t="shared" si="27"/>
        <v>0</v>
      </c>
      <c r="AG46" s="2007">
        <f t="shared" si="25"/>
        <v>5350</v>
      </c>
      <c r="AH46" s="2004">
        <v>1</v>
      </c>
      <c r="AI46" s="2055">
        <f t="shared" si="28"/>
        <v>5350</v>
      </c>
      <c r="AJ46" s="2056">
        <v>4100</v>
      </c>
      <c r="AK46" s="2017">
        <f t="shared" si="8"/>
        <v>0.76635514018691586</v>
      </c>
      <c r="AL46" s="2057" t="s">
        <v>1162</v>
      </c>
      <c r="AM46" s="1999"/>
    </row>
    <row r="47" spans="1:39" s="2036" customFormat="1" ht="70.5" customHeight="1">
      <c r="A47" s="2668"/>
      <c r="B47" s="2021" t="s">
        <v>1163</v>
      </c>
      <c r="C47" s="2022" t="s">
        <v>1164</v>
      </c>
      <c r="D47" s="2022" t="s">
        <v>38</v>
      </c>
      <c r="E47" s="2022"/>
      <c r="F47" s="2022">
        <v>7</v>
      </c>
      <c r="G47" s="2022">
        <f>8910/7/7</f>
        <v>181.83673469387756</v>
      </c>
      <c r="H47" s="2022">
        <v>7</v>
      </c>
      <c r="I47" s="2024">
        <f t="shared" si="22"/>
        <v>8910</v>
      </c>
      <c r="J47" s="2025">
        <v>1</v>
      </c>
      <c r="K47" s="2022">
        <v>7</v>
      </c>
      <c r="L47" s="2022">
        <v>213</v>
      </c>
      <c r="M47" s="2022">
        <v>7</v>
      </c>
      <c r="N47" s="2024">
        <f t="shared" si="26"/>
        <v>10437</v>
      </c>
      <c r="O47" s="2026">
        <f t="shared" si="23"/>
        <v>-1527</v>
      </c>
      <c r="P47" s="2027">
        <f t="shared" si="5"/>
        <v>-0.14630640988789881</v>
      </c>
      <c r="Q47" s="2025"/>
      <c r="R47" s="2024">
        <f t="shared" si="24"/>
        <v>8910</v>
      </c>
      <c r="S47" s="2011"/>
      <c r="T47" s="2022">
        <v>7</v>
      </c>
      <c r="U47" s="2022">
        <v>90</v>
      </c>
      <c r="V47" s="2022">
        <v>12</v>
      </c>
      <c r="W47" s="2024">
        <f t="shared" ref="W47:W60" si="29">T47*U47*V47</f>
        <v>7560</v>
      </c>
      <c r="X47" s="2029">
        <v>7</v>
      </c>
      <c r="Y47" s="2029">
        <v>90</v>
      </c>
      <c r="Z47" s="2029">
        <v>12</v>
      </c>
      <c r="AA47" s="2024">
        <f t="shared" ref="AA47:AA60" si="30">X47*Y47*Z47</f>
        <v>7560</v>
      </c>
      <c r="AB47" s="2026">
        <f t="shared" si="6"/>
        <v>0</v>
      </c>
      <c r="AC47" s="2027">
        <f t="shared" si="10"/>
        <v>0</v>
      </c>
      <c r="AD47" s="2052"/>
      <c r="AE47" s="2025">
        <v>1</v>
      </c>
      <c r="AF47" s="2031">
        <f t="shared" si="27"/>
        <v>7560</v>
      </c>
      <c r="AG47" s="2024">
        <f t="shared" si="25"/>
        <v>16470</v>
      </c>
      <c r="AH47" s="2025">
        <v>1</v>
      </c>
      <c r="AI47" s="2032">
        <f t="shared" si="28"/>
        <v>16470</v>
      </c>
      <c r="AJ47" s="2033">
        <v>8607</v>
      </c>
      <c r="AK47" s="2034">
        <f t="shared" si="8"/>
        <v>0.52258652094717672</v>
      </c>
      <c r="AL47" s="2035" t="s">
        <v>1165</v>
      </c>
      <c r="AM47" s="2022" t="s">
        <v>1166</v>
      </c>
    </row>
    <row r="48" spans="1:39" s="2036" customFormat="1" ht="45">
      <c r="A48" s="2668"/>
      <c r="B48" s="2021" t="s">
        <v>1167</v>
      </c>
      <c r="C48" s="2022" t="s">
        <v>1168</v>
      </c>
      <c r="D48" s="2022" t="s">
        <v>38</v>
      </c>
      <c r="E48" s="2022"/>
      <c r="F48" s="2022">
        <f>120</f>
        <v>120</v>
      </c>
      <c r="G48" s="2022">
        <v>30</v>
      </c>
      <c r="H48" s="2022">
        <f>1*0</f>
        <v>0</v>
      </c>
      <c r="I48" s="2024">
        <f t="shared" si="22"/>
        <v>0</v>
      </c>
      <c r="J48" s="2025">
        <v>0.98</v>
      </c>
      <c r="K48" s="2022">
        <v>120</v>
      </c>
      <c r="L48" s="2022">
        <v>30</v>
      </c>
      <c r="M48" s="2022">
        <v>1</v>
      </c>
      <c r="N48" s="2024">
        <f t="shared" si="26"/>
        <v>3600</v>
      </c>
      <c r="O48" s="2026">
        <f t="shared" si="23"/>
        <v>-3600</v>
      </c>
      <c r="P48" s="2027">
        <f t="shared" si="5"/>
        <v>-1</v>
      </c>
      <c r="Q48" s="2025"/>
      <c r="R48" s="2024">
        <f t="shared" si="24"/>
        <v>0</v>
      </c>
      <c r="S48" s="2011"/>
      <c r="T48" s="2022">
        <v>240</v>
      </c>
      <c r="U48" s="2022">
        <v>30</v>
      </c>
      <c r="V48" s="2022">
        <v>1</v>
      </c>
      <c r="W48" s="2024">
        <f>T48*U48*V48</f>
        <v>7200</v>
      </c>
      <c r="X48" s="2029">
        <v>240</v>
      </c>
      <c r="Y48" s="2029">
        <v>30</v>
      </c>
      <c r="Z48" s="2029">
        <v>1</v>
      </c>
      <c r="AA48" s="2024">
        <f t="shared" si="30"/>
        <v>7200</v>
      </c>
      <c r="AB48" s="2026">
        <f t="shared" si="6"/>
        <v>0</v>
      </c>
      <c r="AC48" s="2027">
        <f t="shared" si="10"/>
        <v>0</v>
      </c>
      <c r="AD48" s="2052"/>
      <c r="AE48" s="2025">
        <v>0.98</v>
      </c>
      <c r="AF48" s="2031">
        <f t="shared" si="27"/>
        <v>7056</v>
      </c>
      <c r="AG48" s="2024">
        <f t="shared" si="25"/>
        <v>7200</v>
      </c>
      <c r="AH48" s="2025">
        <v>0.98</v>
      </c>
      <c r="AI48" s="2032">
        <f t="shared" si="28"/>
        <v>7056</v>
      </c>
      <c r="AJ48" s="2033">
        <v>0</v>
      </c>
      <c r="AK48" s="2034">
        <f t="shared" si="8"/>
        <v>0</v>
      </c>
      <c r="AL48" s="2035" t="s">
        <v>1169</v>
      </c>
      <c r="AM48" s="2022" t="s">
        <v>1141</v>
      </c>
    </row>
    <row r="49" spans="1:39" s="2036" customFormat="1" ht="75.75" customHeight="1">
      <c r="A49" s="2668"/>
      <c r="B49" s="2021" t="s">
        <v>1170</v>
      </c>
      <c r="C49" s="2022" t="s">
        <v>1171</v>
      </c>
      <c r="D49" s="2022" t="s">
        <v>38</v>
      </c>
      <c r="E49" s="2022" t="s">
        <v>1107</v>
      </c>
      <c r="F49" s="2022">
        <v>22</v>
      </c>
      <c r="G49" s="2022">
        <f>533/22/3</f>
        <v>8.0757575757575761</v>
      </c>
      <c r="H49" s="2022">
        <v>3</v>
      </c>
      <c r="I49" s="2024">
        <f t="shared" si="22"/>
        <v>533</v>
      </c>
      <c r="J49" s="2025">
        <v>0.6</v>
      </c>
      <c r="K49" s="2022">
        <v>22</v>
      </c>
      <c r="L49" s="2022">
        <v>15</v>
      </c>
      <c r="M49" s="2022">
        <v>3</v>
      </c>
      <c r="N49" s="2024">
        <f t="shared" si="26"/>
        <v>990</v>
      </c>
      <c r="O49" s="2026">
        <f t="shared" si="23"/>
        <v>-457</v>
      </c>
      <c r="P49" s="2027">
        <f t="shared" si="5"/>
        <v>-0.46161616161616159</v>
      </c>
      <c r="Q49" s="2025" t="s">
        <v>1116</v>
      </c>
      <c r="R49" s="2024">
        <f t="shared" si="24"/>
        <v>319.8</v>
      </c>
      <c r="S49" s="2011"/>
      <c r="T49" s="2022">
        <v>1</v>
      </c>
      <c r="U49" s="2022">
        <v>457</v>
      </c>
      <c r="V49" s="2022">
        <v>1</v>
      </c>
      <c r="W49" s="2024">
        <f t="shared" si="29"/>
        <v>457</v>
      </c>
      <c r="X49" s="2029"/>
      <c r="Y49" s="2029"/>
      <c r="Z49" s="2029"/>
      <c r="AA49" s="2024">
        <f t="shared" si="30"/>
        <v>0</v>
      </c>
      <c r="AB49" s="2026">
        <f t="shared" si="6"/>
        <v>457</v>
      </c>
      <c r="AC49" s="2027">
        <v>1</v>
      </c>
      <c r="AD49" s="2052" t="s">
        <v>1172</v>
      </c>
      <c r="AE49" s="2025">
        <v>0.6</v>
      </c>
      <c r="AF49" s="2031">
        <f t="shared" si="27"/>
        <v>274.2</v>
      </c>
      <c r="AG49" s="2024">
        <f t="shared" si="25"/>
        <v>990</v>
      </c>
      <c r="AH49" s="2025">
        <v>0.6</v>
      </c>
      <c r="AI49" s="2032">
        <f t="shared" si="28"/>
        <v>594</v>
      </c>
      <c r="AJ49" s="2033">
        <v>533</v>
      </c>
      <c r="AK49" s="2034">
        <f t="shared" si="8"/>
        <v>0.53838383838383841</v>
      </c>
      <c r="AL49" s="2035" t="s">
        <v>1173</v>
      </c>
      <c r="AM49" s="2022" t="s">
        <v>1174</v>
      </c>
    </row>
    <row r="50" spans="1:39" s="2058" customFormat="1" ht="37.5" customHeight="1">
      <c r="A50" s="2668"/>
      <c r="B50" s="2053" t="s">
        <v>1175</v>
      </c>
      <c r="C50" s="1999" t="s">
        <v>1176</v>
      </c>
      <c r="D50" s="1999" t="s">
        <v>33</v>
      </c>
      <c r="E50" s="1999"/>
      <c r="F50" s="2002">
        <v>1</v>
      </c>
      <c r="G50" s="2002">
        <f>338/4</f>
        <v>84.5</v>
      </c>
      <c r="H50" s="2002">
        <v>4</v>
      </c>
      <c r="I50" s="2003">
        <f t="shared" si="22"/>
        <v>338</v>
      </c>
      <c r="J50" s="2004">
        <v>1</v>
      </c>
      <c r="K50" s="1999">
        <v>1</v>
      </c>
      <c r="L50" s="1999">
        <v>75</v>
      </c>
      <c r="M50" s="1999">
        <v>4</v>
      </c>
      <c r="N50" s="2007">
        <f t="shared" si="26"/>
        <v>300</v>
      </c>
      <c r="O50" s="2008">
        <f>-N50+I50</f>
        <v>38</v>
      </c>
      <c r="P50" s="2009">
        <f t="shared" si="5"/>
        <v>0.12666666666666668</v>
      </c>
      <c r="Q50" s="2004"/>
      <c r="R50" s="2007">
        <f t="shared" si="24"/>
        <v>338</v>
      </c>
      <c r="S50" s="2011"/>
      <c r="T50" s="2002"/>
      <c r="U50" s="2002"/>
      <c r="V50" s="2002"/>
      <c r="W50" s="2003">
        <f t="shared" si="29"/>
        <v>0</v>
      </c>
      <c r="X50" s="2060"/>
      <c r="Y50" s="2060"/>
      <c r="Z50" s="2060"/>
      <c r="AA50" s="2007">
        <f t="shared" si="30"/>
        <v>0</v>
      </c>
      <c r="AB50" s="2008">
        <f t="shared" si="6"/>
        <v>0</v>
      </c>
      <c r="AC50" s="2009">
        <v>0</v>
      </c>
      <c r="AD50" s="2054"/>
      <c r="AE50" s="2004">
        <v>1</v>
      </c>
      <c r="AF50" s="2014">
        <f t="shared" si="27"/>
        <v>0</v>
      </c>
      <c r="AG50" s="2007">
        <f t="shared" si="25"/>
        <v>338</v>
      </c>
      <c r="AH50" s="2004">
        <v>1</v>
      </c>
      <c r="AI50" s="2055">
        <f t="shared" si="28"/>
        <v>338</v>
      </c>
      <c r="AJ50" s="2056">
        <v>338</v>
      </c>
      <c r="AK50" s="2017">
        <f t="shared" si="8"/>
        <v>1</v>
      </c>
      <c r="AL50" s="2099" t="s">
        <v>1177</v>
      </c>
      <c r="AM50" s="1999"/>
    </row>
    <row r="51" spans="1:39" s="2051" customFormat="1" ht="33.75">
      <c r="A51" s="2668"/>
      <c r="B51" s="2037" t="s">
        <v>1178</v>
      </c>
      <c r="C51" s="2038" t="s">
        <v>1179</v>
      </c>
      <c r="D51" s="2038" t="s">
        <v>231</v>
      </c>
      <c r="E51" s="2038" t="s">
        <v>1048</v>
      </c>
      <c r="F51" s="2038">
        <v>1</v>
      </c>
      <c r="G51" s="2038">
        <f>(5621.72)/9</f>
        <v>624.63555555555558</v>
      </c>
      <c r="H51" s="2038">
        <v>9</v>
      </c>
      <c r="I51" s="2039">
        <f t="shared" si="22"/>
        <v>5621.72</v>
      </c>
      <c r="J51" s="2040">
        <v>1</v>
      </c>
      <c r="K51" s="2038">
        <v>1</v>
      </c>
      <c r="L51" s="2038">
        <v>580</v>
      </c>
      <c r="M51" s="2038">
        <v>6</v>
      </c>
      <c r="N51" s="2039">
        <f t="shared" si="26"/>
        <v>3480</v>
      </c>
      <c r="O51" s="2041">
        <f t="shared" ref="O51:O57" si="31">-N51+I51</f>
        <v>2141.7200000000003</v>
      </c>
      <c r="P51" s="2042">
        <f t="shared" si="5"/>
        <v>0.61543678160919546</v>
      </c>
      <c r="Q51" s="2040"/>
      <c r="R51" s="2039">
        <f t="shared" si="24"/>
        <v>5621.72</v>
      </c>
      <c r="S51" s="2011"/>
      <c r="T51" s="2038">
        <v>1</v>
      </c>
      <c r="U51" s="2038">
        <v>740</v>
      </c>
      <c r="V51" s="2038">
        <v>12</v>
      </c>
      <c r="W51" s="2039">
        <f t="shared" si="29"/>
        <v>8880</v>
      </c>
      <c r="X51" s="2043">
        <v>1</v>
      </c>
      <c r="Y51" s="2043">
        <v>580</v>
      </c>
      <c r="Z51" s="2043">
        <v>12</v>
      </c>
      <c r="AA51" s="2039">
        <f t="shared" si="30"/>
        <v>6960</v>
      </c>
      <c r="AB51" s="2041">
        <f t="shared" si="6"/>
        <v>1920</v>
      </c>
      <c r="AC51" s="2042">
        <f t="shared" si="10"/>
        <v>0.27586206896551724</v>
      </c>
      <c r="AD51" s="2100"/>
      <c r="AE51" s="2040">
        <v>1</v>
      </c>
      <c r="AF51" s="2045">
        <f t="shared" si="27"/>
        <v>8880</v>
      </c>
      <c r="AG51" s="2039">
        <f t="shared" si="25"/>
        <v>14501.720000000001</v>
      </c>
      <c r="AH51" s="2040">
        <v>1</v>
      </c>
      <c r="AI51" s="2046">
        <f t="shared" si="28"/>
        <v>14501.720000000001</v>
      </c>
      <c r="AJ51" s="2047">
        <v>5739</v>
      </c>
      <c r="AK51" s="2048">
        <f t="shared" si="8"/>
        <v>0.39574615976587602</v>
      </c>
      <c r="AL51" s="2038" t="s">
        <v>1180</v>
      </c>
      <c r="AM51" s="2038" t="s">
        <v>1181</v>
      </c>
    </row>
    <row r="52" spans="1:39" s="2036" customFormat="1" ht="23.25" customHeight="1">
      <c r="A52" s="2668"/>
      <c r="B52" s="2021" t="s">
        <v>1182</v>
      </c>
      <c r="C52" s="2022" t="s">
        <v>1183</v>
      </c>
      <c r="D52" s="2022" t="s">
        <v>231</v>
      </c>
      <c r="E52" s="2022" t="s">
        <v>1048</v>
      </c>
      <c r="F52" s="2022">
        <v>1</v>
      </c>
      <c r="G52" s="2022">
        <f>15111.28/10.5</f>
        <v>1439.169523809524</v>
      </c>
      <c r="H52" s="2022">
        <v>10.5</v>
      </c>
      <c r="I52" s="2024">
        <f t="shared" si="22"/>
        <v>15111.280000000002</v>
      </c>
      <c r="J52" s="2024"/>
      <c r="K52" s="2022">
        <v>1</v>
      </c>
      <c r="L52" s="2022">
        <v>1500</v>
      </c>
      <c r="M52" s="2022">
        <v>11</v>
      </c>
      <c r="N52" s="2024">
        <f t="shared" si="26"/>
        <v>16500</v>
      </c>
      <c r="O52" s="2026">
        <f t="shared" si="31"/>
        <v>-1388.7199999999975</v>
      </c>
      <c r="P52" s="2027">
        <f t="shared" si="5"/>
        <v>-8.4164848484848329E-2</v>
      </c>
      <c r="Q52" s="2025"/>
      <c r="R52" s="2024">
        <f t="shared" si="24"/>
        <v>0</v>
      </c>
      <c r="S52" s="2024"/>
      <c r="T52" s="2022">
        <v>1</v>
      </c>
      <c r="U52" s="2022">
        <v>1500</v>
      </c>
      <c r="V52" s="2022">
        <v>12</v>
      </c>
      <c r="W52" s="2024">
        <f t="shared" si="29"/>
        <v>18000</v>
      </c>
      <c r="X52" s="2029">
        <v>1</v>
      </c>
      <c r="Y52" s="2029">
        <v>1500</v>
      </c>
      <c r="Z52" s="2029">
        <v>12</v>
      </c>
      <c r="AA52" s="2024">
        <f t="shared" si="30"/>
        <v>18000</v>
      </c>
      <c r="AB52" s="2026">
        <f t="shared" si="6"/>
        <v>0</v>
      </c>
      <c r="AC52" s="2027">
        <f t="shared" si="10"/>
        <v>0</v>
      </c>
      <c r="AD52" s="2101"/>
      <c r="AE52" s="2024"/>
      <c r="AF52" s="2031">
        <f t="shared" si="27"/>
        <v>0</v>
      </c>
      <c r="AG52" s="2024">
        <f t="shared" si="25"/>
        <v>33111.279999999999</v>
      </c>
      <c r="AH52" s="2024"/>
      <c r="AI52" s="2032">
        <f t="shared" si="28"/>
        <v>0</v>
      </c>
      <c r="AJ52" s="2033">
        <v>15130</v>
      </c>
      <c r="AK52" s="2034">
        <f t="shared" si="8"/>
        <v>0.4569439780038706</v>
      </c>
      <c r="AL52" s="2035" t="s">
        <v>1184</v>
      </c>
      <c r="AM52" s="2022" t="s">
        <v>1185</v>
      </c>
    </row>
    <row r="53" spans="1:39" s="2036" customFormat="1" ht="57.75" customHeight="1">
      <c r="A53" s="2668"/>
      <c r="B53" s="2021" t="s">
        <v>1186</v>
      </c>
      <c r="C53" s="2022" t="s">
        <v>1187</v>
      </c>
      <c r="D53" s="2022" t="s">
        <v>50</v>
      </c>
      <c r="E53" s="2022" t="s">
        <v>1188</v>
      </c>
      <c r="F53" s="2022">
        <v>1</v>
      </c>
      <c r="G53" s="2022">
        <f>23490/9</f>
        <v>2610</v>
      </c>
      <c r="H53" s="2022">
        <v>9</v>
      </c>
      <c r="I53" s="2024">
        <f t="shared" si="22"/>
        <v>23490</v>
      </c>
      <c r="J53" s="2025">
        <v>0.97</v>
      </c>
      <c r="K53" s="2022">
        <v>1</v>
      </c>
      <c r="L53" s="2022">
        <v>2800</v>
      </c>
      <c r="M53" s="2022">
        <v>9</v>
      </c>
      <c r="N53" s="2024">
        <f t="shared" si="26"/>
        <v>25200</v>
      </c>
      <c r="O53" s="2026">
        <f t="shared" si="31"/>
        <v>-1710</v>
      </c>
      <c r="P53" s="2027">
        <f t="shared" si="5"/>
        <v>-6.7857142857142852E-2</v>
      </c>
      <c r="Q53" s="2025"/>
      <c r="R53" s="2024">
        <f t="shared" si="24"/>
        <v>22785.3</v>
      </c>
      <c r="S53" s="2011"/>
      <c r="T53" s="2022">
        <f>1*0</f>
        <v>0</v>
      </c>
      <c r="U53" s="2022">
        <v>2800</v>
      </c>
      <c r="V53" s="2022">
        <v>12</v>
      </c>
      <c r="W53" s="2024">
        <f>T53*U53*V53</f>
        <v>0</v>
      </c>
      <c r="X53" s="2029">
        <v>1</v>
      </c>
      <c r="Y53" s="2029">
        <v>2800</v>
      </c>
      <c r="Z53" s="2029">
        <v>12</v>
      </c>
      <c r="AA53" s="2024">
        <f t="shared" si="30"/>
        <v>33600</v>
      </c>
      <c r="AB53" s="2026">
        <f t="shared" si="6"/>
        <v>-33600</v>
      </c>
      <c r="AC53" s="2027">
        <f t="shared" si="10"/>
        <v>-1</v>
      </c>
      <c r="AD53" s="2052"/>
      <c r="AE53" s="2025">
        <v>0.97</v>
      </c>
      <c r="AF53" s="2031">
        <f t="shared" si="27"/>
        <v>0</v>
      </c>
      <c r="AG53" s="2024">
        <f t="shared" si="25"/>
        <v>23490</v>
      </c>
      <c r="AH53" s="2025">
        <v>0.97</v>
      </c>
      <c r="AI53" s="2032">
        <f t="shared" si="28"/>
        <v>22785.3</v>
      </c>
      <c r="AJ53" s="2033">
        <v>22645</v>
      </c>
      <c r="AK53" s="2034">
        <f t="shared" si="8"/>
        <v>0.96402724563644104</v>
      </c>
      <c r="AL53" s="2035" t="s">
        <v>1189</v>
      </c>
      <c r="AM53" s="2022" t="s">
        <v>1190</v>
      </c>
    </row>
    <row r="54" spans="1:39" s="2036" customFormat="1" ht="51.75" customHeight="1">
      <c r="A54" s="2668"/>
      <c r="B54" s="2021" t="s">
        <v>1191</v>
      </c>
      <c r="C54" s="2022" t="s">
        <v>1192</v>
      </c>
      <c r="D54" s="2022" t="s">
        <v>33</v>
      </c>
      <c r="E54" s="2022"/>
      <c r="F54" s="2022">
        <v>5</v>
      </c>
      <c r="G54" s="2022">
        <f>3310/5</f>
        <v>662</v>
      </c>
      <c r="H54" s="2022">
        <v>1</v>
      </c>
      <c r="I54" s="2024">
        <f t="shared" si="22"/>
        <v>3310</v>
      </c>
      <c r="J54" s="2025">
        <v>1</v>
      </c>
      <c r="K54" s="2022">
        <v>5</v>
      </c>
      <c r="L54" s="2022">
        <v>725</v>
      </c>
      <c r="M54" s="2022">
        <v>1</v>
      </c>
      <c r="N54" s="2024">
        <f t="shared" si="26"/>
        <v>3625</v>
      </c>
      <c r="O54" s="2026">
        <f t="shared" si="31"/>
        <v>-315</v>
      </c>
      <c r="P54" s="2027">
        <f t="shared" si="5"/>
        <v>-8.6896551724137933E-2</v>
      </c>
      <c r="Q54" s="2025"/>
      <c r="R54" s="2024">
        <f t="shared" si="24"/>
        <v>3310</v>
      </c>
      <c r="S54" s="2011"/>
      <c r="T54" s="2022">
        <v>0</v>
      </c>
      <c r="U54" s="2022">
        <v>0</v>
      </c>
      <c r="V54" s="2022">
        <v>0</v>
      </c>
      <c r="W54" s="2024">
        <f t="shared" si="29"/>
        <v>0</v>
      </c>
      <c r="X54" s="2029"/>
      <c r="Y54" s="2029"/>
      <c r="Z54" s="2029"/>
      <c r="AA54" s="2024">
        <f t="shared" si="30"/>
        <v>0</v>
      </c>
      <c r="AB54" s="2026">
        <f t="shared" si="6"/>
        <v>0</v>
      </c>
      <c r="AC54" s="2027">
        <v>0</v>
      </c>
      <c r="AD54" s="2052"/>
      <c r="AE54" s="2025">
        <v>1</v>
      </c>
      <c r="AF54" s="2031">
        <f t="shared" si="27"/>
        <v>0</v>
      </c>
      <c r="AG54" s="2024">
        <f t="shared" si="25"/>
        <v>3310</v>
      </c>
      <c r="AH54" s="2025">
        <v>1</v>
      </c>
      <c r="AI54" s="2032">
        <f t="shared" si="28"/>
        <v>3310</v>
      </c>
      <c r="AJ54" s="2033">
        <v>3310</v>
      </c>
      <c r="AK54" s="2034">
        <f t="shared" si="8"/>
        <v>1</v>
      </c>
      <c r="AL54" s="2035" t="s">
        <v>1193</v>
      </c>
      <c r="AM54" s="2102" t="s">
        <v>1194</v>
      </c>
    </row>
    <row r="55" spans="1:39" s="2036" customFormat="1" ht="68.25" customHeight="1">
      <c r="A55" s="2668"/>
      <c r="B55" s="2021" t="s">
        <v>1195</v>
      </c>
      <c r="C55" s="2022" t="s">
        <v>1196</v>
      </c>
      <c r="D55" s="2022" t="s">
        <v>33</v>
      </c>
      <c r="E55" s="2022"/>
      <c r="F55" s="2022">
        <v>1</v>
      </c>
      <c r="G55" s="2022">
        <f>13700/8</f>
        <v>1712.5</v>
      </c>
      <c r="H55" s="2022">
        <v>8</v>
      </c>
      <c r="I55" s="2024">
        <f t="shared" si="22"/>
        <v>13700</v>
      </c>
      <c r="J55" s="2025">
        <v>0.97399999999999998</v>
      </c>
      <c r="K55" s="2022">
        <v>1</v>
      </c>
      <c r="L55" s="2022">
        <v>2005</v>
      </c>
      <c r="M55" s="2022">
        <v>8</v>
      </c>
      <c r="N55" s="2024">
        <f t="shared" si="26"/>
        <v>16040</v>
      </c>
      <c r="O55" s="2026">
        <f t="shared" si="31"/>
        <v>-2340</v>
      </c>
      <c r="P55" s="2027">
        <f t="shared" si="5"/>
        <v>-0.14588528678304238</v>
      </c>
      <c r="Q55" s="2025"/>
      <c r="R55" s="2024">
        <f t="shared" si="24"/>
        <v>13343.8</v>
      </c>
      <c r="S55" s="2011"/>
      <c r="T55" s="2022">
        <f>1*0</f>
        <v>0</v>
      </c>
      <c r="U55" s="2022">
        <v>2005</v>
      </c>
      <c r="V55" s="2022">
        <v>12</v>
      </c>
      <c r="W55" s="2024">
        <f t="shared" si="29"/>
        <v>0</v>
      </c>
      <c r="X55" s="2029">
        <v>1</v>
      </c>
      <c r="Y55" s="2029">
        <v>2005</v>
      </c>
      <c r="Z55" s="2029">
        <v>12</v>
      </c>
      <c r="AA55" s="2024">
        <f t="shared" si="30"/>
        <v>24060</v>
      </c>
      <c r="AB55" s="2026">
        <f t="shared" si="6"/>
        <v>-24060</v>
      </c>
      <c r="AC55" s="2027">
        <f t="shared" si="10"/>
        <v>-1</v>
      </c>
      <c r="AD55" s="2052"/>
      <c r="AE55" s="2025">
        <v>0.97399999999999998</v>
      </c>
      <c r="AF55" s="2031">
        <f t="shared" si="27"/>
        <v>0</v>
      </c>
      <c r="AG55" s="2024">
        <f t="shared" si="25"/>
        <v>13700</v>
      </c>
      <c r="AH55" s="2025">
        <v>0.97399999999999998</v>
      </c>
      <c r="AI55" s="2032">
        <f t="shared" si="28"/>
        <v>13343.8</v>
      </c>
      <c r="AJ55" s="2033">
        <v>13895</v>
      </c>
      <c r="AK55" s="2034">
        <f t="shared" si="8"/>
        <v>1.0142335766423358</v>
      </c>
      <c r="AL55" s="2103" t="s">
        <v>1197</v>
      </c>
      <c r="AM55" s="2102" t="s">
        <v>1198</v>
      </c>
    </row>
    <row r="56" spans="1:39" s="2036" customFormat="1" ht="48" customHeight="1">
      <c r="A56" s="2668"/>
      <c r="B56" s="2021" t="s">
        <v>1199</v>
      </c>
      <c r="C56" s="2022" t="s">
        <v>1200</v>
      </c>
      <c r="D56" s="2022" t="s">
        <v>38</v>
      </c>
      <c r="E56" s="2022"/>
      <c r="F56" s="2022">
        <v>5</v>
      </c>
      <c r="G56" s="2022">
        <v>0</v>
      </c>
      <c r="H56" s="2022">
        <v>5</v>
      </c>
      <c r="I56" s="2024">
        <f t="shared" si="22"/>
        <v>0</v>
      </c>
      <c r="J56" s="2025">
        <v>0.5</v>
      </c>
      <c r="K56" s="2022">
        <v>5</v>
      </c>
      <c r="L56" s="2022">
        <v>15</v>
      </c>
      <c r="M56" s="2022">
        <v>5</v>
      </c>
      <c r="N56" s="2024">
        <f t="shared" si="26"/>
        <v>375</v>
      </c>
      <c r="O56" s="2026">
        <f t="shared" si="31"/>
        <v>-375</v>
      </c>
      <c r="P56" s="2027">
        <f t="shared" si="5"/>
        <v>-1</v>
      </c>
      <c r="Q56" s="2025" t="s">
        <v>1116</v>
      </c>
      <c r="R56" s="2024">
        <f t="shared" si="24"/>
        <v>0</v>
      </c>
      <c r="S56" s="2011"/>
      <c r="T56" s="2022">
        <v>5</v>
      </c>
      <c r="U56" s="2022">
        <v>15</v>
      </c>
      <c r="V56" s="2022">
        <v>5</v>
      </c>
      <c r="W56" s="2024">
        <f t="shared" si="29"/>
        <v>375</v>
      </c>
      <c r="X56" s="2029"/>
      <c r="Y56" s="2029"/>
      <c r="Z56" s="2029"/>
      <c r="AA56" s="2024">
        <f t="shared" si="30"/>
        <v>0</v>
      </c>
      <c r="AB56" s="2026">
        <f t="shared" si="6"/>
        <v>375</v>
      </c>
      <c r="AC56" s="2027">
        <v>1</v>
      </c>
      <c r="AD56" s="2052" t="s">
        <v>1172</v>
      </c>
      <c r="AE56" s="2025">
        <v>0.5</v>
      </c>
      <c r="AF56" s="2031">
        <f t="shared" si="27"/>
        <v>187.5</v>
      </c>
      <c r="AG56" s="2024">
        <f t="shared" si="25"/>
        <v>375</v>
      </c>
      <c r="AH56" s="2025">
        <v>0.5</v>
      </c>
      <c r="AI56" s="2032">
        <f t="shared" si="28"/>
        <v>187.5</v>
      </c>
      <c r="AJ56" s="2033">
        <v>190</v>
      </c>
      <c r="AK56" s="2034">
        <f t="shared" si="8"/>
        <v>0.50666666666666671</v>
      </c>
      <c r="AL56" s="2035" t="s">
        <v>1201</v>
      </c>
      <c r="AM56" s="2022" t="s">
        <v>1202</v>
      </c>
    </row>
    <row r="57" spans="1:39" s="2036" customFormat="1" ht="45.75" customHeight="1">
      <c r="A57" s="2668"/>
      <c r="B57" s="2021" t="s">
        <v>1203</v>
      </c>
      <c r="C57" s="2022" t="s">
        <v>1204</v>
      </c>
      <c r="D57" s="2022" t="s">
        <v>33</v>
      </c>
      <c r="E57" s="2022"/>
      <c r="F57" s="2022">
        <v>8</v>
      </c>
      <c r="G57" s="2022">
        <f>1280/8/4</f>
        <v>40</v>
      </c>
      <c r="H57" s="2022">
        <f>9-5</f>
        <v>4</v>
      </c>
      <c r="I57" s="2024">
        <f t="shared" si="22"/>
        <v>1280</v>
      </c>
      <c r="J57" s="2025">
        <v>1</v>
      </c>
      <c r="K57" s="2022">
        <v>8</v>
      </c>
      <c r="L57" s="2022">
        <v>40</v>
      </c>
      <c r="M57" s="2022">
        <v>9</v>
      </c>
      <c r="N57" s="2024">
        <f t="shared" si="26"/>
        <v>2880</v>
      </c>
      <c r="O57" s="2026">
        <f t="shared" si="31"/>
        <v>-1600</v>
      </c>
      <c r="P57" s="2027">
        <f t="shared" si="5"/>
        <v>-0.55555555555555558</v>
      </c>
      <c r="Q57" s="2025"/>
      <c r="R57" s="2024">
        <f t="shared" si="24"/>
        <v>1280</v>
      </c>
      <c r="S57" s="2011"/>
      <c r="T57" s="2022">
        <v>8</v>
      </c>
      <c r="U57" s="2023">
        <v>40</v>
      </c>
      <c r="V57" s="2022">
        <v>12</v>
      </c>
      <c r="W57" s="2024">
        <f t="shared" si="29"/>
        <v>3840</v>
      </c>
      <c r="X57" s="2029">
        <v>8</v>
      </c>
      <c r="Y57" s="2029">
        <v>40</v>
      </c>
      <c r="Z57" s="2029">
        <v>12</v>
      </c>
      <c r="AA57" s="2024">
        <f t="shared" si="30"/>
        <v>3840</v>
      </c>
      <c r="AB57" s="2026">
        <f t="shared" si="6"/>
        <v>0</v>
      </c>
      <c r="AC57" s="2027">
        <f t="shared" si="10"/>
        <v>0</v>
      </c>
      <c r="AD57" s="2052"/>
      <c r="AE57" s="2025">
        <v>1</v>
      </c>
      <c r="AF57" s="2031">
        <f t="shared" si="27"/>
        <v>3840</v>
      </c>
      <c r="AG57" s="2024">
        <f t="shared" si="25"/>
        <v>5120</v>
      </c>
      <c r="AH57" s="2025">
        <v>1</v>
      </c>
      <c r="AI57" s="2032">
        <f t="shared" si="28"/>
        <v>5120</v>
      </c>
      <c r="AJ57" s="2033">
        <v>1200</v>
      </c>
      <c r="AK57" s="2034">
        <f t="shared" si="8"/>
        <v>0.234375</v>
      </c>
      <c r="AL57" s="2035" t="s">
        <v>1205</v>
      </c>
      <c r="AM57" s="2022" t="s">
        <v>1206</v>
      </c>
    </row>
    <row r="58" spans="1:39" s="2058" customFormat="1" ht="44.25" customHeight="1">
      <c r="A58" s="2668"/>
      <c r="B58" s="2053" t="s">
        <v>1207</v>
      </c>
      <c r="C58" s="1999" t="s">
        <v>1208</v>
      </c>
      <c r="D58" s="1999" t="s">
        <v>38</v>
      </c>
      <c r="E58" s="1999"/>
      <c r="F58" s="2002">
        <v>16</v>
      </c>
      <c r="G58" s="2002">
        <v>15</v>
      </c>
      <c r="H58" s="2002">
        <v>2</v>
      </c>
      <c r="I58" s="2003">
        <f t="shared" si="22"/>
        <v>480</v>
      </c>
      <c r="J58" s="2004">
        <v>0.3</v>
      </c>
      <c r="K58" s="1999">
        <v>16</v>
      </c>
      <c r="L58" s="1999">
        <v>15</v>
      </c>
      <c r="M58" s="1999">
        <v>2</v>
      </c>
      <c r="N58" s="2007">
        <f t="shared" si="26"/>
        <v>480</v>
      </c>
      <c r="O58" s="2008">
        <f>N58-I58</f>
        <v>0</v>
      </c>
      <c r="P58" s="2009">
        <f t="shared" si="5"/>
        <v>0</v>
      </c>
      <c r="Q58" s="2004"/>
      <c r="R58" s="2007">
        <f t="shared" si="24"/>
        <v>144</v>
      </c>
      <c r="S58" s="2011"/>
      <c r="T58" s="2002"/>
      <c r="U58" s="2002"/>
      <c r="V58" s="2002"/>
      <c r="W58" s="2003">
        <f t="shared" si="29"/>
        <v>0</v>
      </c>
      <c r="X58" s="2060"/>
      <c r="Y58" s="2060"/>
      <c r="Z58" s="2060"/>
      <c r="AA58" s="2007">
        <f t="shared" si="30"/>
        <v>0</v>
      </c>
      <c r="AB58" s="2008">
        <f t="shared" si="6"/>
        <v>0</v>
      </c>
      <c r="AC58" s="2009">
        <v>0</v>
      </c>
      <c r="AD58" s="2054"/>
      <c r="AE58" s="2004">
        <v>0.3</v>
      </c>
      <c r="AF58" s="2014">
        <f t="shared" si="27"/>
        <v>0</v>
      </c>
      <c r="AG58" s="2007">
        <f t="shared" si="25"/>
        <v>480</v>
      </c>
      <c r="AH58" s="2004">
        <v>0.3</v>
      </c>
      <c r="AI58" s="2055">
        <f t="shared" si="28"/>
        <v>144</v>
      </c>
      <c r="AJ58" s="2056">
        <v>0</v>
      </c>
      <c r="AK58" s="2017">
        <f t="shared" si="8"/>
        <v>0</v>
      </c>
      <c r="AL58" s="2057" t="s">
        <v>1201</v>
      </c>
      <c r="AM58" s="1999"/>
    </row>
    <row r="59" spans="1:39" s="2036" customFormat="1" ht="49.5" customHeight="1">
      <c r="A59" s="2668"/>
      <c r="B59" s="2021" t="s">
        <v>1209</v>
      </c>
      <c r="C59" s="2022" t="s">
        <v>1210</v>
      </c>
      <c r="D59" s="2022" t="s">
        <v>33</v>
      </c>
      <c r="E59" s="2022"/>
      <c r="F59" s="2022">
        <v>1</v>
      </c>
      <c r="G59" s="2022">
        <f>995/9</f>
        <v>110.55555555555556</v>
      </c>
      <c r="H59" s="2022">
        <v>9</v>
      </c>
      <c r="I59" s="2024">
        <f t="shared" si="22"/>
        <v>995</v>
      </c>
      <c r="J59" s="2025"/>
      <c r="K59" s="2022">
        <v>1</v>
      </c>
      <c r="L59" s="2022">
        <v>160</v>
      </c>
      <c r="M59" s="2022">
        <v>9</v>
      </c>
      <c r="N59" s="2024">
        <f t="shared" si="26"/>
        <v>1440</v>
      </c>
      <c r="O59" s="2026">
        <f>-N59+I59</f>
        <v>-445</v>
      </c>
      <c r="P59" s="2027">
        <f t="shared" si="5"/>
        <v>-0.30902777777777779</v>
      </c>
      <c r="Q59" s="2025"/>
      <c r="R59" s="2024">
        <f t="shared" si="24"/>
        <v>0</v>
      </c>
      <c r="S59" s="2011"/>
      <c r="T59" s="2022">
        <v>1</v>
      </c>
      <c r="U59" s="2022">
        <v>160</v>
      </c>
      <c r="V59" s="2022">
        <v>11</v>
      </c>
      <c r="W59" s="2024">
        <f t="shared" si="29"/>
        <v>1760</v>
      </c>
      <c r="X59" s="2029">
        <v>1</v>
      </c>
      <c r="Y59" s="2029">
        <v>160</v>
      </c>
      <c r="Z59" s="2029">
        <v>11</v>
      </c>
      <c r="AA59" s="2024">
        <f t="shared" si="30"/>
        <v>1760</v>
      </c>
      <c r="AB59" s="2026">
        <f t="shared" si="6"/>
        <v>0</v>
      </c>
      <c r="AC59" s="2027">
        <f t="shared" si="10"/>
        <v>0</v>
      </c>
      <c r="AD59" s="2052"/>
      <c r="AE59" s="2025">
        <v>1</v>
      </c>
      <c r="AF59" s="2031">
        <f t="shared" si="27"/>
        <v>1760</v>
      </c>
      <c r="AG59" s="2024">
        <f t="shared" si="25"/>
        <v>2755</v>
      </c>
      <c r="AH59" s="2025">
        <v>1</v>
      </c>
      <c r="AI59" s="2032">
        <f t="shared" si="28"/>
        <v>2755</v>
      </c>
      <c r="AJ59" s="2033">
        <v>1155</v>
      </c>
      <c r="AK59" s="2034">
        <f t="shared" si="8"/>
        <v>0.41923774954627951</v>
      </c>
      <c r="AL59" s="2035" t="s">
        <v>1211</v>
      </c>
      <c r="AM59" s="2022" t="s">
        <v>1212</v>
      </c>
    </row>
    <row r="60" spans="1:39" s="2036" customFormat="1" ht="53.25" customHeight="1">
      <c r="A60" s="2668"/>
      <c r="B60" s="2021" t="s">
        <v>1213</v>
      </c>
      <c r="C60" s="2022" t="s">
        <v>1214</v>
      </c>
      <c r="D60" s="2022" t="s">
        <v>33</v>
      </c>
      <c r="E60" s="2022"/>
      <c r="F60" s="2022">
        <v>1</v>
      </c>
      <c r="G60" s="2022">
        <v>0</v>
      </c>
      <c r="H60" s="2022">
        <v>1</v>
      </c>
      <c r="I60" s="2024">
        <f t="shared" si="22"/>
        <v>0</v>
      </c>
      <c r="J60" s="2025">
        <v>1</v>
      </c>
      <c r="K60" s="2022">
        <v>1</v>
      </c>
      <c r="L60" s="2022">
        <v>2000</v>
      </c>
      <c r="M60" s="2022">
        <v>1</v>
      </c>
      <c r="N60" s="2024">
        <f t="shared" si="26"/>
        <v>2000</v>
      </c>
      <c r="O60" s="2026">
        <f>-N60+I60</f>
        <v>-2000</v>
      </c>
      <c r="P60" s="2027">
        <f t="shared" si="5"/>
        <v>-1</v>
      </c>
      <c r="Q60" s="2025"/>
      <c r="R60" s="2024">
        <f t="shared" si="24"/>
        <v>0</v>
      </c>
      <c r="S60" s="2011"/>
      <c r="T60" s="2022">
        <v>3</v>
      </c>
      <c r="U60" s="2023">
        <f>5000/3</f>
        <v>1666.6666666666667</v>
      </c>
      <c r="V60" s="2022">
        <v>1</v>
      </c>
      <c r="W60" s="2024">
        <f t="shared" si="29"/>
        <v>5000</v>
      </c>
      <c r="X60" s="2029">
        <v>3</v>
      </c>
      <c r="Y60" s="2029">
        <v>2000</v>
      </c>
      <c r="Z60" s="2029">
        <v>1</v>
      </c>
      <c r="AA60" s="2024">
        <f t="shared" si="30"/>
        <v>6000</v>
      </c>
      <c r="AB60" s="2026">
        <f t="shared" si="6"/>
        <v>-1000</v>
      </c>
      <c r="AC60" s="2027">
        <f t="shared" si="10"/>
        <v>-0.16666666666666666</v>
      </c>
      <c r="AD60" s="2052"/>
      <c r="AE60" s="2025">
        <v>1</v>
      </c>
      <c r="AF60" s="2031">
        <f t="shared" si="27"/>
        <v>5000</v>
      </c>
      <c r="AG60" s="2024">
        <f t="shared" si="25"/>
        <v>5000</v>
      </c>
      <c r="AH60" s="2025">
        <v>1</v>
      </c>
      <c r="AI60" s="2032">
        <f t="shared" si="28"/>
        <v>5000</v>
      </c>
      <c r="AJ60" s="2033">
        <v>0</v>
      </c>
      <c r="AK60" s="2034">
        <f t="shared" si="8"/>
        <v>0</v>
      </c>
      <c r="AL60" s="2035" t="s">
        <v>1215</v>
      </c>
      <c r="AM60" s="2022" t="s">
        <v>1216</v>
      </c>
    </row>
    <row r="61" spans="1:39" s="2105" customFormat="1" ht="25.5" customHeight="1">
      <c r="A61" s="2657"/>
      <c r="B61" s="2097"/>
      <c r="C61" s="2079"/>
      <c r="D61" s="2079"/>
      <c r="E61" s="2080" t="s">
        <v>47</v>
      </c>
      <c r="F61" s="2080"/>
      <c r="G61" s="2080"/>
      <c r="H61" s="2080"/>
      <c r="I61" s="2083">
        <f>SUM(I44:I60)</f>
        <v>81280</v>
      </c>
      <c r="J61" s="2083"/>
      <c r="K61" s="2080"/>
      <c r="L61" s="2080"/>
      <c r="M61" s="2080"/>
      <c r="N61" s="2083">
        <f>SUM(N44:N60)</f>
        <v>98707</v>
      </c>
      <c r="O61" s="2084">
        <f>SUM(O44:O60)</f>
        <v>-17426.999999999996</v>
      </c>
      <c r="P61" s="2085">
        <f t="shared" si="5"/>
        <v>-0.17655282806690503</v>
      </c>
      <c r="Q61" s="2083"/>
      <c r="R61" s="2083">
        <f>SUM(R44:R60)</f>
        <v>63443.619999999995</v>
      </c>
      <c r="S61" s="2083"/>
      <c r="T61" s="2083"/>
      <c r="U61" s="2083"/>
      <c r="V61" s="2083"/>
      <c r="W61" s="2083">
        <f>SUM(W44:W60)</f>
        <v>58272</v>
      </c>
      <c r="X61" s="2087"/>
      <c r="Y61" s="2087"/>
      <c r="Z61" s="2087"/>
      <c r="AA61" s="2083">
        <f>SUM(AA44:AA60)</f>
        <v>114895</v>
      </c>
      <c r="AB61" s="2084">
        <f>SUM(AB44:AB60)</f>
        <v>-56623</v>
      </c>
      <c r="AC61" s="2085">
        <f t="shared" si="10"/>
        <v>-0.49282388267548632</v>
      </c>
      <c r="AD61" s="2091"/>
      <c r="AE61" s="2083"/>
      <c r="AF61" s="2083">
        <f>SUM(AF44:AF60)</f>
        <v>38957.699999999997</v>
      </c>
      <c r="AG61" s="2083">
        <f>SUM(AG44:AG60)</f>
        <v>139552</v>
      </c>
      <c r="AH61" s="2083"/>
      <c r="AI61" s="2092">
        <f>SUM(AI44:AI60)</f>
        <v>103396.32</v>
      </c>
      <c r="AJ61" s="2093">
        <f>SUM(AJ44:AJ60)</f>
        <v>78763</v>
      </c>
      <c r="AK61" s="2094">
        <f t="shared" si="8"/>
        <v>0.56439893373079564</v>
      </c>
      <c r="AL61" s="2095" t="s">
        <v>1130</v>
      </c>
      <c r="AM61" s="2104"/>
    </row>
    <row r="62" spans="1:39" s="2058" customFormat="1" ht="33" customHeight="1">
      <c r="A62" s="2106" t="s">
        <v>1217</v>
      </c>
      <c r="B62" s="2053" t="s">
        <v>1218</v>
      </c>
      <c r="C62" s="1999" t="s">
        <v>1219</v>
      </c>
      <c r="D62" s="1999" t="s">
        <v>50</v>
      </c>
      <c r="E62" s="2000"/>
      <c r="F62" s="2002">
        <v>1</v>
      </c>
      <c r="G62" s="2002">
        <v>385</v>
      </c>
      <c r="H62" s="2002">
        <v>10</v>
      </c>
      <c r="I62" s="2003">
        <f t="shared" ref="I62:I69" si="32">F62*G62*H62</f>
        <v>3850</v>
      </c>
      <c r="J62" s="2004">
        <v>1</v>
      </c>
      <c r="K62" s="1999">
        <v>1</v>
      </c>
      <c r="L62" s="1999">
        <v>385</v>
      </c>
      <c r="M62" s="1999">
        <v>10</v>
      </c>
      <c r="N62" s="2007">
        <f>K62*L62*M62</f>
        <v>3850</v>
      </c>
      <c r="O62" s="2008">
        <f>N62-I62</f>
        <v>0</v>
      </c>
      <c r="P62" s="2009">
        <f t="shared" si="5"/>
        <v>0</v>
      </c>
      <c r="Q62" s="2004"/>
      <c r="R62" s="2007">
        <f t="shared" ref="R62:R69" si="33">I62*J62</f>
        <v>3850</v>
      </c>
      <c r="S62" s="2011"/>
      <c r="T62" s="2002">
        <v>1</v>
      </c>
      <c r="U62" s="2002">
        <v>385</v>
      </c>
      <c r="V62" s="2002">
        <v>12</v>
      </c>
      <c r="W62" s="2003">
        <f>T62*U62*V62</f>
        <v>4620</v>
      </c>
      <c r="X62" s="2060">
        <v>1</v>
      </c>
      <c r="Y62" s="2060">
        <v>385</v>
      </c>
      <c r="Z62" s="2060">
        <v>12</v>
      </c>
      <c r="AA62" s="2007">
        <f>X62*Y62*Z62</f>
        <v>4620</v>
      </c>
      <c r="AB62" s="2008">
        <f t="shared" si="6"/>
        <v>0</v>
      </c>
      <c r="AC62" s="2009">
        <f t="shared" si="10"/>
        <v>0</v>
      </c>
      <c r="AD62" s="2054"/>
      <c r="AE62" s="2004">
        <v>1</v>
      </c>
      <c r="AF62" s="2014">
        <f>W62*AE62</f>
        <v>4620</v>
      </c>
      <c r="AG62" s="2007">
        <f t="shared" ref="AG62:AG69" si="34">I62+W62</f>
        <v>8470</v>
      </c>
      <c r="AH62" s="2004">
        <v>1</v>
      </c>
      <c r="AI62" s="2055">
        <f>AG62*AH62</f>
        <v>8470</v>
      </c>
      <c r="AJ62" s="2056">
        <v>3865</v>
      </c>
      <c r="AK62" s="2017">
        <f t="shared" si="8"/>
        <v>0.45631641086186542</v>
      </c>
      <c r="AL62" s="2057" t="s">
        <v>1220</v>
      </c>
      <c r="AM62" s="1999"/>
    </row>
    <row r="63" spans="1:39" s="2105" customFormat="1" ht="65.25" customHeight="1">
      <c r="A63" s="2106"/>
      <c r="B63" s="2053" t="s">
        <v>1221</v>
      </c>
      <c r="C63" s="2107" t="s">
        <v>1222</v>
      </c>
      <c r="D63" s="1999" t="s">
        <v>33</v>
      </c>
      <c r="E63" s="2107"/>
      <c r="F63" s="2108">
        <v>1</v>
      </c>
      <c r="G63" s="2108">
        <v>0</v>
      </c>
      <c r="H63" s="2108">
        <v>1</v>
      </c>
      <c r="I63" s="2003">
        <f t="shared" si="32"/>
        <v>0</v>
      </c>
      <c r="J63" s="2063">
        <v>1</v>
      </c>
      <c r="K63" s="2107">
        <v>1</v>
      </c>
      <c r="L63" s="2107">
        <v>0</v>
      </c>
      <c r="M63" s="2107">
        <v>1</v>
      </c>
      <c r="N63" s="2007">
        <f>K63*L63*M63</f>
        <v>0</v>
      </c>
      <c r="O63" s="2008">
        <f>N63-I63</f>
        <v>0</v>
      </c>
      <c r="P63" s="2009">
        <v>0</v>
      </c>
      <c r="Q63" s="2063"/>
      <c r="R63" s="2007">
        <f t="shared" si="33"/>
        <v>0</v>
      </c>
      <c r="S63" s="2011"/>
      <c r="T63" s="2108">
        <v>1</v>
      </c>
      <c r="U63" s="2108">
        <v>0</v>
      </c>
      <c r="V63" s="2108">
        <v>1</v>
      </c>
      <c r="W63" s="2003">
        <f>T63*U63*V63</f>
        <v>0</v>
      </c>
      <c r="X63" s="2109">
        <v>1</v>
      </c>
      <c r="Y63" s="2109">
        <v>0</v>
      </c>
      <c r="Z63" s="2109">
        <v>1</v>
      </c>
      <c r="AA63" s="2007">
        <f>X63*Y63*Z63</f>
        <v>0</v>
      </c>
      <c r="AB63" s="2008">
        <f t="shared" si="6"/>
        <v>0</v>
      </c>
      <c r="AC63" s="2009">
        <v>0</v>
      </c>
      <c r="AD63" s="2110"/>
      <c r="AE63" s="2063">
        <v>1</v>
      </c>
      <c r="AF63" s="2014">
        <f>W63*AE63</f>
        <v>0</v>
      </c>
      <c r="AG63" s="2007">
        <f t="shared" si="34"/>
        <v>0</v>
      </c>
      <c r="AH63" s="2063">
        <v>1</v>
      </c>
      <c r="AI63" s="2055">
        <f>AG63*AH63</f>
        <v>0</v>
      </c>
      <c r="AJ63" s="2056">
        <v>0</v>
      </c>
      <c r="AK63" s="2111" t="e">
        <f t="shared" si="8"/>
        <v>#DIV/0!</v>
      </c>
      <c r="AL63" s="2112" t="s">
        <v>1223</v>
      </c>
      <c r="AM63" s="2107"/>
    </row>
    <row r="64" spans="1:39" s="2036" customFormat="1" ht="45">
      <c r="A64" s="2113"/>
      <c r="B64" s="2021" t="s">
        <v>1224</v>
      </c>
      <c r="C64" s="2022" t="s">
        <v>1225</v>
      </c>
      <c r="D64" s="2022" t="s">
        <v>38</v>
      </c>
      <c r="E64" s="2022"/>
      <c r="F64" s="2022">
        <v>8</v>
      </c>
      <c r="G64" s="2022">
        <v>0</v>
      </c>
      <c r="H64" s="2022">
        <v>1</v>
      </c>
      <c r="I64" s="2024">
        <f t="shared" si="32"/>
        <v>0</v>
      </c>
      <c r="J64" s="2025">
        <v>1</v>
      </c>
      <c r="K64" s="2022">
        <v>8</v>
      </c>
      <c r="L64" s="2022">
        <v>200</v>
      </c>
      <c r="M64" s="2022">
        <v>1</v>
      </c>
      <c r="N64" s="2024">
        <f>K64*L64*M64</f>
        <v>1600</v>
      </c>
      <c r="O64" s="2026">
        <f>-N64--I64</f>
        <v>-1600</v>
      </c>
      <c r="P64" s="2027">
        <f t="shared" si="5"/>
        <v>-1</v>
      </c>
      <c r="Q64" s="2025"/>
      <c r="R64" s="2024">
        <f t="shared" si="33"/>
        <v>0</v>
      </c>
      <c r="S64" s="2011"/>
      <c r="T64" s="2022">
        <v>8</v>
      </c>
      <c r="U64" s="2022">
        <v>200</v>
      </c>
      <c r="V64" s="2022">
        <v>1</v>
      </c>
      <c r="W64" s="2024">
        <f>T64*U64*V64</f>
        <v>1600</v>
      </c>
      <c r="X64" s="2029">
        <v>8</v>
      </c>
      <c r="Y64" s="2029">
        <v>200</v>
      </c>
      <c r="Z64" s="2029">
        <v>1</v>
      </c>
      <c r="AA64" s="2024">
        <f>X64*Y64*Z64</f>
        <v>1600</v>
      </c>
      <c r="AB64" s="2026">
        <f t="shared" si="6"/>
        <v>0</v>
      </c>
      <c r="AC64" s="2027">
        <f t="shared" si="10"/>
        <v>0</v>
      </c>
      <c r="AD64" s="2052"/>
      <c r="AE64" s="2025">
        <v>1</v>
      </c>
      <c r="AF64" s="2031">
        <f>W64*AE64</f>
        <v>1600</v>
      </c>
      <c r="AG64" s="2024">
        <f t="shared" si="34"/>
        <v>1600</v>
      </c>
      <c r="AH64" s="2025">
        <v>1</v>
      </c>
      <c r="AI64" s="2032">
        <f>AG64*AH64</f>
        <v>1600</v>
      </c>
      <c r="AJ64" s="2033">
        <v>0</v>
      </c>
      <c r="AK64" s="2034">
        <f t="shared" si="8"/>
        <v>0</v>
      </c>
      <c r="AL64" s="2035" t="s">
        <v>1226</v>
      </c>
      <c r="AM64" s="2022" t="s">
        <v>1206</v>
      </c>
    </row>
    <row r="65" spans="1:40" s="2051" customFormat="1" ht="56.25" customHeight="1">
      <c r="A65" s="2114" t="e">
        <f>+#REF!</f>
        <v>#REF!</v>
      </c>
      <c r="B65" s="2037" t="s">
        <v>1227</v>
      </c>
      <c r="C65" s="2038" t="s">
        <v>1228</v>
      </c>
      <c r="D65" s="2038" t="s">
        <v>40</v>
      </c>
      <c r="E65" s="2038"/>
      <c r="F65" s="2038">
        <v>1</v>
      </c>
      <c r="G65" s="2038">
        <f>3727/10</f>
        <v>372.7</v>
      </c>
      <c r="H65" s="2038">
        <v>10</v>
      </c>
      <c r="I65" s="2039">
        <f t="shared" si="32"/>
        <v>3727</v>
      </c>
      <c r="J65" s="2040">
        <v>1</v>
      </c>
      <c r="K65" s="2038">
        <v>1</v>
      </c>
      <c r="L65" s="2038">
        <v>95</v>
      </c>
      <c r="M65" s="2038">
        <v>10</v>
      </c>
      <c r="N65" s="2039">
        <f>K65*L65*M65</f>
        <v>950</v>
      </c>
      <c r="O65" s="2041">
        <f>-N65--I65</f>
        <v>2777</v>
      </c>
      <c r="P65" s="2042">
        <f t="shared" si="5"/>
        <v>2.9231578947368422</v>
      </c>
      <c r="Q65" s="2040"/>
      <c r="R65" s="2039">
        <f t="shared" si="33"/>
        <v>3727</v>
      </c>
      <c r="S65" s="2011"/>
      <c r="T65" s="2038">
        <v>1</v>
      </c>
      <c r="U65" s="2038">
        <v>350</v>
      </c>
      <c r="V65" s="2038">
        <v>12</v>
      </c>
      <c r="W65" s="2039">
        <f>T65*U65*V65</f>
        <v>4200</v>
      </c>
      <c r="X65" s="2043">
        <v>1</v>
      </c>
      <c r="Y65" s="2043">
        <v>100</v>
      </c>
      <c r="Z65" s="2043">
        <v>12</v>
      </c>
      <c r="AA65" s="2039">
        <f>X65*Y65*Z65</f>
        <v>1200</v>
      </c>
      <c r="AB65" s="2041">
        <f t="shared" si="6"/>
        <v>3000</v>
      </c>
      <c r="AC65" s="2042">
        <f t="shared" si="10"/>
        <v>2.5</v>
      </c>
      <c r="AD65" s="2100"/>
      <c r="AE65" s="2040">
        <v>1</v>
      </c>
      <c r="AF65" s="2045">
        <f>W65*AE65</f>
        <v>4200</v>
      </c>
      <c r="AG65" s="2039">
        <f t="shared" si="34"/>
        <v>7927</v>
      </c>
      <c r="AH65" s="2040">
        <v>1</v>
      </c>
      <c r="AI65" s="2046">
        <f>AG65*AH65</f>
        <v>7927</v>
      </c>
      <c r="AJ65" s="2047">
        <v>4022</v>
      </c>
      <c r="AK65" s="2048">
        <f t="shared" si="8"/>
        <v>0.50737984104957734</v>
      </c>
      <c r="AL65" s="2115" t="s">
        <v>1229</v>
      </c>
      <c r="AM65" s="2038" t="s">
        <v>1230</v>
      </c>
    </row>
    <row r="66" spans="1:40" s="2105" customFormat="1" ht="33" customHeight="1">
      <c r="A66" s="2106" t="e">
        <f>+#REF!</f>
        <v>#REF!</v>
      </c>
      <c r="B66" s="2053" t="s">
        <v>1231</v>
      </c>
      <c r="C66" s="1999" t="s">
        <v>1232</v>
      </c>
      <c r="D66" s="1999" t="s">
        <v>38</v>
      </c>
      <c r="E66" s="2116"/>
      <c r="F66" s="2002">
        <v>1</v>
      </c>
      <c r="G66" s="2002">
        <v>1851</v>
      </c>
      <c r="H66" s="2002">
        <v>1</v>
      </c>
      <c r="I66" s="2003">
        <f t="shared" si="32"/>
        <v>1851</v>
      </c>
      <c r="J66" s="2004">
        <v>1</v>
      </c>
      <c r="K66" s="1999">
        <v>1</v>
      </c>
      <c r="L66" s="1999">
        <v>1698</v>
      </c>
      <c r="M66" s="1999">
        <v>1</v>
      </c>
      <c r="N66" s="2007">
        <f>K66*L66*M66</f>
        <v>1698</v>
      </c>
      <c r="O66" s="2008">
        <f>-N66+I66</f>
        <v>153</v>
      </c>
      <c r="P66" s="2009">
        <f t="shared" si="5"/>
        <v>9.0106007067137811E-2</v>
      </c>
      <c r="Q66" s="2004"/>
      <c r="R66" s="2007">
        <f t="shared" si="33"/>
        <v>1851</v>
      </c>
      <c r="S66" s="2011"/>
      <c r="T66" s="2002"/>
      <c r="U66" s="2002"/>
      <c r="V66" s="2002"/>
      <c r="W66" s="2003">
        <f>T66*U66*V66</f>
        <v>0</v>
      </c>
      <c r="X66" s="2060">
        <v>0</v>
      </c>
      <c r="Y66" s="2060">
        <v>0</v>
      </c>
      <c r="Z66" s="2060">
        <v>0</v>
      </c>
      <c r="AA66" s="2007">
        <f>X66*Y66*Z66</f>
        <v>0</v>
      </c>
      <c r="AB66" s="2008">
        <f t="shared" si="6"/>
        <v>0</v>
      </c>
      <c r="AC66" s="2009">
        <v>1</v>
      </c>
      <c r="AD66" s="2054"/>
      <c r="AE66" s="2004">
        <v>1</v>
      </c>
      <c r="AF66" s="2014">
        <f>W66*AE66</f>
        <v>0</v>
      </c>
      <c r="AG66" s="2007">
        <f t="shared" si="34"/>
        <v>1851</v>
      </c>
      <c r="AH66" s="2004">
        <v>1</v>
      </c>
      <c r="AI66" s="2055">
        <f>AG66*AH66</f>
        <v>1851</v>
      </c>
      <c r="AJ66" s="2056">
        <v>1851</v>
      </c>
      <c r="AK66" s="2017">
        <f t="shared" si="8"/>
        <v>1</v>
      </c>
      <c r="AL66" s="2057" t="s">
        <v>1233</v>
      </c>
      <c r="AM66" s="2107"/>
    </row>
    <row r="67" spans="1:40" s="2122" customFormat="1" ht="36">
      <c r="A67" s="2117">
        <f>+[6]Totals!H49</f>
        <v>0</v>
      </c>
      <c r="B67" s="2064" t="s">
        <v>1234</v>
      </c>
      <c r="C67" s="2073" t="s">
        <v>1235</v>
      </c>
      <c r="D67" s="2118" t="s">
        <v>231</v>
      </c>
      <c r="E67" s="2119"/>
      <c r="F67" s="2120">
        <v>0</v>
      </c>
      <c r="G67" s="2120">
        <v>0</v>
      </c>
      <c r="H67" s="2120">
        <v>0</v>
      </c>
      <c r="I67" s="2041">
        <f t="shared" si="32"/>
        <v>0</v>
      </c>
      <c r="J67" s="2066"/>
      <c r="K67" s="2120"/>
      <c r="L67" s="2120"/>
      <c r="M67" s="2120"/>
      <c r="N67" s="2041"/>
      <c r="O67" s="2041">
        <f>-N67+I67</f>
        <v>0</v>
      </c>
      <c r="P67" s="2067">
        <v>0</v>
      </c>
      <c r="Q67" s="2066"/>
      <c r="R67" s="2041">
        <f t="shared" si="33"/>
        <v>0</v>
      </c>
      <c r="S67" s="2068"/>
      <c r="T67" s="2065">
        <v>1</v>
      </c>
      <c r="U67" s="2065">
        <v>800</v>
      </c>
      <c r="V67" s="2065">
        <v>10</v>
      </c>
      <c r="W67" s="2041">
        <f t="shared" ref="W67:W69" si="35">T67*U67*V67</f>
        <v>8000</v>
      </c>
      <c r="X67" s="2070"/>
      <c r="Y67" s="2070"/>
      <c r="Z67" s="2070"/>
      <c r="AA67" s="2041">
        <f t="shared" ref="AA67:AA69" si="36">X67*Y67*Z67</f>
        <v>0</v>
      </c>
      <c r="AB67" s="2041">
        <f t="shared" si="6"/>
        <v>8000</v>
      </c>
      <c r="AC67" s="2067">
        <v>1</v>
      </c>
      <c r="AD67" s="2071" t="s">
        <v>1236</v>
      </c>
      <c r="AE67" s="2066">
        <v>0.35</v>
      </c>
      <c r="AF67" s="2072">
        <f t="shared" ref="AF67:AF69" si="37">W67*AE67</f>
        <v>2800</v>
      </c>
      <c r="AG67" s="2041">
        <f t="shared" si="34"/>
        <v>8000</v>
      </c>
      <c r="AH67" s="2066">
        <v>0.35</v>
      </c>
      <c r="AI67" s="2072">
        <f t="shared" ref="AI67:AI69" si="38">AG67*AH67</f>
        <v>2800</v>
      </c>
      <c r="AJ67" s="2072">
        <v>0</v>
      </c>
      <c r="AK67" s="2048">
        <f t="shared" si="8"/>
        <v>0</v>
      </c>
      <c r="AL67" s="2073" t="s">
        <v>1237</v>
      </c>
      <c r="AM67" s="2121" t="s">
        <v>1238</v>
      </c>
    </row>
    <row r="68" spans="1:40" s="2122" customFormat="1" ht="36">
      <c r="A68" s="2117">
        <f>+[6]Totals!H50</f>
        <v>0</v>
      </c>
      <c r="B68" s="2064" t="s">
        <v>1239</v>
      </c>
      <c r="C68" s="2073" t="s">
        <v>1240</v>
      </c>
      <c r="D68" s="2118" t="s">
        <v>231</v>
      </c>
      <c r="E68" s="2119"/>
      <c r="F68" s="2120">
        <v>0</v>
      </c>
      <c r="G68" s="2120">
        <v>0</v>
      </c>
      <c r="H68" s="2120">
        <v>0</v>
      </c>
      <c r="I68" s="2041">
        <f t="shared" si="32"/>
        <v>0</v>
      </c>
      <c r="J68" s="2066"/>
      <c r="K68" s="2120"/>
      <c r="L68" s="2120"/>
      <c r="M68" s="2120"/>
      <c r="N68" s="2041"/>
      <c r="O68" s="2041">
        <f>-N68+I68</f>
        <v>0</v>
      </c>
      <c r="P68" s="2067">
        <v>0</v>
      </c>
      <c r="Q68" s="2066"/>
      <c r="R68" s="2041">
        <f t="shared" si="33"/>
        <v>0</v>
      </c>
      <c r="S68" s="2068"/>
      <c r="T68" s="2065">
        <v>1</v>
      </c>
      <c r="U68" s="2065">
        <v>800</v>
      </c>
      <c r="V68" s="2065">
        <v>10</v>
      </c>
      <c r="W68" s="2041">
        <f t="shared" si="35"/>
        <v>8000</v>
      </c>
      <c r="X68" s="2070"/>
      <c r="Y68" s="2070"/>
      <c r="Z68" s="2070"/>
      <c r="AA68" s="2041">
        <f t="shared" si="36"/>
        <v>0</v>
      </c>
      <c r="AB68" s="2041">
        <f t="shared" si="6"/>
        <v>8000</v>
      </c>
      <c r="AC68" s="2067">
        <v>1</v>
      </c>
      <c r="AD68" s="2071" t="s">
        <v>1236</v>
      </c>
      <c r="AE68" s="2066">
        <v>0.35</v>
      </c>
      <c r="AF68" s="2072">
        <f t="shared" si="37"/>
        <v>2800</v>
      </c>
      <c r="AG68" s="2041">
        <f t="shared" si="34"/>
        <v>8000</v>
      </c>
      <c r="AH68" s="2066">
        <v>0.35</v>
      </c>
      <c r="AI68" s="2072">
        <f t="shared" si="38"/>
        <v>2800</v>
      </c>
      <c r="AJ68" s="2072">
        <v>0</v>
      </c>
      <c r="AK68" s="2048">
        <f t="shared" si="8"/>
        <v>0</v>
      </c>
      <c r="AL68" s="2073" t="s">
        <v>1241</v>
      </c>
      <c r="AM68" s="2121" t="s">
        <v>1242</v>
      </c>
    </row>
    <row r="69" spans="1:40" s="2122" customFormat="1" ht="24">
      <c r="A69" s="2117">
        <f>+[6]Totals!H51</f>
        <v>153</v>
      </c>
      <c r="B69" s="2064" t="s">
        <v>1243</v>
      </c>
      <c r="C69" s="2073" t="s">
        <v>1244</v>
      </c>
      <c r="D69" s="2118"/>
      <c r="E69" s="2119"/>
      <c r="F69" s="2120">
        <v>0</v>
      </c>
      <c r="G69" s="2120">
        <v>0</v>
      </c>
      <c r="H69" s="2120">
        <v>0</v>
      </c>
      <c r="I69" s="2041">
        <f t="shared" si="32"/>
        <v>0</v>
      </c>
      <c r="J69" s="2066"/>
      <c r="K69" s="2120"/>
      <c r="L69" s="2120"/>
      <c r="M69" s="2120"/>
      <c r="N69" s="2041"/>
      <c r="O69" s="2041">
        <f>-N69+I69</f>
        <v>0</v>
      </c>
      <c r="P69" s="2067">
        <v>0</v>
      </c>
      <c r="Q69" s="2066"/>
      <c r="R69" s="2041">
        <f t="shared" si="33"/>
        <v>0</v>
      </c>
      <c r="S69" s="2068"/>
      <c r="T69" s="2065">
        <v>1</v>
      </c>
      <c r="U69" s="2065">
        <f>480/12</f>
        <v>40</v>
      </c>
      <c r="V69" s="2065">
        <v>12</v>
      </c>
      <c r="W69" s="2041">
        <f t="shared" si="35"/>
        <v>480</v>
      </c>
      <c r="X69" s="2070"/>
      <c r="Y69" s="2070"/>
      <c r="Z69" s="2070"/>
      <c r="AA69" s="2041">
        <f t="shared" si="36"/>
        <v>0</v>
      </c>
      <c r="AB69" s="2041">
        <f t="shared" si="6"/>
        <v>480</v>
      </c>
      <c r="AC69" s="2067">
        <v>1</v>
      </c>
      <c r="AD69" s="2071" t="s">
        <v>1236</v>
      </c>
      <c r="AE69" s="2066">
        <v>0.35</v>
      </c>
      <c r="AF69" s="2072">
        <f t="shared" si="37"/>
        <v>168</v>
      </c>
      <c r="AG69" s="2041">
        <f t="shared" si="34"/>
        <v>480</v>
      </c>
      <c r="AH69" s="2066">
        <v>0.35</v>
      </c>
      <c r="AI69" s="2072">
        <f t="shared" si="38"/>
        <v>168</v>
      </c>
      <c r="AJ69" s="2072">
        <v>0</v>
      </c>
      <c r="AK69" s="2048">
        <f t="shared" si="8"/>
        <v>0</v>
      </c>
      <c r="AL69" s="2073" t="s">
        <v>1245</v>
      </c>
      <c r="AM69" s="2077" t="s">
        <v>1246</v>
      </c>
    </row>
    <row r="70" spans="1:40" s="2096" customFormat="1" ht="18" customHeight="1">
      <c r="A70" s="2123"/>
      <c r="B70" s="2123"/>
      <c r="C70" s="2079"/>
      <c r="D70" s="2079"/>
      <c r="E70" s="2124" t="s">
        <v>47</v>
      </c>
      <c r="F70" s="2081"/>
      <c r="G70" s="2081"/>
      <c r="H70" s="2081"/>
      <c r="I70" s="2082">
        <f>SUM(I62:I69)</f>
        <v>9428</v>
      </c>
      <c r="J70" s="2083"/>
      <c r="K70" s="2124"/>
      <c r="L70" s="2124"/>
      <c r="M70" s="2124"/>
      <c r="N70" s="2083">
        <f>SUM(N62:N69)</f>
        <v>8098</v>
      </c>
      <c r="O70" s="2084">
        <f>SUM(O62:O69)</f>
        <v>1330</v>
      </c>
      <c r="P70" s="2085">
        <f t="shared" si="5"/>
        <v>0.16423808347740182</v>
      </c>
      <c r="Q70" s="2125"/>
      <c r="R70" s="2083">
        <f>SUM(R62:R69)</f>
        <v>9428</v>
      </c>
      <c r="S70" s="2086"/>
      <c r="T70" s="2082"/>
      <c r="U70" s="2082"/>
      <c r="V70" s="2082"/>
      <c r="W70" s="2082">
        <f>SUM(W62:W69)</f>
        <v>26900</v>
      </c>
      <c r="X70" s="2087"/>
      <c r="Y70" s="2087"/>
      <c r="Z70" s="2087"/>
      <c r="AA70" s="2088">
        <f>SUM(AA62:AA69)</f>
        <v>7420</v>
      </c>
      <c r="AB70" s="2089">
        <f>SUM(AB62:AB69)</f>
        <v>19480</v>
      </c>
      <c r="AC70" s="2090">
        <f t="shared" si="10"/>
        <v>2.6253369272237195</v>
      </c>
      <c r="AD70" s="2126"/>
      <c r="AE70" s="2092"/>
      <c r="AF70" s="2092">
        <f>SUM(AF62:AF69)</f>
        <v>16188</v>
      </c>
      <c r="AG70" s="2083">
        <f>SUM(AG62:AG69)</f>
        <v>36328</v>
      </c>
      <c r="AH70" s="2083"/>
      <c r="AI70" s="2092">
        <f>SUM(AI62:AI69)</f>
        <v>25616</v>
      </c>
      <c r="AJ70" s="2093">
        <f>SUM(AJ62:AJ69)</f>
        <v>9738</v>
      </c>
      <c r="AK70" s="2094">
        <f t="shared" si="8"/>
        <v>0.26805769654261175</v>
      </c>
      <c r="AL70" s="2095" t="s">
        <v>1130</v>
      </c>
      <c r="AM70" s="2079"/>
    </row>
    <row r="71" spans="1:40" s="2143" customFormat="1" ht="29.25" customHeight="1">
      <c r="A71" s="2669" t="s">
        <v>227</v>
      </c>
      <c r="B71" s="2670"/>
      <c r="C71" s="2670"/>
      <c r="D71" s="2671"/>
      <c r="E71" s="2127"/>
      <c r="F71" s="2081"/>
      <c r="G71" s="2081"/>
      <c r="H71" s="2081"/>
      <c r="I71" s="2082">
        <f>I37+I43+I61+I70</f>
        <v>141693.47500000001</v>
      </c>
      <c r="J71" s="2128"/>
      <c r="K71" s="2127"/>
      <c r="L71" s="2127"/>
      <c r="M71" s="2127"/>
      <c r="N71" s="2128">
        <f>N37+N43+N61+N70</f>
        <v>168860.75</v>
      </c>
      <c r="O71" s="2076">
        <f>O37+O43+O61+O70</f>
        <v>-26597.274999999994</v>
      </c>
      <c r="P71" s="2129">
        <f t="shared" si="5"/>
        <v>-0.15751010818085312</v>
      </c>
      <c r="Q71" s="2130"/>
      <c r="R71" s="2128">
        <f>R37+R43+R61+R70</f>
        <v>110272.08939814815</v>
      </c>
      <c r="S71" s="2086"/>
      <c r="T71" s="2082"/>
      <c r="U71" s="2131">
        <f>+W71/585000</f>
        <v>0.32769615384615386</v>
      </c>
      <c r="V71" s="2132"/>
      <c r="W71" s="2082">
        <f>W37+W43+W61+W70</f>
        <v>191702.25</v>
      </c>
      <c r="X71" s="2133"/>
      <c r="Y71" s="2134">
        <v>0.30654059829059827</v>
      </c>
      <c r="Z71" s="2135"/>
      <c r="AA71" s="2088">
        <f>AA37+AA43+AA61+AA70</f>
        <v>179576.25</v>
      </c>
      <c r="AB71" s="2089">
        <f>AB37+AB43+AB61+AB70</f>
        <v>12126</v>
      </c>
      <c r="AC71" s="2090">
        <f t="shared" si="10"/>
        <v>6.7525633261636769E-2</v>
      </c>
      <c r="AD71" s="2136"/>
      <c r="AE71" s="2128"/>
      <c r="AF71" s="2128">
        <f>AF37+AF43+AF61+AF70</f>
        <v>144647.20000000001</v>
      </c>
      <c r="AG71" s="2128">
        <f>AG37+AG43+AG61+AG70</f>
        <v>333395.72499999998</v>
      </c>
      <c r="AH71" s="2137"/>
      <c r="AI71" s="2138">
        <f>AI37+AI43+AI61+AI70</f>
        <v>255842.09773148148</v>
      </c>
      <c r="AJ71" s="2139">
        <f>AJ37+AJ43+AJ61+AJ70</f>
        <v>139934</v>
      </c>
      <c r="AK71" s="2140">
        <f t="shared" si="8"/>
        <v>0.41972343826544267</v>
      </c>
      <c r="AL71" s="2141"/>
      <c r="AM71" s="2142"/>
    </row>
    <row r="72" spans="1:40" s="2159" customFormat="1" ht="26.25" customHeight="1">
      <c r="A72" s="2672" t="s">
        <v>228</v>
      </c>
      <c r="B72" s="2673"/>
      <c r="C72" s="2673"/>
      <c r="D72" s="2144"/>
      <c r="E72" s="2144"/>
      <c r="F72" s="2145"/>
      <c r="G72" s="2145"/>
      <c r="H72" s="2145"/>
      <c r="I72" s="2146"/>
      <c r="J72" s="2144"/>
      <c r="K72" s="2144"/>
      <c r="L72" s="2144"/>
      <c r="M72" s="2144"/>
      <c r="N72" s="2144"/>
      <c r="O72" s="2147"/>
      <c r="P72" s="2148"/>
      <c r="Q72" s="2149"/>
      <c r="R72" s="2144"/>
      <c r="S72" s="2150"/>
      <c r="T72" s="2145"/>
      <c r="U72" s="2145"/>
      <c r="V72" s="2145"/>
      <c r="W72" s="2146"/>
      <c r="X72" s="2151"/>
      <c r="Y72" s="2151"/>
      <c r="Z72" s="2151"/>
      <c r="AA72" s="2152"/>
      <c r="AB72" s="2153"/>
      <c r="AC72" s="2154"/>
      <c r="AD72" s="2155"/>
      <c r="AE72" s="2144"/>
      <c r="AF72" s="2144"/>
      <c r="AG72" s="2144"/>
      <c r="AH72" s="2144"/>
      <c r="AI72" s="2144"/>
      <c r="AJ72" s="2147"/>
      <c r="AK72" s="2156"/>
      <c r="AL72" s="2157"/>
      <c r="AM72" s="2157"/>
      <c r="AN72" s="2158"/>
    </row>
    <row r="73" spans="1:40" s="2174" customFormat="1" ht="30" customHeight="1">
      <c r="A73" s="2674" t="s">
        <v>229</v>
      </c>
      <c r="B73" s="2675"/>
      <c r="C73" s="2675"/>
      <c r="D73" s="2675"/>
      <c r="E73" s="2160"/>
      <c r="F73" s="2161"/>
      <c r="G73" s="2161"/>
      <c r="H73" s="2161"/>
      <c r="I73" s="2161"/>
      <c r="J73" s="2160"/>
      <c r="K73" s="2160"/>
      <c r="L73" s="2160"/>
      <c r="M73" s="2160"/>
      <c r="N73" s="2160"/>
      <c r="O73" s="2162"/>
      <c r="P73" s="2163"/>
      <c r="Q73" s="2164"/>
      <c r="R73" s="2160"/>
      <c r="S73" s="2165"/>
      <c r="T73" s="2161"/>
      <c r="U73" s="2161"/>
      <c r="V73" s="2161"/>
      <c r="W73" s="2161"/>
      <c r="X73" s="2166"/>
      <c r="Y73" s="2166"/>
      <c r="Z73" s="2166"/>
      <c r="AA73" s="2167"/>
      <c r="AB73" s="2168"/>
      <c r="AC73" s="2169"/>
      <c r="AD73" s="2170"/>
      <c r="AE73" s="2160"/>
      <c r="AF73" s="2160"/>
      <c r="AG73" s="2160"/>
      <c r="AH73" s="2160"/>
      <c r="AI73" s="2160"/>
      <c r="AJ73" s="2162"/>
      <c r="AK73" s="2171"/>
      <c r="AL73" s="2172"/>
      <c r="AM73" s="2172"/>
      <c r="AN73" s="2173"/>
    </row>
    <row r="74" spans="1:40" s="2051" customFormat="1" ht="23.25" customHeight="1">
      <c r="A74" s="2039" t="e">
        <f>+#REF!</f>
        <v>#REF!</v>
      </c>
      <c r="B74" s="2175" t="s">
        <v>1247</v>
      </c>
      <c r="C74" s="2115" t="s">
        <v>1248</v>
      </c>
      <c r="D74" s="2176" t="s">
        <v>231</v>
      </c>
      <c r="E74" s="2038" t="s">
        <v>1048</v>
      </c>
      <c r="F74" s="2177">
        <v>1</v>
      </c>
      <c r="G74" s="2177">
        <f>16477.99/4</f>
        <v>4119.4975000000004</v>
      </c>
      <c r="H74" s="2177">
        <f>1*4</f>
        <v>4</v>
      </c>
      <c r="I74" s="2039">
        <f t="shared" ref="I74:I79" si="39">F74*G74*H74</f>
        <v>16477.990000000002</v>
      </c>
      <c r="J74" s="2040">
        <v>1</v>
      </c>
      <c r="K74" s="2177">
        <v>1</v>
      </c>
      <c r="L74" s="2177">
        <v>4200</v>
      </c>
      <c r="M74" s="2177">
        <v>1</v>
      </c>
      <c r="N74" s="2039">
        <f t="shared" ref="N74:N79" si="40">K74*L74*M74</f>
        <v>4200</v>
      </c>
      <c r="O74" s="2041">
        <f t="shared" ref="O74:O79" si="41">-N74+I74</f>
        <v>12277.990000000002</v>
      </c>
      <c r="P74" s="2042">
        <f>O74/N74</f>
        <v>2.9233309523809528</v>
      </c>
      <c r="Q74" s="2040"/>
      <c r="R74" s="2039">
        <f t="shared" ref="R74:R79" si="42">I74*J74</f>
        <v>16477.990000000002</v>
      </c>
      <c r="S74" s="2011"/>
      <c r="T74" s="2038">
        <v>3</v>
      </c>
      <c r="U74" s="2038">
        <v>4687</v>
      </c>
      <c r="V74" s="2038">
        <v>1</v>
      </c>
      <c r="W74" s="2039">
        <f>+AA74</f>
        <v>18600</v>
      </c>
      <c r="X74" s="2043">
        <v>1</v>
      </c>
      <c r="Y74" s="2043">
        <v>4650</v>
      </c>
      <c r="Z74" s="2043">
        <v>4</v>
      </c>
      <c r="AA74" s="2039">
        <f t="shared" ref="AA74:AA79" si="43">X74*Y74*Z74</f>
        <v>18600</v>
      </c>
      <c r="AB74" s="2041">
        <f>-AA74+W74</f>
        <v>0</v>
      </c>
      <c r="AC74" s="2042">
        <f t="shared" si="10"/>
        <v>0</v>
      </c>
      <c r="AD74" s="2100" t="s">
        <v>1249</v>
      </c>
      <c r="AE74" s="2040">
        <v>1</v>
      </c>
      <c r="AF74" s="2045">
        <f t="shared" ref="AF74:AF79" si="44">W74*AE74</f>
        <v>18600</v>
      </c>
      <c r="AG74" s="2039">
        <f t="shared" ref="AG74:AG79" si="45">I74+W74</f>
        <v>35077.990000000005</v>
      </c>
      <c r="AH74" s="2040">
        <v>1</v>
      </c>
      <c r="AI74" s="2045">
        <f t="shared" ref="AI74:AI79" si="46">AG74*AH74</f>
        <v>35077.990000000005</v>
      </c>
      <c r="AJ74" s="2072">
        <v>16478</v>
      </c>
      <c r="AK74" s="2048">
        <f t="shared" ref="AK74:AK80" si="47">AJ74/AG74</f>
        <v>0.46975325553145997</v>
      </c>
      <c r="AL74" s="2115" t="s">
        <v>1250</v>
      </c>
      <c r="AM74" s="2038" t="s">
        <v>1251</v>
      </c>
    </row>
    <row r="75" spans="1:40" s="2193" customFormat="1" ht="24.75" customHeight="1">
      <c r="A75" s="2178" t="e">
        <f>+#REF!</f>
        <v>#REF!</v>
      </c>
      <c r="B75" s="2179" t="s">
        <v>1252</v>
      </c>
      <c r="C75" s="2180" t="s">
        <v>1253</v>
      </c>
      <c r="D75" s="2181" t="s">
        <v>231</v>
      </c>
      <c r="E75" s="2182"/>
      <c r="F75" s="2183">
        <v>1</v>
      </c>
      <c r="G75" s="2183">
        <v>6199.75</v>
      </c>
      <c r="H75" s="2183">
        <v>1</v>
      </c>
      <c r="I75" s="2178">
        <f t="shared" si="39"/>
        <v>6199.75</v>
      </c>
      <c r="J75" s="2184">
        <v>0</v>
      </c>
      <c r="K75" s="2183">
        <v>1</v>
      </c>
      <c r="L75" s="2183">
        <v>5000</v>
      </c>
      <c r="M75" s="2183">
        <v>1</v>
      </c>
      <c r="N75" s="2178">
        <f t="shared" si="40"/>
        <v>5000</v>
      </c>
      <c r="O75" s="2185">
        <f t="shared" si="41"/>
        <v>1199.75</v>
      </c>
      <c r="P75" s="2186">
        <f t="shared" ref="P75:P80" si="48">O75/N75</f>
        <v>0.23995</v>
      </c>
      <c r="Q75" s="2184"/>
      <c r="R75" s="2178">
        <f t="shared" si="42"/>
        <v>0</v>
      </c>
      <c r="S75" s="2011"/>
      <c r="T75" s="2187">
        <v>1</v>
      </c>
      <c r="U75" s="2187">
        <v>5060</v>
      </c>
      <c r="V75" s="2187">
        <v>1</v>
      </c>
      <c r="W75" s="2178">
        <v>5187</v>
      </c>
      <c r="X75" s="2188"/>
      <c r="Y75" s="2188"/>
      <c r="Z75" s="2188"/>
      <c r="AA75" s="2178">
        <f t="shared" si="43"/>
        <v>0</v>
      </c>
      <c r="AB75" s="2185">
        <f t="shared" si="6"/>
        <v>5187</v>
      </c>
      <c r="AC75" s="2186">
        <v>0</v>
      </c>
      <c r="AD75" s="2189"/>
      <c r="AE75" s="2184">
        <v>0</v>
      </c>
      <c r="AF75" s="2190">
        <f t="shared" si="44"/>
        <v>0</v>
      </c>
      <c r="AG75" s="2178">
        <f t="shared" si="45"/>
        <v>11386.75</v>
      </c>
      <c r="AH75" s="2184">
        <v>0</v>
      </c>
      <c r="AI75" s="2190">
        <f t="shared" si="46"/>
        <v>0</v>
      </c>
      <c r="AJ75" s="2191">
        <v>6200</v>
      </c>
      <c r="AK75" s="2192">
        <f t="shared" si="47"/>
        <v>0.54449250225042267</v>
      </c>
      <c r="AL75" s="2180" t="s">
        <v>1250</v>
      </c>
      <c r="AM75" s="2187" t="s">
        <v>1254</v>
      </c>
    </row>
    <row r="76" spans="1:40" s="2036" customFormat="1" ht="24.75" customHeight="1">
      <c r="A76" s="2024" t="e">
        <f>+#REF!</f>
        <v>#REF!</v>
      </c>
      <c r="B76" s="2194" t="s">
        <v>1255</v>
      </c>
      <c r="C76" s="2035" t="s">
        <v>1256</v>
      </c>
      <c r="D76" s="2195" t="s">
        <v>231</v>
      </c>
      <c r="E76" s="2196"/>
      <c r="F76" s="2197">
        <v>1</v>
      </c>
      <c r="G76" s="2197">
        <v>800</v>
      </c>
      <c r="H76" s="2198">
        <f>489.33/800</f>
        <v>0.6116625</v>
      </c>
      <c r="I76" s="2024">
        <f t="shared" si="39"/>
        <v>489.33</v>
      </c>
      <c r="J76" s="2025">
        <v>1</v>
      </c>
      <c r="K76" s="2197">
        <v>1</v>
      </c>
      <c r="L76" s="2197">
        <v>800</v>
      </c>
      <c r="M76" s="2197">
        <v>4</v>
      </c>
      <c r="N76" s="2024">
        <f t="shared" si="40"/>
        <v>3200</v>
      </c>
      <c r="O76" s="2026">
        <f t="shared" si="41"/>
        <v>-2710.67</v>
      </c>
      <c r="P76" s="2027">
        <f t="shared" si="48"/>
        <v>-0.847084375</v>
      </c>
      <c r="Q76" s="2025"/>
      <c r="R76" s="2024">
        <f t="shared" si="42"/>
        <v>489.33</v>
      </c>
      <c r="S76" s="2011"/>
      <c r="T76" s="2022">
        <v>1</v>
      </c>
      <c r="U76" s="2022">
        <v>800</v>
      </c>
      <c r="V76" s="2022">
        <v>6</v>
      </c>
      <c r="W76" s="2024">
        <v>5100</v>
      </c>
      <c r="X76" s="2029">
        <v>1</v>
      </c>
      <c r="Y76" s="2029">
        <v>850</v>
      </c>
      <c r="Z76" s="2029">
        <v>6</v>
      </c>
      <c r="AA76" s="2024">
        <f t="shared" si="43"/>
        <v>5100</v>
      </c>
      <c r="AB76" s="2026">
        <f t="shared" si="6"/>
        <v>0</v>
      </c>
      <c r="AC76" s="2027">
        <f t="shared" si="10"/>
        <v>0</v>
      </c>
      <c r="AD76" s="2052"/>
      <c r="AE76" s="2025">
        <v>1</v>
      </c>
      <c r="AF76" s="2031">
        <f t="shared" si="44"/>
        <v>5100</v>
      </c>
      <c r="AG76" s="2024">
        <f t="shared" si="45"/>
        <v>5589.33</v>
      </c>
      <c r="AH76" s="2025">
        <v>1</v>
      </c>
      <c r="AI76" s="2031">
        <f t="shared" si="46"/>
        <v>5589.33</v>
      </c>
      <c r="AJ76" s="2199">
        <v>489</v>
      </c>
      <c r="AK76" s="2034">
        <f t="shared" si="47"/>
        <v>8.7488124694730857E-2</v>
      </c>
      <c r="AL76" s="2035" t="s">
        <v>1250</v>
      </c>
      <c r="AM76" s="2022" t="s">
        <v>1257</v>
      </c>
    </row>
    <row r="77" spans="1:40" s="2051" customFormat="1" ht="24">
      <c r="A77" s="2039" t="e">
        <f>+#REF!</f>
        <v>#REF!</v>
      </c>
      <c r="B77" s="2175" t="s">
        <v>1258</v>
      </c>
      <c r="C77" s="2115" t="s">
        <v>735</v>
      </c>
      <c r="D77" s="2176" t="s">
        <v>231</v>
      </c>
      <c r="E77" s="2200"/>
      <c r="F77" s="2177">
        <v>1</v>
      </c>
      <c r="G77" s="2177">
        <v>850</v>
      </c>
      <c r="H77" s="2201">
        <f>3798.41/850</f>
        <v>4.4687176470588232</v>
      </c>
      <c r="I77" s="2039">
        <f t="shared" si="39"/>
        <v>3798.41</v>
      </c>
      <c r="J77" s="2040">
        <v>0</v>
      </c>
      <c r="K77" s="2177">
        <v>1</v>
      </c>
      <c r="L77" s="2177">
        <v>850</v>
      </c>
      <c r="M77" s="2177">
        <v>4</v>
      </c>
      <c r="N77" s="2039">
        <f t="shared" si="40"/>
        <v>3400</v>
      </c>
      <c r="O77" s="2041">
        <f t="shared" si="41"/>
        <v>398.40999999999985</v>
      </c>
      <c r="P77" s="2042">
        <f t="shared" si="48"/>
        <v>0.11717941176470584</v>
      </c>
      <c r="Q77" s="2040"/>
      <c r="R77" s="2039">
        <f t="shared" si="42"/>
        <v>0</v>
      </c>
      <c r="S77" s="2011"/>
      <c r="T77" s="2038">
        <v>1</v>
      </c>
      <c r="U77" s="2038">
        <v>850</v>
      </c>
      <c r="V77" s="2038">
        <v>6</v>
      </c>
      <c r="W77" s="2039">
        <v>5400</v>
      </c>
      <c r="X77" s="2043">
        <v>1</v>
      </c>
      <c r="Y77" s="2043">
        <v>900</v>
      </c>
      <c r="Z77" s="2043">
        <v>6</v>
      </c>
      <c r="AA77" s="2039">
        <f t="shared" si="43"/>
        <v>5400</v>
      </c>
      <c r="AB77" s="2041">
        <f t="shared" si="6"/>
        <v>0</v>
      </c>
      <c r="AC77" s="2042">
        <f t="shared" si="10"/>
        <v>0</v>
      </c>
      <c r="AD77" s="2100"/>
      <c r="AE77" s="2040">
        <v>0</v>
      </c>
      <c r="AF77" s="2045">
        <f t="shared" si="44"/>
        <v>0</v>
      </c>
      <c r="AG77" s="2039">
        <f t="shared" si="45"/>
        <v>9198.41</v>
      </c>
      <c r="AH77" s="2040">
        <v>0</v>
      </c>
      <c r="AI77" s="2045">
        <f t="shared" si="46"/>
        <v>0</v>
      </c>
      <c r="AJ77" s="2072">
        <v>3192</v>
      </c>
      <c r="AK77" s="2048">
        <f t="shared" si="47"/>
        <v>0.34701649524211248</v>
      </c>
      <c r="AL77" s="2115" t="s">
        <v>1250</v>
      </c>
      <c r="AM77" s="2050" t="s">
        <v>1259</v>
      </c>
    </row>
    <row r="78" spans="1:40" s="2036" customFormat="1" ht="36">
      <c r="A78" s="2024" t="e">
        <f>+#REF!</f>
        <v>#REF!</v>
      </c>
      <c r="B78" s="2194" t="s">
        <v>1260</v>
      </c>
      <c r="C78" s="2035" t="s">
        <v>1261</v>
      </c>
      <c r="D78" s="2195" t="s">
        <v>231</v>
      </c>
      <c r="E78" s="2196"/>
      <c r="F78" s="2197">
        <v>1</v>
      </c>
      <c r="G78" s="2197">
        <v>600</v>
      </c>
      <c r="H78" s="2198">
        <f>1966.7/600</f>
        <v>3.2778333333333336</v>
      </c>
      <c r="I78" s="2024">
        <f t="shared" si="39"/>
        <v>1966.7000000000003</v>
      </c>
      <c r="J78" s="2025">
        <v>0</v>
      </c>
      <c r="K78" s="2197">
        <v>1</v>
      </c>
      <c r="L78" s="2197">
        <v>600</v>
      </c>
      <c r="M78" s="2197">
        <v>4</v>
      </c>
      <c r="N78" s="2024">
        <f t="shared" si="40"/>
        <v>2400</v>
      </c>
      <c r="O78" s="2026">
        <f t="shared" si="41"/>
        <v>-433.29999999999973</v>
      </c>
      <c r="P78" s="2027">
        <f t="shared" si="48"/>
        <v>-0.18054166666666654</v>
      </c>
      <c r="Q78" s="2025"/>
      <c r="R78" s="2024">
        <f t="shared" si="42"/>
        <v>0</v>
      </c>
      <c r="S78" s="2011"/>
      <c r="T78" s="2022">
        <v>1</v>
      </c>
      <c r="U78" s="2022">
        <v>600</v>
      </c>
      <c r="V78" s="2022">
        <v>6</v>
      </c>
      <c r="W78" s="2024">
        <v>3600</v>
      </c>
      <c r="X78" s="2029">
        <v>1</v>
      </c>
      <c r="Y78" s="2029">
        <v>600</v>
      </c>
      <c r="Z78" s="2029">
        <v>6</v>
      </c>
      <c r="AA78" s="2024">
        <f t="shared" si="43"/>
        <v>3600</v>
      </c>
      <c r="AB78" s="2026">
        <f t="shared" si="6"/>
        <v>0</v>
      </c>
      <c r="AC78" s="2027">
        <f t="shared" si="10"/>
        <v>0</v>
      </c>
      <c r="AD78" s="2052"/>
      <c r="AE78" s="2025">
        <v>0</v>
      </c>
      <c r="AF78" s="2031">
        <f t="shared" si="44"/>
        <v>0</v>
      </c>
      <c r="AG78" s="2024">
        <f t="shared" si="45"/>
        <v>5566.7000000000007</v>
      </c>
      <c r="AH78" s="2025">
        <v>0</v>
      </c>
      <c r="AI78" s="2031">
        <f t="shared" si="46"/>
        <v>0</v>
      </c>
      <c r="AJ78" s="2199">
        <v>1967</v>
      </c>
      <c r="AK78" s="2034">
        <f t="shared" si="47"/>
        <v>0.353351177537859</v>
      </c>
      <c r="AL78" s="2035" t="s">
        <v>1250</v>
      </c>
      <c r="AM78" s="2102" t="s">
        <v>1262</v>
      </c>
    </row>
    <row r="79" spans="1:40" s="2051" customFormat="1" ht="25.5" customHeight="1">
      <c r="A79" s="2039" t="e">
        <f>+#REF!</f>
        <v>#REF!</v>
      </c>
      <c r="B79" s="2175" t="s">
        <v>1263</v>
      </c>
      <c r="C79" s="2115" t="s">
        <v>1264</v>
      </c>
      <c r="D79" s="2176" t="s">
        <v>231</v>
      </c>
      <c r="E79" s="2200"/>
      <c r="F79" s="2177">
        <f>2134/6/3</f>
        <v>118.55555555555556</v>
      </c>
      <c r="G79" s="2177">
        <v>6</v>
      </c>
      <c r="H79" s="2177">
        <v>3</v>
      </c>
      <c r="I79" s="2039">
        <f t="shared" si="39"/>
        <v>2134</v>
      </c>
      <c r="J79" s="2040">
        <v>0.35</v>
      </c>
      <c r="K79" s="2177">
        <v>9</v>
      </c>
      <c r="L79" s="2177">
        <v>6</v>
      </c>
      <c r="M79" s="2177">
        <v>3</v>
      </c>
      <c r="N79" s="2039">
        <f t="shared" si="40"/>
        <v>162</v>
      </c>
      <c r="O79" s="2041">
        <f t="shared" si="41"/>
        <v>1972</v>
      </c>
      <c r="P79" s="2042">
        <f t="shared" si="48"/>
        <v>12.17283950617284</v>
      </c>
      <c r="Q79" s="2040"/>
      <c r="R79" s="2039">
        <f t="shared" si="42"/>
        <v>746.9</v>
      </c>
      <c r="S79" s="2011"/>
      <c r="T79" s="2038">
        <v>9</v>
      </c>
      <c r="U79" s="2038">
        <v>6</v>
      </c>
      <c r="V79" s="2038">
        <v>5</v>
      </c>
      <c r="W79" s="2039">
        <v>2232</v>
      </c>
      <c r="X79" s="2043">
        <v>31</v>
      </c>
      <c r="Y79" s="2043">
        <v>6</v>
      </c>
      <c r="Z79" s="2043">
        <v>12</v>
      </c>
      <c r="AA79" s="2039">
        <f t="shared" si="43"/>
        <v>2232</v>
      </c>
      <c r="AB79" s="2041">
        <f t="shared" si="6"/>
        <v>0</v>
      </c>
      <c r="AC79" s="2042">
        <f t="shared" si="10"/>
        <v>0</v>
      </c>
      <c r="AD79" s="2100"/>
      <c r="AE79" s="2040">
        <v>0.35</v>
      </c>
      <c r="AF79" s="2045">
        <f t="shared" si="44"/>
        <v>781.19999999999993</v>
      </c>
      <c r="AG79" s="2039">
        <f t="shared" si="45"/>
        <v>4366</v>
      </c>
      <c r="AH79" s="2040">
        <v>0.35</v>
      </c>
      <c r="AI79" s="2045">
        <f t="shared" si="46"/>
        <v>1528.1</v>
      </c>
      <c r="AJ79" s="2072">
        <v>1642</v>
      </c>
      <c r="AK79" s="2048">
        <f t="shared" si="47"/>
        <v>0.37608795235913878</v>
      </c>
      <c r="AL79" s="2115" t="s">
        <v>1265</v>
      </c>
      <c r="AM79" s="2050" t="s">
        <v>1266</v>
      </c>
    </row>
    <row r="80" spans="1:40" s="2208" customFormat="1" ht="19.5" customHeight="1">
      <c r="A80" s="2202"/>
      <c r="B80" s="2203"/>
      <c r="C80" s="2203"/>
      <c r="D80" s="2204"/>
      <c r="E80" s="2124" t="s">
        <v>47</v>
      </c>
      <c r="F80" s="2081"/>
      <c r="G80" s="2081"/>
      <c r="H80" s="2081"/>
      <c r="I80" s="2082">
        <f>SUM(I74:I79)</f>
        <v>31066.180000000004</v>
      </c>
      <c r="J80" s="2083"/>
      <c r="K80" s="2124"/>
      <c r="L80" s="2124"/>
      <c r="M80" s="2124"/>
      <c r="N80" s="2083">
        <f>SUM(N74:N79)</f>
        <v>18362</v>
      </c>
      <c r="O80" s="2084">
        <f>SUM(O74:O79)</f>
        <v>12704.180000000002</v>
      </c>
      <c r="P80" s="2085">
        <f t="shared" si="48"/>
        <v>0.6918734342664199</v>
      </c>
      <c r="Q80" s="2125"/>
      <c r="R80" s="2083">
        <f>SUM(R74:R79)</f>
        <v>17714.220000000005</v>
      </c>
      <c r="S80" s="2086"/>
      <c r="T80" s="2082"/>
      <c r="U80" s="2082"/>
      <c r="V80" s="2205"/>
      <c r="W80" s="2082">
        <f>+SUM(W74:W79)</f>
        <v>40119</v>
      </c>
      <c r="X80" s="2087"/>
      <c r="Y80" s="2087"/>
      <c r="Z80" s="2206"/>
      <c r="AA80" s="2088">
        <f>SUM(AA74:AA79)</f>
        <v>34932</v>
      </c>
      <c r="AB80" s="2089">
        <f>SUM(AB74:AB79)</f>
        <v>5187</v>
      </c>
      <c r="AC80" s="2090">
        <f t="shared" si="10"/>
        <v>0.14848849192717278</v>
      </c>
      <c r="AD80" s="2126"/>
      <c r="AE80" s="2083"/>
      <c r="AF80" s="2083">
        <f>SUM(AF74:AF79)</f>
        <v>24481.200000000001</v>
      </c>
      <c r="AG80" s="2083">
        <f>SUM(AG74:AG79)</f>
        <v>71185.180000000008</v>
      </c>
      <c r="AH80" s="2207"/>
      <c r="AI80" s="2092">
        <f>SUM(AI74:AI79)</f>
        <v>42195.420000000006</v>
      </c>
      <c r="AJ80" s="2093">
        <f>SUM(AJ74:AJ79)</f>
        <v>29968</v>
      </c>
      <c r="AK80" s="2094">
        <f t="shared" si="47"/>
        <v>0.42098650308954755</v>
      </c>
      <c r="AL80" s="2095" t="s">
        <v>1130</v>
      </c>
      <c r="AM80" s="2104"/>
    </row>
    <row r="81" spans="1:39" s="2223" customFormat="1" ht="46.5" customHeight="1">
      <c r="A81" s="2209" t="s">
        <v>240</v>
      </c>
      <c r="B81" s="2210"/>
      <c r="C81" s="2210"/>
      <c r="D81" s="2210"/>
      <c r="E81" s="2210"/>
      <c r="F81" s="2211"/>
      <c r="G81" s="2211"/>
      <c r="H81" s="2211"/>
      <c r="I81" s="2211"/>
      <c r="J81" s="2210"/>
      <c r="K81" s="2210"/>
      <c r="L81" s="2210"/>
      <c r="M81" s="2210"/>
      <c r="N81" s="2210"/>
      <c r="O81" s="2212"/>
      <c r="P81" s="2213"/>
      <c r="Q81" s="2210"/>
      <c r="R81" s="2210"/>
      <c r="S81" s="2214"/>
      <c r="T81" s="2211"/>
      <c r="U81" s="2211"/>
      <c r="V81" s="2215"/>
      <c r="W81" s="2215"/>
      <c r="X81" s="2216"/>
      <c r="Y81" s="2216"/>
      <c r="Z81" s="2216"/>
      <c r="AA81" s="2217"/>
      <c r="AB81" s="2218"/>
      <c r="AC81" s="2219"/>
      <c r="AD81" s="2220"/>
      <c r="AE81" s="2210"/>
      <c r="AF81" s="2210"/>
      <c r="AG81" s="2210"/>
      <c r="AH81" s="2210"/>
      <c r="AI81" s="2210"/>
      <c r="AJ81" s="2212"/>
      <c r="AK81" s="2221"/>
      <c r="AL81" s="2222"/>
      <c r="AM81" s="2172"/>
    </row>
    <row r="82" spans="1:39" s="2105" customFormat="1" ht="15.75" customHeight="1">
      <c r="A82" s="2224"/>
      <c r="B82" s="2225"/>
      <c r="C82" s="2225"/>
      <c r="D82" s="2226"/>
      <c r="E82" s="2116"/>
      <c r="F82" s="2081"/>
      <c r="G82" s="2081"/>
      <c r="H82" s="2081"/>
      <c r="I82" s="2227"/>
      <c r="J82" s="2228"/>
      <c r="K82" s="2229"/>
      <c r="L82" s="2229"/>
      <c r="M82" s="2229"/>
      <c r="N82" s="2228"/>
      <c r="O82" s="2230"/>
      <c r="P82" s="2231"/>
      <c r="Q82" s="2232"/>
      <c r="R82" s="2228"/>
      <c r="S82" s="2233"/>
      <c r="T82" s="2227"/>
      <c r="U82" s="2227"/>
      <c r="V82" s="2227"/>
      <c r="W82" s="2227"/>
      <c r="X82" s="2234"/>
      <c r="Y82" s="2234"/>
      <c r="Z82" s="2234"/>
      <c r="AA82" s="2228"/>
      <c r="AB82" s="2230"/>
      <c r="AC82" s="2231"/>
      <c r="AD82" s="2235"/>
      <c r="AE82" s="2236"/>
      <c r="AF82" s="2236"/>
      <c r="AG82" s="2237"/>
      <c r="AH82" s="2228"/>
      <c r="AI82" s="2236"/>
      <c r="AJ82" s="2238"/>
      <c r="AK82" s="2239"/>
      <c r="AL82" s="2228"/>
      <c r="AM82" s="2107"/>
    </row>
    <row r="83" spans="1:39" s="2105" customFormat="1" ht="22.5" customHeight="1">
      <c r="A83" s="2224"/>
      <c r="B83" s="2225"/>
      <c r="C83" s="2225"/>
      <c r="D83" s="2226"/>
      <c r="E83" s="2116"/>
      <c r="F83" s="2081"/>
      <c r="G83" s="2081"/>
      <c r="H83" s="2081"/>
      <c r="I83" s="2227"/>
      <c r="J83" s="2228"/>
      <c r="K83" s="2229"/>
      <c r="L83" s="2229"/>
      <c r="M83" s="2229"/>
      <c r="N83" s="2228"/>
      <c r="O83" s="2230"/>
      <c r="P83" s="2231"/>
      <c r="Q83" s="2232"/>
      <c r="R83" s="2228"/>
      <c r="S83" s="2233"/>
      <c r="T83" s="2227"/>
      <c r="U83" s="2227"/>
      <c r="V83" s="2227"/>
      <c r="W83" s="2227"/>
      <c r="X83" s="2234"/>
      <c r="Y83" s="2234"/>
      <c r="Z83" s="2234"/>
      <c r="AA83" s="2228"/>
      <c r="AB83" s="2230"/>
      <c r="AC83" s="2231"/>
      <c r="AD83" s="2235"/>
      <c r="AE83" s="2236"/>
      <c r="AF83" s="2236"/>
      <c r="AG83" s="2237"/>
      <c r="AH83" s="2228"/>
      <c r="AI83" s="2236"/>
      <c r="AJ83" s="2238"/>
      <c r="AK83" s="2239"/>
      <c r="AL83" s="2228"/>
      <c r="AM83" s="2107"/>
    </row>
    <row r="84" spans="1:39" s="2143" customFormat="1" ht="18.75" customHeight="1">
      <c r="A84" s="2240"/>
      <c r="B84" s="2241"/>
      <c r="C84" s="2241"/>
      <c r="D84" s="2242"/>
      <c r="E84" s="2243" t="s">
        <v>47</v>
      </c>
      <c r="F84" s="2081"/>
      <c r="G84" s="2081"/>
      <c r="H84" s="2081"/>
      <c r="I84" s="2227">
        <f>SUM(I82:I83)</f>
        <v>0</v>
      </c>
      <c r="J84" s="2141"/>
      <c r="K84" s="2243"/>
      <c r="L84" s="2243"/>
      <c r="M84" s="2243"/>
      <c r="N84" s="2141">
        <f>SUM(N82:N83)</f>
        <v>0</v>
      </c>
      <c r="O84" s="2244"/>
      <c r="P84" s="2245">
        <v>0</v>
      </c>
      <c r="Q84" s="2246"/>
      <c r="R84" s="2141"/>
      <c r="S84" s="2233"/>
      <c r="T84" s="2227"/>
      <c r="U84" s="2227"/>
      <c r="V84" s="2227"/>
      <c r="W84" s="2227">
        <f>SUM(W82:W83)</f>
        <v>0</v>
      </c>
      <c r="X84" s="2247"/>
      <c r="Y84" s="2247"/>
      <c r="Z84" s="2247"/>
      <c r="AA84" s="2228">
        <f>SUM(AA82:AA83)</f>
        <v>0</v>
      </c>
      <c r="AB84" s="2230"/>
      <c r="AC84" s="2231"/>
      <c r="AD84" s="2248"/>
      <c r="AE84" s="2249"/>
      <c r="AF84" s="2249"/>
      <c r="AG84" s="2141">
        <f>+I84+W84</f>
        <v>0</v>
      </c>
      <c r="AH84" s="2141"/>
      <c r="AI84" s="2249">
        <f>+R84+AF84</f>
        <v>0</v>
      </c>
      <c r="AJ84" s="2250">
        <f>+S84+AG84</f>
        <v>0</v>
      </c>
      <c r="AK84" s="2251"/>
      <c r="AL84" s="2141"/>
      <c r="AM84" s="2142"/>
    </row>
    <row r="85" spans="1:39" s="2223" customFormat="1" ht="46.5" customHeight="1">
      <c r="A85" s="2209" t="s">
        <v>244</v>
      </c>
      <c r="B85" s="2210"/>
      <c r="C85" s="2210"/>
      <c r="D85" s="2210"/>
      <c r="E85" s="2210"/>
      <c r="F85" s="2211"/>
      <c r="G85" s="2211"/>
      <c r="H85" s="2211"/>
      <c r="I85" s="2211"/>
      <c r="J85" s="2210"/>
      <c r="K85" s="2210"/>
      <c r="L85" s="2210"/>
      <c r="M85" s="2210"/>
      <c r="N85" s="2210"/>
      <c r="O85" s="2212"/>
      <c r="P85" s="2213"/>
      <c r="Q85" s="2210"/>
      <c r="R85" s="2210"/>
      <c r="S85" s="2214"/>
      <c r="T85" s="2211"/>
      <c r="U85" s="2211"/>
      <c r="V85" s="2211"/>
      <c r="W85" s="2211"/>
      <c r="X85" s="2216"/>
      <c r="Y85" s="2216"/>
      <c r="Z85" s="2216"/>
      <c r="AA85" s="2217"/>
      <c r="AB85" s="2218"/>
      <c r="AC85" s="2219"/>
      <c r="AD85" s="2220"/>
      <c r="AE85" s="2210"/>
      <c r="AF85" s="2210"/>
      <c r="AG85" s="2210"/>
      <c r="AH85" s="2210"/>
      <c r="AI85" s="2210"/>
      <c r="AJ85" s="2212"/>
      <c r="AK85" s="2221"/>
      <c r="AL85" s="2222"/>
      <c r="AM85" s="2172"/>
    </row>
    <row r="86" spans="1:39" s="2058" customFormat="1" ht="50.25" customHeight="1">
      <c r="A86" s="2252"/>
      <c r="B86" s="2252" t="s">
        <v>1267</v>
      </c>
      <c r="C86" s="2057" t="s">
        <v>1268</v>
      </c>
      <c r="D86" s="2253" t="s">
        <v>246</v>
      </c>
      <c r="E86" s="2254"/>
      <c r="F86" s="2002">
        <v>2</v>
      </c>
      <c r="G86" s="2002">
        <f>970/2</f>
        <v>485</v>
      </c>
      <c r="H86" s="2002">
        <v>1</v>
      </c>
      <c r="I86" s="2020">
        <f>F86*G86*H86</f>
        <v>970</v>
      </c>
      <c r="J86" s="2004">
        <v>1</v>
      </c>
      <c r="K86" s="1999">
        <v>2</v>
      </c>
      <c r="L86" s="1999">
        <v>500</v>
      </c>
      <c r="M86" s="1999">
        <v>1</v>
      </c>
      <c r="N86" s="1999">
        <f>K86*L86*M86</f>
        <v>1000</v>
      </c>
      <c r="O86" s="2255">
        <f>-N86+I86</f>
        <v>-30</v>
      </c>
      <c r="P86" s="2256">
        <f t="shared" ref="P86:P120" si="49">O86/N86</f>
        <v>-0.03</v>
      </c>
      <c r="Q86" s="2004"/>
      <c r="R86" s="2007">
        <f>+I86*J86</f>
        <v>970</v>
      </c>
      <c r="S86" s="2011"/>
      <c r="T86" s="2257"/>
      <c r="U86" s="2257"/>
      <c r="V86" s="2257"/>
      <c r="W86" s="2258">
        <v>0</v>
      </c>
      <c r="X86" s="2259"/>
      <c r="Y86" s="2259"/>
      <c r="Z86" s="2259"/>
      <c r="AA86" s="2260">
        <v>0</v>
      </c>
      <c r="AB86" s="2261"/>
      <c r="AC86" s="2256"/>
      <c r="AD86" s="2054"/>
      <c r="AE86" s="2004">
        <v>1</v>
      </c>
      <c r="AF86" s="2014">
        <f>+W86*AE86</f>
        <v>0</v>
      </c>
      <c r="AG86" s="2007">
        <f>+I86+W86</f>
        <v>970</v>
      </c>
      <c r="AH86" s="2004">
        <v>1</v>
      </c>
      <c r="AI86" s="2014">
        <f>+R86+AF86</f>
        <v>970</v>
      </c>
      <c r="AJ86" s="2262">
        <v>970</v>
      </c>
      <c r="AK86" s="2017">
        <f t="shared" ref="AK86:AK87" si="50">AJ86/AG86</f>
        <v>1</v>
      </c>
      <c r="AL86" s="2057" t="s">
        <v>1269</v>
      </c>
      <c r="AM86" s="1999"/>
    </row>
    <row r="87" spans="1:39" s="2208" customFormat="1" ht="23.25" customHeight="1">
      <c r="A87" s="2202"/>
      <c r="B87" s="2202"/>
      <c r="C87" s="2263"/>
      <c r="D87" s="2202"/>
      <c r="E87" s="2124" t="s">
        <v>47</v>
      </c>
      <c r="F87" s="2081"/>
      <c r="G87" s="2081"/>
      <c r="H87" s="2081"/>
      <c r="I87" s="2082">
        <f>SUM(I81:I86)</f>
        <v>970</v>
      </c>
      <c r="J87" s="2083"/>
      <c r="K87" s="2124"/>
      <c r="L87" s="2124"/>
      <c r="M87" s="2124"/>
      <c r="N87" s="2083">
        <f>SUM(N81:N86)</f>
        <v>1000</v>
      </c>
      <c r="O87" s="2084">
        <f>N87-I87</f>
        <v>30</v>
      </c>
      <c r="P87" s="2085">
        <f t="shared" si="49"/>
        <v>0.03</v>
      </c>
      <c r="Q87" s="2125"/>
      <c r="R87" s="2083">
        <f>SUM(R86:R86)</f>
        <v>970</v>
      </c>
      <c r="S87" s="2086"/>
      <c r="T87" s="2082"/>
      <c r="U87" s="2082"/>
      <c r="V87" s="2082"/>
      <c r="W87" s="2082">
        <f>SUM(W86:W86)</f>
        <v>0</v>
      </c>
      <c r="X87" s="2087"/>
      <c r="Y87" s="2087"/>
      <c r="Z87" s="2087"/>
      <c r="AA87" s="2088">
        <f>SUM(AA86:AA86)</f>
        <v>0</v>
      </c>
      <c r="AB87" s="2089">
        <f t="shared" ref="AB87" si="51">-AA87+W87</f>
        <v>0</v>
      </c>
      <c r="AC87" s="2090">
        <v>0</v>
      </c>
      <c r="AD87" s="2126"/>
      <c r="AE87" s="2083"/>
      <c r="AF87" s="2083">
        <f>SUM(AF86:AF86)</f>
        <v>0</v>
      </c>
      <c r="AG87" s="2083">
        <f>SUM(AG86)</f>
        <v>970</v>
      </c>
      <c r="AH87" s="2083"/>
      <c r="AI87" s="2092">
        <f>SUM(AI86)</f>
        <v>970</v>
      </c>
      <c r="AJ87" s="2093">
        <f>SUM(AJ86)</f>
        <v>970</v>
      </c>
      <c r="AK87" s="2094">
        <f t="shared" si="50"/>
        <v>1</v>
      </c>
      <c r="AL87" s="2095" t="s">
        <v>1130</v>
      </c>
      <c r="AM87" s="2104"/>
    </row>
    <row r="88" spans="1:39" s="2223" customFormat="1" ht="29.25" customHeight="1">
      <c r="A88" s="2209" t="s">
        <v>249</v>
      </c>
      <c r="B88" s="2210"/>
      <c r="C88" s="2210"/>
      <c r="D88" s="2210"/>
      <c r="E88" s="2210"/>
      <c r="F88" s="2211"/>
      <c r="G88" s="2211"/>
      <c r="H88" s="2211"/>
      <c r="I88" s="2211"/>
      <c r="J88" s="2210"/>
      <c r="K88" s="2210"/>
      <c r="L88" s="2210"/>
      <c r="M88" s="2210"/>
      <c r="N88" s="2210"/>
      <c r="O88" s="2212"/>
      <c r="P88" s="2213"/>
      <c r="Q88" s="2210"/>
      <c r="R88" s="2210"/>
      <c r="S88" s="2214"/>
      <c r="T88" s="2211"/>
      <c r="U88" s="2211"/>
      <c r="V88" s="2211"/>
      <c r="W88" s="2211"/>
      <c r="X88" s="2216"/>
      <c r="Y88" s="2216"/>
      <c r="Z88" s="2216"/>
      <c r="AA88" s="2217"/>
      <c r="AB88" s="2218"/>
      <c r="AC88" s="2219"/>
      <c r="AD88" s="2220"/>
      <c r="AE88" s="2210"/>
      <c r="AF88" s="2210"/>
      <c r="AG88" s="2210"/>
      <c r="AH88" s="2210"/>
      <c r="AI88" s="2210"/>
      <c r="AJ88" s="2212"/>
      <c r="AK88" s="2221"/>
      <c r="AL88" s="2222"/>
      <c r="AM88" s="2172"/>
    </row>
    <row r="89" spans="1:39" s="2051" customFormat="1" ht="30.75" customHeight="1">
      <c r="A89" s="2264" t="e">
        <f>+#REF!</f>
        <v>#REF!</v>
      </c>
      <c r="B89" s="2264" t="s">
        <v>1270</v>
      </c>
      <c r="C89" s="2115" t="s">
        <v>1271</v>
      </c>
      <c r="D89" s="2176" t="s">
        <v>33</v>
      </c>
      <c r="E89" s="2200"/>
      <c r="F89" s="2038">
        <v>1</v>
      </c>
      <c r="G89" s="2038">
        <f>1543.79/10</f>
        <v>154.37899999999999</v>
      </c>
      <c r="H89" s="2038">
        <v>10</v>
      </c>
      <c r="I89" s="2039">
        <f>F89*G89*H89</f>
        <v>1543.79</v>
      </c>
      <c r="J89" s="2040">
        <v>1</v>
      </c>
      <c r="K89" s="2038">
        <v>1</v>
      </c>
      <c r="L89" s="2038">
        <v>150</v>
      </c>
      <c r="M89" s="2038">
        <v>2</v>
      </c>
      <c r="N89" s="2039">
        <f>K89*L89*M89</f>
        <v>300</v>
      </c>
      <c r="O89" s="2041">
        <f>-N89+I89</f>
        <v>1243.79</v>
      </c>
      <c r="P89" s="2042">
        <f t="shared" si="49"/>
        <v>4.1459666666666664</v>
      </c>
      <c r="Q89" s="2040"/>
      <c r="R89" s="2039">
        <f>+I89*J89</f>
        <v>1543.79</v>
      </c>
      <c r="S89" s="2011"/>
      <c r="T89" s="2038">
        <v>1</v>
      </c>
      <c r="U89" s="2038">
        <v>150</v>
      </c>
      <c r="V89" s="2038">
        <v>6</v>
      </c>
      <c r="W89" s="2039">
        <f>T89*U89*V89</f>
        <v>900</v>
      </c>
      <c r="X89" s="2043">
        <v>1</v>
      </c>
      <c r="Y89" s="2043">
        <v>150</v>
      </c>
      <c r="Z89" s="2043">
        <v>6</v>
      </c>
      <c r="AA89" s="2039">
        <f>X89*Y89*Z89</f>
        <v>900</v>
      </c>
      <c r="AB89" s="2041">
        <f t="shared" ref="AB89:AB103" si="52">-AA89+W89</f>
        <v>0</v>
      </c>
      <c r="AC89" s="2042">
        <f t="shared" ref="AC89:AC120" si="53">AB89/AA89</f>
        <v>0</v>
      </c>
      <c r="AD89" s="2100"/>
      <c r="AE89" s="2040">
        <v>1</v>
      </c>
      <c r="AF89" s="2045">
        <f>+W89*AE89</f>
        <v>900</v>
      </c>
      <c r="AG89" s="2039">
        <f>+I89+W89</f>
        <v>2443.79</v>
      </c>
      <c r="AH89" s="2040">
        <v>1</v>
      </c>
      <c r="AI89" s="2045">
        <f>AG89*AH89</f>
        <v>2443.79</v>
      </c>
      <c r="AJ89" s="2072">
        <v>1364</v>
      </c>
      <c r="AK89" s="2048">
        <f t="shared" ref="AK89:AK92" si="54">AJ89/AG89</f>
        <v>0.55814943182515686</v>
      </c>
      <c r="AL89" s="2115" t="s">
        <v>1272</v>
      </c>
      <c r="AM89" s="2050" t="s">
        <v>1273</v>
      </c>
    </row>
    <row r="90" spans="1:39" s="2051" customFormat="1" ht="28.5" customHeight="1">
      <c r="A90" s="2264" t="e">
        <f>+#REF!</f>
        <v>#REF!</v>
      </c>
      <c r="B90" s="2264" t="s">
        <v>1274</v>
      </c>
      <c r="C90" s="2115" t="s">
        <v>1275</v>
      </c>
      <c r="D90" s="2176" t="s">
        <v>33</v>
      </c>
      <c r="E90" s="2200"/>
      <c r="F90" s="2038">
        <v>1</v>
      </c>
      <c r="G90" s="2038">
        <f>200</f>
        <v>200</v>
      </c>
      <c r="H90" s="2038">
        <f>920/200</f>
        <v>4.5999999999999996</v>
      </c>
      <c r="I90" s="2039">
        <f>F90*G90*H90</f>
        <v>919.99999999999989</v>
      </c>
      <c r="J90" s="2040">
        <v>1</v>
      </c>
      <c r="K90" s="2038">
        <v>1</v>
      </c>
      <c r="L90" s="2038">
        <v>400</v>
      </c>
      <c r="M90" s="2038">
        <v>1</v>
      </c>
      <c r="N90" s="2039">
        <f>K90*L90*M90</f>
        <v>400</v>
      </c>
      <c r="O90" s="2041">
        <f>-N90+I90</f>
        <v>519.99999999999989</v>
      </c>
      <c r="P90" s="2042">
        <f t="shared" si="49"/>
        <v>1.2999999999999998</v>
      </c>
      <c r="Q90" s="2040"/>
      <c r="R90" s="2039">
        <f>+I90*J90</f>
        <v>919.99999999999989</v>
      </c>
      <c r="S90" s="2011"/>
      <c r="T90" s="2038">
        <v>1</v>
      </c>
      <c r="U90" s="2038">
        <v>400</v>
      </c>
      <c r="V90" s="2038">
        <v>5</v>
      </c>
      <c r="W90" s="2039">
        <f>T90*U90*V90</f>
        <v>2000</v>
      </c>
      <c r="X90" s="2043">
        <v>1</v>
      </c>
      <c r="Y90" s="2043">
        <v>400</v>
      </c>
      <c r="Z90" s="2043">
        <v>5</v>
      </c>
      <c r="AA90" s="2039">
        <f>X90*Y90*Z90</f>
        <v>2000</v>
      </c>
      <c r="AB90" s="2041">
        <f t="shared" si="52"/>
        <v>0</v>
      </c>
      <c r="AC90" s="2042">
        <f t="shared" si="53"/>
        <v>0</v>
      </c>
      <c r="AD90" s="2100"/>
      <c r="AE90" s="2040">
        <v>1</v>
      </c>
      <c r="AF90" s="2045">
        <f>+W90*AE90</f>
        <v>2000</v>
      </c>
      <c r="AG90" s="2039">
        <f>+I90+W90</f>
        <v>2920</v>
      </c>
      <c r="AH90" s="2040">
        <v>1</v>
      </c>
      <c r="AI90" s="2045">
        <f>AG90*AH90</f>
        <v>2920</v>
      </c>
      <c r="AJ90" s="2072">
        <v>720</v>
      </c>
      <c r="AK90" s="2048">
        <f t="shared" si="54"/>
        <v>0.24657534246575341</v>
      </c>
      <c r="AL90" s="2115" t="s">
        <v>1276</v>
      </c>
      <c r="AM90" s="2050" t="s">
        <v>1277</v>
      </c>
    </row>
    <row r="91" spans="1:39" s="2036" customFormat="1" ht="30.75" customHeight="1">
      <c r="A91" s="2265" t="e">
        <f>+#REF!</f>
        <v>#REF!</v>
      </c>
      <c r="B91" s="2265" t="s">
        <v>1278</v>
      </c>
      <c r="C91" s="2266" t="s">
        <v>1279</v>
      </c>
      <c r="D91" s="2195" t="s">
        <v>33</v>
      </c>
      <c r="E91" s="2196"/>
      <c r="F91" s="2022">
        <v>1</v>
      </c>
      <c r="G91" s="2022">
        <f>3287.38/7</f>
        <v>469.62571428571431</v>
      </c>
      <c r="H91" s="2022">
        <v>7</v>
      </c>
      <c r="I91" s="2024">
        <f>F91*G91*H91</f>
        <v>3287.38</v>
      </c>
      <c r="J91" s="2025">
        <v>0.35</v>
      </c>
      <c r="K91" s="2022">
        <v>1</v>
      </c>
      <c r="L91" s="2022">
        <v>600</v>
      </c>
      <c r="M91" s="2022">
        <v>7</v>
      </c>
      <c r="N91" s="2024">
        <f>K91*L91*M91</f>
        <v>4200</v>
      </c>
      <c r="O91" s="2026">
        <f>-N91+I91</f>
        <v>-912.61999999999989</v>
      </c>
      <c r="P91" s="2027">
        <f t="shared" si="49"/>
        <v>-0.21729047619047617</v>
      </c>
      <c r="Q91" s="2025"/>
      <c r="R91" s="2024">
        <f>+I91*J91</f>
        <v>1150.5829999999999</v>
      </c>
      <c r="S91" s="2011"/>
      <c r="T91" s="2022">
        <v>1</v>
      </c>
      <c r="U91" s="2022">
        <v>600</v>
      </c>
      <c r="V91" s="2022">
        <v>12</v>
      </c>
      <c r="W91" s="2024">
        <f>T91*U91*V91</f>
        <v>7200</v>
      </c>
      <c r="X91" s="2029">
        <v>1</v>
      </c>
      <c r="Y91" s="2029">
        <v>600</v>
      </c>
      <c r="Z91" s="2029">
        <v>12</v>
      </c>
      <c r="AA91" s="2024">
        <f>X91*Y91*Z91</f>
        <v>7200</v>
      </c>
      <c r="AB91" s="2026">
        <f t="shared" si="52"/>
        <v>0</v>
      </c>
      <c r="AC91" s="2027">
        <f t="shared" si="53"/>
        <v>0</v>
      </c>
      <c r="AD91" s="2052"/>
      <c r="AE91" s="2025">
        <v>0.35</v>
      </c>
      <c r="AF91" s="2031">
        <f>+W91*AE91</f>
        <v>2520</v>
      </c>
      <c r="AG91" s="2024">
        <f>+I91+W91</f>
        <v>10487.380000000001</v>
      </c>
      <c r="AH91" s="2025">
        <v>0.35</v>
      </c>
      <c r="AI91" s="2031">
        <f>AG91*AH91</f>
        <v>3670.5830000000001</v>
      </c>
      <c r="AJ91" s="2199">
        <v>3287</v>
      </c>
      <c r="AK91" s="2034">
        <f t="shared" si="54"/>
        <v>0.31342432523661767</v>
      </c>
      <c r="AL91" s="2035" t="s">
        <v>1280</v>
      </c>
      <c r="AM91" s="2102" t="s">
        <v>1281</v>
      </c>
    </row>
    <row r="92" spans="1:39" s="2208" customFormat="1" ht="21.75" customHeight="1">
      <c r="A92" s="2202"/>
      <c r="B92" s="2267"/>
      <c r="C92" s="2267"/>
      <c r="D92" s="2268"/>
      <c r="E92" s="2124" t="s">
        <v>47</v>
      </c>
      <c r="F92" s="2081"/>
      <c r="G92" s="2081"/>
      <c r="H92" s="2081"/>
      <c r="I92" s="2082">
        <f>SUM(I89:I91)</f>
        <v>5751.17</v>
      </c>
      <c r="J92" s="2083"/>
      <c r="K92" s="2124"/>
      <c r="L92" s="2124"/>
      <c r="M92" s="2124"/>
      <c r="N92" s="2083">
        <f>SUM(N89:N91)</f>
        <v>4900</v>
      </c>
      <c r="O92" s="2084">
        <f>SUM(O89:O91)</f>
        <v>851.17000000000007</v>
      </c>
      <c r="P92" s="2085">
        <f t="shared" si="49"/>
        <v>0.17370816326530614</v>
      </c>
      <c r="Q92" s="2125"/>
      <c r="R92" s="2083">
        <f>SUM(R89:R91)</f>
        <v>3614.3729999999996</v>
      </c>
      <c r="S92" s="2086"/>
      <c r="T92" s="2082"/>
      <c r="U92" s="2082"/>
      <c r="V92" s="2082"/>
      <c r="W92" s="2082">
        <f>SUM(W89:W91)</f>
        <v>10100</v>
      </c>
      <c r="X92" s="2087"/>
      <c r="Y92" s="2087"/>
      <c r="Z92" s="2087"/>
      <c r="AA92" s="2088">
        <f>SUM(AA89:AA91)</f>
        <v>10100</v>
      </c>
      <c r="AB92" s="2089">
        <f>SUM(AB89:AB91)</f>
        <v>0</v>
      </c>
      <c r="AC92" s="2090">
        <f t="shared" si="53"/>
        <v>0</v>
      </c>
      <c r="AD92" s="2126"/>
      <c r="AE92" s="2083"/>
      <c r="AF92" s="2083">
        <f>SUM(AF89:AF91)</f>
        <v>5420</v>
      </c>
      <c r="AG92" s="2083">
        <f>+I92+W92</f>
        <v>15851.17</v>
      </c>
      <c r="AH92" s="2083"/>
      <c r="AI92" s="2092">
        <f>SUM(AI89:AI91)</f>
        <v>9034.3729999999996</v>
      </c>
      <c r="AJ92" s="2093">
        <f>SUM(AJ89:AJ91)</f>
        <v>5371</v>
      </c>
      <c r="AK92" s="2094">
        <f t="shared" si="54"/>
        <v>0.33883934119689585</v>
      </c>
      <c r="AL92" s="2095" t="s">
        <v>1130</v>
      </c>
      <c r="AM92" s="2104"/>
    </row>
    <row r="93" spans="1:39" s="2223" customFormat="1" ht="46.5" customHeight="1">
      <c r="A93" s="2209" t="s">
        <v>255</v>
      </c>
      <c r="B93" s="2210"/>
      <c r="C93" s="2210"/>
      <c r="D93" s="2210"/>
      <c r="E93" s="2210"/>
      <c r="F93" s="2211"/>
      <c r="G93" s="2211"/>
      <c r="H93" s="2211"/>
      <c r="I93" s="2211"/>
      <c r="J93" s="2210"/>
      <c r="K93" s="2210"/>
      <c r="L93" s="2210"/>
      <c r="M93" s="2210"/>
      <c r="N93" s="2210"/>
      <c r="O93" s="2212"/>
      <c r="P93" s="2213"/>
      <c r="Q93" s="2210"/>
      <c r="R93" s="2210"/>
      <c r="S93" s="2214"/>
      <c r="T93" s="2211"/>
      <c r="U93" s="2211"/>
      <c r="V93" s="2211"/>
      <c r="W93" s="2211"/>
      <c r="X93" s="2216"/>
      <c r="Y93" s="2216"/>
      <c r="Z93" s="2216"/>
      <c r="AA93" s="2217"/>
      <c r="AB93" s="2218"/>
      <c r="AC93" s="2219"/>
      <c r="AD93" s="2220"/>
      <c r="AE93" s="2210"/>
      <c r="AF93" s="2210"/>
      <c r="AG93" s="2210"/>
      <c r="AH93" s="2210"/>
      <c r="AI93" s="2210"/>
      <c r="AJ93" s="2212"/>
      <c r="AK93" s="2221"/>
      <c r="AL93" s="2222"/>
      <c r="AM93" s="2172"/>
    </row>
    <row r="94" spans="1:39" s="2105" customFormat="1" ht="33" customHeight="1">
      <c r="A94" s="2224"/>
      <c r="B94" s="2224" t="s">
        <v>1282</v>
      </c>
      <c r="C94" s="2057" t="s">
        <v>1283</v>
      </c>
      <c r="D94" s="1999" t="s">
        <v>40</v>
      </c>
      <c r="E94" s="2116"/>
      <c r="F94" s="2002">
        <v>1</v>
      </c>
      <c r="G94" s="2002">
        <f>6920/3</f>
        <v>2306.6666666666665</v>
      </c>
      <c r="H94" s="2002">
        <v>3</v>
      </c>
      <c r="I94" s="2003">
        <f t="shared" ref="I94:I103" si="55">F94*G94*H94</f>
        <v>6920</v>
      </c>
      <c r="J94" s="2004">
        <v>1</v>
      </c>
      <c r="K94" s="1999">
        <v>1</v>
      </c>
      <c r="L94" s="1999">
        <v>2300</v>
      </c>
      <c r="M94" s="1999">
        <v>3</v>
      </c>
      <c r="N94" s="2007">
        <f>K94*L94*M94</f>
        <v>6900</v>
      </c>
      <c r="O94" s="2008">
        <f t="shared" ref="O94:O103" si="56">-N94+I94</f>
        <v>20</v>
      </c>
      <c r="P94" s="2009">
        <f t="shared" si="49"/>
        <v>2.8985507246376812E-3</v>
      </c>
      <c r="Q94" s="2004"/>
      <c r="R94" s="2007">
        <f t="shared" ref="R94:R103" si="57">+I94*J94</f>
        <v>6920</v>
      </c>
      <c r="S94" s="2011"/>
      <c r="T94" s="2002">
        <v>1</v>
      </c>
      <c r="U94" s="2002">
        <v>2300</v>
      </c>
      <c r="V94" s="2002">
        <v>8</v>
      </c>
      <c r="W94" s="2003">
        <f>T94*U94*V94</f>
        <v>18400</v>
      </c>
      <c r="X94" s="2060">
        <v>1</v>
      </c>
      <c r="Y94" s="2060">
        <v>2300</v>
      </c>
      <c r="Z94" s="2060">
        <v>8</v>
      </c>
      <c r="AA94" s="2007">
        <f>X94*Y94*Z94</f>
        <v>18400</v>
      </c>
      <c r="AB94" s="2008">
        <f t="shared" si="52"/>
        <v>0</v>
      </c>
      <c r="AC94" s="2009">
        <f t="shared" si="53"/>
        <v>0</v>
      </c>
      <c r="AD94" s="2054"/>
      <c r="AE94" s="2004">
        <v>1</v>
      </c>
      <c r="AF94" s="2014">
        <f>+W94*AE94</f>
        <v>18400</v>
      </c>
      <c r="AG94" s="2007">
        <f t="shared" ref="AG94:AG103" si="58">I94+W94</f>
        <v>25320</v>
      </c>
      <c r="AH94" s="2004">
        <v>1</v>
      </c>
      <c r="AI94" s="2014">
        <f>AG94*AH94</f>
        <v>25320</v>
      </c>
      <c r="AJ94" s="2262">
        <v>6501</v>
      </c>
      <c r="AK94" s="2017">
        <f t="shared" ref="AK94:AK104" si="59">AJ94/AG94</f>
        <v>0.25675355450236964</v>
      </c>
      <c r="AL94" s="2057" t="s">
        <v>1284</v>
      </c>
      <c r="AM94" s="2107"/>
    </row>
    <row r="95" spans="1:39" s="2105" customFormat="1" ht="65.25" customHeight="1">
      <c r="A95" s="2224"/>
      <c r="B95" s="2224" t="s">
        <v>1285</v>
      </c>
      <c r="C95" s="2057" t="s">
        <v>1286</v>
      </c>
      <c r="D95" s="1999" t="s">
        <v>40</v>
      </c>
      <c r="E95" s="2116"/>
      <c r="F95" s="2002">
        <v>1</v>
      </c>
      <c r="G95" s="2002">
        <f>1495/12</f>
        <v>124.58333333333333</v>
      </c>
      <c r="H95" s="2002">
        <v>12</v>
      </c>
      <c r="I95" s="2003">
        <f t="shared" si="55"/>
        <v>1495</v>
      </c>
      <c r="J95" s="2004">
        <v>1</v>
      </c>
      <c r="K95" s="1999">
        <v>1</v>
      </c>
      <c r="L95" s="1999">
        <v>170</v>
      </c>
      <c r="M95" s="1999">
        <v>12</v>
      </c>
      <c r="N95" s="2007">
        <f t="shared" ref="N95:N103" si="60">K95*L95*M95</f>
        <v>2040</v>
      </c>
      <c r="O95" s="2008">
        <f t="shared" si="56"/>
        <v>-545</v>
      </c>
      <c r="P95" s="2009">
        <f t="shared" si="49"/>
        <v>-0.26715686274509803</v>
      </c>
      <c r="Q95" s="2004"/>
      <c r="R95" s="2007">
        <f t="shared" si="57"/>
        <v>1495</v>
      </c>
      <c r="S95" s="2011"/>
      <c r="T95" s="2002">
        <v>1</v>
      </c>
      <c r="U95" s="2002">
        <v>165</v>
      </c>
      <c r="V95" s="2002">
        <v>12</v>
      </c>
      <c r="W95" s="2003">
        <f t="shared" ref="W95:W103" si="61">T95*U95*V95</f>
        <v>1980</v>
      </c>
      <c r="X95" s="2060">
        <v>1</v>
      </c>
      <c r="Y95" s="2060">
        <v>165</v>
      </c>
      <c r="Z95" s="2060">
        <v>12</v>
      </c>
      <c r="AA95" s="2007">
        <f t="shared" ref="AA95:AA103" si="62">X95*Y95*Z95</f>
        <v>1980</v>
      </c>
      <c r="AB95" s="2008">
        <f t="shared" si="52"/>
        <v>0</v>
      </c>
      <c r="AC95" s="2009">
        <f t="shared" si="53"/>
        <v>0</v>
      </c>
      <c r="AD95" s="2054"/>
      <c r="AE95" s="2004">
        <v>1</v>
      </c>
      <c r="AF95" s="2014">
        <f t="shared" ref="AF95:AF103" si="63">+W95*AE95</f>
        <v>1980</v>
      </c>
      <c r="AG95" s="2007">
        <f t="shared" si="58"/>
        <v>3475</v>
      </c>
      <c r="AH95" s="2004">
        <v>1</v>
      </c>
      <c r="AI95" s="2014">
        <f t="shared" ref="AI95:AI103" si="64">AG95*AH95</f>
        <v>3475</v>
      </c>
      <c r="AJ95" s="2262">
        <v>1295</v>
      </c>
      <c r="AK95" s="2017">
        <f t="shared" si="59"/>
        <v>0.37266187050359711</v>
      </c>
      <c r="AL95" s="2057" t="s">
        <v>1287</v>
      </c>
      <c r="AM95" s="2107"/>
    </row>
    <row r="96" spans="1:39" s="2143" customFormat="1" ht="56.25">
      <c r="A96" s="2240"/>
      <c r="B96" s="2240" t="s">
        <v>1288</v>
      </c>
      <c r="C96" s="2115" t="s">
        <v>1289</v>
      </c>
      <c r="D96" s="2038" t="s">
        <v>40</v>
      </c>
      <c r="E96" s="2269"/>
      <c r="F96" s="2038">
        <v>1</v>
      </c>
      <c r="G96" s="2038">
        <f>3138.02/4</f>
        <v>784.505</v>
      </c>
      <c r="H96" s="2038">
        <v>4</v>
      </c>
      <c r="I96" s="2039">
        <f t="shared" si="55"/>
        <v>3138.02</v>
      </c>
      <c r="J96" s="2040">
        <v>1</v>
      </c>
      <c r="K96" s="2038">
        <v>1</v>
      </c>
      <c r="L96" s="2038">
        <v>550</v>
      </c>
      <c r="M96" s="2038">
        <v>4</v>
      </c>
      <c r="N96" s="2039">
        <f t="shared" si="60"/>
        <v>2200</v>
      </c>
      <c r="O96" s="2041">
        <f t="shared" si="56"/>
        <v>938.02</v>
      </c>
      <c r="P96" s="2042">
        <f t="shared" si="49"/>
        <v>0.42637272727272729</v>
      </c>
      <c r="Q96" s="2040"/>
      <c r="R96" s="2039">
        <f t="shared" si="57"/>
        <v>3138.02</v>
      </c>
      <c r="S96" s="2011"/>
      <c r="T96" s="2038">
        <v>1</v>
      </c>
      <c r="U96" s="2038">
        <v>487</v>
      </c>
      <c r="V96" s="2038">
        <v>10</v>
      </c>
      <c r="W96" s="2128">
        <f t="shared" si="61"/>
        <v>4870</v>
      </c>
      <c r="X96" s="2043">
        <v>1</v>
      </c>
      <c r="Y96" s="2043">
        <v>550</v>
      </c>
      <c r="Z96" s="2043">
        <v>10</v>
      </c>
      <c r="AA96" s="2039">
        <f t="shared" si="62"/>
        <v>5500</v>
      </c>
      <c r="AB96" s="2041">
        <f t="shared" si="52"/>
        <v>-630</v>
      </c>
      <c r="AC96" s="2042">
        <f t="shared" si="53"/>
        <v>-0.11454545454545455</v>
      </c>
      <c r="AD96" s="2100"/>
      <c r="AE96" s="2040">
        <v>1</v>
      </c>
      <c r="AF96" s="2045">
        <f t="shared" si="63"/>
        <v>4870</v>
      </c>
      <c r="AG96" s="2039">
        <f t="shared" si="58"/>
        <v>8008.02</v>
      </c>
      <c r="AH96" s="2040">
        <v>1</v>
      </c>
      <c r="AI96" s="2045">
        <f t="shared" si="64"/>
        <v>8008.02</v>
      </c>
      <c r="AJ96" s="2072">
        <v>2642</v>
      </c>
      <c r="AK96" s="2048">
        <f t="shared" si="59"/>
        <v>0.3299192559459142</v>
      </c>
      <c r="AL96" s="2115" t="s">
        <v>1290</v>
      </c>
      <c r="AM96" s="2038" t="s">
        <v>1291</v>
      </c>
    </row>
    <row r="97" spans="1:39" s="2105" customFormat="1" ht="33.75">
      <c r="A97" s="2224"/>
      <c r="B97" s="2224" t="s">
        <v>1292</v>
      </c>
      <c r="C97" s="2057" t="s">
        <v>1293</v>
      </c>
      <c r="D97" s="1999" t="s">
        <v>40</v>
      </c>
      <c r="E97" s="2116"/>
      <c r="F97" s="2002">
        <f>(2799.27)/1.3/12</f>
        <v>179.4403846153846</v>
      </c>
      <c r="G97" s="2002">
        <v>1.3</v>
      </c>
      <c r="H97" s="2002">
        <v>12</v>
      </c>
      <c r="I97" s="2003">
        <f t="shared" si="55"/>
        <v>2799.2699999999995</v>
      </c>
      <c r="J97" s="2004">
        <v>1</v>
      </c>
      <c r="K97" s="1999">
        <v>350</v>
      </c>
      <c r="L97" s="1999">
        <v>1.3</v>
      </c>
      <c r="M97" s="1999">
        <v>12</v>
      </c>
      <c r="N97" s="2007">
        <f t="shared" si="60"/>
        <v>5460</v>
      </c>
      <c r="O97" s="2008">
        <f t="shared" si="56"/>
        <v>-2660.7300000000005</v>
      </c>
      <c r="P97" s="2009">
        <f t="shared" si="49"/>
        <v>-0.48731318681318692</v>
      </c>
      <c r="Q97" s="2004"/>
      <c r="R97" s="2007">
        <f t="shared" si="57"/>
        <v>2799.2699999999995</v>
      </c>
      <c r="S97" s="2011"/>
      <c r="T97" s="2002">
        <v>280</v>
      </c>
      <c r="U97" s="2002">
        <v>1.3</v>
      </c>
      <c r="V97" s="2002">
        <v>12</v>
      </c>
      <c r="W97" s="2082">
        <f t="shared" si="61"/>
        <v>4368</v>
      </c>
      <c r="X97" s="2060">
        <v>360</v>
      </c>
      <c r="Y97" s="2060">
        <v>1.3</v>
      </c>
      <c r="Z97" s="2060">
        <v>12</v>
      </c>
      <c r="AA97" s="2007">
        <f t="shared" si="62"/>
        <v>5616</v>
      </c>
      <c r="AB97" s="2008">
        <f t="shared" si="52"/>
        <v>-1248</v>
      </c>
      <c r="AC97" s="2009">
        <f t="shared" si="53"/>
        <v>-0.22222222222222221</v>
      </c>
      <c r="AD97" s="2054"/>
      <c r="AE97" s="2004">
        <v>1</v>
      </c>
      <c r="AF97" s="2014">
        <f t="shared" si="63"/>
        <v>4368</v>
      </c>
      <c r="AG97" s="2007">
        <f t="shared" si="58"/>
        <v>7167.2699999999995</v>
      </c>
      <c r="AH97" s="2004">
        <v>1</v>
      </c>
      <c r="AI97" s="2014">
        <f t="shared" si="64"/>
        <v>7167.2699999999995</v>
      </c>
      <c r="AJ97" s="2262">
        <v>2599</v>
      </c>
      <c r="AK97" s="2017">
        <f t="shared" si="59"/>
        <v>0.36262063519303728</v>
      </c>
      <c r="AL97" s="2057" t="s">
        <v>1294</v>
      </c>
      <c r="AM97" s="2107"/>
    </row>
    <row r="98" spans="1:39" s="2105" customFormat="1" ht="66.75" customHeight="1">
      <c r="A98" s="2224"/>
      <c r="B98" s="2224" t="s">
        <v>1295</v>
      </c>
      <c r="C98" s="2057" t="s">
        <v>1296</v>
      </c>
      <c r="D98" s="1999" t="s">
        <v>40</v>
      </c>
      <c r="E98" s="2116"/>
      <c r="F98" s="2002">
        <f>(3250)/1.3/12</f>
        <v>208.33333333333334</v>
      </c>
      <c r="G98" s="2002">
        <v>1.3</v>
      </c>
      <c r="H98" s="2002">
        <v>12</v>
      </c>
      <c r="I98" s="2003">
        <f t="shared" si="55"/>
        <v>3250.0000000000005</v>
      </c>
      <c r="J98" s="2004">
        <v>1</v>
      </c>
      <c r="K98" s="1999">
        <v>340</v>
      </c>
      <c r="L98" s="1999">
        <v>1.3</v>
      </c>
      <c r="M98" s="1999">
        <v>12</v>
      </c>
      <c r="N98" s="2007">
        <f t="shared" si="60"/>
        <v>5304</v>
      </c>
      <c r="O98" s="2008">
        <f t="shared" si="56"/>
        <v>-2053.9999999999995</v>
      </c>
      <c r="P98" s="2009">
        <f t="shared" si="49"/>
        <v>-0.38725490196078421</v>
      </c>
      <c r="Q98" s="2004"/>
      <c r="R98" s="2007">
        <f t="shared" si="57"/>
        <v>3250.0000000000005</v>
      </c>
      <c r="S98" s="2011"/>
      <c r="T98" s="2002">
        <f>(4836-2692.67)/1.3/12</f>
        <v>137.39294871794871</v>
      </c>
      <c r="U98" s="2002">
        <v>1.3</v>
      </c>
      <c r="V98" s="2002">
        <v>12</v>
      </c>
      <c r="W98" s="2003">
        <f t="shared" si="61"/>
        <v>2143.33</v>
      </c>
      <c r="X98" s="2060">
        <v>310</v>
      </c>
      <c r="Y98" s="2060">
        <v>1.3</v>
      </c>
      <c r="Z98" s="2060">
        <v>12</v>
      </c>
      <c r="AA98" s="2007">
        <f t="shared" si="62"/>
        <v>4836</v>
      </c>
      <c r="AB98" s="2008">
        <f t="shared" si="52"/>
        <v>-2692.67</v>
      </c>
      <c r="AC98" s="2009">
        <f t="shared" si="53"/>
        <v>-0.55679693961952026</v>
      </c>
      <c r="AD98" s="2054"/>
      <c r="AE98" s="2004">
        <v>1</v>
      </c>
      <c r="AF98" s="2014">
        <f t="shared" si="63"/>
        <v>2143.33</v>
      </c>
      <c r="AG98" s="2007">
        <f t="shared" si="58"/>
        <v>5393.33</v>
      </c>
      <c r="AH98" s="2004">
        <v>1</v>
      </c>
      <c r="AI98" s="2014">
        <f t="shared" si="64"/>
        <v>5393.33</v>
      </c>
      <c r="AJ98" s="2262">
        <v>2850</v>
      </c>
      <c r="AK98" s="2017">
        <f t="shared" si="59"/>
        <v>0.52843048728707498</v>
      </c>
      <c r="AL98" s="2057" t="s">
        <v>1297</v>
      </c>
      <c r="AM98" s="2107"/>
    </row>
    <row r="99" spans="1:39" s="2105" customFormat="1" ht="45.75" customHeight="1">
      <c r="A99" s="2224"/>
      <c r="B99" s="2224" t="s">
        <v>1298</v>
      </c>
      <c r="C99" s="2057" t="s">
        <v>1299</v>
      </c>
      <c r="D99" s="1999" t="s">
        <v>40</v>
      </c>
      <c r="E99" s="2116"/>
      <c r="F99" s="2002">
        <f>(940)/1.3/12</f>
        <v>60.256410256410255</v>
      </c>
      <c r="G99" s="2002">
        <v>1.3</v>
      </c>
      <c r="H99" s="2002">
        <v>12</v>
      </c>
      <c r="I99" s="2003">
        <f t="shared" si="55"/>
        <v>940</v>
      </c>
      <c r="J99" s="2004">
        <v>1</v>
      </c>
      <c r="K99" s="1999">
        <v>74</v>
      </c>
      <c r="L99" s="1999">
        <v>1.3</v>
      </c>
      <c r="M99" s="1999">
        <v>12</v>
      </c>
      <c r="N99" s="2007">
        <f t="shared" si="60"/>
        <v>1154.4000000000001</v>
      </c>
      <c r="O99" s="2008">
        <f t="shared" si="56"/>
        <v>-214.40000000000009</v>
      </c>
      <c r="P99" s="2009">
        <f t="shared" si="49"/>
        <v>-0.18572418572418578</v>
      </c>
      <c r="Q99" s="2004"/>
      <c r="R99" s="2007">
        <f t="shared" si="57"/>
        <v>940</v>
      </c>
      <c r="S99" s="2011"/>
      <c r="T99" s="2002">
        <v>100</v>
      </c>
      <c r="U99" s="2002">
        <v>1.3</v>
      </c>
      <c r="V99" s="2002">
        <v>12</v>
      </c>
      <c r="W99" s="2003">
        <f t="shared" si="61"/>
        <v>1560</v>
      </c>
      <c r="X99" s="2060">
        <v>100</v>
      </c>
      <c r="Y99" s="2060">
        <v>1.3</v>
      </c>
      <c r="Z99" s="2060">
        <v>12</v>
      </c>
      <c r="AA99" s="2007">
        <f t="shared" si="62"/>
        <v>1560</v>
      </c>
      <c r="AB99" s="2008">
        <f t="shared" si="52"/>
        <v>0</v>
      </c>
      <c r="AC99" s="2009">
        <f t="shared" si="53"/>
        <v>0</v>
      </c>
      <c r="AD99" s="2054"/>
      <c r="AE99" s="2004">
        <v>1</v>
      </c>
      <c r="AF99" s="2014">
        <f t="shared" si="63"/>
        <v>1560</v>
      </c>
      <c r="AG99" s="2007">
        <f t="shared" si="58"/>
        <v>2500</v>
      </c>
      <c r="AH99" s="2004">
        <v>1</v>
      </c>
      <c r="AI99" s="2014">
        <f t="shared" si="64"/>
        <v>2500</v>
      </c>
      <c r="AJ99" s="2262">
        <v>890</v>
      </c>
      <c r="AK99" s="2017">
        <f t="shared" si="59"/>
        <v>0.35599999999999998</v>
      </c>
      <c r="AL99" s="2057" t="s">
        <v>1300</v>
      </c>
      <c r="AM99" s="2107"/>
    </row>
    <row r="100" spans="1:39" s="2105" customFormat="1" ht="67.5">
      <c r="A100" s="2224"/>
      <c r="B100" s="2224" t="s">
        <v>1301</v>
      </c>
      <c r="C100" s="2057" t="s">
        <v>1302</v>
      </c>
      <c r="D100" s="1999" t="s">
        <v>40</v>
      </c>
      <c r="E100" s="2116"/>
      <c r="F100" s="2002">
        <v>1</v>
      </c>
      <c r="G100" s="2002">
        <v>1456.12</v>
      </c>
      <c r="H100" s="2002">
        <v>1</v>
      </c>
      <c r="I100" s="2003">
        <f t="shared" si="55"/>
        <v>1456.12</v>
      </c>
      <c r="J100" s="2004">
        <v>1</v>
      </c>
      <c r="K100" s="1999">
        <v>1</v>
      </c>
      <c r="L100" s="1999">
        <v>1500</v>
      </c>
      <c r="M100" s="1999">
        <v>1</v>
      </c>
      <c r="N100" s="2007">
        <f t="shared" si="60"/>
        <v>1500</v>
      </c>
      <c r="O100" s="2008">
        <f t="shared" si="56"/>
        <v>-43.880000000000109</v>
      </c>
      <c r="P100" s="2009">
        <f t="shared" si="49"/>
        <v>-2.9253333333333405E-2</v>
      </c>
      <c r="Q100" s="2004"/>
      <c r="R100" s="2007">
        <f t="shared" si="57"/>
        <v>1456.12</v>
      </c>
      <c r="S100" s="2011"/>
      <c r="T100" s="2002">
        <v>1</v>
      </c>
      <c r="U100" s="2002">
        <v>1500</v>
      </c>
      <c r="V100" s="2002">
        <v>1</v>
      </c>
      <c r="W100" s="2003">
        <f t="shared" si="61"/>
        <v>1500</v>
      </c>
      <c r="X100" s="2060">
        <v>1</v>
      </c>
      <c r="Y100" s="2060">
        <v>1500</v>
      </c>
      <c r="Z100" s="2060">
        <v>1</v>
      </c>
      <c r="AA100" s="2007">
        <f t="shared" si="62"/>
        <v>1500</v>
      </c>
      <c r="AB100" s="2008">
        <f t="shared" si="52"/>
        <v>0</v>
      </c>
      <c r="AC100" s="2009">
        <f t="shared" si="53"/>
        <v>0</v>
      </c>
      <c r="AD100" s="2054"/>
      <c r="AE100" s="2004">
        <v>1</v>
      </c>
      <c r="AF100" s="2014">
        <f t="shared" si="63"/>
        <v>1500</v>
      </c>
      <c r="AG100" s="2007">
        <f t="shared" si="58"/>
        <v>2956.12</v>
      </c>
      <c r="AH100" s="2004">
        <v>1</v>
      </c>
      <c r="AI100" s="2014">
        <f t="shared" si="64"/>
        <v>2956.12</v>
      </c>
      <c r="AJ100" s="2262">
        <v>1456</v>
      </c>
      <c r="AK100" s="2017">
        <f t="shared" si="59"/>
        <v>0.49253751539179735</v>
      </c>
      <c r="AL100" s="2057" t="s">
        <v>1303</v>
      </c>
      <c r="AM100" s="2107"/>
    </row>
    <row r="101" spans="1:39" s="2105" customFormat="1" ht="45">
      <c r="A101" s="2224"/>
      <c r="B101" s="2224" t="s">
        <v>1304</v>
      </c>
      <c r="C101" s="2057" t="s">
        <v>1305</v>
      </c>
      <c r="D101" s="1999" t="s">
        <v>40</v>
      </c>
      <c r="E101" s="2116"/>
      <c r="F101" s="2002">
        <v>1</v>
      </c>
      <c r="G101" s="2002">
        <v>1338.5</v>
      </c>
      <c r="H101" s="2002">
        <v>1</v>
      </c>
      <c r="I101" s="2003">
        <f t="shared" si="55"/>
        <v>1338.5</v>
      </c>
      <c r="J101" s="2004">
        <v>1</v>
      </c>
      <c r="K101" s="1999">
        <v>1</v>
      </c>
      <c r="L101" s="1999">
        <v>965.56</v>
      </c>
      <c r="M101" s="1999">
        <v>1</v>
      </c>
      <c r="N101" s="2007">
        <f t="shared" si="60"/>
        <v>965.56</v>
      </c>
      <c r="O101" s="2008">
        <f t="shared" si="56"/>
        <v>372.94000000000005</v>
      </c>
      <c r="P101" s="2009">
        <f t="shared" si="49"/>
        <v>0.38624218070342609</v>
      </c>
      <c r="Q101" s="2004"/>
      <c r="R101" s="2007">
        <f t="shared" si="57"/>
        <v>1338.5</v>
      </c>
      <c r="S101" s="2011"/>
      <c r="T101" s="2002">
        <v>2</v>
      </c>
      <c r="U101" s="2002">
        <v>500</v>
      </c>
      <c r="V101" s="2002">
        <v>2</v>
      </c>
      <c r="W101" s="2082">
        <f t="shared" si="61"/>
        <v>2000</v>
      </c>
      <c r="X101" s="2060">
        <v>2</v>
      </c>
      <c r="Y101" s="2060">
        <f>580</f>
        <v>580</v>
      </c>
      <c r="Z101" s="2060">
        <v>2</v>
      </c>
      <c r="AA101" s="2007">
        <f t="shared" si="62"/>
        <v>2320</v>
      </c>
      <c r="AB101" s="2008">
        <f t="shared" si="52"/>
        <v>-320</v>
      </c>
      <c r="AC101" s="2009">
        <f t="shared" si="53"/>
        <v>-0.13793103448275862</v>
      </c>
      <c r="AD101" s="2054"/>
      <c r="AE101" s="2004">
        <v>1</v>
      </c>
      <c r="AF101" s="2014">
        <f t="shared" si="63"/>
        <v>2000</v>
      </c>
      <c r="AG101" s="2007">
        <f t="shared" si="58"/>
        <v>3338.5</v>
      </c>
      <c r="AH101" s="2004">
        <v>1</v>
      </c>
      <c r="AI101" s="2014">
        <f t="shared" si="64"/>
        <v>3338.5</v>
      </c>
      <c r="AJ101" s="2262">
        <v>547</v>
      </c>
      <c r="AK101" s="2017">
        <f t="shared" si="59"/>
        <v>0.16384603864010783</v>
      </c>
      <c r="AL101" s="2057" t="s">
        <v>1306</v>
      </c>
      <c r="AM101" s="2107"/>
    </row>
    <row r="102" spans="1:39" s="2105" customFormat="1" ht="45">
      <c r="A102" s="2224" t="e">
        <f>+#REF!</f>
        <v>#REF!</v>
      </c>
      <c r="B102" s="2224" t="s">
        <v>1307</v>
      </c>
      <c r="C102" s="2057" t="s">
        <v>1308</v>
      </c>
      <c r="D102" s="1999" t="s">
        <v>40</v>
      </c>
      <c r="E102" s="2116"/>
      <c r="F102" s="2002">
        <v>2</v>
      </c>
      <c r="G102" s="2002">
        <v>350</v>
      </c>
      <c r="H102" s="2020">
        <f>3586.52/350/2</f>
        <v>5.1235999999999997</v>
      </c>
      <c r="I102" s="2003">
        <f t="shared" si="55"/>
        <v>3586.52</v>
      </c>
      <c r="J102" s="2004">
        <v>1</v>
      </c>
      <c r="K102" s="1999">
        <v>2</v>
      </c>
      <c r="L102" s="1999">
        <v>350</v>
      </c>
      <c r="M102" s="1999">
        <v>1</v>
      </c>
      <c r="N102" s="2007">
        <f t="shared" si="60"/>
        <v>700</v>
      </c>
      <c r="O102" s="2008">
        <f t="shared" si="56"/>
        <v>2886.52</v>
      </c>
      <c r="P102" s="2009">
        <f t="shared" si="49"/>
        <v>4.1235999999999997</v>
      </c>
      <c r="Q102" s="2004"/>
      <c r="R102" s="2007">
        <f t="shared" si="57"/>
        <v>3586.52</v>
      </c>
      <c r="S102" s="2011"/>
      <c r="T102" s="2002">
        <v>4</v>
      </c>
      <c r="U102" s="2002">
        <v>900</v>
      </c>
      <c r="V102" s="2002">
        <v>1</v>
      </c>
      <c r="W102" s="2082">
        <f t="shared" si="61"/>
        <v>3600</v>
      </c>
      <c r="X102" s="2060">
        <v>4</v>
      </c>
      <c r="Y102" s="2060">
        <v>350</v>
      </c>
      <c r="Z102" s="2060">
        <v>1</v>
      </c>
      <c r="AA102" s="2007">
        <f t="shared" si="62"/>
        <v>1400</v>
      </c>
      <c r="AB102" s="2008">
        <f t="shared" si="52"/>
        <v>2200</v>
      </c>
      <c r="AC102" s="2009">
        <f t="shared" si="53"/>
        <v>1.5714285714285714</v>
      </c>
      <c r="AD102" s="2054"/>
      <c r="AE102" s="2004">
        <v>1</v>
      </c>
      <c r="AF102" s="2014">
        <f t="shared" si="63"/>
        <v>3600</v>
      </c>
      <c r="AG102" s="2007">
        <f t="shared" si="58"/>
        <v>7186.52</v>
      </c>
      <c r="AH102" s="2004">
        <v>1</v>
      </c>
      <c r="AI102" s="2014">
        <f t="shared" si="64"/>
        <v>7186.52</v>
      </c>
      <c r="AJ102" s="2262">
        <v>3273</v>
      </c>
      <c r="AK102" s="2017">
        <f t="shared" si="59"/>
        <v>0.45543601075346618</v>
      </c>
      <c r="AL102" s="2057" t="s">
        <v>1309</v>
      </c>
      <c r="AM102" s="2107"/>
    </row>
    <row r="103" spans="1:39" s="2105" customFormat="1" ht="57" customHeight="1">
      <c r="A103" s="2224" t="e">
        <f>+#REF!</f>
        <v>#REF!</v>
      </c>
      <c r="B103" s="2224" t="s">
        <v>1310</v>
      </c>
      <c r="C103" s="2057" t="s">
        <v>1311</v>
      </c>
      <c r="D103" s="1999" t="s">
        <v>40</v>
      </c>
      <c r="E103" s="2116"/>
      <c r="F103" s="2002">
        <v>2</v>
      </c>
      <c r="G103" s="2002">
        <f>916.33/2</f>
        <v>458.16500000000002</v>
      </c>
      <c r="H103" s="2002">
        <v>1</v>
      </c>
      <c r="I103" s="2003">
        <f t="shared" si="55"/>
        <v>916.33</v>
      </c>
      <c r="J103" s="2004">
        <v>1</v>
      </c>
      <c r="K103" s="1999">
        <v>2</v>
      </c>
      <c r="L103" s="1999">
        <v>1300</v>
      </c>
      <c r="M103" s="1999">
        <v>1</v>
      </c>
      <c r="N103" s="2007">
        <f t="shared" si="60"/>
        <v>2600</v>
      </c>
      <c r="O103" s="2008">
        <f t="shared" si="56"/>
        <v>-1683.67</v>
      </c>
      <c r="P103" s="2009">
        <f t="shared" si="49"/>
        <v>-0.6475653846153846</v>
      </c>
      <c r="Q103" s="2004"/>
      <c r="R103" s="2007">
        <f t="shared" si="57"/>
        <v>916.33</v>
      </c>
      <c r="S103" s="2011"/>
      <c r="T103" s="2002">
        <v>2</v>
      </c>
      <c r="U103" s="2002">
        <v>1300</v>
      </c>
      <c r="V103" s="2002">
        <v>1</v>
      </c>
      <c r="W103" s="2003">
        <f t="shared" si="61"/>
        <v>2600</v>
      </c>
      <c r="X103" s="2060">
        <v>2</v>
      </c>
      <c r="Y103" s="2060">
        <v>1300</v>
      </c>
      <c r="Z103" s="2060">
        <v>1</v>
      </c>
      <c r="AA103" s="2007">
        <f t="shared" si="62"/>
        <v>2600</v>
      </c>
      <c r="AB103" s="2008">
        <f t="shared" si="52"/>
        <v>0</v>
      </c>
      <c r="AC103" s="2009">
        <f t="shared" si="53"/>
        <v>0</v>
      </c>
      <c r="AD103" s="2054"/>
      <c r="AE103" s="2004">
        <v>1</v>
      </c>
      <c r="AF103" s="2014">
        <f t="shared" si="63"/>
        <v>2600</v>
      </c>
      <c r="AG103" s="2007">
        <f t="shared" si="58"/>
        <v>3516.33</v>
      </c>
      <c r="AH103" s="2004">
        <v>1</v>
      </c>
      <c r="AI103" s="2014">
        <f t="shared" si="64"/>
        <v>3516.33</v>
      </c>
      <c r="AJ103" s="2262">
        <v>916</v>
      </c>
      <c r="AK103" s="2017">
        <f t="shared" si="59"/>
        <v>0.26049887240389841</v>
      </c>
      <c r="AL103" s="2057" t="s">
        <v>1312</v>
      </c>
      <c r="AM103" s="2107"/>
    </row>
    <row r="104" spans="1:39" s="2208" customFormat="1" ht="19.5" customHeight="1">
      <c r="A104" s="2202"/>
      <c r="B104" s="2267"/>
      <c r="C104" s="2267"/>
      <c r="D104" s="2202"/>
      <c r="E104" s="2124" t="s">
        <v>47</v>
      </c>
      <c r="F104" s="2081"/>
      <c r="G104" s="2081"/>
      <c r="H104" s="2081"/>
      <c r="I104" s="2082">
        <f>SUM(I94:I103)</f>
        <v>25839.760000000002</v>
      </c>
      <c r="J104" s="2083"/>
      <c r="K104" s="2124"/>
      <c r="L104" s="2124"/>
      <c r="M104" s="2124"/>
      <c r="N104" s="2083">
        <f>SUM(N94:N103)</f>
        <v>28823.960000000003</v>
      </c>
      <c r="O104" s="2084">
        <f>SUM(O94:O103)</f>
        <v>-2984.2000000000012</v>
      </c>
      <c r="P104" s="2085">
        <f t="shared" si="49"/>
        <v>-0.10353192274760306</v>
      </c>
      <c r="Q104" s="2125"/>
      <c r="R104" s="2083">
        <f>SUM(R94:R103)</f>
        <v>25839.760000000002</v>
      </c>
      <c r="S104" s="2086"/>
      <c r="T104" s="2082"/>
      <c r="U104" s="2082"/>
      <c r="V104" s="2082"/>
      <c r="W104" s="2082">
        <f>SUM(W94:W103)</f>
        <v>43021.33</v>
      </c>
      <c r="X104" s="2087"/>
      <c r="Y104" s="2087"/>
      <c r="Z104" s="2087"/>
      <c r="AA104" s="2088">
        <f>SUM(AA94:AA103)</f>
        <v>45712</v>
      </c>
      <c r="AB104" s="2089">
        <f>SUM(AB94:AB103)</f>
        <v>-2690.67</v>
      </c>
      <c r="AC104" s="2090">
        <f t="shared" si="53"/>
        <v>-5.8861349317465873E-2</v>
      </c>
      <c r="AD104" s="2126"/>
      <c r="AE104" s="2083"/>
      <c r="AF104" s="2083">
        <f>SUM(AF94:AF103)</f>
        <v>43021.33</v>
      </c>
      <c r="AG104" s="2083">
        <f>SUM(AG94:AG103)</f>
        <v>68861.090000000011</v>
      </c>
      <c r="AH104" s="2083"/>
      <c r="AI104" s="2092">
        <f>SUM(AI94:AI103)</f>
        <v>68861.090000000011</v>
      </c>
      <c r="AJ104" s="2093">
        <f>SUM(AJ94:AJ103)</f>
        <v>22969</v>
      </c>
      <c r="AK104" s="2094">
        <f t="shared" si="59"/>
        <v>0.33355556817355048</v>
      </c>
      <c r="AL104" s="2095" t="s">
        <v>1130</v>
      </c>
      <c r="AM104" s="2104"/>
    </row>
    <row r="105" spans="1:39" s="2223" customFormat="1" ht="24" customHeight="1">
      <c r="A105" s="2209" t="s">
        <v>260</v>
      </c>
      <c r="B105" s="2210"/>
      <c r="C105" s="2210"/>
      <c r="D105" s="2210"/>
      <c r="E105" s="2210"/>
      <c r="F105" s="2211"/>
      <c r="G105" s="2211"/>
      <c r="H105" s="2211"/>
      <c r="I105" s="2211"/>
      <c r="J105" s="2210"/>
      <c r="K105" s="2210"/>
      <c r="L105" s="2210"/>
      <c r="M105" s="2210"/>
      <c r="N105" s="2210"/>
      <c r="O105" s="2212"/>
      <c r="P105" s="2213"/>
      <c r="Q105" s="2210"/>
      <c r="R105" s="2210"/>
      <c r="S105" s="2214"/>
      <c r="T105" s="2211"/>
      <c r="U105" s="2211"/>
      <c r="V105" s="2211"/>
      <c r="W105" s="2211"/>
      <c r="X105" s="2216"/>
      <c r="Y105" s="2216"/>
      <c r="Z105" s="2216"/>
      <c r="AA105" s="2217"/>
      <c r="AB105" s="2218"/>
      <c r="AC105" s="2219"/>
      <c r="AD105" s="2220"/>
      <c r="AE105" s="2210"/>
      <c r="AF105" s="2210"/>
      <c r="AG105" s="2210"/>
      <c r="AH105" s="2210"/>
      <c r="AI105" s="2210"/>
      <c r="AJ105" s="2212"/>
      <c r="AK105" s="2221"/>
      <c r="AL105" s="2222"/>
      <c r="AM105" s="2172"/>
    </row>
    <row r="106" spans="1:39" s="2105" customFormat="1" ht="22.5" customHeight="1">
      <c r="A106" s="2224"/>
      <c r="B106" s="2225"/>
      <c r="C106" s="2225"/>
      <c r="D106" s="2226"/>
      <c r="E106" s="2116"/>
      <c r="F106" s="2081"/>
      <c r="G106" s="2081"/>
      <c r="H106" s="2081"/>
      <c r="I106" s="2227"/>
      <c r="J106" s="2228"/>
      <c r="K106" s="2229"/>
      <c r="L106" s="2229"/>
      <c r="M106" s="2229"/>
      <c r="N106" s="2228"/>
      <c r="O106" s="2230"/>
      <c r="P106" s="2231"/>
      <c r="Q106" s="2228"/>
      <c r="R106" s="2228"/>
      <c r="S106" s="2233"/>
      <c r="T106" s="2227"/>
      <c r="U106" s="2227"/>
      <c r="V106" s="2227"/>
      <c r="W106" s="2227"/>
      <c r="X106" s="2234"/>
      <c r="Y106" s="2234"/>
      <c r="Z106" s="2234"/>
      <c r="AA106" s="2228"/>
      <c r="AB106" s="2230"/>
      <c r="AC106" s="2231"/>
      <c r="AD106" s="2270"/>
      <c r="AE106" s="2236"/>
      <c r="AF106" s="2236"/>
      <c r="AG106" s="2228"/>
      <c r="AH106" s="2228"/>
      <c r="AI106" s="2236"/>
      <c r="AJ106" s="2238"/>
      <c r="AK106" s="2239"/>
      <c r="AL106" s="2228"/>
      <c r="AM106" s="2107"/>
    </row>
    <row r="107" spans="1:39" s="2105" customFormat="1" ht="21.75" customHeight="1">
      <c r="A107" s="2224"/>
      <c r="B107" s="2225"/>
      <c r="C107" s="2225"/>
      <c r="D107" s="2226"/>
      <c r="E107" s="2116"/>
      <c r="F107" s="2081"/>
      <c r="G107" s="2081"/>
      <c r="H107" s="2081"/>
      <c r="I107" s="2227"/>
      <c r="J107" s="2228"/>
      <c r="K107" s="2229"/>
      <c r="L107" s="2229"/>
      <c r="M107" s="2229"/>
      <c r="N107" s="2228"/>
      <c r="O107" s="2230"/>
      <c r="P107" s="2231"/>
      <c r="Q107" s="2228"/>
      <c r="R107" s="2228"/>
      <c r="S107" s="2233"/>
      <c r="T107" s="2227"/>
      <c r="U107" s="2227"/>
      <c r="V107" s="2227"/>
      <c r="W107" s="2227"/>
      <c r="X107" s="2234"/>
      <c r="Y107" s="2234"/>
      <c r="Z107" s="2234"/>
      <c r="AA107" s="2228"/>
      <c r="AB107" s="2230"/>
      <c r="AC107" s="2231"/>
      <c r="AD107" s="2270"/>
      <c r="AE107" s="2236"/>
      <c r="AF107" s="2236"/>
      <c r="AG107" s="2228"/>
      <c r="AH107" s="2228"/>
      <c r="AI107" s="2236"/>
      <c r="AJ107" s="2238"/>
      <c r="AK107" s="2239"/>
      <c r="AL107" s="2228"/>
      <c r="AM107" s="2107"/>
    </row>
    <row r="108" spans="1:39" s="2143" customFormat="1" ht="18" customHeight="1">
      <c r="A108" s="2240"/>
      <c r="B108" s="2271"/>
      <c r="C108" s="2271"/>
      <c r="D108" s="2240"/>
      <c r="E108" s="2243" t="s">
        <v>47</v>
      </c>
      <c r="F108" s="2081"/>
      <c r="G108" s="2081"/>
      <c r="H108" s="2081"/>
      <c r="I108" s="2227">
        <f>SUM(I106:I107)</f>
        <v>0</v>
      </c>
      <c r="J108" s="2141"/>
      <c r="K108" s="2243"/>
      <c r="L108" s="2243"/>
      <c r="M108" s="2243"/>
      <c r="N108" s="2141">
        <f>SUM(N106:N107)</f>
        <v>0</v>
      </c>
      <c r="O108" s="2244"/>
      <c r="P108" s="2245">
        <v>0</v>
      </c>
      <c r="Q108" s="2246"/>
      <c r="R108" s="2141"/>
      <c r="S108" s="2233"/>
      <c r="T108" s="2227"/>
      <c r="U108" s="2227"/>
      <c r="V108" s="2227"/>
      <c r="W108" s="2227">
        <f>SUM(W106:W107)</f>
        <v>0</v>
      </c>
      <c r="X108" s="2247"/>
      <c r="Y108" s="2247"/>
      <c r="Z108" s="2247"/>
      <c r="AA108" s="2228">
        <f>SUM(AA106:AA107)</f>
        <v>0</v>
      </c>
      <c r="AB108" s="2230"/>
      <c r="AC108" s="2231"/>
      <c r="AD108" s="2248"/>
      <c r="AE108" s="2249"/>
      <c r="AF108" s="2249"/>
      <c r="AG108" s="2141">
        <f>I108+W108</f>
        <v>0</v>
      </c>
      <c r="AH108" s="2141"/>
      <c r="AI108" s="2249"/>
      <c r="AJ108" s="2250"/>
      <c r="AK108" s="2251"/>
      <c r="AL108" s="2141"/>
      <c r="AM108" s="2142"/>
    </row>
    <row r="109" spans="1:39" s="2223" customFormat="1" ht="46.5" customHeight="1">
      <c r="A109" s="2209" t="s">
        <v>262</v>
      </c>
      <c r="B109" s="2210"/>
      <c r="C109" s="2210"/>
      <c r="D109" s="2210"/>
      <c r="E109" s="2210"/>
      <c r="F109" s="2211"/>
      <c r="G109" s="2211"/>
      <c r="H109" s="2211"/>
      <c r="I109" s="2211"/>
      <c r="J109" s="2210"/>
      <c r="K109" s="2210"/>
      <c r="L109" s="2210"/>
      <c r="M109" s="2210"/>
      <c r="N109" s="2210"/>
      <c r="O109" s="2212"/>
      <c r="P109" s="2213"/>
      <c r="Q109" s="2210"/>
      <c r="R109" s="2210"/>
      <c r="S109" s="2214"/>
      <c r="T109" s="2211"/>
      <c r="U109" s="2211"/>
      <c r="V109" s="2211"/>
      <c r="W109" s="2211"/>
      <c r="X109" s="2216"/>
      <c r="Y109" s="2216"/>
      <c r="Z109" s="2216"/>
      <c r="AA109" s="2217"/>
      <c r="AB109" s="2218"/>
      <c r="AC109" s="2219"/>
      <c r="AD109" s="2220"/>
      <c r="AE109" s="2210"/>
      <c r="AF109" s="2210"/>
      <c r="AG109" s="2210"/>
      <c r="AH109" s="2210"/>
      <c r="AI109" s="2210"/>
      <c r="AJ109" s="2212"/>
      <c r="AK109" s="2221"/>
      <c r="AL109" s="2222"/>
      <c r="AM109" s="2172"/>
    </row>
    <row r="110" spans="1:39" s="2036" customFormat="1" ht="67.5">
      <c r="A110" s="2265" t="e">
        <f>+#REF!</f>
        <v>#REF!</v>
      </c>
      <c r="B110" s="2265" t="s">
        <v>1313</v>
      </c>
      <c r="C110" s="2022" t="s">
        <v>298</v>
      </c>
      <c r="D110" s="2272" t="s">
        <v>263</v>
      </c>
      <c r="E110" s="2196"/>
      <c r="F110" s="2022">
        <v>1</v>
      </c>
      <c r="G110" s="2022">
        <f>19275.99/4</f>
        <v>4818.9975000000004</v>
      </c>
      <c r="H110" s="2022">
        <v>4</v>
      </c>
      <c r="I110" s="2024">
        <f>F110*G110*H110</f>
        <v>19275.990000000002</v>
      </c>
      <c r="J110" s="2025">
        <v>1</v>
      </c>
      <c r="K110" s="2022">
        <v>1</v>
      </c>
      <c r="L110" s="2022">
        <v>5650</v>
      </c>
      <c r="M110" s="2022">
        <v>4</v>
      </c>
      <c r="N110" s="2024">
        <f>K110*L110*M110</f>
        <v>22600</v>
      </c>
      <c r="O110" s="2026">
        <f>-N110+I110</f>
        <v>-3324.0099999999984</v>
      </c>
      <c r="P110" s="2027">
        <f t="shared" si="49"/>
        <v>-0.14708008849557516</v>
      </c>
      <c r="Q110" s="2025"/>
      <c r="R110" s="2024">
        <f>+I110*J110</f>
        <v>19275.990000000002</v>
      </c>
      <c r="S110" s="2024"/>
      <c r="T110" s="2022">
        <v>1</v>
      </c>
      <c r="U110" s="2022">
        <f>3379-0.9</f>
        <v>3378.1</v>
      </c>
      <c r="V110" s="2022">
        <v>1</v>
      </c>
      <c r="W110" s="2024">
        <f>T110*U110*V110</f>
        <v>3378.1</v>
      </c>
      <c r="X110" s="2029">
        <v>2</v>
      </c>
      <c r="Y110" s="2029">
        <v>1300</v>
      </c>
      <c r="Z110" s="2029">
        <v>1</v>
      </c>
      <c r="AA110" s="2024">
        <f>X110*Y110*Z110</f>
        <v>2600</v>
      </c>
      <c r="AB110" s="2026">
        <f t="shared" ref="AB110:AB111" si="65">-AA110+W110</f>
        <v>778.09999999999991</v>
      </c>
      <c r="AC110" s="2027">
        <f t="shared" si="53"/>
        <v>0.29926923076923073</v>
      </c>
      <c r="AD110" s="2052"/>
      <c r="AE110" s="2025">
        <v>1</v>
      </c>
      <c r="AF110" s="2031">
        <f>+W110*AE110</f>
        <v>3378.1</v>
      </c>
      <c r="AG110" s="2024">
        <f>I110+W110</f>
        <v>22654.09</v>
      </c>
      <c r="AH110" s="2025">
        <v>1</v>
      </c>
      <c r="AI110" s="2031">
        <f>AG110*AH110</f>
        <v>22654.09</v>
      </c>
      <c r="AJ110" s="2199">
        <v>17064</v>
      </c>
      <c r="AK110" s="2034">
        <f t="shared" ref="AK110:AK113" si="66">AJ110/AG110</f>
        <v>0.75324146765550948</v>
      </c>
      <c r="AL110" s="2035" t="s">
        <v>1314</v>
      </c>
      <c r="AM110" s="2022" t="s">
        <v>1315</v>
      </c>
    </row>
    <row r="111" spans="1:39" s="2036" customFormat="1" ht="80.25" customHeight="1">
      <c r="A111" s="2265" t="e">
        <f>+#REF!</f>
        <v>#REF!</v>
      </c>
      <c r="B111" s="2265" t="s">
        <v>1316</v>
      </c>
      <c r="C111" s="2022" t="s">
        <v>1317</v>
      </c>
      <c r="D111" s="2272" t="s">
        <v>263</v>
      </c>
      <c r="E111" s="2196"/>
      <c r="F111" s="2022">
        <v>1</v>
      </c>
      <c r="G111" s="2022">
        <f>(11317.7)/10</f>
        <v>1131.77</v>
      </c>
      <c r="H111" s="2022">
        <v>10</v>
      </c>
      <c r="I111" s="2024">
        <f>F111*G111*H111</f>
        <v>11317.7</v>
      </c>
      <c r="J111" s="2025">
        <v>1</v>
      </c>
      <c r="K111" s="2022">
        <v>1</v>
      </c>
      <c r="L111" s="2022">
        <v>1480</v>
      </c>
      <c r="M111" s="2022">
        <v>10</v>
      </c>
      <c r="N111" s="2024">
        <f>K111*L111*M111</f>
        <v>14800</v>
      </c>
      <c r="O111" s="2026">
        <f>-N111+I111</f>
        <v>-3482.2999999999993</v>
      </c>
      <c r="P111" s="2027">
        <f t="shared" si="49"/>
        <v>-0.23529054054054049</v>
      </c>
      <c r="Q111" s="2025"/>
      <c r="R111" s="2024">
        <f>+I111*J111</f>
        <v>11317.7</v>
      </c>
      <c r="S111" s="2011"/>
      <c r="T111" s="2022">
        <v>1</v>
      </c>
      <c r="U111" s="2022">
        <v>1415</v>
      </c>
      <c r="V111" s="2022">
        <v>12</v>
      </c>
      <c r="W111" s="2024">
        <f>T111*U111*V111</f>
        <v>16980</v>
      </c>
      <c r="X111" s="2029">
        <v>1</v>
      </c>
      <c r="Y111" s="2029">
        <v>1480</v>
      </c>
      <c r="Z111" s="2029">
        <v>12</v>
      </c>
      <c r="AA111" s="2024">
        <f>X111*Y111*Z111</f>
        <v>17760</v>
      </c>
      <c r="AB111" s="2026">
        <f t="shared" si="65"/>
        <v>-780</v>
      </c>
      <c r="AC111" s="2027">
        <f t="shared" si="53"/>
        <v>-4.3918918918918921E-2</v>
      </c>
      <c r="AD111" s="2052"/>
      <c r="AE111" s="2025">
        <v>1</v>
      </c>
      <c r="AF111" s="2031">
        <f>+W111*AE111</f>
        <v>16980</v>
      </c>
      <c r="AG111" s="2024">
        <f>I111+W111</f>
        <v>28297.7</v>
      </c>
      <c r="AH111" s="2273">
        <v>1</v>
      </c>
      <c r="AI111" s="2031">
        <f>AG111*AH111</f>
        <v>28297.7</v>
      </c>
      <c r="AJ111" s="2199">
        <v>11783</v>
      </c>
      <c r="AK111" s="2034">
        <f t="shared" si="66"/>
        <v>0.41639426525830719</v>
      </c>
      <c r="AL111" s="2035" t="s">
        <v>1318</v>
      </c>
      <c r="AM111" s="2022" t="s">
        <v>1319</v>
      </c>
    </row>
    <row r="112" spans="1:39" s="2208" customFormat="1" ht="26.25" customHeight="1">
      <c r="A112" s="2202"/>
      <c r="B112" s="2203"/>
      <c r="C112" s="2203"/>
      <c r="D112" s="2204"/>
      <c r="E112" s="2124" t="s">
        <v>47</v>
      </c>
      <c r="F112" s="2081"/>
      <c r="G112" s="2081"/>
      <c r="H112" s="2081"/>
      <c r="I112" s="2082">
        <f>SUM(I110:I111)</f>
        <v>30593.690000000002</v>
      </c>
      <c r="J112" s="2083"/>
      <c r="K112" s="2124"/>
      <c r="L112" s="2124"/>
      <c r="M112" s="2124"/>
      <c r="N112" s="2083">
        <f>SUM(N110:N111)</f>
        <v>37400</v>
      </c>
      <c r="O112" s="2084">
        <f>SUM(O110:O111)</f>
        <v>-6806.3099999999977</v>
      </c>
      <c r="P112" s="2085">
        <f t="shared" si="49"/>
        <v>-0.18198689839572185</v>
      </c>
      <c r="Q112" s="2125"/>
      <c r="R112" s="2083">
        <f>SUM(R110:R111)</f>
        <v>30593.690000000002</v>
      </c>
      <c r="S112" s="2086"/>
      <c r="T112" s="2082"/>
      <c r="U112" s="2082"/>
      <c r="V112" s="2082"/>
      <c r="W112" s="2082">
        <f>SUM(W110:W111)</f>
        <v>20358.099999999999</v>
      </c>
      <c r="X112" s="2087"/>
      <c r="Y112" s="2087"/>
      <c r="Z112" s="2087"/>
      <c r="AA112" s="2088">
        <f>SUM(AA110:AA111)</f>
        <v>20360</v>
      </c>
      <c r="AB112" s="2089">
        <f>SUM(AB110:AB111)</f>
        <v>-1.9000000000000909</v>
      </c>
      <c r="AC112" s="2090">
        <f t="shared" si="53"/>
        <v>-9.332023575638953E-5</v>
      </c>
      <c r="AD112" s="2126"/>
      <c r="AE112" s="2083"/>
      <c r="AF112" s="2083">
        <f>SUM(AF110:AF111)</f>
        <v>20358.099999999999</v>
      </c>
      <c r="AG112" s="2083">
        <f>SUM(AG110:AG111)</f>
        <v>50951.79</v>
      </c>
      <c r="AH112" s="2083"/>
      <c r="AI112" s="2083">
        <f>SUM(AI110:AI111)</f>
        <v>50951.79</v>
      </c>
      <c r="AJ112" s="2084">
        <f>SUM(AJ110:AJ111)</f>
        <v>28847</v>
      </c>
      <c r="AK112" s="2094">
        <f t="shared" si="66"/>
        <v>0.56616264119474502</v>
      </c>
      <c r="AL112" s="2095" t="s">
        <v>1130</v>
      </c>
      <c r="AM112" s="2274"/>
    </row>
    <row r="113" spans="1:39" s="2292" customFormat="1" ht="24.75" customHeight="1">
      <c r="A113" s="2669" t="s">
        <v>265</v>
      </c>
      <c r="B113" s="2670"/>
      <c r="C113" s="2670"/>
      <c r="D113" s="2671"/>
      <c r="E113" s="2275"/>
      <c r="F113" s="2276"/>
      <c r="G113" s="2276"/>
      <c r="H113" s="2277"/>
      <c r="I113" s="2278">
        <f>I80+I84+I87+I92+I104+I108+I112</f>
        <v>94220.800000000017</v>
      </c>
      <c r="J113" s="2279">
        <f>J84+J92+J112+J108+J104+J87+J80</f>
        <v>0</v>
      </c>
      <c r="K113" s="2275"/>
      <c r="L113" s="2275"/>
      <c r="M113" s="2280"/>
      <c r="N113" s="2279">
        <f>N80+N84+N87+N92+N104+N108+N112</f>
        <v>90485.96</v>
      </c>
      <c r="O113" s="2281">
        <f>O80+O84+O87+O92+O104+O108+O112</f>
        <v>3794.8400000000038</v>
      </c>
      <c r="P113" s="2282">
        <f t="shared" si="49"/>
        <v>4.1938439952452333E-2</v>
      </c>
      <c r="Q113" s="2283"/>
      <c r="R113" s="2279">
        <f>R84+R92+R112+R108+R104+R87+R80</f>
        <v>78732.043000000005</v>
      </c>
      <c r="S113" s="2284"/>
      <c r="T113" s="2278"/>
      <c r="U113" s="2278"/>
      <c r="V113" s="2278"/>
      <c r="W113" s="2278">
        <f>W80+W84+W87+W92+W104+W108+W112</f>
        <v>113598.43</v>
      </c>
      <c r="X113" s="2133"/>
      <c r="Y113" s="2133"/>
      <c r="Z113" s="2133"/>
      <c r="AA113" s="2285">
        <f>AA80+AA84+AA87+AA92+AA104+AA108+AA112</f>
        <v>111104</v>
      </c>
      <c r="AB113" s="2286">
        <f>AB80+AB84+AB87+AB92+AB104+AB108+AB112</f>
        <v>2494.4299999999998</v>
      </c>
      <c r="AC113" s="2287">
        <f t="shared" si="53"/>
        <v>2.245130688364055E-2</v>
      </c>
      <c r="AD113" s="2288"/>
      <c r="AE113" s="2289"/>
      <c r="AF113" s="2289"/>
      <c r="AG113" s="2128">
        <f>AG80+AG84+AG87+AG92+AG104+AG108+AG112</f>
        <v>207819.23</v>
      </c>
      <c r="AH113" s="2128"/>
      <c r="AI113" s="2128">
        <f>AI84+AI92+AI112+AI108+AI104+AI87+AI80</f>
        <v>172012.67300000001</v>
      </c>
      <c r="AJ113" s="2076">
        <f>AJ84+AJ92+AJ112+AJ108+AJ104+AJ87+AJ80</f>
        <v>88125</v>
      </c>
      <c r="AK113" s="2140">
        <f t="shared" si="66"/>
        <v>0.42404641764864587</v>
      </c>
      <c r="AL113" s="2290"/>
      <c r="AM113" s="2291"/>
    </row>
    <row r="114" spans="1:39" s="2309" customFormat="1" ht="30" customHeight="1">
      <c r="A114" s="2676" t="s">
        <v>266</v>
      </c>
      <c r="B114" s="2677"/>
      <c r="C114" s="2677"/>
      <c r="D114" s="2677"/>
      <c r="E114" s="2678"/>
      <c r="F114" s="2293"/>
      <c r="G114" s="2293"/>
      <c r="H114" s="2293"/>
      <c r="I114" s="2108" t="s">
        <v>267</v>
      </c>
      <c r="J114" s="2294"/>
      <c r="K114" s="2295"/>
      <c r="L114" s="2295"/>
      <c r="M114" s="2295"/>
      <c r="N114" s="2294" t="s">
        <v>267</v>
      </c>
      <c r="O114" s="2296"/>
      <c r="P114" s="2297"/>
      <c r="Q114" s="2298"/>
      <c r="R114" s="2294"/>
      <c r="S114" s="2299"/>
      <c r="T114" s="2108"/>
      <c r="U114" s="2108"/>
      <c r="V114" s="2108"/>
      <c r="W114" s="2300" t="s">
        <v>268</v>
      </c>
      <c r="X114" s="2301"/>
      <c r="Y114" s="2301"/>
      <c r="Z114" s="2301"/>
      <c r="AA114" s="2109" t="s">
        <v>268</v>
      </c>
      <c r="AB114" s="2302"/>
      <c r="AC114" s="2303"/>
      <c r="AD114" s="2304"/>
      <c r="AE114" s="2305"/>
      <c r="AF114" s="2305"/>
      <c r="AG114" s="2301"/>
      <c r="AH114" s="2301"/>
      <c r="AI114" s="2301"/>
      <c r="AJ114" s="2306"/>
      <c r="AK114" s="2307"/>
      <c r="AL114" s="2301"/>
      <c r="AM114" s="2308"/>
    </row>
    <row r="115" spans="1:39" s="2309" customFormat="1" ht="28.5" customHeight="1">
      <c r="A115" s="2679"/>
      <c r="B115" s="2680"/>
      <c r="C115" s="2680"/>
      <c r="D115" s="2680"/>
      <c r="E115" s="2681"/>
      <c r="F115" s="2293"/>
      <c r="G115" s="2293"/>
      <c r="H115" s="2293"/>
      <c r="I115" s="2310">
        <f>I113+I71</f>
        <v>235914.27500000002</v>
      </c>
      <c r="J115" s="2311"/>
      <c r="K115" s="2295"/>
      <c r="L115" s="2295"/>
      <c r="M115" s="2295"/>
      <c r="N115" s="2311">
        <f>N113+N71</f>
        <v>259346.71000000002</v>
      </c>
      <c r="O115" s="2312">
        <f>O113+O71</f>
        <v>-22802.43499999999</v>
      </c>
      <c r="P115" s="2297">
        <f t="shared" si="49"/>
        <v>-8.7922592116167542E-2</v>
      </c>
      <c r="Q115" s="2313"/>
      <c r="R115" s="2311">
        <f>R71+R113</f>
        <v>189004.13239814815</v>
      </c>
      <c r="S115" s="2314"/>
      <c r="T115" s="2310"/>
      <c r="U115" s="2310"/>
      <c r="V115" s="2310"/>
      <c r="W115" s="2310">
        <f>W113+W71</f>
        <v>305300.68</v>
      </c>
      <c r="X115" s="2315"/>
      <c r="Y115" s="2315"/>
      <c r="Z115" s="2315"/>
      <c r="AA115" s="2316">
        <f>AA113+AA71</f>
        <v>290680.25</v>
      </c>
      <c r="AB115" s="2317">
        <f>AB113+AB71</f>
        <v>14620.43</v>
      </c>
      <c r="AC115" s="2318">
        <f t="shared" si="53"/>
        <v>5.0297294019803547E-2</v>
      </c>
      <c r="AD115" s="2304"/>
      <c r="AE115" s="2305"/>
      <c r="AF115" s="2305"/>
      <c r="AG115" s="2315">
        <f>AG113+AG71</f>
        <v>541214.95499999996</v>
      </c>
      <c r="AH115" s="2319">
        <f>AI115/AG115</f>
        <v>0.79054498915589189</v>
      </c>
      <c r="AI115" s="2315">
        <f>AI71+AI113</f>
        <v>427854.77073148149</v>
      </c>
      <c r="AJ115" s="2320">
        <f>AJ71+AJ113</f>
        <v>228059</v>
      </c>
      <c r="AK115" s="2321">
        <f t="shared" ref="AK115" si="67">AJ115/AG115</f>
        <v>0.42138340393790491</v>
      </c>
      <c r="AL115" s="2301"/>
      <c r="AM115" s="2308"/>
    </row>
    <row r="116" spans="1:39" s="2336" customFormat="1" ht="25.5" customHeight="1">
      <c r="A116" s="2322"/>
      <c r="B116" s="2323"/>
      <c r="C116" s="2323"/>
      <c r="D116" s="2324"/>
      <c r="E116" s="2325" t="s">
        <v>269</v>
      </c>
      <c r="F116" s="2293"/>
      <c r="G116" s="2293"/>
      <c r="H116" s="2293"/>
      <c r="I116" s="2108"/>
      <c r="J116" s="2326"/>
      <c r="K116" s="2327"/>
      <c r="L116" s="2327"/>
      <c r="M116" s="2327"/>
      <c r="N116" s="2107"/>
      <c r="O116" s="2328"/>
      <c r="P116" s="2329"/>
      <c r="Q116" s="2107"/>
      <c r="R116" s="2326"/>
      <c r="S116" s="2299"/>
      <c r="T116" s="2108"/>
      <c r="U116" s="2108"/>
      <c r="V116" s="2108"/>
      <c r="W116" s="2300"/>
      <c r="X116" s="2330"/>
      <c r="Y116" s="2330"/>
      <c r="Z116" s="2330"/>
      <c r="AA116" s="2109"/>
      <c r="AB116" s="2302"/>
      <c r="AC116" s="2303"/>
      <c r="AD116" s="2331"/>
      <c r="AE116" s="2332"/>
      <c r="AF116" s="2332"/>
      <c r="AG116" s="2330"/>
      <c r="AH116" s="2330"/>
      <c r="AI116" s="2330"/>
      <c r="AJ116" s="2333"/>
      <c r="AK116" s="2334"/>
      <c r="AL116" s="2330"/>
      <c r="AM116" s="2335"/>
    </row>
    <row r="117" spans="1:39" s="2036" customFormat="1" ht="23.25" customHeight="1">
      <c r="A117" s="2682" t="s">
        <v>270</v>
      </c>
      <c r="B117" s="2683"/>
      <c r="C117" s="2683"/>
      <c r="D117" s="2683"/>
      <c r="E117" s="2684"/>
      <c r="F117" s="2002"/>
      <c r="G117" s="2002"/>
      <c r="H117" s="2002"/>
      <c r="I117" s="2337">
        <f>I115*0.07</f>
        <v>16513.999250000004</v>
      </c>
      <c r="J117" s="2338"/>
      <c r="K117" s="2022"/>
      <c r="L117" s="2022"/>
      <c r="M117" s="2022"/>
      <c r="N117" s="2338">
        <f>N115*0.07</f>
        <v>18154.269700000004</v>
      </c>
      <c r="O117" s="2339">
        <f>O115*0.07</f>
        <v>-1596.1704499999994</v>
      </c>
      <c r="P117" s="2340">
        <f t="shared" si="49"/>
        <v>-8.7922592116167528E-2</v>
      </c>
      <c r="Q117" s="2341"/>
      <c r="R117" s="2338"/>
      <c r="S117" s="2342"/>
      <c r="T117" s="2337"/>
      <c r="U117" s="2337"/>
      <c r="V117" s="2337"/>
      <c r="W117" s="2337">
        <f>W115*0.07</f>
        <v>21371.047600000002</v>
      </c>
      <c r="X117" s="2343"/>
      <c r="Y117" s="2343"/>
      <c r="Z117" s="2343"/>
      <c r="AA117" s="2344">
        <f>AA115*0.07</f>
        <v>20347.6175</v>
      </c>
      <c r="AB117" s="2345">
        <f>AB115*0.07</f>
        <v>1023.4301000000002</v>
      </c>
      <c r="AC117" s="2090">
        <f t="shared" si="53"/>
        <v>5.0297294019803554E-2</v>
      </c>
      <c r="AD117" s="2346"/>
      <c r="AE117" s="2347"/>
      <c r="AF117" s="2347"/>
      <c r="AG117" s="2338">
        <f>AG115*0.07</f>
        <v>37885.046849999999</v>
      </c>
      <c r="AH117" s="2338"/>
      <c r="AI117" s="2338"/>
      <c r="AJ117" s="2339">
        <v>16514</v>
      </c>
      <c r="AK117" s="2348">
        <f t="shared" ref="AK117" si="68">AJ117/AG117</f>
        <v>0.43589757366236437</v>
      </c>
      <c r="AL117" s="2338"/>
      <c r="AM117" s="2349"/>
    </row>
    <row r="118" spans="1:39" s="2309" customFormat="1" ht="21" customHeight="1">
      <c r="A118" s="2685" t="s">
        <v>271</v>
      </c>
      <c r="B118" s="2686"/>
      <c r="C118" s="2686"/>
      <c r="D118" s="2686"/>
      <c r="E118" s="2687"/>
      <c r="F118" s="2002"/>
      <c r="G118" s="2002"/>
      <c r="H118" s="2002"/>
      <c r="I118" s="2337">
        <f>I115+I117</f>
        <v>252428.27425000002</v>
      </c>
      <c r="J118" s="2350"/>
      <c r="K118" s="2351"/>
      <c r="L118" s="2351"/>
      <c r="M118" s="2351"/>
      <c r="N118" s="2350">
        <f>N115+N117</f>
        <v>277500.97970000003</v>
      </c>
      <c r="O118" s="2352">
        <f>O115+O117</f>
        <v>-24398.605449999988</v>
      </c>
      <c r="P118" s="2353">
        <f t="shared" si="49"/>
        <v>-8.7922592116167528E-2</v>
      </c>
      <c r="Q118" s="2354"/>
      <c r="R118" s="2350"/>
      <c r="S118" s="2342"/>
      <c r="T118" s="2337"/>
      <c r="U118" s="2337"/>
      <c r="V118" s="2337"/>
      <c r="W118" s="2337">
        <f>W115+W117</f>
        <v>326671.72759999998</v>
      </c>
      <c r="X118" s="2355"/>
      <c r="Y118" s="2355"/>
      <c r="Z118" s="2355"/>
      <c r="AA118" s="2344">
        <f>AA115+AA117</f>
        <v>311027.86749999999</v>
      </c>
      <c r="AB118" s="2345">
        <f>AB115+AB117</f>
        <v>15643.8601</v>
      </c>
      <c r="AC118" s="2090">
        <f t="shared" si="53"/>
        <v>5.0297294019803547E-2</v>
      </c>
      <c r="AD118" s="2356"/>
      <c r="AE118" s="2357"/>
      <c r="AF118" s="2357"/>
      <c r="AG118" s="2350">
        <f>AG115+AG117</f>
        <v>579100.00185</v>
      </c>
      <c r="AH118" s="2319"/>
      <c r="AI118" s="2350"/>
      <c r="AJ118" s="2352"/>
      <c r="AK118" s="2321"/>
      <c r="AL118" s="2350"/>
      <c r="AM118" s="2308"/>
    </row>
    <row r="119" spans="1:39" s="2368" customFormat="1" ht="23.25" customHeight="1">
      <c r="A119" s="2688" t="s">
        <v>272</v>
      </c>
      <c r="B119" s="2689"/>
      <c r="C119" s="2689"/>
      <c r="D119" s="2689"/>
      <c r="E119" s="2690"/>
      <c r="F119" s="2002"/>
      <c r="G119" s="2002"/>
      <c r="H119" s="2002"/>
      <c r="I119" s="2337"/>
      <c r="J119" s="2358"/>
      <c r="K119" s="2359"/>
      <c r="L119" s="2359"/>
      <c r="M119" s="2359"/>
      <c r="N119" s="2358"/>
      <c r="O119" s="2360"/>
      <c r="P119" s="2361"/>
      <c r="Q119" s="2358"/>
      <c r="R119" s="2358"/>
      <c r="S119" s="2342"/>
      <c r="T119" s="2337"/>
      <c r="U119" s="2337"/>
      <c r="V119" s="2337"/>
      <c r="W119" s="2337"/>
      <c r="X119" s="2362"/>
      <c r="Y119" s="2362"/>
      <c r="Z119" s="2362"/>
      <c r="AA119" s="2344"/>
      <c r="AB119" s="2345"/>
      <c r="AC119" s="2363"/>
      <c r="AD119" s="2364"/>
      <c r="AE119" s="2365"/>
      <c r="AF119" s="2365"/>
      <c r="AG119" s="2358"/>
      <c r="AH119" s="2358"/>
      <c r="AI119" s="2358"/>
      <c r="AJ119" s="2360"/>
      <c r="AK119" s="2366"/>
      <c r="AL119" s="2358"/>
      <c r="AM119" s="2367"/>
    </row>
    <row r="120" spans="1:39" s="2036" customFormat="1" ht="26.25" customHeight="1">
      <c r="A120" s="2660"/>
      <c r="B120" s="2661"/>
      <c r="C120" s="2661"/>
      <c r="D120" s="2661"/>
      <c r="E120" s="2369" t="s">
        <v>273</v>
      </c>
      <c r="F120" s="2293"/>
      <c r="G120" s="2293"/>
      <c r="H120" s="2293"/>
      <c r="I120" s="2337">
        <f>I118</f>
        <v>252428.27425000002</v>
      </c>
      <c r="J120" s="2338"/>
      <c r="K120" s="2370"/>
      <c r="L120" s="2370"/>
      <c r="M120" s="2370"/>
      <c r="N120" s="2338">
        <f>N118</f>
        <v>277500.97970000003</v>
      </c>
      <c r="O120" s="2339">
        <f>O118</f>
        <v>-24398.605449999988</v>
      </c>
      <c r="P120" s="2340">
        <f t="shared" si="49"/>
        <v>-8.7922592116167528E-2</v>
      </c>
      <c r="Q120" s="2341"/>
      <c r="R120" s="2338"/>
      <c r="S120" s="2342"/>
      <c r="T120" s="2337"/>
      <c r="U120" s="2337"/>
      <c r="V120" s="2337"/>
      <c r="W120" s="2337">
        <f>W118</f>
        <v>326671.72759999998</v>
      </c>
      <c r="X120" s="2343"/>
      <c r="Y120" s="2343"/>
      <c r="Z120" s="2343"/>
      <c r="AA120" s="2344">
        <f>AA118</f>
        <v>311027.86749999999</v>
      </c>
      <c r="AB120" s="2345">
        <f>AB118</f>
        <v>15643.8601</v>
      </c>
      <c r="AC120" s="2090">
        <f t="shared" si="53"/>
        <v>5.0297294019803547E-2</v>
      </c>
      <c r="AD120" s="2346"/>
      <c r="AE120" s="2347"/>
      <c r="AF120" s="2347"/>
      <c r="AG120" s="2338">
        <f>AG118</f>
        <v>579100.00185</v>
      </c>
      <c r="AH120" s="2338"/>
      <c r="AI120" s="2338">
        <f>AI115</f>
        <v>427854.77073148149</v>
      </c>
      <c r="AJ120" s="2339">
        <f>AJ115+AJ117</f>
        <v>244573</v>
      </c>
      <c r="AK120" s="2348">
        <f t="shared" ref="AK120" si="69">AJ120/AG120</f>
        <v>0.42233292906006575</v>
      </c>
      <c r="AL120" s="2371">
        <f>AJ120/I120</f>
        <v>0.96888116327959239</v>
      </c>
      <c r="AM120" s="2349"/>
    </row>
    <row r="121" spans="1:39" s="2058" customFormat="1" ht="26.25" customHeight="1">
      <c r="A121" s="2105"/>
      <c r="B121" s="2105"/>
      <c r="F121" s="2372"/>
      <c r="G121" s="2372"/>
      <c r="H121" s="2372"/>
      <c r="I121" s="2373"/>
      <c r="J121" s="2374"/>
      <c r="K121" s="2374"/>
      <c r="L121" s="2375"/>
      <c r="N121" s="2376"/>
      <c r="O121" s="2375"/>
      <c r="P121" s="2375"/>
      <c r="Q121" s="2377"/>
      <c r="R121" s="2376"/>
      <c r="S121" s="2378"/>
      <c r="T121" s="2372"/>
      <c r="U121" s="2372"/>
      <c r="V121" s="2372"/>
      <c r="W121" s="2373"/>
      <c r="X121" s="2379"/>
      <c r="Y121" s="2380"/>
      <c r="Z121" s="2381"/>
      <c r="AA121" s="2376"/>
      <c r="AB121" s="2375"/>
      <c r="AC121" s="2376"/>
      <c r="AD121" s="2376"/>
      <c r="AE121" s="2376"/>
      <c r="AF121" s="2058" t="s">
        <v>1320</v>
      </c>
      <c r="AG121" s="2376">
        <f>+AG120</f>
        <v>579100.00185</v>
      </c>
      <c r="AI121" s="2376"/>
      <c r="AJ121" s="2375"/>
      <c r="AK121" s="2382"/>
      <c r="AL121" s="2383" t="s">
        <v>1321</v>
      </c>
      <c r="AM121" s="2384"/>
    </row>
    <row r="122" spans="1:39" ht="46.5" customHeight="1">
      <c r="A122" s="2385" t="s">
        <v>783</v>
      </c>
      <c r="B122" s="2386"/>
      <c r="C122" s="2386"/>
      <c r="D122" s="2386"/>
      <c r="E122" s="2386"/>
      <c r="F122" s="2387"/>
      <c r="G122" s="2388"/>
      <c r="H122" s="2388"/>
      <c r="I122" s="2653" t="s">
        <v>1322</v>
      </c>
      <c r="J122" s="2655" t="s">
        <v>1323</v>
      </c>
      <c r="K122" s="2389"/>
      <c r="L122" s="2390"/>
      <c r="M122" s="2390"/>
      <c r="N122" s="2655" t="s">
        <v>1322</v>
      </c>
      <c r="O122" s="2302"/>
      <c r="P122" s="2391"/>
      <c r="Q122" s="2392"/>
      <c r="R122" s="2656" t="s">
        <v>1324</v>
      </c>
      <c r="S122" s="2393"/>
      <c r="T122" s="2388"/>
      <c r="U122" s="2653" t="s">
        <v>1325</v>
      </c>
      <c r="V122" s="2658" t="s">
        <v>1326</v>
      </c>
      <c r="W122" s="2647" t="s">
        <v>1327</v>
      </c>
      <c r="X122" s="2394"/>
      <c r="Y122" s="2648" t="s">
        <v>1325</v>
      </c>
      <c r="Z122" s="2648" t="s">
        <v>1326</v>
      </c>
      <c r="AA122" s="2649" t="s">
        <v>1327</v>
      </c>
      <c r="AB122" s="2302"/>
      <c r="AC122" s="2391"/>
      <c r="AD122" s="2395"/>
      <c r="AE122" s="1932"/>
      <c r="AF122" s="2396" t="s">
        <v>1328</v>
      </c>
      <c r="AG122" s="2396">
        <f>AG120-AG121</f>
        <v>0</v>
      </c>
      <c r="AI122" s="2397"/>
      <c r="AJ122" s="2398"/>
    </row>
    <row r="123" spans="1:39" ht="34.5" customHeight="1">
      <c r="A123" s="2399" t="s">
        <v>784</v>
      </c>
      <c r="B123" s="1921"/>
      <c r="C123" s="1921"/>
      <c r="D123" s="1921"/>
      <c r="E123" s="1921"/>
      <c r="F123" s="2400"/>
      <c r="G123" s="2388"/>
      <c r="H123" s="2388"/>
      <c r="I123" s="2654"/>
      <c r="J123" s="2655"/>
      <c r="K123" s="2401"/>
      <c r="L123" s="2390"/>
      <c r="M123" s="2390"/>
      <c r="N123" s="2655"/>
      <c r="O123" s="2302"/>
      <c r="P123" s="2391"/>
      <c r="Q123" s="2392"/>
      <c r="R123" s="2657"/>
      <c r="S123" s="2393"/>
      <c r="T123" s="2388"/>
      <c r="U123" s="2654"/>
      <c r="V123" s="2658"/>
      <c r="W123" s="2647"/>
      <c r="X123" s="2394"/>
      <c r="Y123" s="2648"/>
      <c r="Z123" s="2648"/>
      <c r="AA123" s="2649"/>
      <c r="AB123" s="2302"/>
      <c r="AC123" s="2391"/>
      <c r="AD123" s="2395"/>
      <c r="AE123" s="1932"/>
      <c r="AF123" s="1932"/>
      <c r="AG123" s="2397"/>
    </row>
    <row r="124" spans="1:39" ht="88.5" customHeight="1">
      <c r="A124" s="2650" t="s">
        <v>785</v>
      </c>
      <c r="B124" s="2651"/>
      <c r="C124" s="2651"/>
      <c r="D124" s="2651"/>
      <c r="E124" s="2651"/>
      <c r="F124" s="2652"/>
      <c r="G124" s="1925"/>
      <c r="H124" s="1925"/>
      <c r="I124" s="2002" t="s">
        <v>227</v>
      </c>
      <c r="J124" s="2402">
        <f>AG71</f>
        <v>333395.72499999998</v>
      </c>
      <c r="K124" s="2402"/>
      <c r="L124" s="1921"/>
      <c r="M124" s="1921"/>
      <c r="N124" s="1999" t="s">
        <v>227</v>
      </c>
      <c r="O124" s="2261"/>
      <c r="P124" s="2256"/>
      <c r="Q124" s="2403"/>
      <c r="R124" s="2404">
        <f>+J124/579100</f>
        <v>0.57571356415126917</v>
      </c>
      <c r="S124" s="2405"/>
      <c r="T124" s="1925"/>
      <c r="U124" s="2002" t="s">
        <v>1329</v>
      </c>
      <c r="V124" s="2406">
        <f>AI120</f>
        <v>427854.77073148149</v>
      </c>
      <c r="W124" s="2407">
        <f>V124/J127</f>
        <v>0.73882709266905777</v>
      </c>
      <c r="X124" s="2408"/>
      <c r="Y124" s="2409" t="s">
        <v>1330</v>
      </c>
      <c r="Z124" s="2410">
        <f>AI120</f>
        <v>427854.77073148149</v>
      </c>
      <c r="AA124" s="2411">
        <f>Z124/J127</f>
        <v>0.73882709266905777</v>
      </c>
      <c r="AB124" s="2261"/>
      <c r="AC124" s="2256"/>
      <c r="AD124" s="2412"/>
      <c r="AE124" s="1921"/>
      <c r="AF124" s="2413"/>
      <c r="AG124" s="2414"/>
      <c r="AH124" s="1921"/>
      <c r="AI124" s="2415"/>
      <c r="AJ124" s="2416"/>
      <c r="AK124" s="2417"/>
      <c r="AL124" s="2418"/>
    </row>
    <row r="125" spans="1:39" ht="119.25" customHeight="1">
      <c r="A125" s="2399" t="s">
        <v>786</v>
      </c>
      <c r="B125" s="1921"/>
      <c r="C125" s="1922"/>
      <c r="D125" s="1922"/>
      <c r="E125" s="1923"/>
      <c r="F125" s="2400"/>
      <c r="I125" s="2002" t="s">
        <v>265</v>
      </c>
      <c r="J125" s="2402">
        <f>AG113</f>
        <v>207819.23</v>
      </c>
      <c r="K125" s="2401"/>
      <c r="N125" s="1999" t="s">
        <v>265</v>
      </c>
      <c r="O125" s="2261"/>
      <c r="P125" s="2256"/>
      <c r="Q125" s="2403"/>
      <c r="R125" s="2404">
        <f>+J125/579100</f>
        <v>0.35886587808668624</v>
      </c>
      <c r="S125" s="2405"/>
      <c r="U125" s="2002" t="s">
        <v>1331</v>
      </c>
      <c r="V125" s="2406">
        <f>AG110</f>
        <v>22654.09</v>
      </c>
      <c r="W125" s="2407">
        <f>V125/J127</f>
        <v>3.9119478376150867E-2</v>
      </c>
      <c r="Y125" s="2409" t="s">
        <v>1332</v>
      </c>
      <c r="Z125" s="2419">
        <f>AG110</f>
        <v>22654.09</v>
      </c>
      <c r="AA125" s="2411">
        <f>Z125/J127</f>
        <v>3.9119478376150867E-2</v>
      </c>
      <c r="AB125" s="2261"/>
      <c r="AC125" s="2256"/>
      <c r="AD125" s="2412"/>
      <c r="AE125" s="2384" t="s">
        <v>1333</v>
      </c>
      <c r="AG125" s="2420"/>
      <c r="AH125" s="2421"/>
    </row>
    <row r="126" spans="1:39" ht="74.25" customHeight="1">
      <c r="A126" s="2399"/>
      <c r="B126" s="1921"/>
      <c r="C126" s="1922" t="s">
        <v>787</v>
      </c>
      <c r="D126" s="1922"/>
      <c r="E126" s="1921"/>
      <c r="F126" s="2400"/>
      <c r="I126" s="2422" t="s">
        <v>1334</v>
      </c>
      <c r="J126" s="2402">
        <f>+I117+W117</f>
        <v>37885.046850000006</v>
      </c>
      <c r="K126" s="2401"/>
      <c r="N126" s="2099" t="s">
        <v>1334</v>
      </c>
      <c r="O126" s="2423"/>
      <c r="P126" s="2009"/>
      <c r="Q126" s="2403"/>
      <c r="R126" s="2404">
        <f>+J126/579100</f>
        <v>6.5420560956656895E-2</v>
      </c>
      <c r="S126" s="2405"/>
      <c r="U126" s="2002" t="s">
        <v>1335</v>
      </c>
      <c r="V126" s="2406"/>
      <c r="W126" s="2407">
        <f>V126/V127</f>
        <v>0</v>
      </c>
      <c r="Y126" s="2409" t="s">
        <v>1336</v>
      </c>
      <c r="Z126" s="2419"/>
      <c r="AA126" s="2411">
        <f>Z126/Z127</f>
        <v>0</v>
      </c>
      <c r="AB126" s="2423"/>
      <c r="AC126" s="2009"/>
      <c r="AD126" s="2412"/>
      <c r="AE126" s="1932"/>
      <c r="AF126" s="1932"/>
      <c r="AG126" s="1932"/>
    </row>
    <row r="127" spans="1:39" ht="46.5" customHeight="1">
      <c r="A127" s="2399"/>
      <c r="B127" s="1921"/>
      <c r="C127" s="1922" t="s">
        <v>788</v>
      </c>
      <c r="D127" s="1922"/>
      <c r="E127" s="1921"/>
      <c r="F127" s="2400"/>
      <c r="I127" s="2424" t="s">
        <v>1337</v>
      </c>
      <c r="J127" s="2425">
        <f>+J124+J125+J126</f>
        <v>579100.00185</v>
      </c>
      <c r="K127" s="2401"/>
      <c r="N127" s="2426" t="s">
        <v>1337</v>
      </c>
      <c r="O127" s="2427"/>
      <c r="P127" s="2090"/>
      <c r="Q127" s="2428"/>
      <c r="R127" s="2429">
        <f>+R124+R125+R126</f>
        <v>1.0000000031946124</v>
      </c>
      <c r="S127" s="2430"/>
      <c r="U127" s="2108" t="s">
        <v>1338</v>
      </c>
      <c r="V127" s="2431">
        <f>SUM(V124:V126)</f>
        <v>450508.86073148152</v>
      </c>
      <c r="W127" s="2432">
        <f>SUM(W124:W126)</f>
        <v>0.77794657104520859</v>
      </c>
      <c r="Y127" s="2433" t="s">
        <v>1338</v>
      </c>
      <c r="Z127" s="2434">
        <f>SUM(Z124:Z126)</f>
        <v>450508.86073148152</v>
      </c>
      <c r="AA127" s="2435">
        <f>SUM(AA124:AA126)</f>
        <v>0.77794657104520859</v>
      </c>
      <c r="AB127" s="2427"/>
      <c r="AC127" s="2090"/>
      <c r="AD127" s="2346"/>
      <c r="AE127" s="1932"/>
      <c r="AF127" s="1932"/>
      <c r="AG127" s="1932"/>
    </row>
    <row r="128" spans="1:39" ht="46.5" customHeight="1">
      <c r="A128" s="2650" t="s">
        <v>789</v>
      </c>
      <c r="B128" s="2651"/>
      <c r="C128" s="2651"/>
      <c r="D128" s="2651"/>
      <c r="E128" s="2651"/>
      <c r="F128" s="2652"/>
      <c r="K128" s="2058"/>
      <c r="U128" s="2438"/>
      <c r="V128" s="2373"/>
      <c r="Y128" s="2439"/>
      <c r="Z128" s="2440"/>
      <c r="AE128" s="1932"/>
      <c r="AF128" s="1932"/>
      <c r="AG128" s="1932"/>
    </row>
    <row r="129" spans="1:33" s="1932" customFormat="1" ht="46.5" customHeight="1">
      <c r="A129" s="2644" t="s">
        <v>1339</v>
      </c>
      <c r="B129" s="2645"/>
      <c r="C129" s="2645"/>
      <c r="D129" s="2645"/>
      <c r="E129" s="2645"/>
      <c r="F129" s="2646"/>
      <c r="G129" s="2372"/>
      <c r="H129" s="2372"/>
      <c r="I129" s="2372"/>
      <c r="J129" s="2058"/>
      <c r="K129" s="2058"/>
      <c r="N129" s="2058"/>
      <c r="O129" s="2374"/>
      <c r="P129" s="2436"/>
      <c r="Q129" s="2377"/>
      <c r="R129" s="2058"/>
      <c r="S129" s="2437"/>
      <c r="T129" s="2372"/>
      <c r="U129" s="2372"/>
      <c r="V129" s="2372"/>
      <c r="W129" s="2372"/>
      <c r="X129" s="2381"/>
      <c r="Y129" s="2381"/>
      <c r="Z129" s="2381"/>
      <c r="AA129" s="2058"/>
      <c r="AB129" s="2374"/>
      <c r="AC129" s="2436"/>
      <c r="AD129" s="2441"/>
    </row>
    <row r="130" spans="1:33" s="1932" customFormat="1" ht="24" customHeight="1">
      <c r="C130" s="2058"/>
      <c r="D130" s="2058"/>
      <c r="F130" s="2372"/>
      <c r="G130" s="2372"/>
      <c r="H130" s="2372"/>
      <c r="I130" s="2372"/>
      <c r="J130" s="2058"/>
      <c r="N130" s="2058"/>
      <c r="O130" s="2374"/>
      <c r="P130" s="2436"/>
      <c r="Q130" s="2377"/>
      <c r="R130" s="2058"/>
      <c r="S130" s="2437"/>
      <c r="T130" s="2372"/>
      <c r="U130" s="2372"/>
      <c r="V130" s="2372"/>
      <c r="W130" s="2372"/>
      <c r="X130" s="2381"/>
      <c r="Y130" s="2381"/>
      <c r="Z130" s="2381"/>
      <c r="AA130" s="2058"/>
      <c r="AB130" s="2374"/>
      <c r="AC130" s="2436"/>
      <c r="AD130" s="2441"/>
      <c r="AE130" s="2058"/>
      <c r="AF130" s="2058"/>
      <c r="AG130" s="2058"/>
    </row>
    <row r="131" spans="1:33" s="1932" customFormat="1" ht="18.75" customHeight="1">
      <c r="A131" s="2386" t="s">
        <v>790</v>
      </c>
      <c r="B131" s="2386"/>
      <c r="C131" s="2442"/>
      <c r="D131" s="2442"/>
      <c r="E131" s="2443"/>
      <c r="F131" s="2444"/>
      <c r="G131" s="2372"/>
      <c r="H131" s="2372"/>
      <c r="I131" s="2372"/>
      <c r="J131" s="2445"/>
      <c r="K131" s="2446"/>
      <c r="N131" s="2058"/>
      <c r="O131" s="2374"/>
      <c r="P131" s="2436"/>
      <c r="Q131" s="2447"/>
      <c r="R131" s="2058"/>
      <c r="S131" s="2437"/>
      <c r="T131" s="2372"/>
      <c r="U131" s="2372"/>
      <c r="V131" s="2372"/>
      <c r="W131" s="2372"/>
      <c r="X131" s="2381"/>
      <c r="Y131" s="2381"/>
      <c r="Z131" s="2381"/>
      <c r="AA131" s="2058"/>
      <c r="AB131" s="2374"/>
      <c r="AC131" s="2436"/>
      <c r="AD131" s="2441"/>
    </row>
    <row r="132" spans="1:33" s="1932" customFormat="1" ht="20.25" customHeight="1">
      <c r="A132" s="1921" t="s">
        <v>231</v>
      </c>
      <c r="B132" s="1921"/>
      <c r="C132" s="1922"/>
      <c r="D132" s="2448"/>
      <c r="E132" s="2449"/>
      <c r="F132" s="2400"/>
      <c r="G132" s="2372"/>
      <c r="H132" s="2372"/>
      <c r="I132" s="2372"/>
      <c r="J132" s="2058"/>
      <c r="K132" s="2401"/>
      <c r="N132" s="2058"/>
      <c r="O132" s="2374"/>
      <c r="P132" s="2436"/>
      <c r="Q132" s="2377"/>
      <c r="R132" s="2058"/>
      <c r="S132" s="2437"/>
      <c r="T132" s="2372"/>
      <c r="U132" s="2372"/>
      <c r="V132" s="2373"/>
      <c r="W132" s="2372"/>
      <c r="X132" s="2381"/>
      <c r="Y132" s="2381"/>
      <c r="Z132" s="2440"/>
      <c r="AA132" s="2058"/>
      <c r="AB132" s="2374"/>
      <c r="AC132" s="2436"/>
      <c r="AD132" s="2441"/>
    </row>
    <row r="133" spans="1:33" s="1932" customFormat="1" ht="12" customHeight="1">
      <c r="A133" s="1921" t="s">
        <v>38</v>
      </c>
      <c r="B133" s="1921"/>
      <c r="C133" s="1922"/>
      <c r="D133" s="2450"/>
      <c r="E133" s="1921"/>
      <c r="F133" s="2400"/>
      <c r="G133" s="2372"/>
      <c r="H133" s="2372"/>
      <c r="I133" s="2372"/>
      <c r="J133" s="2058"/>
      <c r="K133" s="2401"/>
      <c r="N133" s="2058"/>
      <c r="O133" s="2374"/>
      <c r="P133" s="2436"/>
      <c r="Q133" s="2377"/>
      <c r="R133" s="2058"/>
      <c r="S133" s="2437"/>
      <c r="T133" s="2372"/>
      <c r="U133" s="2372"/>
      <c r="V133" s="2372"/>
      <c r="W133" s="2372"/>
      <c r="X133" s="2381"/>
      <c r="Y133" s="2381"/>
      <c r="Z133" s="2381"/>
      <c r="AA133" s="2058"/>
      <c r="AB133" s="2374"/>
      <c r="AC133" s="2436"/>
      <c r="AD133" s="2441"/>
    </row>
    <row r="134" spans="1:33" s="1932" customFormat="1" ht="17.25" customHeight="1">
      <c r="A134" s="1921" t="s">
        <v>246</v>
      </c>
      <c r="B134" s="1921"/>
      <c r="C134" s="1922"/>
      <c r="D134" s="1922"/>
      <c r="E134" s="1921"/>
      <c r="F134" s="2400"/>
      <c r="G134" s="2372"/>
      <c r="H134" s="2372"/>
      <c r="I134" s="2372"/>
      <c r="J134" s="2058"/>
      <c r="K134" s="2401"/>
      <c r="N134" s="2058"/>
      <c r="O134" s="2374"/>
      <c r="P134" s="2436"/>
      <c r="Q134" s="2377"/>
      <c r="R134" s="2058"/>
      <c r="S134" s="2437"/>
      <c r="T134" s="2372"/>
      <c r="U134" s="2372"/>
      <c r="V134" s="2372"/>
      <c r="W134" s="2372"/>
      <c r="X134" s="2381"/>
      <c r="Y134" s="2381"/>
      <c r="Z134" s="2381"/>
      <c r="AA134" s="2058"/>
      <c r="AB134" s="2374"/>
      <c r="AC134" s="2436"/>
      <c r="AD134" s="2441"/>
    </row>
    <row r="135" spans="1:33" s="1932" customFormat="1" ht="14.25" customHeight="1">
      <c r="A135" s="1921" t="s">
        <v>33</v>
      </c>
      <c r="B135" s="1921"/>
      <c r="C135" s="1922"/>
      <c r="D135" s="1922"/>
      <c r="E135" s="1921"/>
      <c r="F135" s="2400"/>
      <c r="G135" s="2372"/>
      <c r="H135" s="2372"/>
      <c r="I135" s="2372"/>
      <c r="J135" s="2058"/>
      <c r="K135" s="2401"/>
      <c r="N135" s="2058"/>
      <c r="O135" s="2374"/>
      <c r="P135" s="2436"/>
      <c r="Q135" s="2377"/>
      <c r="R135" s="2058"/>
      <c r="S135" s="2437"/>
      <c r="T135" s="2372"/>
      <c r="U135" s="2372"/>
      <c r="V135" s="2372"/>
      <c r="W135" s="2372"/>
      <c r="X135" s="2381"/>
      <c r="Y135" s="2381"/>
      <c r="Z135" s="2381"/>
      <c r="AA135" s="2058"/>
      <c r="AB135" s="2374"/>
      <c r="AC135" s="2436"/>
      <c r="AD135" s="2441"/>
    </row>
    <row r="136" spans="1:33" s="1932" customFormat="1" ht="15" customHeight="1">
      <c r="A136" s="1921" t="s">
        <v>40</v>
      </c>
      <c r="B136" s="1921"/>
      <c r="C136" s="1922"/>
      <c r="D136" s="1922"/>
      <c r="E136" s="1921"/>
      <c r="F136" s="2400"/>
      <c r="G136" s="2372"/>
      <c r="H136" s="2372"/>
      <c r="I136" s="2372"/>
      <c r="J136" s="2058"/>
      <c r="K136" s="2401"/>
      <c r="N136" s="2058"/>
      <c r="O136" s="2374"/>
      <c r="P136" s="2436"/>
      <c r="Q136" s="2377"/>
      <c r="R136" s="2058"/>
      <c r="S136" s="2437"/>
      <c r="T136" s="2372"/>
      <c r="U136" s="2372"/>
      <c r="V136" s="2372"/>
      <c r="W136" s="2372"/>
      <c r="X136" s="2381"/>
      <c r="Y136" s="2381"/>
      <c r="Z136" s="2381"/>
      <c r="AA136" s="2058"/>
      <c r="AB136" s="2374"/>
      <c r="AC136" s="2436"/>
      <c r="AD136" s="2441"/>
    </row>
    <row r="137" spans="1:33" s="1932" customFormat="1" ht="18" customHeight="1">
      <c r="A137" s="1921" t="s">
        <v>50</v>
      </c>
      <c r="B137" s="1921"/>
      <c r="C137" s="1922"/>
      <c r="D137" s="1922"/>
      <c r="E137" s="1921"/>
      <c r="F137" s="2400"/>
      <c r="G137" s="2372"/>
      <c r="H137" s="2372"/>
      <c r="I137" s="2372"/>
      <c r="J137" s="2058"/>
      <c r="K137" s="2401"/>
      <c r="N137" s="2058"/>
      <c r="O137" s="2374"/>
      <c r="P137" s="2436"/>
      <c r="Q137" s="2377"/>
      <c r="R137" s="2058"/>
      <c r="S137" s="2437"/>
      <c r="T137" s="2372"/>
      <c r="U137" s="2372"/>
      <c r="V137" s="2372"/>
      <c r="W137" s="2372"/>
      <c r="X137" s="2381"/>
      <c r="Y137" s="2381"/>
      <c r="Z137" s="2381"/>
      <c r="AA137" s="2058"/>
      <c r="AB137" s="2374"/>
      <c r="AC137" s="2436"/>
      <c r="AD137" s="2441"/>
    </row>
    <row r="138" spans="1:33" s="1932" customFormat="1" ht="18" customHeight="1">
      <c r="A138" s="2451" t="s">
        <v>263</v>
      </c>
      <c r="B138" s="2451"/>
      <c r="C138" s="2452"/>
      <c r="D138" s="2453"/>
      <c r="E138" s="2451"/>
      <c r="F138" s="2454"/>
      <c r="G138" s="2372"/>
      <c r="H138" s="2372"/>
      <c r="I138" s="2372"/>
      <c r="J138" s="2058"/>
      <c r="K138" s="2455"/>
      <c r="N138" s="2058"/>
      <c r="O138" s="2374"/>
      <c r="P138" s="2436"/>
      <c r="Q138" s="2377"/>
      <c r="R138" s="2058"/>
      <c r="S138" s="2437"/>
      <c r="T138" s="2372"/>
      <c r="U138" s="2372"/>
      <c r="V138" s="2372"/>
      <c r="W138" s="2372"/>
      <c r="X138" s="2381"/>
      <c r="Y138" s="2381"/>
      <c r="Z138" s="2381"/>
      <c r="AA138" s="2058"/>
      <c r="AB138" s="2374"/>
      <c r="AC138" s="2436"/>
      <c r="AD138" s="2441"/>
    </row>
  </sheetData>
  <mergeCells count="31">
    <mergeCell ref="K10:N10"/>
    <mergeCell ref="T10:W10"/>
    <mergeCell ref="X10:AA10"/>
    <mergeCell ref="A120:D120"/>
    <mergeCell ref="A12:A37"/>
    <mergeCell ref="A38:A43"/>
    <mergeCell ref="A44:A61"/>
    <mergeCell ref="A71:D71"/>
    <mergeCell ref="A72:C72"/>
    <mergeCell ref="A73:D73"/>
    <mergeCell ref="A113:D113"/>
    <mergeCell ref="A114:E115"/>
    <mergeCell ref="A117:E117"/>
    <mergeCell ref="A118:E118"/>
    <mergeCell ref="A119:E119"/>
    <mergeCell ref="A11:D11"/>
    <mergeCell ref="A10:D10"/>
    <mergeCell ref="F10:I10"/>
    <mergeCell ref="A129:F129"/>
    <mergeCell ref="W122:W123"/>
    <mergeCell ref="Y122:Y123"/>
    <mergeCell ref="Z122:Z123"/>
    <mergeCell ref="AA122:AA123"/>
    <mergeCell ref="A124:F124"/>
    <mergeCell ref="A128:F128"/>
    <mergeCell ref="I122:I123"/>
    <mergeCell ref="J122:J123"/>
    <mergeCell ref="N122:N123"/>
    <mergeCell ref="R122:R123"/>
    <mergeCell ref="U122:U123"/>
    <mergeCell ref="V122:V123"/>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categories</xm:f>
          </x14:formula1>
          <xm:sqref>D82:D84 JH82:JH84 TD82:TD84 ACZ82:ACZ84 AMV82:AMV84 AWR82:AWR84 BGN82:BGN84 BQJ82:BQJ84 CAF82:CAF84 CKB82:CKB84 CTX82:CTX84 DDT82:DDT84 DNP82:DNP84 DXL82:DXL84 EHH82:EHH84 ERD82:ERD84 FAZ82:FAZ84 FKV82:FKV84 FUR82:FUR84 GEN82:GEN84 GOJ82:GOJ84 GYF82:GYF84 HIB82:HIB84 HRX82:HRX84 IBT82:IBT84 ILP82:ILP84 IVL82:IVL84 JFH82:JFH84 JPD82:JPD84 JYZ82:JYZ84 KIV82:KIV84 KSR82:KSR84 LCN82:LCN84 LMJ82:LMJ84 LWF82:LWF84 MGB82:MGB84 MPX82:MPX84 MZT82:MZT84 NJP82:NJP84 NTL82:NTL84 ODH82:ODH84 OND82:OND84 OWZ82:OWZ84 PGV82:PGV84 PQR82:PQR84 QAN82:QAN84 QKJ82:QKJ84 QUF82:QUF84 REB82:REB84 RNX82:RNX84 RXT82:RXT84 SHP82:SHP84 SRL82:SRL84 TBH82:TBH84 TLD82:TLD84 TUZ82:TUZ84 UEV82:UEV84 UOR82:UOR84 UYN82:UYN84 VIJ82:VIJ84 VSF82:VSF84 WCB82:WCB84 WLX82:WLX84 WVT82:WVT84 D65618:D65620 JH65618:JH65620 TD65618:TD65620 ACZ65618:ACZ65620 AMV65618:AMV65620 AWR65618:AWR65620 BGN65618:BGN65620 BQJ65618:BQJ65620 CAF65618:CAF65620 CKB65618:CKB65620 CTX65618:CTX65620 DDT65618:DDT65620 DNP65618:DNP65620 DXL65618:DXL65620 EHH65618:EHH65620 ERD65618:ERD65620 FAZ65618:FAZ65620 FKV65618:FKV65620 FUR65618:FUR65620 GEN65618:GEN65620 GOJ65618:GOJ65620 GYF65618:GYF65620 HIB65618:HIB65620 HRX65618:HRX65620 IBT65618:IBT65620 ILP65618:ILP65620 IVL65618:IVL65620 JFH65618:JFH65620 JPD65618:JPD65620 JYZ65618:JYZ65620 KIV65618:KIV65620 KSR65618:KSR65620 LCN65618:LCN65620 LMJ65618:LMJ65620 LWF65618:LWF65620 MGB65618:MGB65620 MPX65618:MPX65620 MZT65618:MZT65620 NJP65618:NJP65620 NTL65618:NTL65620 ODH65618:ODH65620 OND65618:OND65620 OWZ65618:OWZ65620 PGV65618:PGV65620 PQR65618:PQR65620 QAN65618:QAN65620 QKJ65618:QKJ65620 QUF65618:QUF65620 REB65618:REB65620 RNX65618:RNX65620 RXT65618:RXT65620 SHP65618:SHP65620 SRL65618:SRL65620 TBH65618:TBH65620 TLD65618:TLD65620 TUZ65618:TUZ65620 UEV65618:UEV65620 UOR65618:UOR65620 UYN65618:UYN65620 VIJ65618:VIJ65620 VSF65618:VSF65620 WCB65618:WCB65620 WLX65618:WLX65620 WVT65618:WVT65620 D131154:D131156 JH131154:JH131156 TD131154:TD131156 ACZ131154:ACZ131156 AMV131154:AMV131156 AWR131154:AWR131156 BGN131154:BGN131156 BQJ131154:BQJ131156 CAF131154:CAF131156 CKB131154:CKB131156 CTX131154:CTX131156 DDT131154:DDT131156 DNP131154:DNP131156 DXL131154:DXL131156 EHH131154:EHH131156 ERD131154:ERD131156 FAZ131154:FAZ131156 FKV131154:FKV131156 FUR131154:FUR131156 GEN131154:GEN131156 GOJ131154:GOJ131156 GYF131154:GYF131156 HIB131154:HIB131156 HRX131154:HRX131156 IBT131154:IBT131156 ILP131154:ILP131156 IVL131154:IVL131156 JFH131154:JFH131156 JPD131154:JPD131156 JYZ131154:JYZ131156 KIV131154:KIV131156 KSR131154:KSR131156 LCN131154:LCN131156 LMJ131154:LMJ131156 LWF131154:LWF131156 MGB131154:MGB131156 MPX131154:MPX131156 MZT131154:MZT131156 NJP131154:NJP131156 NTL131154:NTL131156 ODH131154:ODH131156 OND131154:OND131156 OWZ131154:OWZ131156 PGV131154:PGV131156 PQR131154:PQR131156 QAN131154:QAN131156 QKJ131154:QKJ131156 QUF131154:QUF131156 REB131154:REB131156 RNX131154:RNX131156 RXT131154:RXT131156 SHP131154:SHP131156 SRL131154:SRL131156 TBH131154:TBH131156 TLD131154:TLD131156 TUZ131154:TUZ131156 UEV131154:UEV131156 UOR131154:UOR131156 UYN131154:UYN131156 VIJ131154:VIJ131156 VSF131154:VSF131156 WCB131154:WCB131156 WLX131154:WLX131156 WVT131154:WVT131156 D196690:D196692 JH196690:JH196692 TD196690:TD196692 ACZ196690:ACZ196692 AMV196690:AMV196692 AWR196690:AWR196692 BGN196690:BGN196692 BQJ196690:BQJ196692 CAF196690:CAF196692 CKB196690:CKB196692 CTX196690:CTX196692 DDT196690:DDT196692 DNP196690:DNP196692 DXL196690:DXL196692 EHH196690:EHH196692 ERD196690:ERD196692 FAZ196690:FAZ196692 FKV196690:FKV196692 FUR196690:FUR196692 GEN196690:GEN196692 GOJ196690:GOJ196692 GYF196690:GYF196692 HIB196690:HIB196692 HRX196690:HRX196692 IBT196690:IBT196692 ILP196690:ILP196692 IVL196690:IVL196692 JFH196690:JFH196692 JPD196690:JPD196692 JYZ196690:JYZ196692 KIV196690:KIV196692 KSR196690:KSR196692 LCN196690:LCN196692 LMJ196690:LMJ196692 LWF196690:LWF196692 MGB196690:MGB196692 MPX196690:MPX196692 MZT196690:MZT196692 NJP196690:NJP196692 NTL196690:NTL196692 ODH196690:ODH196692 OND196690:OND196692 OWZ196690:OWZ196692 PGV196690:PGV196692 PQR196690:PQR196692 QAN196690:QAN196692 QKJ196690:QKJ196692 QUF196690:QUF196692 REB196690:REB196692 RNX196690:RNX196692 RXT196690:RXT196692 SHP196690:SHP196692 SRL196690:SRL196692 TBH196690:TBH196692 TLD196690:TLD196692 TUZ196690:TUZ196692 UEV196690:UEV196692 UOR196690:UOR196692 UYN196690:UYN196692 VIJ196690:VIJ196692 VSF196690:VSF196692 WCB196690:WCB196692 WLX196690:WLX196692 WVT196690:WVT196692 D262226:D262228 JH262226:JH262228 TD262226:TD262228 ACZ262226:ACZ262228 AMV262226:AMV262228 AWR262226:AWR262228 BGN262226:BGN262228 BQJ262226:BQJ262228 CAF262226:CAF262228 CKB262226:CKB262228 CTX262226:CTX262228 DDT262226:DDT262228 DNP262226:DNP262228 DXL262226:DXL262228 EHH262226:EHH262228 ERD262226:ERD262228 FAZ262226:FAZ262228 FKV262226:FKV262228 FUR262226:FUR262228 GEN262226:GEN262228 GOJ262226:GOJ262228 GYF262226:GYF262228 HIB262226:HIB262228 HRX262226:HRX262228 IBT262226:IBT262228 ILP262226:ILP262228 IVL262226:IVL262228 JFH262226:JFH262228 JPD262226:JPD262228 JYZ262226:JYZ262228 KIV262226:KIV262228 KSR262226:KSR262228 LCN262226:LCN262228 LMJ262226:LMJ262228 LWF262226:LWF262228 MGB262226:MGB262228 MPX262226:MPX262228 MZT262226:MZT262228 NJP262226:NJP262228 NTL262226:NTL262228 ODH262226:ODH262228 OND262226:OND262228 OWZ262226:OWZ262228 PGV262226:PGV262228 PQR262226:PQR262228 QAN262226:QAN262228 QKJ262226:QKJ262228 QUF262226:QUF262228 REB262226:REB262228 RNX262226:RNX262228 RXT262226:RXT262228 SHP262226:SHP262228 SRL262226:SRL262228 TBH262226:TBH262228 TLD262226:TLD262228 TUZ262226:TUZ262228 UEV262226:UEV262228 UOR262226:UOR262228 UYN262226:UYN262228 VIJ262226:VIJ262228 VSF262226:VSF262228 WCB262226:WCB262228 WLX262226:WLX262228 WVT262226:WVT262228 D327762:D327764 JH327762:JH327764 TD327762:TD327764 ACZ327762:ACZ327764 AMV327762:AMV327764 AWR327762:AWR327764 BGN327762:BGN327764 BQJ327762:BQJ327764 CAF327762:CAF327764 CKB327762:CKB327764 CTX327762:CTX327764 DDT327762:DDT327764 DNP327762:DNP327764 DXL327762:DXL327764 EHH327762:EHH327764 ERD327762:ERD327764 FAZ327762:FAZ327764 FKV327762:FKV327764 FUR327762:FUR327764 GEN327762:GEN327764 GOJ327762:GOJ327764 GYF327762:GYF327764 HIB327762:HIB327764 HRX327762:HRX327764 IBT327762:IBT327764 ILP327762:ILP327764 IVL327762:IVL327764 JFH327762:JFH327764 JPD327762:JPD327764 JYZ327762:JYZ327764 KIV327762:KIV327764 KSR327762:KSR327764 LCN327762:LCN327764 LMJ327762:LMJ327764 LWF327762:LWF327764 MGB327762:MGB327764 MPX327762:MPX327764 MZT327762:MZT327764 NJP327762:NJP327764 NTL327762:NTL327764 ODH327762:ODH327764 OND327762:OND327764 OWZ327762:OWZ327764 PGV327762:PGV327764 PQR327762:PQR327764 QAN327762:QAN327764 QKJ327762:QKJ327764 QUF327762:QUF327764 REB327762:REB327764 RNX327762:RNX327764 RXT327762:RXT327764 SHP327762:SHP327764 SRL327762:SRL327764 TBH327762:TBH327764 TLD327762:TLD327764 TUZ327762:TUZ327764 UEV327762:UEV327764 UOR327762:UOR327764 UYN327762:UYN327764 VIJ327762:VIJ327764 VSF327762:VSF327764 WCB327762:WCB327764 WLX327762:WLX327764 WVT327762:WVT327764 D393298:D393300 JH393298:JH393300 TD393298:TD393300 ACZ393298:ACZ393300 AMV393298:AMV393300 AWR393298:AWR393300 BGN393298:BGN393300 BQJ393298:BQJ393300 CAF393298:CAF393300 CKB393298:CKB393300 CTX393298:CTX393300 DDT393298:DDT393300 DNP393298:DNP393300 DXL393298:DXL393300 EHH393298:EHH393300 ERD393298:ERD393300 FAZ393298:FAZ393300 FKV393298:FKV393300 FUR393298:FUR393300 GEN393298:GEN393300 GOJ393298:GOJ393300 GYF393298:GYF393300 HIB393298:HIB393300 HRX393298:HRX393300 IBT393298:IBT393300 ILP393298:ILP393300 IVL393298:IVL393300 JFH393298:JFH393300 JPD393298:JPD393300 JYZ393298:JYZ393300 KIV393298:KIV393300 KSR393298:KSR393300 LCN393298:LCN393300 LMJ393298:LMJ393300 LWF393298:LWF393300 MGB393298:MGB393300 MPX393298:MPX393300 MZT393298:MZT393300 NJP393298:NJP393300 NTL393298:NTL393300 ODH393298:ODH393300 OND393298:OND393300 OWZ393298:OWZ393300 PGV393298:PGV393300 PQR393298:PQR393300 QAN393298:QAN393300 QKJ393298:QKJ393300 QUF393298:QUF393300 REB393298:REB393300 RNX393298:RNX393300 RXT393298:RXT393300 SHP393298:SHP393300 SRL393298:SRL393300 TBH393298:TBH393300 TLD393298:TLD393300 TUZ393298:TUZ393300 UEV393298:UEV393300 UOR393298:UOR393300 UYN393298:UYN393300 VIJ393298:VIJ393300 VSF393298:VSF393300 WCB393298:WCB393300 WLX393298:WLX393300 WVT393298:WVT393300 D458834:D458836 JH458834:JH458836 TD458834:TD458836 ACZ458834:ACZ458836 AMV458834:AMV458836 AWR458834:AWR458836 BGN458834:BGN458836 BQJ458834:BQJ458836 CAF458834:CAF458836 CKB458834:CKB458836 CTX458834:CTX458836 DDT458834:DDT458836 DNP458834:DNP458836 DXL458834:DXL458836 EHH458834:EHH458836 ERD458834:ERD458836 FAZ458834:FAZ458836 FKV458834:FKV458836 FUR458834:FUR458836 GEN458834:GEN458836 GOJ458834:GOJ458836 GYF458834:GYF458836 HIB458834:HIB458836 HRX458834:HRX458836 IBT458834:IBT458836 ILP458834:ILP458836 IVL458834:IVL458836 JFH458834:JFH458836 JPD458834:JPD458836 JYZ458834:JYZ458836 KIV458834:KIV458836 KSR458834:KSR458836 LCN458834:LCN458836 LMJ458834:LMJ458836 LWF458834:LWF458836 MGB458834:MGB458836 MPX458834:MPX458836 MZT458834:MZT458836 NJP458834:NJP458836 NTL458834:NTL458836 ODH458834:ODH458836 OND458834:OND458836 OWZ458834:OWZ458836 PGV458834:PGV458836 PQR458834:PQR458836 QAN458834:QAN458836 QKJ458834:QKJ458836 QUF458834:QUF458836 REB458834:REB458836 RNX458834:RNX458836 RXT458834:RXT458836 SHP458834:SHP458836 SRL458834:SRL458836 TBH458834:TBH458836 TLD458834:TLD458836 TUZ458834:TUZ458836 UEV458834:UEV458836 UOR458834:UOR458836 UYN458834:UYN458836 VIJ458834:VIJ458836 VSF458834:VSF458836 WCB458834:WCB458836 WLX458834:WLX458836 WVT458834:WVT458836 D524370:D524372 JH524370:JH524372 TD524370:TD524372 ACZ524370:ACZ524372 AMV524370:AMV524372 AWR524370:AWR524372 BGN524370:BGN524372 BQJ524370:BQJ524372 CAF524370:CAF524372 CKB524370:CKB524372 CTX524370:CTX524372 DDT524370:DDT524372 DNP524370:DNP524372 DXL524370:DXL524372 EHH524370:EHH524372 ERD524370:ERD524372 FAZ524370:FAZ524372 FKV524370:FKV524372 FUR524370:FUR524372 GEN524370:GEN524372 GOJ524370:GOJ524372 GYF524370:GYF524372 HIB524370:HIB524372 HRX524370:HRX524372 IBT524370:IBT524372 ILP524370:ILP524372 IVL524370:IVL524372 JFH524370:JFH524372 JPD524370:JPD524372 JYZ524370:JYZ524372 KIV524370:KIV524372 KSR524370:KSR524372 LCN524370:LCN524372 LMJ524370:LMJ524372 LWF524370:LWF524372 MGB524370:MGB524372 MPX524370:MPX524372 MZT524370:MZT524372 NJP524370:NJP524372 NTL524370:NTL524372 ODH524370:ODH524372 OND524370:OND524372 OWZ524370:OWZ524372 PGV524370:PGV524372 PQR524370:PQR524372 QAN524370:QAN524372 QKJ524370:QKJ524372 QUF524370:QUF524372 REB524370:REB524372 RNX524370:RNX524372 RXT524370:RXT524372 SHP524370:SHP524372 SRL524370:SRL524372 TBH524370:TBH524372 TLD524370:TLD524372 TUZ524370:TUZ524372 UEV524370:UEV524372 UOR524370:UOR524372 UYN524370:UYN524372 VIJ524370:VIJ524372 VSF524370:VSF524372 WCB524370:WCB524372 WLX524370:WLX524372 WVT524370:WVT524372 D589906:D589908 JH589906:JH589908 TD589906:TD589908 ACZ589906:ACZ589908 AMV589906:AMV589908 AWR589906:AWR589908 BGN589906:BGN589908 BQJ589906:BQJ589908 CAF589906:CAF589908 CKB589906:CKB589908 CTX589906:CTX589908 DDT589906:DDT589908 DNP589906:DNP589908 DXL589906:DXL589908 EHH589906:EHH589908 ERD589906:ERD589908 FAZ589906:FAZ589908 FKV589906:FKV589908 FUR589906:FUR589908 GEN589906:GEN589908 GOJ589906:GOJ589908 GYF589906:GYF589908 HIB589906:HIB589908 HRX589906:HRX589908 IBT589906:IBT589908 ILP589906:ILP589908 IVL589906:IVL589908 JFH589906:JFH589908 JPD589906:JPD589908 JYZ589906:JYZ589908 KIV589906:KIV589908 KSR589906:KSR589908 LCN589906:LCN589908 LMJ589906:LMJ589908 LWF589906:LWF589908 MGB589906:MGB589908 MPX589906:MPX589908 MZT589906:MZT589908 NJP589906:NJP589908 NTL589906:NTL589908 ODH589906:ODH589908 OND589906:OND589908 OWZ589906:OWZ589908 PGV589906:PGV589908 PQR589906:PQR589908 QAN589906:QAN589908 QKJ589906:QKJ589908 QUF589906:QUF589908 REB589906:REB589908 RNX589906:RNX589908 RXT589906:RXT589908 SHP589906:SHP589908 SRL589906:SRL589908 TBH589906:TBH589908 TLD589906:TLD589908 TUZ589906:TUZ589908 UEV589906:UEV589908 UOR589906:UOR589908 UYN589906:UYN589908 VIJ589906:VIJ589908 VSF589906:VSF589908 WCB589906:WCB589908 WLX589906:WLX589908 WVT589906:WVT589908 D655442:D655444 JH655442:JH655444 TD655442:TD655444 ACZ655442:ACZ655444 AMV655442:AMV655444 AWR655442:AWR655444 BGN655442:BGN655444 BQJ655442:BQJ655444 CAF655442:CAF655444 CKB655442:CKB655444 CTX655442:CTX655444 DDT655442:DDT655444 DNP655442:DNP655444 DXL655442:DXL655444 EHH655442:EHH655444 ERD655442:ERD655444 FAZ655442:FAZ655444 FKV655442:FKV655444 FUR655442:FUR655444 GEN655442:GEN655444 GOJ655442:GOJ655444 GYF655442:GYF655444 HIB655442:HIB655444 HRX655442:HRX655444 IBT655442:IBT655444 ILP655442:ILP655444 IVL655442:IVL655444 JFH655442:JFH655444 JPD655442:JPD655444 JYZ655442:JYZ655444 KIV655442:KIV655444 KSR655442:KSR655444 LCN655442:LCN655444 LMJ655442:LMJ655444 LWF655442:LWF655444 MGB655442:MGB655444 MPX655442:MPX655444 MZT655442:MZT655444 NJP655442:NJP655444 NTL655442:NTL655444 ODH655442:ODH655444 OND655442:OND655444 OWZ655442:OWZ655444 PGV655442:PGV655444 PQR655442:PQR655444 QAN655442:QAN655444 QKJ655442:QKJ655444 QUF655442:QUF655444 REB655442:REB655444 RNX655442:RNX655444 RXT655442:RXT655444 SHP655442:SHP655444 SRL655442:SRL655444 TBH655442:TBH655444 TLD655442:TLD655444 TUZ655442:TUZ655444 UEV655442:UEV655444 UOR655442:UOR655444 UYN655442:UYN655444 VIJ655442:VIJ655444 VSF655442:VSF655444 WCB655442:WCB655444 WLX655442:WLX655444 WVT655442:WVT655444 D720978:D720980 JH720978:JH720980 TD720978:TD720980 ACZ720978:ACZ720980 AMV720978:AMV720980 AWR720978:AWR720980 BGN720978:BGN720980 BQJ720978:BQJ720980 CAF720978:CAF720980 CKB720978:CKB720980 CTX720978:CTX720980 DDT720978:DDT720980 DNP720978:DNP720980 DXL720978:DXL720980 EHH720978:EHH720980 ERD720978:ERD720980 FAZ720978:FAZ720980 FKV720978:FKV720980 FUR720978:FUR720980 GEN720978:GEN720980 GOJ720978:GOJ720980 GYF720978:GYF720980 HIB720978:HIB720980 HRX720978:HRX720980 IBT720978:IBT720980 ILP720978:ILP720980 IVL720978:IVL720980 JFH720978:JFH720980 JPD720978:JPD720980 JYZ720978:JYZ720980 KIV720978:KIV720980 KSR720978:KSR720980 LCN720978:LCN720980 LMJ720978:LMJ720980 LWF720978:LWF720980 MGB720978:MGB720980 MPX720978:MPX720980 MZT720978:MZT720980 NJP720978:NJP720980 NTL720978:NTL720980 ODH720978:ODH720980 OND720978:OND720980 OWZ720978:OWZ720980 PGV720978:PGV720980 PQR720978:PQR720980 QAN720978:QAN720980 QKJ720978:QKJ720980 QUF720978:QUF720980 REB720978:REB720980 RNX720978:RNX720980 RXT720978:RXT720980 SHP720978:SHP720980 SRL720978:SRL720980 TBH720978:TBH720980 TLD720978:TLD720980 TUZ720978:TUZ720980 UEV720978:UEV720980 UOR720978:UOR720980 UYN720978:UYN720980 VIJ720978:VIJ720980 VSF720978:VSF720980 WCB720978:WCB720980 WLX720978:WLX720980 WVT720978:WVT720980 D786514:D786516 JH786514:JH786516 TD786514:TD786516 ACZ786514:ACZ786516 AMV786514:AMV786516 AWR786514:AWR786516 BGN786514:BGN786516 BQJ786514:BQJ786516 CAF786514:CAF786516 CKB786514:CKB786516 CTX786514:CTX786516 DDT786514:DDT786516 DNP786514:DNP786516 DXL786514:DXL786516 EHH786514:EHH786516 ERD786514:ERD786516 FAZ786514:FAZ786516 FKV786514:FKV786516 FUR786514:FUR786516 GEN786514:GEN786516 GOJ786514:GOJ786516 GYF786514:GYF786516 HIB786514:HIB786516 HRX786514:HRX786516 IBT786514:IBT786516 ILP786514:ILP786516 IVL786514:IVL786516 JFH786514:JFH786516 JPD786514:JPD786516 JYZ786514:JYZ786516 KIV786514:KIV786516 KSR786514:KSR786516 LCN786514:LCN786516 LMJ786514:LMJ786516 LWF786514:LWF786516 MGB786514:MGB786516 MPX786514:MPX786516 MZT786514:MZT786516 NJP786514:NJP786516 NTL786514:NTL786516 ODH786514:ODH786516 OND786514:OND786516 OWZ786514:OWZ786516 PGV786514:PGV786516 PQR786514:PQR786516 QAN786514:QAN786516 QKJ786514:QKJ786516 QUF786514:QUF786516 REB786514:REB786516 RNX786514:RNX786516 RXT786514:RXT786516 SHP786514:SHP786516 SRL786514:SRL786516 TBH786514:TBH786516 TLD786514:TLD786516 TUZ786514:TUZ786516 UEV786514:UEV786516 UOR786514:UOR786516 UYN786514:UYN786516 VIJ786514:VIJ786516 VSF786514:VSF786516 WCB786514:WCB786516 WLX786514:WLX786516 WVT786514:WVT786516 D852050:D852052 JH852050:JH852052 TD852050:TD852052 ACZ852050:ACZ852052 AMV852050:AMV852052 AWR852050:AWR852052 BGN852050:BGN852052 BQJ852050:BQJ852052 CAF852050:CAF852052 CKB852050:CKB852052 CTX852050:CTX852052 DDT852050:DDT852052 DNP852050:DNP852052 DXL852050:DXL852052 EHH852050:EHH852052 ERD852050:ERD852052 FAZ852050:FAZ852052 FKV852050:FKV852052 FUR852050:FUR852052 GEN852050:GEN852052 GOJ852050:GOJ852052 GYF852050:GYF852052 HIB852050:HIB852052 HRX852050:HRX852052 IBT852050:IBT852052 ILP852050:ILP852052 IVL852050:IVL852052 JFH852050:JFH852052 JPD852050:JPD852052 JYZ852050:JYZ852052 KIV852050:KIV852052 KSR852050:KSR852052 LCN852050:LCN852052 LMJ852050:LMJ852052 LWF852050:LWF852052 MGB852050:MGB852052 MPX852050:MPX852052 MZT852050:MZT852052 NJP852050:NJP852052 NTL852050:NTL852052 ODH852050:ODH852052 OND852050:OND852052 OWZ852050:OWZ852052 PGV852050:PGV852052 PQR852050:PQR852052 QAN852050:QAN852052 QKJ852050:QKJ852052 QUF852050:QUF852052 REB852050:REB852052 RNX852050:RNX852052 RXT852050:RXT852052 SHP852050:SHP852052 SRL852050:SRL852052 TBH852050:TBH852052 TLD852050:TLD852052 TUZ852050:TUZ852052 UEV852050:UEV852052 UOR852050:UOR852052 UYN852050:UYN852052 VIJ852050:VIJ852052 VSF852050:VSF852052 WCB852050:WCB852052 WLX852050:WLX852052 WVT852050:WVT852052 D917586:D917588 JH917586:JH917588 TD917586:TD917588 ACZ917586:ACZ917588 AMV917586:AMV917588 AWR917586:AWR917588 BGN917586:BGN917588 BQJ917586:BQJ917588 CAF917586:CAF917588 CKB917586:CKB917588 CTX917586:CTX917588 DDT917586:DDT917588 DNP917586:DNP917588 DXL917586:DXL917588 EHH917586:EHH917588 ERD917586:ERD917588 FAZ917586:FAZ917588 FKV917586:FKV917588 FUR917586:FUR917588 GEN917586:GEN917588 GOJ917586:GOJ917588 GYF917586:GYF917588 HIB917586:HIB917588 HRX917586:HRX917588 IBT917586:IBT917588 ILP917586:ILP917588 IVL917586:IVL917588 JFH917586:JFH917588 JPD917586:JPD917588 JYZ917586:JYZ917588 KIV917586:KIV917588 KSR917586:KSR917588 LCN917586:LCN917588 LMJ917586:LMJ917588 LWF917586:LWF917588 MGB917586:MGB917588 MPX917586:MPX917588 MZT917586:MZT917588 NJP917586:NJP917588 NTL917586:NTL917588 ODH917586:ODH917588 OND917586:OND917588 OWZ917586:OWZ917588 PGV917586:PGV917588 PQR917586:PQR917588 QAN917586:QAN917588 QKJ917586:QKJ917588 QUF917586:QUF917588 REB917586:REB917588 RNX917586:RNX917588 RXT917586:RXT917588 SHP917586:SHP917588 SRL917586:SRL917588 TBH917586:TBH917588 TLD917586:TLD917588 TUZ917586:TUZ917588 UEV917586:UEV917588 UOR917586:UOR917588 UYN917586:UYN917588 VIJ917586:VIJ917588 VSF917586:VSF917588 WCB917586:WCB917588 WLX917586:WLX917588 WVT917586:WVT917588 D983122:D983124 JH983122:JH983124 TD983122:TD983124 ACZ983122:ACZ983124 AMV983122:AMV983124 AWR983122:AWR983124 BGN983122:BGN983124 BQJ983122:BQJ983124 CAF983122:CAF983124 CKB983122:CKB983124 CTX983122:CTX983124 DDT983122:DDT983124 DNP983122:DNP983124 DXL983122:DXL983124 EHH983122:EHH983124 ERD983122:ERD983124 FAZ983122:FAZ983124 FKV983122:FKV983124 FUR983122:FUR983124 GEN983122:GEN983124 GOJ983122:GOJ983124 GYF983122:GYF983124 HIB983122:HIB983124 HRX983122:HRX983124 IBT983122:IBT983124 ILP983122:ILP983124 IVL983122:IVL983124 JFH983122:JFH983124 JPD983122:JPD983124 JYZ983122:JYZ983124 KIV983122:KIV983124 KSR983122:KSR983124 LCN983122:LCN983124 LMJ983122:LMJ983124 LWF983122:LWF983124 MGB983122:MGB983124 MPX983122:MPX983124 MZT983122:MZT983124 NJP983122:NJP983124 NTL983122:NTL983124 ODH983122:ODH983124 OND983122:OND983124 OWZ983122:OWZ983124 PGV983122:PGV983124 PQR983122:PQR983124 QAN983122:QAN983124 QKJ983122:QKJ983124 QUF983122:QUF983124 REB983122:REB983124 RNX983122:RNX983124 RXT983122:RXT983124 SHP983122:SHP983124 SRL983122:SRL983124 TBH983122:TBH983124 TLD983122:TLD983124 TUZ983122:TUZ983124 UEV983122:UEV983124 UOR983122:UOR983124 UYN983122:UYN983124 VIJ983122:VIJ983124 VSF983122:VSF983124 WCB983122:WCB983124 WLX983122:WLX983124 WVT983122:WVT983124 D106:D108 JH106:JH108 TD106:TD108 ACZ106:ACZ108 AMV106:AMV108 AWR106:AWR108 BGN106:BGN108 BQJ106:BQJ108 CAF106:CAF108 CKB106:CKB108 CTX106:CTX108 DDT106:DDT108 DNP106:DNP108 DXL106:DXL108 EHH106:EHH108 ERD106:ERD108 FAZ106:FAZ108 FKV106:FKV108 FUR106:FUR108 GEN106:GEN108 GOJ106:GOJ108 GYF106:GYF108 HIB106:HIB108 HRX106:HRX108 IBT106:IBT108 ILP106:ILP108 IVL106:IVL108 JFH106:JFH108 JPD106:JPD108 JYZ106:JYZ108 KIV106:KIV108 KSR106:KSR108 LCN106:LCN108 LMJ106:LMJ108 LWF106:LWF108 MGB106:MGB108 MPX106:MPX108 MZT106:MZT108 NJP106:NJP108 NTL106:NTL108 ODH106:ODH108 OND106:OND108 OWZ106:OWZ108 PGV106:PGV108 PQR106:PQR108 QAN106:QAN108 QKJ106:QKJ108 QUF106:QUF108 REB106:REB108 RNX106:RNX108 RXT106:RXT108 SHP106:SHP108 SRL106:SRL108 TBH106:TBH108 TLD106:TLD108 TUZ106:TUZ108 UEV106:UEV108 UOR106:UOR108 UYN106:UYN108 VIJ106:VIJ108 VSF106:VSF108 WCB106:WCB108 WLX106:WLX108 WVT106:WVT108 D65642:D65644 JH65642:JH65644 TD65642:TD65644 ACZ65642:ACZ65644 AMV65642:AMV65644 AWR65642:AWR65644 BGN65642:BGN65644 BQJ65642:BQJ65644 CAF65642:CAF65644 CKB65642:CKB65644 CTX65642:CTX65644 DDT65642:DDT65644 DNP65642:DNP65644 DXL65642:DXL65644 EHH65642:EHH65644 ERD65642:ERD65644 FAZ65642:FAZ65644 FKV65642:FKV65644 FUR65642:FUR65644 GEN65642:GEN65644 GOJ65642:GOJ65644 GYF65642:GYF65644 HIB65642:HIB65644 HRX65642:HRX65644 IBT65642:IBT65644 ILP65642:ILP65644 IVL65642:IVL65644 JFH65642:JFH65644 JPD65642:JPD65644 JYZ65642:JYZ65644 KIV65642:KIV65644 KSR65642:KSR65644 LCN65642:LCN65644 LMJ65642:LMJ65644 LWF65642:LWF65644 MGB65642:MGB65644 MPX65642:MPX65644 MZT65642:MZT65644 NJP65642:NJP65644 NTL65642:NTL65644 ODH65642:ODH65644 OND65642:OND65644 OWZ65642:OWZ65644 PGV65642:PGV65644 PQR65642:PQR65644 QAN65642:QAN65644 QKJ65642:QKJ65644 QUF65642:QUF65644 REB65642:REB65644 RNX65642:RNX65644 RXT65642:RXT65644 SHP65642:SHP65644 SRL65642:SRL65644 TBH65642:TBH65644 TLD65642:TLD65644 TUZ65642:TUZ65644 UEV65642:UEV65644 UOR65642:UOR65644 UYN65642:UYN65644 VIJ65642:VIJ65644 VSF65642:VSF65644 WCB65642:WCB65644 WLX65642:WLX65644 WVT65642:WVT65644 D131178:D131180 JH131178:JH131180 TD131178:TD131180 ACZ131178:ACZ131180 AMV131178:AMV131180 AWR131178:AWR131180 BGN131178:BGN131180 BQJ131178:BQJ131180 CAF131178:CAF131180 CKB131178:CKB131180 CTX131178:CTX131180 DDT131178:DDT131180 DNP131178:DNP131180 DXL131178:DXL131180 EHH131178:EHH131180 ERD131178:ERD131180 FAZ131178:FAZ131180 FKV131178:FKV131180 FUR131178:FUR131180 GEN131178:GEN131180 GOJ131178:GOJ131180 GYF131178:GYF131180 HIB131178:HIB131180 HRX131178:HRX131180 IBT131178:IBT131180 ILP131178:ILP131180 IVL131178:IVL131180 JFH131178:JFH131180 JPD131178:JPD131180 JYZ131178:JYZ131180 KIV131178:KIV131180 KSR131178:KSR131180 LCN131178:LCN131180 LMJ131178:LMJ131180 LWF131178:LWF131180 MGB131178:MGB131180 MPX131178:MPX131180 MZT131178:MZT131180 NJP131178:NJP131180 NTL131178:NTL131180 ODH131178:ODH131180 OND131178:OND131180 OWZ131178:OWZ131180 PGV131178:PGV131180 PQR131178:PQR131180 QAN131178:QAN131180 QKJ131178:QKJ131180 QUF131178:QUF131180 REB131178:REB131180 RNX131178:RNX131180 RXT131178:RXT131180 SHP131178:SHP131180 SRL131178:SRL131180 TBH131178:TBH131180 TLD131178:TLD131180 TUZ131178:TUZ131180 UEV131178:UEV131180 UOR131178:UOR131180 UYN131178:UYN131180 VIJ131178:VIJ131180 VSF131178:VSF131180 WCB131178:WCB131180 WLX131178:WLX131180 WVT131178:WVT131180 D196714:D196716 JH196714:JH196716 TD196714:TD196716 ACZ196714:ACZ196716 AMV196714:AMV196716 AWR196714:AWR196716 BGN196714:BGN196716 BQJ196714:BQJ196716 CAF196714:CAF196716 CKB196714:CKB196716 CTX196714:CTX196716 DDT196714:DDT196716 DNP196714:DNP196716 DXL196714:DXL196716 EHH196714:EHH196716 ERD196714:ERD196716 FAZ196714:FAZ196716 FKV196714:FKV196716 FUR196714:FUR196716 GEN196714:GEN196716 GOJ196714:GOJ196716 GYF196714:GYF196716 HIB196714:HIB196716 HRX196714:HRX196716 IBT196714:IBT196716 ILP196714:ILP196716 IVL196714:IVL196716 JFH196714:JFH196716 JPD196714:JPD196716 JYZ196714:JYZ196716 KIV196714:KIV196716 KSR196714:KSR196716 LCN196714:LCN196716 LMJ196714:LMJ196716 LWF196714:LWF196716 MGB196714:MGB196716 MPX196714:MPX196716 MZT196714:MZT196716 NJP196714:NJP196716 NTL196714:NTL196716 ODH196714:ODH196716 OND196714:OND196716 OWZ196714:OWZ196716 PGV196714:PGV196716 PQR196714:PQR196716 QAN196714:QAN196716 QKJ196714:QKJ196716 QUF196714:QUF196716 REB196714:REB196716 RNX196714:RNX196716 RXT196714:RXT196716 SHP196714:SHP196716 SRL196714:SRL196716 TBH196714:TBH196716 TLD196714:TLD196716 TUZ196714:TUZ196716 UEV196714:UEV196716 UOR196714:UOR196716 UYN196714:UYN196716 VIJ196714:VIJ196716 VSF196714:VSF196716 WCB196714:WCB196716 WLX196714:WLX196716 WVT196714:WVT196716 D262250:D262252 JH262250:JH262252 TD262250:TD262252 ACZ262250:ACZ262252 AMV262250:AMV262252 AWR262250:AWR262252 BGN262250:BGN262252 BQJ262250:BQJ262252 CAF262250:CAF262252 CKB262250:CKB262252 CTX262250:CTX262252 DDT262250:DDT262252 DNP262250:DNP262252 DXL262250:DXL262252 EHH262250:EHH262252 ERD262250:ERD262252 FAZ262250:FAZ262252 FKV262250:FKV262252 FUR262250:FUR262252 GEN262250:GEN262252 GOJ262250:GOJ262252 GYF262250:GYF262252 HIB262250:HIB262252 HRX262250:HRX262252 IBT262250:IBT262252 ILP262250:ILP262252 IVL262250:IVL262252 JFH262250:JFH262252 JPD262250:JPD262252 JYZ262250:JYZ262252 KIV262250:KIV262252 KSR262250:KSR262252 LCN262250:LCN262252 LMJ262250:LMJ262252 LWF262250:LWF262252 MGB262250:MGB262252 MPX262250:MPX262252 MZT262250:MZT262252 NJP262250:NJP262252 NTL262250:NTL262252 ODH262250:ODH262252 OND262250:OND262252 OWZ262250:OWZ262252 PGV262250:PGV262252 PQR262250:PQR262252 QAN262250:QAN262252 QKJ262250:QKJ262252 QUF262250:QUF262252 REB262250:REB262252 RNX262250:RNX262252 RXT262250:RXT262252 SHP262250:SHP262252 SRL262250:SRL262252 TBH262250:TBH262252 TLD262250:TLD262252 TUZ262250:TUZ262252 UEV262250:UEV262252 UOR262250:UOR262252 UYN262250:UYN262252 VIJ262250:VIJ262252 VSF262250:VSF262252 WCB262250:WCB262252 WLX262250:WLX262252 WVT262250:WVT262252 D327786:D327788 JH327786:JH327788 TD327786:TD327788 ACZ327786:ACZ327788 AMV327786:AMV327788 AWR327786:AWR327788 BGN327786:BGN327788 BQJ327786:BQJ327788 CAF327786:CAF327788 CKB327786:CKB327788 CTX327786:CTX327788 DDT327786:DDT327788 DNP327786:DNP327788 DXL327786:DXL327788 EHH327786:EHH327788 ERD327786:ERD327788 FAZ327786:FAZ327788 FKV327786:FKV327788 FUR327786:FUR327788 GEN327786:GEN327788 GOJ327786:GOJ327788 GYF327786:GYF327788 HIB327786:HIB327788 HRX327786:HRX327788 IBT327786:IBT327788 ILP327786:ILP327788 IVL327786:IVL327788 JFH327786:JFH327788 JPD327786:JPD327788 JYZ327786:JYZ327788 KIV327786:KIV327788 KSR327786:KSR327788 LCN327786:LCN327788 LMJ327786:LMJ327788 LWF327786:LWF327788 MGB327786:MGB327788 MPX327786:MPX327788 MZT327786:MZT327788 NJP327786:NJP327788 NTL327786:NTL327788 ODH327786:ODH327788 OND327786:OND327788 OWZ327786:OWZ327788 PGV327786:PGV327788 PQR327786:PQR327788 QAN327786:QAN327788 QKJ327786:QKJ327788 QUF327786:QUF327788 REB327786:REB327788 RNX327786:RNX327788 RXT327786:RXT327788 SHP327786:SHP327788 SRL327786:SRL327788 TBH327786:TBH327788 TLD327786:TLD327788 TUZ327786:TUZ327788 UEV327786:UEV327788 UOR327786:UOR327788 UYN327786:UYN327788 VIJ327786:VIJ327788 VSF327786:VSF327788 WCB327786:WCB327788 WLX327786:WLX327788 WVT327786:WVT327788 D393322:D393324 JH393322:JH393324 TD393322:TD393324 ACZ393322:ACZ393324 AMV393322:AMV393324 AWR393322:AWR393324 BGN393322:BGN393324 BQJ393322:BQJ393324 CAF393322:CAF393324 CKB393322:CKB393324 CTX393322:CTX393324 DDT393322:DDT393324 DNP393322:DNP393324 DXL393322:DXL393324 EHH393322:EHH393324 ERD393322:ERD393324 FAZ393322:FAZ393324 FKV393322:FKV393324 FUR393322:FUR393324 GEN393322:GEN393324 GOJ393322:GOJ393324 GYF393322:GYF393324 HIB393322:HIB393324 HRX393322:HRX393324 IBT393322:IBT393324 ILP393322:ILP393324 IVL393322:IVL393324 JFH393322:JFH393324 JPD393322:JPD393324 JYZ393322:JYZ393324 KIV393322:KIV393324 KSR393322:KSR393324 LCN393322:LCN393324 LMJ393322:LMJ393324 LWF393322:LWF393324 MGB393322:MGB393324 MPX393322:MPX393324 MZT393322:MZT393324 NJP393322:NJP393324 NTL393322:NTL393324 ODH393322:ODH393324 OND393322:OND393324 OWZ393322:OWZ393324 PGV393322:PGV393324 PQR393322:PQR393324 QAN393322:QAN393324 QKJ393322:QKJ393324 QUF393322:QUF393324 REB393322:REB393324 RNX393322:RNX393324 RXT393322:RXT393324 SHP393322:SHP393324 SRL393322:SRL393324 TBH393322:TBH393324 TLD393322:TLD393324 TUZ393322:TUZ393324 UEV393322:UEV393324 UOR393322:UOR393324 UYN393322:UYN393324 VIJ393322:VIJ393324 VSF393322:VSF393324 WCB393322:WCB393324 WLX393322:WLX393324 WVT393322:WVT393324 D458858:D458860 JH458858:JH458860 TD458858:TD458860 ACZ458858:ACZ458860 AMV458858:AMV458860 AWR458858:AWR458860 BGN458858:BGN458860 BQJ458858:BQJ458860 CAF458858:CAF458860 CKB458858:CKB458860 CTX458858:CTX458860 DDT458858:DDT458860 DNP458858:DNP458860 DXL458858:DXL458860 EHH458858:EHH458860 ERD458858:ERD458860 FAZ458858:FAZ458860 FKV458858:FKV458860 FUR458858:FUR458860 GEN458858:GEN458860 GOJ458858:GOJ458860 GYF458858:GYF458860 HIB458858:HIB458860 HRX458858:HRX458860 IBT458858:IBT458860 ILP458858:ILP458860 IVL458858:IVL458860 JFH458858:JFH458860 JPD458858:JPD458860 JYZ458858:JYZ458860 KIV458858:KIV458860 KSR458858:KSR458860 LCN458858:LCN458860 LMJ458858:LMJ458860 LWF458858:LWF458860 MGB458858:MGB458860 MPX458858:MPX458860 MZT458858:MZT458860 NJP458858:NJP458860 NTL458858:NTL458860 ODH458858:ODH458860 OND458858:OND458860 OWZ458858:OWZ458860 PGV458858:PGV458860 PQR458858:PQR458860 QAN458858:QAN458860 QKJ458858:QKJ458860 QUF458858:QUF458860 REB458858:REB458860 RNX458858:RNX458860 RXT458858:RXT458860 SHP458858:SHP458860 SRL458858:SRL458860 TBH458858:TBH458860 TLD458858:TLD458860 TUZ458858:TUZ458860 UEV458858:UEV458860 UOR458858:UOR458860 UYN458858:UYN458860 VIJ458858:VIJ458860 VSF458858:VSF458860 WCB458858:WCB458860 WLX458858:WLX458860 WVT458858:WVT458860 D524394:D524396 JH524394:JH524396 TD524394:TD524396 ACZ524394:ACZ524396 AMV524394:AMV524396 AWR524394:AWR524396 BGN524394:BGN524396 BQJ524394:BQJ524396 CAF524394:CAF524396 CKB524394:CKB524396 CTX524394:CTX524396 DDT524394:DDT524396 DNP524394:DNP524396 DXL524394:DXL524396 EHH524394:EHH524396 ERD524394:ERD524396 FAZ524394:FAZ524396 FKV524394:FKV524396 FUR524394:FUR524396 GEN524394:GEN524396 GOJ524394:GOJ524396 GYF524394:GYF524396 HIB524394:HIB524396 HRX524394:HRX524396 IBT524394:IBT524396 ILP524394:ILP524396 IVL524394:IVL524396 JFH524394:JFH524396 JPD524394:JPD524396 JYZ524394:JYZ524396 KIV524394:KIV524396 KSR524394:KSR524396 LCN524394:LCN524396 LMJ524394:LMJ524396 LWF524394:LWF524396 MGB524394:MGB524396 MPX524394:MPX524396 MZT524394:MZT524396 NJP524394:NJP524396 NTL524394:NTL524396 ODH524394:ODH524396 OND524394:OND524396 OWZ524394:OWZ524396 PGV524394:PGV524396 PQR524394:PQR524396 QAN524394:QAN524396 QKJ524394:QKJ524396 QUF524394:QUF524396 REB524394:REB524396 RNX524394:RNX524396 RXT524394:RXT524396 SHP524394:SHP524396 SRL524394:SRL524396 TBH524394:TBH524396 TLD524394:TLD524396 TUZ524394:TUZ524396 UEV524394:UEV524396 UOR524394:UOR524396 UYN524394:UYN524396 VIJ524394:VIJ524396 VSF524394:VSF524396 WCB524394:WCB524396 WLX524394:WLX524396 WVT524394:WVT524396 D589930:D589932 JH589930:JH589932 TD589930:TD589932 ACZ589930:ACZ589932 AMV589930:AMV589932 AWR589930:AWR589932 BGN589930:BGN589932 BQJ589930:BQJ589932 CAF589930:CAF589932 CKB589930:CKB589932 CTX589930:CTX589932 DDT589930:DDT589932 DNP589930:DNP589932 DXL589930:DXL589932 EHH589930:EHH589932 ERD589930:ERD589932 FAZ589930:FAZ589932 FKV589930:FKV589932 FUR589930:FUR589932 GEN589930:GEN589932 GOJ589930:GOJ589932 GYF589930:GYF589932 HIB589930:HIB589932 HRX589930:HRX589932 IBT589930:IBT589932 ILP589930:ILP589932 IVL589930:IVL589932 JFH589930:JFH589932 JPD589930:JPD589932 JYZ589930:JYZ589932 KIV589930:KIV589932 KSR589930:KSR589932 LCN589930:LCN589932 LMJ589930:LMJ589932 LWF589930:LWF589932 MGB589930:MGB589932 MPX589930:MPX589932 MZT589930:MZT589932 NJP589930:NJP589932 NTL589930:NTL589932 ODH589930:ODH589932 OND589930:OND589932 OWZ589930:OWZ589932 PGV589930:PGV589932 PQR589930:PQR589932 QAN589930:QAN589932 QKJ589930:QKJ589932 QUF589930:QUF589932 REB589930:REB589932 RNX589930:RNX589932 RXT589930:RXT589932 SHP589930:SHP589932 SRL589930:SRL589932 TBH589930:TBH589932 TLD589930:TLD589932 TUZ589930:TUZ589932 UEV589930:UEV589932 UOR589930:UOR589932 UYN589930:UYN589932 VIJ589930:VIJ589932 VSF589930:VSF589932 WCB589930:WCB589932 WLX589930:WLX589932 WVT589930:WVT589932 D655466:D655468 JH655466:JH655468 TD655466:TD655468 ACZ655466:ACZ655468 AMV655466:AMV655468 AWR655466:AWR655468 BGN655466:BGN655468 BQJ655466:BQJ655468 CAF655466:CAF655468 CKB655466:CKB655468 CTX655466:CTX655468 DDT655466:DDT655468 DNP655466:DNP655468 DXL655466:DXL655468 EHH655466:EHH655468 ERD655466:ERD655468 FAZ655466:FAZ655468 FKV655466:FKV655468 FUR655466:FUR655468 GEN655466:GEN655468 GOJ655466:GOJ655468 GYF655466:GYF655468 HIB655466:HIB655468 HRX655466:HRX655468 IBT655466:IBT655468 ILP655466:ILP655468 IVL655466:IVL655468 JFH655466:JFH655468 JPD655466:JPD655468 JYZ655466:JYZ655468 KIV655466:KIV655468 KSR655466:KSR655468 LCN655466:LCN655468 LMJ655466:LMJ655468 LWF655466:LWF655468 MGB655466:MGB655468 MPX655466:MPX655468 MZT655466:MZT655468 NJP655466:NJP655468 NTL655466:NTL655468 ODH655466:ODH655468 OND655466:OND655468 OWZ655466:OWZ655468 PGV655466:PGV655468 PQR655466:PQR655468 QAN655466:QAN655468 QKJ655466:QKJ655468 QUF655466:QUF655468 REB655466:REB655468 RNX655466:RNX655468 RXT655466:RXT655468 SHP655466:SHP655468 SRL655466:SRL655468 TBH655466:TBH655468 TLD655466:TLD655468 TUZ655466:TUZ655468 UEV655466:UEV655468 UOR655466:UOR655468 UYN655466:UYN655468 VIJ655466:VIJ655468 VSF655466:VSF655468 WCB655466:WCB655468 WLX655466:WLX655468 WVT655466:WVT655468 D721002:D721004 JH721002:JH721004 TD721002:TD721004 ACZ721002:ACZ721004 AMV721002:AMV721004 AWR721002:AWR721004 BGN721002:BGN721004 BQJ721002:BQJ721004 CAF721002:CAF721004 CKB721002:CKB721004 CTX721002:CTX721004 DDT721002:DDT721004 DNP721002:DNP721004 DXL721002:DXL721004 EHH721002:EHH721004 ERD721002:ERD721004 FAZ721002:FAZ721004 FKV721002:FKV721004 FUR721002:FUR721004 GEN721002:GEN721004 GOJ721002:GOJ721004 GYF721002:GYF721004 HIB721002:HIB721004 HRX721002:HRX721004 IBT721002:IBT721004 ILP721002:ILP721004 IVL721002:IVL721004 JFH721002:JFH721004 JPD721002:JPD721004 JYZ721002:JYZ721004 KIV721002:KIV721004 KSR721002:KSR721004 LCN721002:LCN721004 LMJ721002:LMJ721004 LWF721002:LWF721004 MGB721002:MGB721004 MPX721002:MPX721004 MZT721002:MZT721004 NJP721002:NJP721004 NTL721002:NTL721004 ODH721002:ODH721004 OND721002:OND721004 OWZ721002:OWZ721004 PGV721002:PGV721004 PQR721002:PQR721004 QAN721002:QAN721004 QKJ721002:QKJ721004 QUF721002:QUF721004 REB721002:REB721004 RNX721002:RNX721004 RXT721002:RXT721004 SHP721002:SHP721004 SRL721002:SRL721004 TBH721002:TBH721004 TLD721002:TLD721004 TUZ721002:TUZ721004 UEV721002:UEV721004 UOR721002:UOR721004 UYN721002:UYN721004 VIJ721002:VIJ721004 VSF721002:VSF721004 WCB721002:WCB721004 WLX721002:WLX721004 WVT721002:WVT721004 D786538:D786540 JH786538:JH786540 TD786538:TD786540 ACZ786538:ACZ786540 AMV786538:AMV786540 AWR786538:AWR786540 BGN786538:BGN786540 BQJ786538:BQJ786540 CAF786538:CAF786540 CKB786538:CKB786540 CTX786538:CTX786540 DDT786538:DDT786540 DNP786538:DNP786540 DXL786538:DXL786540 EHH786538:EHH786540 ERD786538:ERD786540 FAZ786538:FAZ786540 FKV786538:FKV786540 FUR786538:FUR786540 GEN786538:GEN786540 GOJ786538:GOJ786540 GYF786538:GYF786540 HIB786538:HIB786540 HRX786538:HRX786540 IBT786538:IBT786540 ILP786538:ILP786540 IVL786538:IVL786540 JFH786538:JFH786540 JPD786538:JPD786540 JYZ786538:JYZ786540 KIV786538:KIV786540 KSR786538:KSR786540 LCN786538:LCN786540 LMJ786538:LMJ786540 LWF786538:LWF786540 MGB786538:MGB786540 MPX786538:MPX786540 MZT786538:MZT786540 NJP786538:NJP786540 NTL786538:NTL786540 ODH786538:ODH786540 OND786538:OND786540 OWZ786538:OWZ786540 PGV786538:PGV786540 PQR786538:PQR786540 QAN786538:QAN786540 QKJ786538:QKJ786540 QUF786538:QUF786540 REB786538:REB786540 RNX786538:RNX786540 RXT786538:RXT786540 SHP786538:SHP786540 SRL786538:SRL786540 TBH786538:TBH786540 TLD786538:TLD786540 TUZ786538:TUZ786540 UEV786538:UEV786540 UOR786538:UOR786540 UYN786538:UYN786540 VIJ786538:VIJ786540 VSF786538:VSF786540 WCB786538:WCB786540 WLX786538:WLX786540 WVT786538:WVT786540 D852074:D852076 JH852074:JH852076 TD852074:TD852076 ACZ852074:ACZ852076 AMV852074:AMV852076 AWR852074:AWR852076 BGN852074:BGN852076 BQJ852074:BQJ852076 CAF852074:CAF852076 CKB852074:CKB852076 CTX852074:CTX852076 DDT852074:DDT852076 DNP852074:DNP852076 DXL852074:DXL852076 EHH852074:EHH852076 ERD852074:ERD852076 FAZ852074:FAZ852076 FKV852074:FKV852076 FUR852074:FUR852076 GEN852074:GEN852076 GOJ852074:GOJ852076 GYF852074:GYF852076 HIB852074:HIB852076 HRX852074:HRX852076 IBT852074:IBT852076 ILP852074:ILP852076 IVL852074:IVL852076 JFH852074:JFH852076 JPD852074:JPD852076 JYZ852074:JYZ852076 KIV852074:KIV852076 KSR852074:KSR852076 LCN852074:LCN852076 LMJ852074:LMJ852076 LWF852074:LWF852076 MGB852074:MGB852076 MPX852074:MPX852076 MZT852074:MZT852076 NJP852074:NJP852076 NTL852074:NTL852076 ODH852074:ODH852076 OND852074:OND852076 OWZ852074:OWZ852076 PGV852074:PGV852076 PQR852074:PQR852076 QAN852074:QAN852076 QKJ852074:QKJ852076 QUF852074:QUF852076 REB852074:REB852076 RNX852074:RNX852076 RXT852074:RXT852076 SHP852074:SHP852076 SRL852074:SRL852076 TBH852074:TBH852076 TLD852074:TLD852076 TUZ852074:TUZ852076 UEV852074:UEV852076 UOR852074:UOR852076 UYN852074:UYN852076 VIJ852074:VIJ852076 VSF852074:VSF852076 WCB852074:WCB852076 WLX852074:WLX852076 WVT852074:WVT852076 D917610:D917612 JH917610:JH917612 TD917610:TD917612 ACZ917610:ACZ917612 AMV917610:AMV917612 AWR917610:AWR917612 BGN917610:BGN917612 BQJ917610:BQJ917612 CAF917610:CAF917612 CKB917610:CKB917612 CTX917610:CTX917612 DDT917610:DDT917612 DNP917610:DNP917612 DXL917610:DXL917612 EHH917610:EHH917612 ERD917610:ERD917612 FAZ917610:FAZ917612 FKV917610:FKV917612 FUR917610:FUR917612 GEN917610:GEN917612 GOJ917610:GOJ917612 GYF917610:GYF917612 HIB917610:HIB917612 HRX917610:HRX917612 IBT917610:IBT917612 ILP917610:ILP917612 IVL917610:IVL917612 JFH917610:JFH917612 JPD917610:JPD917612 JYZ917610:JYZ917612 KIV917610:KIV917612 KSR917610:KSR917612 LCN917610:LCN917612 LMJ917610:LMJ917612 LWF917610:LWF917612 MGB917610:MGB917612 MPX917610:MPX917612 MZT917610:MZT917612 NJP917610:NJP917612 NTL917610:NTL917612 ODH917610:ODH917612 OND917610:OND917612 OWZ917610:OWZ917612 PGV917610:PGV917612 PQR917610:PQR917612 QAN917610:QAN917612 QKJ917610:QKJ917612 QUF917610:QUF917612 REB917610:REB917612 RNX917610:RNX917612 RXT917610:RXT917612 SHP917610:SHP917612 SRL917610:SRL917612 TBH917610:TBH917612 TLD917610:TLD917612 TUZ917610:TUZ917612 UEV917610:UEV917612 UOR917610:UOR917612 UYN917610:UYN917612 VIJ917610:VIJ917612 VSF917610:VSF917612 WCB917610:WCB917612 WLX917610:WLX917612 WVT917610:WVT917612 D983146:D983148 JH983146:JH983148 TD983146:TD983148 ACZ983146:ACZ983148 AMV983146:AMV983148 AWR983146:AWR983148 BGN983146:BGN983148 BQJ983146:BQJ983148 CAF983146:CAF983148 CKB983146:CKB983148 CTX983146:CTX983148 DDT983146:DDT983148 DNP983146:DNP983148 DXL983146:DXL983148 EHH983146:EHH983148 ERD983146:ERD983148 FAZ983146:FAZ983148 FKV983146:FKV983148 FUR983146:FUR983148 GEN983146:GEN983148 GOJ983146:GOJ983148 GYF983146:GYF983148 HIB983146:HIB983148 HRX983146:HRX983148 IBT983146:IBT983148 ILP983146:ILP983148 IVL983146:IVL983148 JFH983146:JFH983148 JPD983146:JPD983148 JYZ983146:JYZ983148 KIV983146:KIV983148 KSR983146:KSR983148 LCN983146:LCN983148 LMJ983146:LMJ983148 LWF983146:LWF983148 MGB983146:MGB983148 MPX983146:MPX983148 MZT983146:MZT983148 NJP983146:NJP983148 NTL983146:NTL983148 ODH983146:ODH983148 OND983146:OND983148 OWZ983146:OWZ983148 PGV983146:PGV983148 PQR983146:PQR983148 QAN983146:QAN983148 QKJ983146:QKJ983148 QUF983146:QUF983148 REB983146:REB983148 RNX983146:RNX983148 RXT983146:RXT983148 SHP983146:SHP983148 SRL983146:SRL983148 TBH983146:TBH983148 TLD983146:TLD983148 TUZ983146:TUZ983148 UEV983146:UEV983148 UOR983146:UOR983148 UYN983146:UYN983148 VIJ983146:VIJ983148 VSF983146:VSF983148 WCB983146:WCB983148 WLX983146:WLX983148 WVT983146:WVT983148 E40:E42 JI40:JI42 TE40:TE42 ADA40:ADA42 AMW40:AMW42 AWS40:AWS42 BGO40:BGO42 BQK40:BQK42 CAG40:CAG42 CKC40:CKC42 CTY40:CTY42 DDU40:DDU42 DNQ40:DNQ42 DXM40:DXM42 EHI40:EHI42 ERE40:ERE42 FBA40:FBA42 FKW40:FKW42 FUS40:FUS42 GEO40:GEO42 GOK40:GOK42 GYG40:GYG42 HIC40:HIC42 HRY40:HRY42 IBU40:IBU42 ILQ40:ILQ42 IVM40:IVM42 JFI40:JFI42 JPE40:JPE42 JZA40:JZA42 KIW40:KIW42 KSS40:KSS42 LCO40:LCO42 LMK40:LMK42 LWG40:LWG42 MGC40:MGC42 MPY40:MPY42 MZU40:MZU42 NJQ40:NJQ42 NTM40:NTM42 ODI40:ODI42 ONE40:ONE42 OXA40:OXA42 PGW40:PGW42 PQS40:PQS42 QAO40:QAO42 QKK40:QKK42 QUG40:QUG42 REC40:REC42 RNY40:RNY42 RXU40:RXU42 SHQ40:SHQ42 SRM40:SRM42 TBI40:TBI42 TLE40:TLE42 TVA40:TVA42 UEW40:UEW42 UOS40:UOS42 UYO40:UYO42 VIK40:VIK42 VSG40:VSG42 WCC40:WCC42 WLY40:WLY42 WVU40:WVU42 E65579:E65581 JI65579:JI65581 TE65579:TE65581 ADA65579:ADA65581 AMW65579:AMW65581 AWS65579:AWS65581 BGO65579:BGO65581 BQK65579:BQK65581 CAG65579:CAG65581 CKC65579:CKC65581 CTY65579:CTY65581 DDU65579:DDU65581 DNQ65579:DNQ65581 DXM65579:DXM65581 EHI65579:EHI65581 ERE65579:ERE65581 FBA65579:FBA65581 FKW65579:FKW65581 FUS65579:FUS65581 GEO65579:GEO65581 GOK65579:GOK65581 GYG65579:GYG65581 HIC65579:HIC65581 HRY65579:HRY65581 IBU65579:IBU65581 ILQ65579:ILQ65581 IVM65579:IVM65581 JFI65579:JFI65581 JPE65579:JPE65581 JZA65579:JZA65581 KIW65579:KIW65581 KSS65579:KSS65581 LCO65579:LCO65581 LMK65579:LMK65581 LWG65579:LWG65581 MGC65579:MGC65581 MPY65579:MPY65581 MZU65579:MZU65581 NJQ65579:NJQ65581 NTM65579:NTM65581 ODI65579:ODI65581 ONE65579:ONE65581 OXA65579:OXA65581 PGW65579:PGW65581 PQS65579:PQS65581 QAO65579:QAO65581 QKK65579:QKK65581 QUG65579:QUG65581 REC65579:REC65581 RNY65579:RNY65581 RXU65579:RXU65581 SHQ65579:SHQ65581 SRM65579:SRM65581 TBI65579:TBI65581 TLE65579:TLE65581 TVA65579:TVA65581 UEW65579:UEW65581 UOS65579:UOS65581 UYO65579:UYO65581 VIK65579:VIK65581 VSG65579:VSG65581 WCC65579:WCC65581 WLY65579:WLY65581 WVU65579:WVU65581 E131115:E131117 JI131115:JI131117 TE131115:TE131117 ADA131115:ADA131117 AMW131115:AMW131117 AWS131115:AWS131117 BGO131115:BGO131117 BQK131115:BQK131117 CAG131115:CAG131117 CKC131115:CKC131117 CTY131115:CTY131117 DDU131115:DDU131117 DNQ131115:DNQ131117 DXM131115:DXM131117 EHI131115:EHI131117 ERE131115:ERE131117 FBA131115:FBA131117 FKW131115:FKW131117 FUS131115:FUS131117 GEO131115:GEO131117 GOK131115:GOK131117 GYG131115:GYG131117 HIC131115:HIC131117 HRY131115:HRY131117 IBU131115:IBU131117 ILQ131115:ILQ131117 IVM131115:IVM131117 JFI131115:JFI131117 JPE131115:JPE131117 JZA131115:JZA131117 KIW131115:KIW131117 KSS131115:KSS131117 LCO131115:LCO131117 LMK131115:LMK131117 LWG131115:LWG131117 MGC131115:MGC131117 MPY131115:MPY131117 MZU131115:MZU131117 NJQ131115:NJQ131117 NTM131115:NTM131117 ODI131115:ODI131117 ONE131115:ONE131117 OXA131115:OXA131117 PGW131115:PGW131117 PQS131115:PQS131117 QAO131115:QAO131117 QKK131115:QKK131117 QUG131115:QUG131117 REC131115:REC131117 RNY131115:RNY131117 RXU131115:RXU131117 SHQ131115:SHQ131117 SRM131115:SRM131117 TBI131115:TBI131117 TLE131115:TLE131117 TVA131115:TVA131117 UEW131115:UEW131117 UOS131115:UOS131117 UYO131115:UYO131117 VIK131115:VIK131117 VSG131115:VSG131117 WCC131115:WCC131117 WLY131115:WLY131117 WVU131115:WVU131117 E196651:E196653 JI196651:JI196653 TE196651:TE196653 ADA196651:ADA196653 AMW196651:AMW196653 AWS196651:AWS196653 BGO196651:BGO196653 BQK196651:BQK196653 CAG196651:CAG196653 CKC196651:CKC196653 CTY196651:CTY196653 DDU196651:DDU196653 DNQ196651:DNQ196653 DXM196651:DXM196653 EHI196651:EHI196653 ERE196651:ERE196653 FBA196651:FBA196653 FKW196651:FKW196653 FUS196651:FUS196653 GEO196651:GEO196653 GOK196651:GOK196653 GYG196651:GYG196653 HIC196651:HIC196653 HRY196651:HRY196653 IBU196651:IBU196653 ILQ196651:ILQ196653 IVM196651:IVM196653 JFI196651:JFI196653 JPE196651:JPE196653 JZA196651:JZA196653 KIW196651:KIW196653 KSS196651:KSS196653 LCO196651:LCO196653 LMK196651:LMK196653 LWG196651:LWG196653 MGC196651:MGC196653 MPY196651:MPY196653 MZU196651:MZU196653 NJQ196651:NJQ196653 NTM196651:NTM196653 ODI196651:ODI196653 ONE196651:ONE196653 OXA196651:OXA196653 PGW196651:PGW196653 PQS196651:PQS196653 QAO196651:QAO196653 QKK196651:QKK196653 QUG196651:QUG196653 REC196651:REC196653 RNY196651:RNY196653 RXU196651:RXU196653 SHQ196651:SHQ196653 SRM196651:SRM196653 TBI196651:TBI196653 TLE196651:TLE196653 TVA196651:TVA196653 UEW196651:UEW196653 UOS196651:UOS196653 UYO196651:UYO196653 VIK196651:VIK196653 VSG196651:VSG196653 WCC196651:WCC196653 WLY196651:WLY196653 WVU196651:WVU196653 E262187:E262189 JI262187:JI262189 TE262187:TE262189 ADA262187:ADA262189 AMW262187:AMW262189 AWS262187:AWS262189 BGO262187:BGO262189 BQK262187:BQK262189 CAG262187:CAG262189 CKC262187:CKC262189 CTY262187:CTY262189 DDU262187:DDU262189 DNQ262187:DNQ262189 DXM262187:DXM262189 EHI262187:EHI262189 ERE262187:ERE262189 FBA262187:FBA262189 FKW262187:FKW262189 FUS262187:FUS262189 GEO262187:GEO262189 GOK262187:GOK262189 GYG262187:GYG262189 HIC262187:HIC262189 HRY262187:HRY262189 IBU262187:IBU262189 ILQ262187:ILQ262189 IVM262187:IVM262189 JFI262187:JFI262189 JPE262187:JPE262189 JZA262187:JZA262189 KIW262187:KIW262189 KSS262187:KSS262189 LCO262187:LCO262189 LMK262187:LMK262189 LWG262187:LWG262189 MGC262187:MGC262189 MPY262187:MPY262189 MZU262187:MZU262189 NJQ262187:NJQ262189 NTM262187:NTM262189 ODI262187:ODI262189 ONE262187:ONE262189 OXA262187:OXA262189 PGW262187:PGW262189 PQS262187:PQS262189 QAO262187:QAO262189 QKK262187:QKK262189 QUG262187:QUG262189 REC262187:REC262189 RNY262187:RNY262189 RXU262187:RXU262189 SHQ262187:SHQ262189 SRM262187:SRM262189 TBI262187:TBI262189 TLE262187:TLE262189 TVA262187:TVA262189 UEW262187:UEW262189 UOS262187:UOS262189 UYO262187:UYO262189 VIK262187:VIK262189 VSG262187:VSG262189 WCC262187:WCC262189 WLY262187:WLY262189 WVU262187:WVU262189 E327723:E327725 JI327723:JI327725 TE327723:TE327725 ADA327723:ADA327725 AMW327723:AMW327725 AWS327723:AWS327725 BGO327723:BGO327725 BQK327723:BQK327725 CAG327723:CAG327725 CKC327723:CKC327725 CTY327723:CTY327725 DDU327723:DDU327725 DNQ327723:DNQ327725 DXM327723:DXM327725 EHI327723:EHI327725 ERE327723:ERE327725 FBA327723:FBA327725 FKW327723:FKW327725 FUS327723:FUS327725 GEO327723:GEO327725 GOK327723:GOK327725 GYG327723:GYG327725 HIC327723:HIC327725 HRY327723:HRY327725 IBU327723:IBU327725 ILQ327723:ILQ327725 IVM327723:IVM327725 JFI327723:JFI327725 JPE327723:JPE327725 JZA327723:JZA327725 KIW327723:KIW327725 KSS327723:KSS327725 LCO327723:LCO327725 LMK327723:LMK327725 LWG327723:LWG327725 MGC327723:MGC327725 MPY327723:MPY327725 MZU327723:MZU327725 NJQ327723:NJQ327725 NTM327723:NTM327725 ODI327723:ODI327725 ONE327723:ONE327725 OXA327723:OXA327725 PGW327723:PGW327725 PQS327723:PQS327725 QAO327723:QAO327725 QKK327723:QKK327725 QUG327723:QUG327725 REC327723:REC327725 RNY327723:RNY327725 RXU327723:RXU327725 SHQ327723:SHQ327725 SRM327723:SRM327725 TBI327723:TBI327725 TLE327723:TLE327725 TVA327723:TVA327725 UEW327723:UEW327725 UOS327723:UOS327725 UYO327723:UYO327725 VIK327723:VIK327725 VSG327723:VSG327725 WCC327723:WCC327725 WLY327723:WLY327725 WVU327723:WVU327725 E393259:E393261 JI393259:JI393261 TE393259:TE393261 ADA393259:ADA393261 AMW393259:AMW393261 AWS393259:AWS393261 BGO393259:BGO393261 BQK393259:BQK393261 CAG393259:CAG393261 CKC393259:CKC393261 CTY393259:CTY393261 DDU393259:DDU393261 DNQ393259:DNQ393261 DXM393259:DXM393261 EHI393259:EHI393261 ERE393259:ERE393261 FBA393259:FBA393261 FKW393259:FKW393261 FUS393259:FUS393261 GEO393259:GEO393261 GOK393259:GOK393261 GYG393259:GYG393261 HIC393259:HIC393261 HRY393259:HRY393261 IBU393259:IBU393261 ILQ393259:ILQ393261 IVM393259:IVM393261 JFI393259:JFI393261 JPE393259:JPE393261 JZA393259:JZA393261 KIW393259:KIW393261 KSS393259:KSS393261 LCO393259:LCO393261 LMK393259:LMK393261 LWG393259:LWG393261 MGC393259:MGC393261 MPY393259:MPY393261 MZU393259:MZU393261 NJQ393259:NJQ393261 NTM393259:NTM393261 ODI393259:ODI393261 ONE393259:ONE393261 OXA393259:OXA393261 PGW393259:PGW393261 PQS393259:PQS393261 QAO393259:QAO393261 QKK393259:QKK393261 QUG393259:QUG393261 REC393259:REC393261 RNY393259:RNY393261 RXU393259:RXU393261 SHQ393259:SHQ393261 SRM393259:SRM393261 TBI393259:TBI393261 TLE393259:TLE393261 TVA393259:TVA393261 UEW393259:UEW393261 UOS393259:UOS393261 UYO393259:UYO393261 VIK393259:VIK393261 VSG393259:VSG393261 WCC393259:WCC393261 WLY393259:WLY393261 WVU393259:WVU393261 E458795:E458797 JI458795:JI458797 TE458795:TE458797 ADA458795:ADA458797 AMW458795:AMW458797 AWS458795:AWS458797 BGO458795:BGO458797 BQK458795:BQK458797 CAG458795:CAG458797 CKC458795:CKC458797 CTY458795:CTY458797 DDU458795:DDU458797 DNQ458795:DNQ458797 DXM458795:DXM458797 EHI458795:EHI458797 ERE458795:ERE458797 FBA458795:FBA458797 FKW458795:FKW458797 FUS458795:FUS458797 GEO458795:GEO458797 GOK458795:GOK458797 GYG458795:GYG458797 HIC458795:HIC458797 HRY458795:HRY458797 IBU458795:IBU458797 ILQ458795:ILQ458797 IVM458795:IVM458797 JFI458795:JFI458797 JPE458795:JPE458797 JZA458795:JZA458797 KIW458795:KIW458797 KSS458795:KSS458797 LCO458795:LCO458797 LMK458795:LMK458797 LWG458795:LWG458797 MGC458795:MGC458797 MPY458795:MPY458797 MZU458795:MZU458797 NJQ458795:NJQ458797 NTM458795:NTM458797 ODI458795:ODI458797 ONE458795:ONE458797 OXA458795:OXA458797 PGW458795:PGW458797 PQS458795:PQS458797 QAO458795:QAO458797 QKK458795:QKK458797 QUG458795:QUG458797 REC458795:REC458797 RNY458795:RNY458797 RXU458795:RXU458797 SHQ458795:SHQ458797 SRM458795:SRM458797 TBI458795:TBI458797 TLE458795:TLE458797 TVA458795:TVA458797 UEW458795:UEW458797 UOS458795:UOS458797 UYO458795:UYO458797 VIK458795:VIK458797 VSG458795:VSG458797 WCC458795:WCC458797 WLY458795:WLY458797 WVU458795:WVU458797 E524331:E524333 JI524331:JI524333 TE524331:TE524333 ADA524331:ADA524333 AMW524331:AMW524333 AWS524331:AWS524333 BGO524331:BGO524333 BQK524331:BQK524333 CAG524331:CAG524333 CKC524331:CKC524333 CTY524331:CTY524333 DDU524331:DDU524333 DNQ524331:DNQ524333 DXM524331:DXM524333 EHI524331:EHI524333 ERE524331:ERE524333 FBA524331:FBA524333 FKW524331:FKW524333 FUS524331:FUS524333 GEO524331:GEO524333 GOK524331:GOK524333 GYG524331:GYG524333 HIC524331:HIC524333 HRY524331:HRY524333 IBU524331:IBU524333 ILQ524331:ILQ524333 IVM524331:IVM524333 JFI524331:JFI524333 JPE524331:JPE524333 JZA524331:JZA524333 KIW524331:KIW524333 KSS524331:KSS524333 LCO524331:LCO524333 LMK524331:LMK524333 LWG524331:LWG524333 MGC524331:MGC524333 MPY524331:MPY524333 MZU524331:MZU524333 NJQ524331:NJQ524333 NTM524331:NTM524333 ODI524331:ODI524333 ONE524331:ONE524333 OXA524331:OXA524333 PGW524331:PGW524333 PQS524331:PQS524333 QAO524331:QAO524333 QKK524331:QKK524333 QUG524331:QUG524333 REC524331:REC524333 RNY524331:RNY524333 RXU524331:RXU524333 SHQ524331:SHQ524333 SRM524331:SRM524333 TBI524331:TBI524333 TLE524331:TLE524333 TVA524331:TVA524333 UEW524331:UEW524333 UOS524331:UOS524333 UYO524331:UYO524333 VIK524331:VIK524333 VSG524331:VSG524333 WCC524331:WCC524333 WLY524331:WLY524333 WVU524331:WVU524333 E589867:E589869 JI589867:JI589869 TE589867:TE589869 ADA589867:ADA589869 AMW589867:AMW589869 AWS589867:AWS589869 BGO589867:BGO589869 BQK589867:BQK589869 CAG589867:CAG589869 CKC589867:CKC589869 CTY589867:CTY589869 DDU589867:DDU589869 DNQ589867:DNQ589869 DXM589867:DXM589869 EHI589867:EHI589869 ERE589867:ERE589869 FBA589867:FBA589869 FKW589867:FKW589869 FUS589867:FUS589869 GEO589867:GEO589869 GOK589867:GOK589869 GYG589867:GYG589869 HIC589867:HIC589869 HRY589867:HRY589869 IBU589867:IBU589869 ILQ589867:ILQ589869 IVM589867:IVM589869 JFI589867:JFI589869 JPE589867:JPE589869 JZA589867:JZA589869 KIW589867:KIW589869 KSS589867:KSS589869 LCO589867:LCO589869 LMK589867:LMK589869 LWG589867:LWG589869 MGC589867:MGC589869 MPY589867:MPY589869 MZU589867:MZU589869 NJQ589867:NJQ589869 NTM589867:NTM589869 ODI589867:ODI589869 ONE589867:ONE589869 OXA589867:OXA589869 PGW589867:PGW589869 PQS589867:PQS589869 QAO589867:QAO589869 QKK589867:QKK589869 QUG589867:QUG589869 REC589867:REC589869 RNY589867:RNY589869 RXU589867:RXU589869 SHQ589867:SHQ589869 SRM589867:SRM589869 TBI589867:TBI589869 TLE589867:TLE589869 TVA589867:TVA589869 UEW589867:UEW589869 UOS589867:UOS589869 UYO589867:UYO589869 VIK589867:VIK589869 VSG589867:VSG589869 WCC589867:WCC589869 WLY589867:WLY589869 WVU589867:WVU589869 E655403:E655405 JI655403:JI655405 TE655403:TE655405 ADA655403:ADA655405 AMW655403:AMW655405 AWS655403:AWS655405 BGO655403:BGO655405 BQK655403:BQK655405 CAG655403:CAG655405 CKC655403:CKC655405 CTY655403:CTY655405 DDU655403:DDU655405 DNQ655403:DNQ655405 DXM655403:DXM655405 EHI655403:EHI655405 ERE655403:ERE655405 FBA655403:FBA655405 FKW655403:FKW655405 FUS655403:FUS655405 GEO655403:GEO655405 GOK655403:GOK655405 GYG655403:GYG655405 HIC655403:HIC655405 HRY655403:HRY655405 IBU655403:IBU655405 ILQ655403:ILQ655405 IVM655403:IVM655405 JFI655403:JFI655405 JPE655403:JPE655405 JZA655403:JZA655405 KIW655403:KIW655405 KSS655403:KSS655405 LCO655403:LCO655405 LMK655403:LMK655405 LWG655403:LWG655405 MGC655403:MGC655405 MPY655403:MPY655405 MZU655403:MZU655405 NJQ655403:NJQ655405 NTM655403:NTM655405 ODI655403:ODI655405 ONE655403:ONE655405 OXA655403:OXA655405 PGW655403:PGW655405 PQS655403:PQS655405 QAO655403:QAO655405 QKK655403:QKK655405 QUG655403:QUG655405 REC655403:REC655405 RNY655403:RNY655405 RXU655403:RXU655405 SHQ655403:SHQ655405 SRM655403:SRM655405 TBI655403:TBI655405 TLE655403:TLE655405 TVA655403:TVA655405 UEW655403:UEW655405 UOS655403:UOS655405 UYO655403:UYO655405 VIK655403:VIK655405 VSG655403:VSG655405 WCC655403:WCC655405 WLY655403:WLY655405 WVU655403:WVU655405 E720939:E720941 JI720939:JI720941 TE720939:TE720941 ADA720939:ADA720941 AMW720939:AMW720941 AWS720939:AWS720941 BGO720939:BGO720941 BQK720939:BQK720941 CAG720939:CAG720941 CKC720939:CKC720941 CTY720939:CTY720941 DDU720939:DDU720941 DNQ720939:DNQ720941 DXM720939:DXM720941 EHI720939:EHI720941 ERE720939:ERE720941 FBA720939:FBA720941 FKW720939:FKW720941 FUS720939:FUS720941 GEO720939:GEO720941 GOK720939:GOK720941 GYG720939:GYG720941 HIC720939:HIC720941 HRY720939:HRY720941 IBU720939:IBU720941 ILQ720939:ILQ720941 IVM720939:IVM720941 JFI720939:JFI720941 JPE720939:JPE720941 JZA720939:JZA720941 KIW720939:KIW720941 KSS720939:KSS720941 LCO720939:LCO720941 LMK720939:LMK720941 LWG720939:LWG720941 MGC720939:MGC720941 MPY720939:MPY720941 MZU720939:MZU720941 NJQ720939:NJQ720941 NTM720939:NTM720941 ODI720939:ODI720941 ONE720939:ONE720941 OXA720939:OXA720941 PGW720939:PGW720941 PQS720939:PQS720941 QAO720939:QAO720941 QKK720939:QKK720941 QUG720939:QUG720941 REC720939:REC720941 RNY720939:RNY720941 RXU720939:RXU720941 SHQ720939:SHQ720941 SRM720939:SRM720941 TBI720939:TBI720941 TLE720939:TLE720941 TVA720939:TVA720941 UEW720939:UEW720941 UOS720939:UOS720941 UYO720939:UYO720941 VIK720939:VIK720941 VSG720939:VSG720941 WCC720939:WCC720941 WLY720939:WLY720941 WVU720939:WVU720941 E786475:E786477 JI786475:JI786477 TE786475:TE786477 ADA786475:ADA786477 AMW786475:AMW786477 AWS786475:AWS786477 BGO786475:BGO786477 BQK786475:BQK786477 CAG786475:CAG786477 CKC786475:CKC786477 CTY786475:CTY786477 DDU786475:DDU786477 DNQ786475:DNQ786477 DXM786475:DXM786477 EHI786475:EHI786477 ERE786475:ERE786477 FBA786475:FBA786477 FKW786475:FKW786477 FUS786475:FUS786477 GEO786475:GEO786477 GOK786475:GOK786477 GYG786475:GYG786477 HIC786475:HIC786477 HRY786475:HRY786477 IBU786475:IBU786477 ILQ786475:ILQ786477 IVM786475:IVM786477 JFI786475:JFI786477 JPE786475:JPE786477 JZA786475:JZA786477 KIW786475:KIW786477 KSS786475:KSS786477 LCO786475:LCO786477 LMK786475:LMK786477 LWG786475:LWG786477 MGC786475:MGC786477 MPY786475:MPY786477 MZU786475:MZU786477 NJQ786475:NJQ786477 NTM786475:NTM786477 ODI786475:ODI786477 ONE786475:ONE786477 OXA786475:OXA786477 PGW786475:PGW786477 PQS786475:PQS786477 QAO786475:QAO786477 QKK786475:QKK786477 QUG786475:QUG786477 REC786475:REC786477 RNY786475:RNY786477 RXU786475:RXU786477 SHQ786475:SHQ786477 SRM786475:SRM786477 TBI786475:TBI786477 TLE786475:TLE786477 TVA786475:TVA786477 UEW786475:UEW786477 UOS786475:UOS786477 UYO786475:UYO786477 VIK786475:VIK786477 VSG786475:VSG786477 WCC786475:WCC786477 WLY786475:WLY786477 WVU786475:WVU786477 E852011:E852013 JI852011:JI852013 TE852011:TE852013 ADA852011:ADA852013 AMW852011:AMW852013 AWS852011:AWS852013 BGO852011:BGO852013 BQK852011:BQK852013 CAG852011:CAG852013 CKC852011:CKC852013 CTY852011:CTY852013 DDU852011:DDU852013 DNQ852011:DNQ852013 DXM852011:DXM852013 EHI852011:EHI852013 ERE852011:ERE852013 FBA852011:FBA852013 FKW852011:FKW852013 FUS852011:FUS852013 GEO852011:GEO852013 GOK852011:GOK852013 GYG852011:GYG852013 HIC852011:HIC852013 HRY852011:HRY852013 IBU852011:IBU852013 ILQ852011:ILQ852013 IVM852011:IVM852013 JFI852011:JFI852013 JPE852011:JPE852013 JZA852011:JZA852013 KIW852011:KIW852013 KSS852011:KSS852013 LCO852011:LCO852013 LMK852011:LMK852013 LWG852011:LWG852013 MGC852011:MGC852013 MPY852011:MPY852013 MZU852011:MZU852013 NJQ852011:NJQ852013 NTM852011:NTM852013 ODI852011:ODI852013 ONE852011:ONE852013 OXA852011:OXA852013 PGW852011:PGW852013 PQS852011:PQS852013 QAO852011:QAO852013 QKK852011:QKK852013 QUG852011:QUG852013 REC852011:REC852013 RNY852011:RNY852013 RXU852011:RXU852013 SHQ852011:SHQ852013 SRM852011:SRM852013 TBI852011:TBI852013 TLE852011:TLE852013 TVA852011:TVA852013 UEW852011:UEW852013 UOS852011:UOS852013 UYO852011:UYO852013 VIK852011:VIK852013 VSG852011:VSG852013 WCC852011:WCC852013 WLY852011:WLY852013 WVU852011:WVU852013 E917547:E917549 JI917547:JI917549 TE917547:TE917549 ADA917547:ADA917549 AMW917547:AMW917549 AWS917547:AWS917549 BGO917547:BGO917549 BQK917547:BQK917549 CAG917547:CAG917549 CKC917547:CKC917549 CTY917547:CTY917549 DDU917547:DDU917549 DNQ917547:DNQ917549 DXM917547:DXM917549 EHI917547:EHI917549 ERE917547:ERE917549 FBA917547:FBA917549 FKW917547:FKW917549 FUS917547:FUS917549 GEO917547:GEO917549 GOK917547:GOK917549 GYG917547:GYG917549 HIC917547:HIC917549 HRY917547:HRY917549 IBU917547:IBU917549 ILQ917547:ILQ917549 IVM917547:IVM917549 JFI917547:JFI917549 JPE917547:JPE917549 JZA917547:JZA917549 KIW917547:KIW917549 KSS917547:KSS917549 LCO917547:LCO917549 LMK917547:LMK917549 LWG917547:LWG917549 MGC917547:MGC917549 MPY917547:MPY917549 MZU917547:MZU917549 NJQ917547:NJQ917549 NTM917547:NTM917549 ODI917547:ODI917549 ONE917547:ONE917549 OXA917547:OXA917549 PGW917547:PGW917549 PQS917547:PQS917549 QAO917547:QAO917549 QKK917547:QKK917549 QUG917547:QUG917549 REC917547:REC917549 RNY917547:RNY917549 RXU917547:RXU917549 SHQ917547:SHQ917549 SRM917547:SRM917549 TBI917547:TBI917549 TLE917547:TLE917549 TVA917547:TVA917549 UEW917547:UEW917549 UOS917547:UOS917549 UYO917547:UYO917549 VIK917547:VIK917549 VSG917547:VSG917549 WCC917547:WCC917549 WLY917547:WLY917549 WVU917547:WVU917549 E983083:E983085 JI983083:JI983085 TE983083:TE983085 ADA983083:ADA983085 AMW983083:AMW983085 AWS983083:AWS983085 BGO983083:BGO983085 BQK983083:BQK983085 CAG983083:CAG983085 CKC983083:CKC983085 CTY983083:CTY983085 DDU983083:DDU983085 DNQ983083:DNQ983085 DXM983083:DXM983085 EHI983083:EHI983085 ERE983083:ERE983085 FBA983083:FBA983085 FKW983083:FKW983085 FUS983083:FUS983085 GEO983083:GEO983085 GOK983083:GOK983085 GYG983083:GYG983085 HIC983083:HIC983085 HRY983083:HRY983085 IBU983083:IBU983085 ILQ983083:ILQ983085 IVM983083:IVM983085 JFI983083:JFI983085 JPE983083:JPE983085 JZA983083:JZA983085 KIW983083:KIW983085 KSS983083:KSS983085 LCO983083:LCO983085 LMK983083:LMK983085 LWG983083:LWG983085 MGC983083:MGC983085 MPY983083:MPY983085 MZU983083:MZU983085 NJQ983083:NJQ983085 NTM983083:NTM983085 ODI983083:ODI983085 ONE983083:ONE983085 OXA983083:OXA983085 PGW983083:PGW983085 PQS983083:PQS983085 QAO983083:QAO983085 QKK983083:QKK983085 QUG983083:QUG983085 REC983083:REC983085 RNY983083:RNY983085 RXU983083:RXU983085 SHQ983083:SHQ983085 SRM983083:SRM983085 TBI983083:TBI983085 TLE983083:TLE983085 TVA983083:TVA983085 UEW983083:UEW983085 UOS983083:UOS983085 UYO983083:UYO983085 VIK983083:VIK983085 VSG983083:VSG983085 WCC983083:WCC983085 WLY983083:WLY983085 WVU983083:WVU983085 D54:E60 JH54:JI60 TD54:TE60 ACZ54:ADA60 AMV54:AMW60 AWR54:AWS60 BGN54:BGO60 BQJ54:BQK60 CAF54:CAG60 CKB54:CKC60 CTX54:CTY60 DDT54:DDU60 DNP54:DNQ60 DXL54:DXM60 EHH54:EHI60 ERD54:ERE60 FAZ54:FBA60 FKV54:FKW60 FUR54:FUS60 GEN54:GEO60 GOJ54:GOK60 GYF54:GYG60 HIB54:HIC60 HRX54:HRY60 IBT54:IBU60 ILP54:ILQ60 IVL54:IVM60 JFH54:JFI60 JPD54:JPE60 JYZ54:JZA60 KIV54:KIW60 KSR54:KSS60 LCN54:LCO60 LMJ54:LMK60 LWF54:LWG60 MGB54:MGC60 MPX54:MPY60 MZT54:MZU60 NJP54:NJQ60 NTL54:NTM60 ODH54:ODI60 OND54:ONE60 OWZ54:OXA60 PGV54:PGW60 PQR54:PQS60 QAN54:QAO60 QKJ54:QKK60 QUF54:QUG60 REB54:REC60 RNX54:RNY60 RXT54:RXU60 SHP54:SHQ60 SRL54:SRM60 TBH54:TBI60 TLD54:TLE60 TUZ54:TVA60 UEV54:UEW60 UOR54:UOS60 UYN54:UYO60 VIJ54:VIK60 VSF54:VSG60 WCB54:WCC60 WLX54:WLY60 WVT54:WVU60 D65593:E65599 JH65593:JI65599 TD65593:TE65599 ACZ65593:ADA65599 AMV65593:AMW65599 AWR65593:AWS65599 BGN65593:BGO65599 BQJ65593:BQK65599 CAF65593:CAG65599 CKB65593:CKC65599 CTX65593:CTY65599 DDT65593:DDU65599 DNP65593:DNQ65599 DXL65593:DXM65599 EHH65593:EHI65599 ERD65593:ERE65599 FAZ65593:FBA65599 FKV65593:FKW65599 FUR65593:FUS65599 GEN65593:GEO65599 GOJ65593:GOK65599 GYF65593:GYG65599 HIB65593:HIC65599 HRX65593:HRY65599 IBT65593:IBU65599 ILP65593:ILQ65599 IVL65593:IVM65599 JFH65593:JFI65599 JPD65593:JPE65599 JYZ65593:JZA65599 KIV65593:KIW65599 KSR65593:KSS65599 LCN65593:LCO65599 LMJ65593:LMK65599 LWF65593:LWG65599 MGB65593:MGC65599 MPX65593:MPY65599 MZT65593:MZU65599 NJP65593:NJQ65599 NTL65593:NTM65599 ODH65593:ODI65599 OND65593:ONE65599 OWZ65593:OXA65599 PGV65593:PGW65599 PQR65593:PQS65599 QAN65593:QAO65599 QKJ65593:QKK65599 QUF65593:QUG65599 REB65593:REC65599 RNX65593:RNY65599 RXT65593:RXU65599 SHP65593:SHQ65599 SRL65593:SRM65599 TBH65593:TBI65599 TLD65593:TLE65599 TUZ65593:TVA65599 UEV65593:UEW65599 UOR65593:UOS65599 UYN65593:UYO65599 VIJ65593:VIK65599 VSF65593:VSG65599 WCB65593:WCC65599 WLX65593:WLY65599 WVT65593:WVU65599 D131129:E131135 JH131129:JI131135 TD131129:TE131135 ACZ131129:ADA131135 AMV131129:AMW131135 AWR131129:AWS131135 BGN131129:BGO131135 BQJ131129:BQK131135 CAF131129:CAG131135 CKB131129:CKC131135 CTX131129:CTY131135 DDT131129:DDU131135 DNP131129:DNQ131135 DXL131129:DXM131135 EHH131129:EHI131135 ERD131129:ERE131135 FAZ131129:FBA131135 FKV131129:FKW131135 FUR131129:FUS131135 GEN131129:GEO131135 GOJ131129:GOK131135 GYF131129:GYG131135 HIB131129:HIC131135 HRX131129:HRY131135 IBT131129:IBU131135 ILP131129:ILQ131135 IVL131129:IVM131135 JFH131129:JFI131135 JPD131129:JPE131135 JYZ131129:JZA131135 KIV131129:KIW131135 KSR131129:KSS131135 LCN131129:LCO131135 LMJ131129:LMK131135 LWF131129:LWG131135 MGB131129:MGC131135 MPX131129:MPY131135 MZT131129:MZU131135 NJP131129:NJQ131135 NTL131129:NTM131135 ODH131129:ODI131135 OND131129:ONE131135 OWZ131129:OXA131135 PGV131129:PGW131135 PQR131129:PQS131135 QAN131129:QAO131135 QKJ131129:QKK131135 QUF131129:QUG131135 REB131129:REC131135 RNX131129:RNY131135 RXT131129:RXU131135 SHP131129:SHQ131135 SRL131129:SRM131135 TBH131129:TBI131135 TLD131129:TLE131135 TUZ131129:TVA131135 UEV131129:UEW131135 UOR131129:UOS131135 UYN131129:UYO131135 VIJ131129:VIK131135 VSF131129:VSG131135 WCB131129:WCC131135 WLX131129:WLY131135 WVT131129:WVU131135 D196665:E196671 JH196665:JI196671 TD196665:TE196671 ACZ196665:ADA196671 AMV196665:AMW196671 AWR196665:AWS196671 BGN196665:BGO196671 BQJ196665:BQK196671 CAF196665:CAG196671 CKB196665:CKC196671 CTX196665:CTY196671 DDT196665:DDU196671 DNP196665:DNQ196671 DXL196665:DXM196671 EHH196665:EHI196671 ERD196665:ERE196671 FAZ196665:FBA196671 FKV196665:FKW196671 FUR196665:FUS196671 GEN196665:GEO196671 GOJ196665:GOK196671 GYF196665:GYG196671 HIB196665:HIC196671 HRX196665:HRY196671 IBT196665:IBU196671 ILP196665:ILQ196671 IVL196665:IVM196671 JFH196665:JFI196671 JPD196665:JPE196671 JYZ196665:JZA196671 KIV196665:KIW196671 KSR196665:KSS196671 LCN196665:LCO196671 LMJ196665:LMK196671 LWF196665:LWG196671 MGB196665:MGC196671 MPX196665:MPY196671 MZT196665:MZU196671 NJP196665:NJQ196671 NTL196665:NTM196671 ODH196665:ODI196671 OND196665:ONE196671 OWZ196665:OXA196671 PGV196665:PGW196671 PQR196665:PQS196671 QAN196665:QAO196671 QKJ196665:QKK196671 QUF196665:QUG196671 REB196665:REC196671 RNX196665:RNY196671 RXT196665:RXU196671 SHP196665:SHQ196671 SRL196665:SRM196671 TBH196665:TBI196671 TLD196665:TLE196671 TUZ196665:TVA196671 UEV196665:UEW196671 UOR196665:UOS196671 UYN196665:UYO196671 VIJ196665:VIK196671 VSF196665:VSG196671 WCB196665:WCC196671 WLX196665:WLY196671 WVT196665:WVU196671 D262201:E262207 JH262201:JI262207 TD262201:TE262207 ACZ262201:ADA262207 AMV262201:AMW262207 AWR262201:AWS262207 BGN262201:BGO262207 BQJ262201:BQK262207 CAF262201:CAG262207 CKB262201:CKC262207 CTX262201:CTY262207 DDT262201:DDU262207 DNP262201:DNQ262207 DXL262201:DXM262207 EHH262201:EHI262207 ERD262201:ERE262207 FAZ262201:FBA262207 FKV262201:FKW262207 FUR262201:FUS262207 GEN262201:GEO262207 GOJ262201:GOK262207 GYF262201:GYG262207 HIB262201:HIC262207 HRX262201:HRY262207 IBT262201:IBU262207 ILP262201:ILQ262207 IVL262201:IVM262207 JFH262201:JFI262207 JPD262201:JPE262207 JYZ262201:JZA262207 KIV262201:KIW262207 KSR262201:KSS262207 LCN262201:LCO262207 LMJ262201:LMK262207 LWF262201:LWG262207 MGB262201:MGC262207 MPX262201:MPY262207 MZT262201:MZU262207 NJP262201:NJQ262207 NTL262201:NTM262207 ODH262201:ODI262207 OND262201:ONE262207 OWZ262201:OXA262207 PGV262201:PGW262207 PQR262201:PQS262207 QAN262201:QAO262207 QKJ262201:QKK262207 QUF262201:QUG262207 REB262201:REC262207 RNX262201:RNY262207 RXT262201:RXU262207 SHP262201:SHQ262207 SRL262201:SRM262207 TBH262201:TBI262207 TLD262201:TLE262207 TUZ262201:TVA262207 UEV262201:UEW262207 UOR262201:UOS262207 UYN262201:UYO262207 VIJ262201:VIK262207 VSF262201:VSG262207 WCB262201:WCC262207 WLX262201:WLY262207 WVT262201:WVU262207 D327737:E327743 JH327737:JI327743 TD327737:TE327743 ACZ327737:ADA327743 AMV327737:AMW327743 AWR327737:AWS327743 BGN327737:BGO327743 BQJ327737:BQK327743 CAF327737:CAG327743 CKB327737:CKC327743 CTX327737:CTY327743 DDT327737:DDU327743 DNP327737:DNQ327743 DXL327737:DXM327743 EHH327737:EHI327743 ERD327737:ERE327743 FAZ327737:FBA327743 FKV327737:FKW327743 FUR327737:FUS327743 GEN327737:GEO327743 GOJ327737:GOK327743 GYF327737:GYG327743 HIB327737:HIC327743 HRX327737:HRY327743 IBT327737:IBU327743 ILP327737:ILQ327743 IVL327737:IVM327743 JFH327737:JFI327743 JPD327737:JPE327743 JYZ327737:JZA327743 KIV327737:KIW327743 KSR327737:KSS327743 LCN327737:LCO327743 LMJ327737:LMK327743 LWF327737:LWG327743 MGB327737:MGC327743 MPX327737:MPY327743 MZT327737:MZU327743 NJP327737:NJQ327743 NTL327737:NTM327743 ODH327737:ODI327743 OND327737:ONE327743 OWZ327737:OXA327743 PGV327737:PGW327743 PQR327737:PQS327743 QAN327737:QAO327743 QKJ327737:QKK327743 QUF327737:QUG327743 REB327737:REC327743 RNX327737:RNY327743 RXT327737:RXU327743 SHP327737:SHQ327743 SRL327737:SRM327743 TBH327737:TBI327743 TLD327737:TLE327743 TUZ327737:TVA327743 UEV327737:UEW327743 UOR327737:UOS327743 UYN327737:UYO327743 VIJ327737:VIK327743 VSF327737:VSG327743 WCB327737:WCC327743 WLX327737:WLY327743 WVT327737:WVU327743 D393273:E393279 JH393273:JI393279 TD393273:TE393279 ACZ393273:ADA393279 AMV393273:AMW393279 AWR393273:AWS393279 BGN393273:BGO393279 BQJ393273:BQK393279 CAF393273:CAG393279 CKB393273:CKC393279 CTX393273:CTY393279 DDT393273:DDU393279 DNP393273:DNQ393279 DXL393273:DXM393279 EHH393273:EHI393279 ERD393273:ERE393279 FAZ393273:FBA393279 FKV393273:FKW393279 FUR393273:FUS393279 GEN393273:GEO393279 GOJ393273:GOK393279 GYF393273:GYG393279 HIB393273:HIC393279 HRX393273:HRY393279 IBT393273:IBU393279 ILP393273:ILQ393279 IVL393273:IVM393279 JFH393273:JFI393279 JPD393273:JPE393279 JYZ393273:JZA393279 KIV393273:KIW393279 KSR393273:KSS393279 LCN393273:LCO393279 LMJ393273:LMK393279 LWF393273:LWG393279 MGB393273:MGC393279 MPX393273:MPY393279 MZT393273:MZU393279 NJP393273:NJQ393279 NTL393273:NTM393279 ODH393273:ODI393279 OND393273:ONE393279 OWZ393273:OXA393279 PGV393273:PGW393279 PQR393273:PQS393279 QAN393273:QAO393279 QKJ393273:QKK393279 QUF393273:QUG393279 REB393273:REC393279 RNX393273:RNY393279 RXT393273:RXU393279 SHP393273:SHQ393279 SRL393273:SRM393279 TBH393273:TBI393279 TLD393273:TLE393279 TUZ393273:TVA393279 UEV393273:UEW393279 UOR393273:UOS393279 UYN393273:UYO393279 VIJ393273:VIK393279 VSF393273:VSG393279 WCB393273:WCC393279 WLX393273:WLY393279 WVT393273:WVU393279 D458809:E458815 JH458809:JI458815 TD458809:TE458815 ACZ458809:ADA458815 AMV458809:AMW458815 AWR458809:AWS458815 BGN458809:BGO458815 BQJ458809:BQK458815 CAF458809:CAG458815 CKB458809:CKC458815 CTX458809:CTY458815 DDT458809:DDU458815 DNP458809:DNQ458815 DXL458809:DXM458815 EHH458809:EHI458815 ERD458809:ERE458815 FAZ458809:FBA458815 FKV458809:FKW458815 FUR458809:FUS458815 GEN458809:GEO458815 GOJ458809:GOK458815 GYF458809:GYG458815 HIB458809:HIC458815 HRX458809:HRY458815 IBT458809:IBU458815 ILP458809:ILQ458815 IVL458809:IVM458815 JFH458809:JFI458815 JPD458809:JPE458815 JYZ458809:JZA458815 KIV458809:KIW458815 KSR458809:KSS458815 LCN458809:LCO458815 LMJ458809:LMK458815 LWF458809:LWG458815 MGB458809:MGC458815 MPX458809:MPY458815 MZT458809:MZU458815 NJP458809:NJQ458815 NTL458809:NTM458815 ODH458809:ODI458815 OND458809:ONE458815 OWZ458809:OXA458815 PGV458809:PGW458815 PQR458809:PQS458815 QAN458809:QAO458815 QKJ458809:QKK458815 QUF458809:QUG458815 REB458809:REC458815 RNX458809:RNY458815 RXT458809:RXU458815 SHP458809:SHQ458815 SRL458809:SRM458815 TBH458809:TBI458815 TLD458809:TLE458815 TUZ458809:TVA458815 UEV458809:UEW458815 UOR458809:UOS458815 UYN458809:UYO458815 VIJ458809:VIK458815 VSF458809:VSG458815 WCB458809:WCC458815 WLX458809:WLY458815 WVT458809:WVU458815 D524345:E524351 JH524345:JI524351 TD524345:TE524351 ACZ524345:ADA524351 AMV524345:AMW524351 AWR524345:AWS524351 BGN524345:BGO524351 BQJ524345:BQK524351 CAF524345:CAG524351 CKB524345:CKC524351 CTX524345:CTY524351 DDT524345:DDU524351 DNP524345:DNQ524351 DXL524345:DXM524351 EHH524345:EHI524351 ERD524345:ERE524351 FAZ524345:FBA524351 FKV524345:FKW524351 FUR524345:FUS524351 GEN524345:GEO524351 GOJ524345:GOK524351 GYF524345:GYG524351 HIB524345:HIC524351 HRX524345:HRY524351 IBT524345:IBU524351 ILP524345:ILQ524351 IVL524345:IVM524351 JFH524345:JFI524351 JPD524345:JPE524351 JYZ524345:JZA524351 KIV524345:KIW524351 KSR524345:KSS524351 LCN524345:LCO524351 LMJ524345:LMK524351 LWF524345:LWG524351 MGB524345:MGC524351 MPX524345:MPY524351 MZT524345:MZU524351 NJP524345:NJQ524351 NTL524345:NTM524351 ODH524345:ODI524351 OND524345:ONE524351 OWZ524345:OXA524351 PGV524345:PGW524351 PQR524345:PQS524351 QAN524345:QAO524351 QKJ524345:QKK524351 QUF524345:QUG524351 REB524345:REC524351 RNX524345:RNY524351 RXT524345:RXU524351 SHP524345:SHQ524351 SRL524345:SRM524351 TBH524345:TBI524351 TLD524345:TLE524351 TUZ524345:TVA524351 UEV524345:UEW524351 UOR524345:UOS524351 UYN524345:UYO524351 VIJ524345:VIK524351 VSF524345:VSG524351 WCB524345:WCC524351 WLX524345:WLY524351 WVT524345:WVU524351 D589881:E589887 JH589881:JI589887 TD589881:TE589887 ACZ589881:ADA589887 AMV589881:AMW589887 AWR589881:AWS589887 BGN589881:BGO589887 BQJ589881:BQK589887 CAF589881:CAG589887 CKB589881:CKC589887 CTX589881:CTY589887 DDT589881:DDU589887 DNP589881:DNQ589887 DXL589881:DXM589887 EHH589881:EHI589887 ERD589881:ERE589887 FAZ589881:FBA589887 FKV589881:FKW589887 FUR589881:FUS589887 GEN589881:GEO589887 GOJ589881:GOK589887 GYF589881:GYG589887 HIB589881:HIC589887 HRX589881:HRY589887 IBT589881:IBU589887 ILP589881:ILQ589887 IVL589881:IVM589887 JFH589881:JFI589887 JPD589881:JPE589887 JYZ589881:JZA589887 KIV589881:KIW589887 KSR589881:KSS589887 LCN589881:LCO589887 LMJ589881:LMK589887 LWF589881:LWG589887 MGB589881:MGC589887 MPX589881:MPY589887 MZT589881:MZU589887 NJP589881:NJQ589887 NTL589881:NTM589887 ODH589881:ODI589887 OND589881:ONE589887 OWZ589881:OXA589887 PGV589881:PGW589887 PQR589881:PQS589887 QAN589881:QAO589887 QKJ589881:QKK589887 QUF589881:QUG589887 REB589881:REC589887 RNX589881:RNY589887 RXT589881:RXU589887 SHP589881:SHQ589887 SRL589881:SRM589887 TBH589881:TBI589887 TLD589881:TLE589887 TUZ589881:TVA589887 UEV589881:UEW589887 UOR589881:UOS589887 UYN589881:UYO589887 VIJ589881:VIK589887 VSF589881:VSG589887 WCB589881:WCC589887 WLX589881:WLY589887 WVT589881:WVU589887 D655417:E655423 JH655417:JI655423 TD655417:TE655423 ACZ655417:ADA655423 AMV655417:AMW655423 AWR655417:AWS655423 BGN655417:BGO655423 BQJ655417:BQK655423 CAF655417:CAG655423 CKB655417:CKC655423 CTX655417:CTY655423 DDT655417:DDU655423 DNP655417:DNQ655423 DXL655417:DXM655423 EHH655417:EHI655423 ERD655417:ERE655423 FAZ655417:FBA655423 FKV655417:FKW655423 FUR655417:FUS655423 GEN655417:GEO655423 GOJ655417:GOK655423 GYF655417:GYG655423 HIB655417:HIC655423 HRX655417:HRY655423 IBT655417:IBU655423 ILP655417:ILQ655423 IVL655417:IVM655423 JFH655417:JFI655423 JPD655417:JPE655423 JYZ655417:JZA655423 KIV655417:KIW655423 KSR655417:KSS655423 LCN655417:LCO655423 LMJ655417:LMK655423 LWF655417:LWG655423 MGB655417:MGC655423 MPX655417:MPY655423 MZT655417:MZU655423 NJP655417:NJQ655423 NTL655417:NTM655423 ODH655417:ODI655423 OND655417:ONE655423 OWZ655417:OXA655423 PGV655417:PGW655423 PQR655417:PQS655423 QAN655417:QAO655423 QKJ655417:QKK655423 QUF655417:QUG655423 REB655417:REC655423 RNX655417:RNY655423 RXT655417:RXU655423 SHP655417:SHQ655423 SRL655417:SRM655423 TBH655417:TBI655423 TLD655417:TLE655423 TUZ655417:TVA655423 UEV655417:UEW655423 UOR655417:UOS655423 UYN655417:UYO655423 VIJ655417:VIK655423 VSF655417:VSG655423 WCB655417:WCC655423 WLX655417:WLY655423 WVT655417:WVU655423 D720953:E720959 JH720953:JI720959 TD720953:TE720959 ACZ720953:ADA720959 AMV720953:AMW720959 AWR720953:AWS720959 BGN720953:BGO720959 BQJ720953:BQK720959 CAF720953:CAG720959 CKB720953:CKC720959 CTX720953:CTY720959 DDT720953:DDU720959 DNP720953:DNQ720959 DXL720953:DXM720959 EHH720953:EHI720959 ERD720953:ERE720959 FAZ720953:FBA720959 FKV720953:FKW720959 FUR720953:FUS720959 GEN720953:GEO720959 GOJ720953:GOK720959 GYF720953:GYG720959 HIB720953:HIC720959 HRX720953:HRY720959 IBT720953:IBU720959 ILP720953:ILQ720959 IVL720953:IVM720959 JFH720953:JFI720959 JPD720953:JPE720959 JYZ720953:JZA720959 KIV720953:KIW720959 KSR720953:KSS720959 LCN720953:LCO720959 LMJ720953:LMK720959 LWF720953:LWG720959 MGB720953:MGC720959 MPX720953:MPY720959 MZT720953:MZU720959 NJP720953:NJQ720959 NTL720953:NTM720959 ODH720953:ODI720959 OND720953:ONE720959 OWZ720953:OXA720959 PGV720953:PGW720959 PQR720953:PQS720959 QAN720953:QAO720959 QKJ720953:QKK720959 QUF720953:QUG720959 REB720953:REC720959 RNX720953:RNY720959 RXT720953:RXU720959 SHP720953:SHQ720959 SRL720953:SRM720959 TBH720953:TBI720959 TLD720953:TLE720959 TUZ720953:TVA720959 UEV720953:UEW720959 UOR720953:UOS720959 UYN720953:UYO720959 VIJ720953:VIK720959 VSF720953:VSG720959 WCB720953:WCC720959 WLX720953:WLY720959 WVT720953:WVU720959 D786489:E786495 JH786489:JI786495 TD786489:TE786495 ACZ786489:ADA786495 AMV786489:AMW786495 AWR786489:AWS786495 BGN786489:BGO786495 BQJ786489:BQK786495 CAF786489:CAG786495 CKB786489:CKC786495 CTX786489:CTY786495 DDT786489:DDU786495 DNP786489:DNQ786495 DXL786489:DXM786495 EHH786489:EHI786495 ERD786489:ERE786495 FAZ786489:FBA786495 FKV786489:FKW786495 FUR786489:FUS786495 GEN786489:GEO786495 GOJ786489:GOK786495 GYF786489:GYG786495 HIB786489:HIC786495 HRX786489:HRY786495 IBT786489:IBU786495 ILP786489:ILQ786495 IVL786489:IVM786495 JFH786489:JFI786495 JPD786489:JPE786495 JYZ786489:JZA786495 KIV786489:KIW786495 KSR786489:KSS786495 LCN786489:LCO786495 LMJ786489:LMK786495 LWF786489:LWG786495 MGB786489:MGC786495 MPX786489:MPY786495 MZT786489:MZU786495 NJP786489:NJQ786495 NTL786489:NTM786495 ODH786489:ODI786495 OND786489:ONE786495 OWZ786489:OXA786495 PGV786489:PGW786495 PQR786489:PQS786495 QAN786489:QAO786495 QKJ786489:QKK786495 QUF786489:QUG786495 REB786489:REC786495 RNX786489:RNY786495 RXT786489:RXU786495 SHP786489:SHQ786495 SRL786489:SRM786495 TBH786489:TBI786495 TLD786489:TLE786495 TUZ786489:TVA786495 UEV786489:UEW786495 UOR786489:UOS786495 UYN786489:UYO786495 VIJ786489:VIK786495 VSF786489:VSG786495 WCB786489:WCC786495 WLX786489:WLY786495 WVT786489:WVU786495 D852025:E852031 JH852025:JI852031 TD852025:TE852031 ACZ852025:ADA852031 AMV852025:AMW852031 AWR852025:AWS852031 BGN852025:BGO852031 BQJ852025:BQK852031 CAF852025:CAG852031 CKB852025:CKC852031 CTX852025:CTY852031 DDT852025:DDU852031 DNP852025:DNQ852031 DXL852025:DXM852031 EHH852025:EHI852031 ERD852025:ERE852031 FAZ852025:FBA852031 FKV852025:FKW852031 FUR852025:FUS852031 GEN852025:GEO852031 GOJ852025:GOK852031 GYF852025:GYG852031 HIB852025:HIC852031 HRX852025:HRY852031 IBT852025:IBU852031 ILP852025:ILQ852031 IVL852025:IVM852031 JFH852025:JFI852031 JPD852025:JPE852031 JYZ852025:JZA852031 KIV852025:KIW852031 KSR852025:KSS852031 LCN852025:LCO852031 LMJ852025:LMK852031 LWF852025:LWG852031 MGB852025:MGC852031 MPX852025:MPY852031 MZT852025:MZU852031 NJP852025:NJQ852031 NTL852025:NTM852031 ODH852025:ODI852031 OND852025:ONE852031 OWZ852025:OXA852031 PGV852025:PGW852031 PQR852025:PQS852031 QAN852025:QAO852031 QKJ852025:QKK852031 QUF852025:QUG852031 REB852025:REC852031 RNX852025:RNY852031 RXT852025:RXU852031 SHP852025:SHQ852031 SRL852025:SRM852031 TBH852025:TBI852031 TLD852025:TLE852031 TUZ852025:TVA852031 UEV852025:UEW852031 UOR852025:UOS852031 UYN852025:UYO852031 VIJ852025:VIK852031 VSF852025:VSG852031 WCB852025:WCC852031 WLX852025:WLY852031 WVT852025:WVU852031 D917561:E917567 JH917561:JI917567 TD917561:TE917567 ACZ917561:ADA917567 AMV917561:AMW917567 AWR917561:AWS917567 BGN917561:BGO917567 BQJ917561:BQK917567 CAF917561:CAG917567 CKB917561:CKC917567 CTX917561:CTY917567 DDT917561:DDU917567 DNP917561:DNQ917567 DXL917561:DXM917567 EHH917561:EHI917567 ERD917561:ERE917567 FAZ917561:FBA917567 FKV917561:FKW917567 FUR917561:FUS917567 GEN917561:GEO917567 GOJ917561:GOK917567 GYF917561:GYG917567 HIB917561:HIC917567 HRX917561:HRY917567 IBT917561:IBU917567 ILP917561:ILQ917567 IVL917561:IVM917567 JFH917561:JFI917567 JPD917561:JPE917567 JYZ917561:JZA917567 KIV917561:KIW917567 KSR917561:KSS917567 LCN917561:LCO917567 LMJ917561:LMK917567 LWF917561:LWG917567 MGB917561:MGC917567 MPX917561:MPY917567 MZT917561:MZU917567 NJP917561:NJQ917567 NTL917561:NTM917567 ODH917561:ODI917567 OND917561:ONE917567 OWZ917561:OXA917567 PGV917561:PGW917567 PQR917561:PQS917567 QAN917561:QAO917567 QKJ917561:QKK917567 QUF917561:QUG917567 REB917561:REC917567 RNX917561:RNY917567 RXT917561:RXU917567 SHP917561:SHQ917567 SRL917561:SRM917567 TBH917561:TBI917567 TLD917561:TLE917567 TUZ917561:TVA917567 UEV917561:UEW917567 UOR917561:UOS917567 UYN917561:UYO917567 VIJ917561:VIK917567 VSF917561:VSG917567 WCB917561:WCC917567 WLX917561:WLY917567 WVT917561:WVU917567 D983097:E983103 JH983097:JI983103 TD983097:TE983103 ACZ983097:ADA983103 AMV983097:AMW983103 AWR983097:AWS983103 BGN983097:BGO983103 BQJ983097:BQK983103 CAF983097:CAG983103 CKB983097:CKC983103 CTX983097:CTY983103 DDT983097:DDU983103 DNP983097:DNQ983103 DXL983097:DXM983103 EHH983097:EHI983103 ERD983097:ERE983103 FAZ983097:FBA983103 FKV983097:FKW983103 FUR983097:FUS983103 GEN983097:GEO983103 GOJ983097:GOK983103 GYF983097:GYG983103 HIB983097:HIC983103 HRX983097:HRY983103 IBT983097:IBU983103 ILP983097:ILQ983103 IVL983097:IVM983103 JFH983097:JFI983103 JPD983097:JPE983103 JYZ983097:JZA983103 KIV983097:KIW983103 KSR983097:KSS983103 LCN983097:LCO983103 LMJ983097:LMK983103 LWF983097:LWG983103 MGB983097:MGC983103 MPX983097:MPY983103 MZT983097:MZU983103 NJP983097:NJQ983103 NTL983097:NTM983103 ODH983097:ODI983103 OND983097:ONE983103 OWZ983097:OXA983103 PGV983097:PGW983103 PQR983097:PQS983103 QAN983097:QAO983103 QKJ983097:QKK983103 QUF983097:QUG983103 REB983097:REC983103 RNX983097:RNY983103 RXT983097:RXU983103 SHP983097:SHQ983103 SRL983097:SRM983103 TBH983097:TBI983103 TLD983097:TLE983103 TUZ983097:TVA983103 UEV983097:UEW983103 UOR983097:UOS983103 UYN983097:UYO983103 VIJ983097:VIK983103 VSF983097:VSG983103 WCB983097:WCC983103 WLX983097:WLY983103 WVT983097:WVU983103 E64:E65 JI64:JI65 TE64:TE65 ADA64:ADA65 AMW64:AMW65 AWS64:AWS65 BGO64:BGO65 BQK64:BQK65 CAG64:CAG65 CKC64:CKC65 CTY64:CTY65 DDU64:DDU65 DNQ64:DNQ65 DXM64:DXM65 EHI64:EHI65 ERE64:ERE65 FBA64:FBA65 FKW64:FKW65 FUS64:FUS65 GEO64:GEO65 GOK64:GOK65 GYG64:GYG65 HIC64:HIC65 HRY64:HRY65 IBU64:IBU65 ILQ64:ILQ65 IVM64:IVM65 JFI64:JFI65 JPE64:JPE65 JZA64:JZA65 KIW64:KIW65 KSS64:KSS65 LCO64:LCO65 LMK64:LMK65 LWG64:LWG65 MGC64:MGC65 MPY64:MPY65 MZU64:MZU65 NJQ64:NJQ65 NTM64:NTM65 ODI64:ODI65 ONE64:ONE65 OXA64:OXA65 PGW64:PGW65 PQS64:PQS65 QAO64:QAO65 QKK64:QKK65 QUG64:QUG65 REC64:REC65 RNY64:RNY65 RXU64:RXU65 SHQ64:SHQ65 SRM64:SRM65 TBI64:TBI65 TLE64:TLE65 TVA64:TVA65 UEW64:UEW65 UOS64:UOS65 UYO64:UYO65 VIK64:VIK65 VSG64:VSG65 WCC64:WCC65 WLY64:WLY65 WVU64:WVU65 E65603:E65604 JI65603:JI65604 TE65603:TE65604 ADA65603:ADA65604 AMW65603:AMW65604 AWS65603:AWS65604 BGO65603:BGO65604 BQK65603:BQK65604 CAG65603:CAG65604 CKC65603:CKC65604 CTY65603:CTY65604 DDU65603:DDU65604 DNQ65603:DNQ65604 DXM65603:DXM65604 EHI65603:EHI65604 ERE65603:ERE65604 FBA65603:FBA65604 FKW65603:FKW65604 FUS65603:FUS65604 GEO65603:GEO65604 GOK65603:GOK65604 GYG65603:GYG65604 HIC65603:HIC65604 HRY65603:HRY65604 IBU65603:IBU65604 ILQ65603:ILQ65604 IVM65603:IVM65604 JFI65603:JFI65604 JPE65603:JPE65604 JZA65603:JZA65604 KIW65603:KIW65604 KSS65603:KSS65604 LCO65603:LCO65604 LMK65603:LMK65604 LWG65603:LWG65604 MGC65603:MGC65604 MPY65603:MPY65604 MZU65603:MZU65604 NJQ65603:NJQ65604 NTM65603:NTM65604 ODI65603:ODI65604 ONE65603:ONE65604 OXA65603:OXA65604 PGW65603:PGW65604 PQS65603:PQS65604 QAO65603:QAO65604 QKK65603:QKK65604 QUG65603:QUG65604 REC65603:REC65604 RNY65603:RNY65604 RXU65603:RXU65604 SHQ65603:SHQ65604 SRM65603:SRM65604 TBI65603:TBI65604 TLE65603:TLE65604 TVA65603:TVA65604 UEW65603:UEW65604 UOS65603:UOS65604 UYO65603:UYO65604 VIK65603:VIK65604 VSG65603:VSG65604 WCC65603:WCC65604 WLY65603:WLY65604 WVU65603:WVU65604 E131139:E131140 JI131139:JI131140 TE131139:TE131140 ADA131139:ADA131140 AMW131139:AMW131140 AWS131139:AWS131140 BGO131139:BGO131140 BQK131139:BQK131140 CAG131139:CAG131140 CKC131139:CKC131140 CTY131139:CTY131140 DDU131139:DDU131140 DNQ131139:DNQ131140 DXM131139:DXM131140 EHI131139:EHI131140 ERE131139:ERE131140 FBA131139:FBA131140 FKW131139:FKW131140 FUS131139:FUS131140 GEO131139:GEO131140 GOK131139:GOK131140 GYG131139:GYG131140 HIC131139:HIC131140 HRY131139:HRY131140 IBU131139:IBU131140 ILQ131139:ILQ131140 IVM131139:IVM131140 JFI131139:JFI131140 JPE131139:JPE131140 JZA131139:JZA131140 KIW131139:KIW131140 KSS131139:KSS131140 LCO131139:LCO131140 LMK131139:LMK131140 LWG131139:LWG131140 MGC131139:MGC131140 MPY131139:MPY131140 MZU131139:MZU131140 NJQ131139:NJQ131140 NTM131139:NTM131140 ODI131139:ODI131140 ONE131139:ONE131140 OXA131139:OXA131140 PGW131139:PGW131140 PQS131139:PQS131140 QAO131139:QAO131140 QKK131139:QKK131140 QUG131139:QUG131140 REC131139:REC131140 RNY131139:RNY131140 RXU131139:RXU131140 SHQ131139:SHQ131140 SRM131139:SRM131140 TBI131139:TBI131140 TLE131139:TLE131140 TVA131139:TVA131140 UEW131139:UEW131140 UOS131139:UOS131140 UYO131139:UYO131140 VIK131139:VIK131140 VSG131139:VSG131140 WCC131139:WCC131140 WLY131139:WLY131140 WVU131139:WVU131140 E196675:E196676 JI196675:JI196676 TE196675:TE196676 ADA196675:ADA196676 AMW196675:AMW196676 AWS196675:AWS196676 BGO196675:BGO196676 BQK196675:BQK196676 CAG196675:CAG196676 CKC196675:CKC196676 CTY196675:CTY196676 DDU196675:DDU196676 DNQ196675:DNQ196676 DXM196675:DXM196676 EHI196675:EHI196676 ERE196675:ERE196676 FBA196675:FBA196676 FKW196675:FKW196676 FUS196675:FUS196676 GEO196675:GEO196676 GOK196675:GOK196676 GYG196675:GYG196676 HIC196675:HIC196676 HRY196675:HRY196676 IBU196675:IBU196676 ILQ196675:ILQ196676 IVM196675:IVM196676 JFI196675:JFI196676 JPE196675:JPE196676 JZA196675:JZA196676 KIW196675:KIW196676 KSS196675:KSS196676 LCO196675:LCO196676 LMK196675:LMK196676 LWG196675:LWG196676 MGC196675:MGC196676 MPY196675:MPY196676 MZU196675:MZU196676 NJQ196675:NJQ196676 NTM196675:NTM196676 ODI196675:ODI196676 ONE196675:ONE196676 OXA196675:OXA196676 PGW196675:PGW196676 PQS196675:PQS196676 QAO196675:QAO196676 QKK196675:QKK196676 QUG196675:QUG196676 REC196675:REC196676 RNY196675:RNY196676 RXU196675:RXU196676 SHQ196675:SHQ196676 SRM196675:SRM196676 TBI196675:TBI196676 TLE196675:TLE196676 TVA196675:TVA196676 UEW196675:UEW196676 UOS196675:UOS196676 UYO196675:UYO196676 VIK196675:VIK196676 VSG196675:VSG196676 WCC196675:WCC196676 WLY196675:WLY196676 WVU196675:WVU196676 E262211:E262212 JI262211:JI262212 TE262211:TE262212 ADA262211:ADA262212 AMW262211:AMW262212 AWS262211:AWS262212 BGO262211:BGO262212 BQK262211:BQK262212 CAG262211:CAG262212 CKC262211:CKC262212 CTY262211:CTY262212 DDU262211:DDU262212 DNQ262211:DNQ262212 DXM262211:DXM262212 EHI262211:EHI262212 ERE262211:ERE262212 FBA262211:FBA262212 FKW262211:FKW262212 FUS262211:FUS262212 GEO262211:GEO262212 GOK262211:GOK262212 GYG262211:GYG262212 HIC262211:HIC262212 HRY262211:HRY262212 IBU262211:IBU262212 ILQ262211:ILQ262212 IVM262211:IVM262212 JFI262211:JFI262212 JPE262211:JPE262212 JZA262211:JZA262212 KIW262211:KIW262212 KSS262211:KSS262212 LCO262211:LCO262212 LMK262211:LMK262212 LWG262211:LWG262212 MGC262211:MGC262212 MPY262211:MPY262212 MZU262211:MZU262212 NJQ262211:NJQ262212 NTM262211:NTM262212 ODI262211:ODI262212 ONE262211:ONE262212 OXA262211:OXA262212 PGW262211:PGW262212 PQS262211:PQS262212 QAO262211:QAO262212 QKK262211:QKK262212 QUG262211:QUG262212 REC262211:REC262212 RNY262211:RNY262212 RXU262211:RXU262212 SHQ262211:SHQ262212 SRM262211:SRM262212 TBI262211:TBI262212 TLE262211:TLE262212 TVA262211:TVA262212 UEW262211:UEW262212 UOS262211:UOS262212 UYO262211:UYO262212 VIK262211:VIK262212 VSG262211:VSG262212 WCC262211:WCC262212 WLY262211:WLY262212 WVU262211:WVU262212 E327747:E327748 JI327747:JI327748 TE327747:TE327748 ADA327747:ADA327748 AMW327747:AMW327748 AWS327747:AWS327748 BGO327747:BGO327748 BQK327747:BQK327748 CAG327747:CAG327748 CKC327747:CKC327748 CTY327747:CTY327748 DDU327747:DDU327748 DNQ327747:DNQ327748 DXM327747:DXM327748 EHI327747:EHI327748 ERE327747:ERE327748 FBA327747:FBA327748 FKW327747:FKW327748 FUS327747:FUS327748 GEO327747:GEO327748 GOK327747:GOK327748 GYG327747:GYG327748 HIC327747:HIC327748 HRY327747:HRY327748 IBU327747:IBU327748 ILQ327747:ILQ327748 IVM327747:IVM327748 JFI327747:JFI327748 JPE327747:JPE327748 JZA327747:JZA327748 KIW327747:KIW327748 KSS327747:KSS327748 LCO327747:LCO327748 LMK327747:LMK327748 LWG327747:LWG327748 MGC327747:MGC327748 MPY327747:MPY327748 MZU327747:MZU327748 NJQ327747:NJQ327748 NTM327747:NTM327748 ODI327747:ODI327748 ONE327747:ONE327748 OXA327747:OXA327748 PGW327747:PGW327748 PQS327747:PQS327748 QAO327747:QAO327748 QKK327747:QKK327748 QUG327747:QUG327748 REC327747:REC327748 RNY327747:RNY327748 RXU327747:RXU327748 SHQ327747:SHQ327748 SRM327747:SRM327748 TBI327747:TBI327748 TLE327747:TLE327748 TVA327747:TVA327748 UEW327747:UEW327748 UOS327747:UOS327748 UYO327747:UYO327748 VIK327747:VIK327748 VSG327747:VSG327748 WCC327747:WCC327748 WLY327747:WLY327748 WVU327747:WVU327748 E393283:E393284 JI393283:JI393284 TE393283:TE393284 ADA393283:ADA393284 AMW393283:AMW393284 AWS393283:AWS393284 BGO393283:BGO393284 BQK393283:BQK393284 CAG393283:CAG393284 CKC393283:CKC393284 CTY393283:CTY393284 DDU393283:DDU393284 DNQ393283:DNQ393284 DXM393283:DXM393284 EHI393283:EHI393284 ERE393283:ERE393284 FBA393283:FBA393284 FKW393283:FKW393284 FUS393283:FUS393284 GEO393283:GEO393284 GOK393283:GOK393284 GYG393283:GYG393284 HIC393283:HIC393284 HRY393283:HRY393284 IBU393283:IBU393284 ILQ393283:ILQ393284 IVM393283:IVM393284 JFI393283:JFI393284 JPE393283:JPE393284 JZA393283:JZA393284 KIW393283:KIW393284 KSS393283:KSS393284 LCO393283:LCO393284 LMK393283:LMK393284 LWG393283:LWG393284 MGC393283:MGC393284 MPY393283:MPY393284 MZU393283:MZU393284 NJQ393283:NJQ393284 NTM393283:NTM393284 ODI393283:ODI393284 ONE393283:ONE393284 OXA393283:OXA393284 PGW393283:PGW393284 PQS393283:PQS393284 QAO393283:QAO393284 QKK393283:QKK393284 QUG393283:QUG393284 REC393283:REC393284 RNY393283:RNY393284 RXU393283:RXU393284 SHQ393283:SHQ393284 SRM393283:SRM393284 TBI393283:TBI393284 TLE393283:TLE393284 TVA393283:TVA393284 UEW393283:UEW393284 UOS393283:UOS393284 UYO393283:UYO393284 VIK393283:VIK393284 VSG393283:VSG393284 WCC393283:WCC393284 WLY393283:WLY393284 WVU393283:WVU393284 E458819:E458820 JI458819:JI458820 TE458819:TE458820 ADA458819:ADA458820 AMW458819:AMW458820 AWS458819:AWS458820 BGO458819:BGO458820 BQK458819:BQK458820 CAG458819:CAG458820 CKC458819:CKC458820 CTY458819:CTY458820 DDU458819:DDU458820 DNQ458819:DNQ458820 DXM458819:DXM458820 EHI458819:EHI458820 ERE458819:ERE458820 FBA458819:FBA458820 FKW458819:FKW458820 FUS458819:FUS458820 GEO458819:GEO458820 GOK458819:GOK458820 GYG458819:GYG458820 HIC458819:HIC458820 HRY458819:HRY458820 IBU458819:IBU458820 ILQ458819:ILQ458820 IVM458819:IVM458820 JFI458819:JFI458820 JPE458819:JPE458820 JZA458819:JZA458820 KIW458819:KIW458820 KSS458819:KSS458820 LCO458819:LCO458820 LMK458819:LMK458820 LWG458819:LWG458820 MGC458819:MGC458820 MPY458819:MPY458820 MZU458819:MZU458820 NJQ458819:NJQ458820 NTM458819:NTM458820 ODI458819:ODI458820 ONE458819:ONE458820 OXA458819:OXA458820 PGW458819:PGW458820 PQS458819:PQS458820 QAO458819:QAO458820 QKK458819:QKK458820 QUG458819:QUG458820 REC458819:REC458820 RNY458819:RNY458820 RXU458819:RXU458820 SHQ458819:SHQ458820 SRM458819:SRM458820 TBI458819:TBI458820 TLE458819:TLE458820 TVA458819:TVA458820 UEW458819:UEW458820 UOS458819:UOS458820 UYO458819:UYO458820 VIK458819:VIK458820 VSG458819:VSG458820 WCC458819:WCC458820 WLY458819:WLY458820 WVU458819:WVU458820 E524355:E524356 JI524355:JI524356 TE524355:TE524356 ADA524355:ADA524356 AMW524355:AMW524356 AWS524355:AWS524356 BGO524355:BGO524356 BQK524355:BQK524356 CAG524355:CAG524356 CKC524355:CKC524356 CTY524355:CTY524356 DDU524355:DDU524356 DNQ524355:DNQ524356 DXM524355:DXM524356 EHI524355:EHI524356 ERE524355:ERE524356 FBA524355:FBA524356 FKW524355:FKW524356 FUS524355:FUS524356 GEO524355:GEO524356 GOK524355:GOK524356 GYG524355:GYG524356 HIC524355:HIC524356 HRY524355:HRY524356 IBU524355:IBU524356 ILQ524355:ILQ524356 IVM524355:IVM524356 JFI524355:JFI524356 JPE524355:JPE524356 JZA524355:JZA524356 KIW524355:KIW524356 KSS524355:KSS524356 LCO524355:LCO524356 LMK524355:LMK524356 LWG524355:LWG524356 MGC524355:MGC524356 MPY524355:MPY524356 MZU524355:MZU524356 NJQ524355:NJQ524356 NTM524355:NTM524356 ODI524355:ODI524356 ONE524355:ONE524356 OXA524355:OXA524356 PGW524355:PGW524356 PQS524355:PQS524356 QAO524355:QAO524356 QKK524355:QKK524356 QUG524355:QUG524356 REC524355:REC524356 RNY524355:RNY524356 RXU524355:RXU524356 SHQ524355:SHQ524356 SRM524355:SRM524356 TBI524355:TBI524356 TLE524355:TLE524356 TVA524355:TVA524356 UEW524355:UEW524356 UOS524355:UOS524356 UYO524355:UYO524356 VIK524355:VIK524356 VSG524355:VSG524356 WCC524355:WCC524356 WLY524355:WLY524356 WVU524355:WVU524356 E589891:E589892 JI589891:JI589892 TE589891:TE589892 ADA589891:ADA589892 AMW589891:AMW589892 AWS589891:AWS589892 BGO589891:BGO589892 BQK589891:BQK589892 CAG589891:CAG589892 CKC589891:CKC589892 CTY589891:CTY589892 DDU589891:DDU589892 DNQ589891:DNQ589892 DXM589891:DXM589892 EHI589891:EHI589892 ERE589891:ERE589892 FBA589891:FBA589892 FKW589891:FKW589892 FUS589891:FUS589892 GEO589891:GEO589892 GOK589891:GOK589892 GYG589891:GYG589892 HIC589891:HIC589892 HRY589891:HRY589892 IBU589891:IBU589892 ILQ589891:ILQ589892 IVM589891:IVM589892 JFI589891:JFI589892 JPE589891:JPE589892 JZA589891:JZA589892 KIW589891:KIW589892 KSS589891:KSS589892 LCO589891:LCO589892 LMK589891:LMK589892 LWG589891:LWG589892 MGC589891:MGC589892 MPY589891:MPY589892 MZU589891:MZU589892 NJQ589891:NJQ589892 NTM589891:NTM589892 ODI589891:ODI589892 ONE589891:ONE589892 OXA589891:OXA589892 PGW589891:PGW589892 PQS589891:PQS589892 QAO589891:QAO589892 QKK589891:QKK589892 QUG589891:QUG589892 REC589891:REC589892 RNY589891:RNY589892 RXU589891:RXU589892 SHQ589891:SHQ589892 SRM589891:SRM589892 TBI589891:TBI589892 TLE589891:TLE589892 TVA589891:TVA589892 UEW589891:UEW589892 UOS589891:UOS589892 UYO589891:UYO589892 VIK589891:VIK589892 VSG589891:VSG589892 WCC589891:WCC589892 WLY589891:WLY589892 WVU589891:WVU589892 E655427:E655428 JI655427:JI655428 TE655427:TE655428 ADA655427:ADA655428 AMW655427:AMW655428 AWS655427:AWS655428 BGO655427:BGO655428 BQK655427:BQK655428 CAG655427:CAG655428 CKC655427:CKC655428 CTY655427:CTY655428 DDU655427:DDU655428 DNQ655427:DNQ655428 DXM655427:DXM655428 EHI655427:EHI655428 ERE655427:ERE655428 FBA655427:FBA655428 FKW655427:FKW655428 FUS655427:FUS655428 GEO655427:GEO655428 GOK655427:GOK655428 GYG655427:GYG655428 HIC655427:HIC655428 HRY655427:HRY655428 IBU655427:IBU655428 ILQ655427:ILQ655428 IVM655427:IVM655428 JFI655427:JFI655428 JPE655427:JPE655428 JZA655427:JZA655428 KIW655427:KIW655428 KSS655427:KSS655428 LCO655427:LCO655428 LMK655427:LMK655428 LWG655427:LWG655428 MGC655427:MGC655428 MPY655427:MPY655428 MZU655427:MZU655428 NJQ655427:NJQ655428 NTM655427:NTM655428 ODI655427:ODI655428 ONE655427:ONE655428 OXA655427:OXA655428 PGW655427:PGW655428 PQS655427:PQS655428 QAO655427:QAO655428 QKK655427:QKK655428 QUG655427:QUG655428 REC655427:REC655428 RNY655427:RNY655428 RXU655427:RXU655428 SHQ655427:SHQ655428 SRM655427:SRM655428 TBI655427:TBI655428 TLE655427:TLE655428 TVA655427:TVA655428 UEW655427:UEW655428 UOS655427:UOS655428 UYO655427:UYO655428 VIK655427:VIK655428 VSG655427:VSG655428 WCC655427:WCC655428 WLY655427:WLY655428 WVU655427:WVU655428 E720963:E720964 JI720963:JI720964 TE720963:TE720964 ADA720963:ADA720964 AMW720963:AMW720964 AWS720963:AWS720964 BGO720963:BGO720964 BQK720963:BQK720964 CAG720963:CAG720964 CKC720963:CKC720964 CTY720963:CTY720964 DDU720963:DDU720964 DNQ720963:DNQ720964 DXM720963:DXM720964 EHI720963:EHI720964 ERE720963:ERE720964 FBA720963:FBA720964 FKW720963:FKW720964 FUS720963:FUS720964 GEO720963:GEO720964 GOK720963:GOK720964 GYG720963:GYG720964 HIC720963:HIC720964 HRY720963:HRY720964 IBU720963:IBU720964 ILQ720963:ILQ720964 IVM720963:IVM720964 JFI720963:JFI720964 JPE720963:JPE720964 JZA720963:JZA720964 KIW720963:KIW720964 KSS720963:KSS720964 LCO720963:LCO720964 LMK720963:LMK720964 LWG720963:LWG720964 MGC720963:MGC720964 MPY720963:MPY720964 MZU720963:MZU720964 NJQ720963:NJQ720964 NTM720963:NTM720964 ODI720963:ODI720964 ONE720963:ONE720964 OXA720963:OXA720964 PGW720963:PGW720964 PQS720963:PQS720964 QAO720963:QAO720964 QKK720963:QKK720964 QUG720963:QUG720964 REC720963:REC720964 RNY720963:RNY720964 RXU720963:RXU720964 SHQ720963:SHQ720964 SRM720963:SRM720964 TBI720963:TBI720964 TLE720963:TLE720964 TVA720963:TVA720964 UEW720963:UEW720964 UOS720963:UOS720964 UYO720963:UYO720964 VIK720963:VIK720964 VSG720963:VSG720964 WCC720963:WCC720964 WLY720963:WLY720964 WVU720963:WVU720964 E786499:E786500 JI786499:JI786500 TE786499:TE786500 ADA786499:ADA786500 AMW786499:AMW786500 AWS786499:AWS786500 BGO786499:BGO786500 BQK786499:BQK786500 CAG786499:CAG786500 CKC786499:CKC786500 CTY786499:CTY786500 DDU786499:DDU786500 DNQ786499:DNQ786500 DXM786499:DXM786500 EHI786499:EHI786500 ERE786499:ERE786500 FBA786499:FBA786500 FKW786499:FKW786500 FUS786499:FUS786500 GEO786499:GEO786500 GOK786499:GOK786500 GYG786499:GYG786500 HIC786499:HIC786500 HRY786499:HRY786500 IBU786499:IBU786500 ILQ786499:ILQ786500 IVM786499:IVM786500 JFI786499:JFI786500 JPE786499:JPE786500 JZA786499:JZA786500 KIW786499:KIW786500 KSS786499:KSS786500 LCO786499:LCO786500 LMK786499:LMK786500 LWG786499:LWG786500 MGC786499:MGC786500 MPY786499:MPY786500 MZU786499:MZU786500 NJQ786499:NJQ786500 NTM786499:NTM786500 ODI786499:ODI786500 ONE786499:ONE786500 OXA786499:OXA786500 PGW786499:PGW786500 PQS786499:PQS786500 QAO786499:QAO786500 QKK786499:QKK786500 QUG786499:QUG786500 REC786499:REC786500 RNY786499:RNY786500 RXU786499:RXU786500 SHQ786499:SHQ786500 SRM786499:SRM786500 TBI786499:TBI786500 TLE786499:TLE786500 TVA786499:TVA786500 UEW786499:UEW786500 UOS786499:UOS786500 UYO786499:UYO786500 VIK786499:VIK786500 VSG786499:VSG786500 WCC786499:WCC786500 WLY786499:WLY786500 WVU786499:WVU786500 E852035:E852036 JI852035:JI852036 TE852035:TE852036 ADA852035:ADA852036 AMW852035:AMW852036 AWS852035:AWS852036 BGO852035:BGO852036 BQK852035:BQK852036 CAG852035:CAG852036 CKC852035:CKC852036 CTY852035:CTY852036 DDU852035:DDU852036 DNQ852035:DNQ852036 DXM852035:DXM852036 EHI852035:EHI852036 ERE852035:ERE852036 FBA852035:FBA852036 FKW852035:FKW852036 FUS852035:FUS852036 GEO852035:GEO852036 GOK852035:GOK852036 GYG852035:GYG852036 HIC852035:HIC852036 HRY852035:HRY852036 IBU852035:IBU852036 ILQ852035:ILQ852036 IVM852035:IVM852036 JFI852035:JFI852036 JPE852035:JPE852036 JZA852035:JZA852036 KIW852035:KIW852036 KSS852035:KSS852036 LCO852035:LCO852036 LMK852035:LMK852036 LWG852035:LWG852036 MGC852035:MGC852036 MPY852035:MPY852036 MZU852035:MZU852036 NJQ852035:NJQ852036 NTM852035:NTM852036 ODI852035:ODI852036 ONE852035:ONE852036 OXA852035:OXA852036 PGW852035:PGW852036 PQS852035:PQS852036 QAO852035:QAO852036 QKK852035:QKK852036 QUG852035:QUG852036 REC852035:REC852036 RNY852035:RNY852036 RXU852035:RXU852036 SHQ852035:SHQ852036 SRM852035:SRM852036 TBI852035:TBI852036 TLE852035:TLE852036 TVA852035:TVA852036 UEW852035:UEW852036 UOS852035:UOS852036 UYO852035:UYO852036 VIK852035:VIK852036 VSG852035:VSG852036 WCC852035:WCC852036 WLY852035:WLY852036 WVU852035:WVU852036 E917571:E917572 JI917571:JI917572 TE917571:TE917572 ADA917571:ADA917572 AMW917571:AMW917572 AWS917571:AWS917572 BGO917571:BGO917572 BQK917571:BQK917572 CAG917571:CAG917572 CKC917571:CKC917572 CTY917571:CTY917572 DDU917571:DDU917572 DNQ917571:DNQ917572 DXM917571:DXM917572 EHI917571:EHI917572 ERE917571:ERE917572 FBA917571:FBA917572 FKW917571:FKW917572 FUS917571:FUS917572 GEO917571:GEO917572 GOK917571:GOK917572 GYG917571:GYG917572 HIC917571:HIC917572 HRY917571:HRY917572 IBU917571:IBU917572 ILQ917571:ILQ917572 IVM917571:IVM917572 JFI917571:JFI917572 JPE917571:JPE917572 JZA917571:JZA917572 KIW917571:KIW917572 KSS917571:KSS917572 LCO917571:LCO917572 LMK917571:LMK917572 LWG917571:LWG917572 MGC917571:MGC917572 MPY917571:MPY917572 MZU917571:MZU917572 NJQ917571:NJQ917572 NTM917571:NTM917572 ODI917571:ODI917572 ONE917571:ONE917572 OXA917571:OXA917572 PGW917571:PGW917572 PQS917571:PQS917572 QAO917571:QAO917572 QKK917571:QKK917572 QUG917571:QUG917572 REC917571:REC917572 RNY917571:RNY917572 RXU917571:RXU917572 SHQ917571:SHQ917572 SRM917571:SRM917572 TBI917571:TBI917572 TLE917571:TLE917572 TVA917571:TVA917572 UEW917571:UEW917572 UOS917571:UOS917572 UYO917571:UYO917572 VIK917571:VIK917572 VSG917571:VSG917572 WCC917571:WCC917572 WLY917571:WLY917572 WVU917571:WVU917572 E983107:E983108 JI983107:JI983108 TE983107:TE983108 ADA983107:ADA983108 AMW983107:AMW983108 AWS983107:AWS983108 BGO983107:BGO983108 BQK983107:BQK983108 CAG983107:CAG983108 CKC983107:CKC983108 CTY983107:CTY983108 DDU983107:DDU983108 DNQ983107:DNQ983108 DXM983107:DXM983108 EHI983107:EHI983108 ERE983107:ERE983108 FBA983107:FBA983108 FKW983107:FKW983108 FUS983107:FUS983108 GEO983107:GEO983108 GOK983107:GOK983108 GYG983107:GYG983108 HIC983107:HIC983108 HRY983107:HRY983108 IBU983107:IBU983108 ILQ983107:ILQ983108 IVM983107:IVM983108 JFI983107:JFI983108 JPE983107:JPE983108 JZA983107:JZA983108 KIW983107:KIW983108 KSS983107:KSS983108 LCO983107:LCO983108 LMK983107:LMK983108 LWG983107:LWG983108 MGC983107:MGC983108 MPY983107:MPY983108 MZU983107:MZU983108 NJQ983107:NJQ983108 NTM983107:NTM983108 ODI983107:ODI983108 ONE983107:ONE983108 OXA983107:OXA983108 PGW983107:PGW983108 PQS983107:PQS983108 QAO983107:QAO983108 QKK983107:QKK983108 QUG983107:QUG983108 REC983107:REC983108 RNY983107:RNY983108 RXU983107:RXU983108 SHQ983107:SHQ983108 SRM983107:SRM983108 TBI983107:TBI983108 TLE983107:TLE983108 TVA983107:TVA983108 UEW983107:UEW983108 UOS983107:UOS983108 UYO983107:UYO983108 VIK983107:VIK983108 VSG983107:VSG983108 WCC983107:WCC983108 WLY983107:WLY983108 WVU983107:WVU983108 WVT983067:WVT983076 D65610:D65616 JH65610:JH65616 TD65610:TD65616 ACZ65610:ACZ65616 AMV65610:AMV65616 AWR65610:AWR65616 BGN65610:BGN65616 BQJ65610:BQJ65616 CAF65610:CAF65616 CKB65610:CKB65616 CTX65610:CTX65616 DDT65610:DDT65616 DNP65610:DNP65616 DXL65610:DXL65616 EHH65610:EHH65616 ERD65610:ERD65616 FAZ65610:FAZ65616 FKV65610:FKV65616 FUR65610:FUR65616 GEN65610:GEN65616 GOJ65610:GOJ65616 GYF65610:GYF65616 HIB65610:HIB65616 HRX65610:HRX65616 IBT65610:IBT65616 ILP65610:ILP65616 IVL65610:IVL65616 JFH65610:JFH65616 JPD65610:JPD65616 JYZ65610:JYZ65616 KIV65610:KIV65616 KSR65610:KSR65616 LCN65610:LCN65616 LMJ65610:LMJ65616 LWF65610:LWF65616 MGB65610:MGB65616 MPX65610:MPX65616 MZT65610:MZT65616 NJP65610:NJP65616 NTL65610:NTL65616 ODH65610:ODH65616 OND65610:OND65616 OWZ65610:OWZ65616 PGV65610:PGV65616 PQR65610:PQR65616 QAN65610:QAN65616 QKJ65610:QKJ65616 QUF65610:QUF65616 REB65610:REB65616 RNX65610:RNX65616 RXT65610:RXT65616 SHP65610:SHP65616 SRL65610:SRL65616 TBH65610:TBH65616 TLD65610:TLD65616 TUZ65610:TUZ65616 UEV65610:UEV65616 UOR65610:UOR65616 UYN65610:UYN65616 VIJ65610:VIJ65616 VSF65610:VSF65616 WCB65610:WCB65616 WLX65610:WLX65616 WVT65610:WVT65616 D131146:D131152 JH131146:JH131152 TD131146:TD131152 ACZ131146:ACZ131152 AMV131146:AMV131152 AWR131146:AWR131152 BGN131146:BGN131152 BQJ131146:BQJ131152 CAF131146:CAF131152 CKB131146:CKB131152 CTX131146:CTX131152 DDT131146:DDT131152 DNP131146:DNP131152 DXL131146:DXL131152 EHH131146:EHH131152 ERD131146:ERD131152 FAZ131146:FAZ131152 FKV131146:FKV131152 FUR131146:FUR131152 GEN131146:GEN131152 GOJ131146:GOJ131152 GYF131146:GYF131152 HIB131146:HIB131152 HRX131146:HRX131152 IBT131146:IBT131152 ILP131146:ILP131152 IVL131146:IVL131152 JFH131146:JFH131152 JPD131146:JPD131152 JYZ131146:JYZ131152 KIV131146:KIV131152 KSR131146:KSR131152 LCN131146:LCN131152 LMJ131146:LMJ131152 LWF131146:LWF131152 MGB131146:MGB131152 MPX131146:MPX131152 MZT131146:MZT131152 NJP131146:NJP131152 NTL131146:NTL131152 ODH131146:ODH131152 OND131146:OND131152 OWZ131146:OWZ131152 PGV131146:PGV131152 PQR131146:PQR131152 QAN131146:QAN131152 QKJ131146:QKJ131152 QUF131146:QUF131152 REB131146:REB131152 RNX131146:RNX131152 RXT131146:RXT131152 SHP131146:SHP131152 SRL131146:SRL131152 TBH131146:TBH131152 TLD131146:TLD131152 TUZ131146:TUZ131152 UEV131146:UEV131152 UOR131146:UOR131152 UYN131146:UYN131152 VIJ131146:VIJ131152 VSF131146:VSF131152 WCB131146:WCB131152 WLX131146:WLX131152 WVT131146:WVT131152 D196682:D196688 JH196682:JH196688 TD196682:TD196688 ACZ196682:ACZ196688 AMV196682:AMV196688 AWR196682:AWR196688 BGN196682:BGN196688 BQJ196682:BQJ196688 CAF196682:CAF196688 CKB196682:CKB196688 CTX196682:CTX196688 DDT196682:DDT196688 DNP196682:DNP196688 DXL196682:DXL196688 EHH196682:EHH196688 ERD196682:ERD196688 FAZ196682:FAZ196688 FKV196682:FKV196688 FUR196682:FUR196688 GEN196682:GEN196688 GOJ196682:GOJ196688 GYF196682:GYF196688 HIB196682:HIB196688 HRX196682:HRX196688 IBT196682:IBT196688 ILP196682:ILP196688 IVL196682:IVL196688 JFH196682:JFH196688 JPD196682:JPD196688 JYZ196682:JYZ196688 KIV196682:KIV196688 KSR196682:KSR196688 LCN196682:LCN196688 LMJ196682:LMJ196688 LWF196682:LWF196688 MGB196682:MGB196688 MPX196682:MPX196688 MZT196682:MZT196688 NJP196682:NJP196688 NTL196682:NTL196688 ODH196682:ODH196688 OND196682:OND196688 OWZ196682:OWZ196688 PGV196682:PGV196688 PQR196682:PQR196688 QAN196682:QAN196688 QKJ196682:QKJ196688 QUF196682:QUF196688 REB196682:REB196688 RNX196682:RNX196688 RXT196682:RXT196688 SHP196682:SHP196688 SRL196682:SRL196688 TBH196682:TBH196688 TLD196682:TLD196688 TUZ196682:TUZ196688 UEV196682:UEV196688 UOR196682:UOR196688 UYN196682:UYN196688 VIJ196682:VIJ196688 VSF196682:VSF196688 WCB196682:WCB196688 WLX196682:WLX196688 WVT196682:WVT196688 D262218:D262224 JH262218:JH262224 TD262218:TD262224 ACZ262218:ACZ262224 AMV262218:AMV262224 AWR262218:AWR262224 BGN262218:BGN262224 BQJ262218:BQJ262224 CAF262218:CAF262224 CKB262218:CKB262224 CTX262218:CTX262224 DDT262218:DDT262224 DNP262218:DNP262224 DXL262218:DXL262224 EHH262218:EHH262224 ERD262218:ERD262224 FAZ262218:FAZ262224 FKV262218:FKV262224 FUR262218:FUR262224 GEN262218:GEN262224 GOJ262218:GOJ262224 GYF262218:GYF262224 HIB262218:HIB262224 HRX262218:HRX262224 IBT262218:IBT262224 ILP262218:ILP262224 IVL262218:IVL262224 JFH262218:JFH262224 JPD262218:JPD262224 JYZ262218:JYZ262224 KIV262218:KIV262224 KSR262218:KSR262224 LCN262218:LCN262224 LMJ262218:LMJ262224 LWF262218:LWF262224 MGB262218:MGB262224 MPX262218:MPX262224 MZT262218:MZT262224 NJP262218:NJP262224 NTL262218:NTL262224 ODH262218:ODH262224 OND262218:OND262224 OWZ262218:OWZ262224 PGV262218:PGV262224 PQR262218:PQR262224 QAN262218:QAN262224 QKJ262218:QKJ262224 QUF262218:QUF262224 REB262218:REB262224 RNX262218:RNX262224 RXT262218:RXT262224 SHP262218:SHP262224 SRL262218:SRL262224 TBH262218:TBH262224 TLD262218:TLD262224 TUZ262218:TUZ262224 UEV262218:UEV262224 UOR262218:UOR262224 UYN262218:UYN262224 VIJ262218:VIJ262224 VSF262218:VSF262224 WCB262218:WCB262224 WLX262218:WLX262224 WVT262218:WVT262224 D327754:D327760 JH327754:JH327760 TD327754:TD327760 ACZ327754:ACZ327760 AMV327754:AMV327760 AWR327754:AWR327760 BGN327754:BGN327760 BQJ327754:BQJ327760 CAF327754:CAF327760 CKB327754:CKB327760 CTX327754:CTX327760 DDT327754:DDT327760 DNP327754:DNP327760 DXL327754:DXL327760 EHH327754:EHH327760 ERD327754:ERD327760 FAZ327754:FAZ327760 FKV327754:FKV327760 FUR327754:FUR327760 GEN327754:GEN327760 GOJ327754:GOJ327760 GYF327754:GYF327760 HIB327754:HIB327760 HRX327754:HRX327760 IBT327754:IBT327760 ILP327754:ILP327760 IVL327754:IVL327760 JFH327754:JFH327760 JPD327754:JPD327760 JYZ327754:JYZ327760 KIV327754:KIV327760 KSR327754:KSR327760 LCN327754:LCN327760 LMJ327754:LMJ327760 LWF327754:LWF327760 MGB327754:MGB327760 MPX327754:MPX327760 MZT327754:MZT327760 NJP327754:NJP327760 NTL327754:NTL327760 ODH327754:ODH327760 OND327754:OND327760 OWZ327754:OWZ327760 PGV327754:PGV327760 PQR327754:PQR327760 QAN327754:QAN327760 QKJ327754:QKJ327760 QUF327754:QUF327760 REB327754:REB327760 RNX327754:RNX327760 RXT327754:RXT327760 SHP327754:SHP327760 SRL327754:SRL327760 TBH327754:TBH327760 TLD327754:TLD327760 TUZ327754:TUZ327760 UEV327754:UEV327760 UOR327754:UOR327760 UYN327754:UYN327760 VIJ327754:VIJ327760 VSF327754:VSF327760 WCB327754:WCB327760 WLX327754:WLX327760 WVT327754:WVT327760 D393290:D393296 JH393290:JH393296 TD393290:TD393296 ACZ393290:ACZ393296 AMV393290:AMV393296 AWR393290:AWR393296 BGN393290:BGN393296 BQJ393290:BQJ393296 CAF393290:CAF393296 CKB393290:CKB393296 CTX393290:CTX393296 DDT393290:DDT393296 DNP393290:DNP393296 DXL393290:DXL393296 EHH393290:EHH393296 ERD393290:ERD393296 FAZ393290:FAZ393296 FKV393290:FKV393296 FUR393290:FUR393296 GEN393290:GEN393296 GOJ393290:GOJ393296 GYF393290:GYF393296 HIB393290:HIB393296 HRX393290:HRX393296 IBT393290:IBT393296 ILP393290:ILP393296 IVL393290:IVL393296 JFH393290:JFH393296 JPD393290:JPD393296 JYZ393290:JYZ393296 KIV393290:KIV393296 KSR393290:KSR393296 LCN393290:LCN393296 LMJ393290:LMJ393296 LWF393290:LWF393296 MGB393290:MGB393296 MPX393290:MPX393296 MZT393290:MZT393296 NJP393290:NJP393296 NTL393290:NTL393296 ODH393290:ODH393296 OND393290:OND393296 OWZ393290:OWZ393296 PGV393290:PGV393296 PQR393290:PQR393296 QAN393290:QAN393296 QKJ393290:QKJ393296 QUF393290:QUF393296 REB393290:REB393296 RNX393290:RNX393296 RXT393290:RXT393296 SHP393290:SHP393296 SRL393290:SRL393296 TBH393290:TBH393296 TLD393290:TLD393296 TUZ393290:TUZ393296 UEV393290:UEV393296 UOR393290:UOR393296 UYN393290:UYN393296 VIJ393290:VIJ393296 VSF393290:VSF393296 WCB393290:WCB393296 WLX393290:WLX393296 WVT393290:WVT393296 D458826:D458832 JH458826:JH458832 TD458826:TD458832 ACZ458826:ACZ458832 AMV458826:AMV458832 AWR458826:AWR458832 BGN458826:BGN458832 BQJ458826:BQJ458832 CAF458826:CAF458832 CKB458826:CKB458832 CTX458826:CTX458832 DDT458826:DDT458832 DNP458826:DNP458832 DXL458826:DXL458832 EHH458826:EHH458832 ERD458826:ERD458832 FAZ458826:FAZ458832 FKV458826:FKV458832 FUR458826:FUR458832 GEN458826:GEN458832 GOJ458826:GOJ458832 GYF458826:GYF458832 HIB458826:HIB458832 HRX458826:HRX458832 IBT458826:IBT458832 ILP458826:ILP458832 IVL458826:IVL458832 JFH458826:JFH458832 JPD458826:JPD458832 JYZ458826:JYZ458832 KIV458826:KIV458832 KSR458826:KSR458832 LCN458826:LCN458832 LMJ458826:LMJ458832 LWF458826:LWF458832 MGB458826:MGB458832 MPX458826:MPX458832 MZT458826:MZT458832 NJP458826:NJP458832 NTL458826:NTL458832 ODH458826:ODH458832 OND458826:OND458832 OWZ458826:OWZ458832 PGV458826:PGV458832 PQR458826:PQR458832 QAN458826:QAN458832 QKJ458826:QKJ458832 QUF458826:QUF458832 REB458826:REB458832 RNX458826:RNX458832 RXT458826:RXT458832 SHP458826:SHP458832 SRL458826:SRL458832 TBH458826:TBH458832 TLD458826:TLD458832 TUZ458826:TUZ458832 UEV458826:UEV458832 UOR458826:UOR458832 UYN458826:UYN458832 VIJ458826:VIJ458832 VSF458826:VSF458832 WCB458826:WCB458832 WLX458826:WLX458832 WVT458826:WVT458832 D524362:D524368 JH524362:JH524368 TD524362:TD524368 ACZ524362:ACZ524368 AMV524362:AMV524368 AWR524362:AWR524368 BGN524362:BGN524368 BQJ524362:BQJ524368 CAF524362:CAF524368 CKB524362:CKB524368 CTX524362:CTX524368 DDT524362:DDT524368 DNP524362:DNP524368 DXL524362:DXL524368 EHH524362:EHH524368 ERD524362:ERD524368 FAZ524362:FAZ524368 FKV524362:FKV524368 FUR524362:FUR524368 GEN524362:GEN524368 GOJ524362:GOJ524368 GYF524362:GYF524368 HIB524362:HIB524368 HRX524362:HRX524368 IBT524362:IBT524368 ILP524362:ILP524368 IVL524362:IVL524368 JFH524362:JFH524368 JPD524362:JPD524368 JYZ524362:JYZ524368 KIV524362:KIV524368 KSR524362:KSR524368 LCN524362:LCN524368 LMJ524362:LMJ524368 LWF524362:LWF524368 MGB524362:MGB524368 MPX524362:MPX524368 MZT524362:MZT524368 NJP524362:NJP524368 NTL524362:NTL524368 ODH524362:ODH524368 OND524362:OND524368 OWZ524362:OWZ524368 PGV524362:PGV524368 PQR524362:PQR524368 QAN524362:QAN524368 QKJ524362:QKJ524368 QUF524362:QUF524368 REB524362:REB524368 RNX524362:RNX524368 RXT524362:RXT524368 SHP524362:SHP524368 SRL524362:SRL524368 TBH524362:TBH524368 TLD524362:TLD524368 TUZ524362:TUZ524368 UEV524362:UEV524368 UOR524362:UOR524368 UYN524362:UYN524368 VIJ524362:VIJ524368 VSF524362:VSF524368 WCB524362:WCB524368 WLX524362:WLX524368 WVT524362:WVT524368 D589898:D589904 JH589898:JH589904 TD589898:TD589904 ACZ589898:ACZ589904 AMV589898:AMV589904 AWR589898:AWR589904 BGN589898:BGN589904 BQJ589898:BQJ589904 CAF589898:CAF589904 CKB589898:CKB589904 CTX589898:CTX589904 DDT589898:DDT589904 DNP589898:DNP589904 DXL589898:DXL589904 EHH589898:EHH589904 ERD589898:ERD589904 FAZ589898:FAZ589904 FKV589898:FKV589904 FUR589898:FUR589904 GEN589898:GEN589904 GOJ589898:GOJ589904 GYF589898:GYF589904 HIB589898:HIB589904 HRX589898:HRX589904 IBT589898:IBT589904 ILP589898:ILP589904 IVL589898:IVL589904 JFH589898:JFH589904 JPD589898:JPD589904 JYZ589898:JYZ589904 KIV589898:KIV589904 KSR589898:KSR589904 LCN589898:LCN589904 LMJ589898:LMJ589904 LWF589898:LWF589904 MGB589898:MGB589904 MPX589898:MPX589904 MZT589898:MZT589904 NJP589898:NJP589904 NTL589898:NTL589904 ODH589898:ODH589904 OND589898:OND589904 OWZ589898:OWZ589904 PGV589898:PGV589904 PQR589898:PQR589904 QAN589898:QAN589904 QKJ589898:QKJ589904 QUF589898:QUF589904 REB589898:REB589904 RNX589898:RNX589904 RXT589898:RXT589904 SHP589898:SHP589904 SRL589898:SRL589904 TBH589898:TBH589904 TLD589898:TLD589904 TUZ589898:TUZ589904 UEV589898:UEV589904 UOR589898:UOR589904 UYN589898:UYN589904 VIJ589898:VIJ589904 VSF589898:VSF589904 WCB589898:WCB589904 WLX589898:WLX589904 WVT589898:WVT589904 D655434:D655440 JH655434:JH655440 TD655434:TD655440 ACZ655434:ACZ655440 AMV655434:AMV655440 AWR655434:AWR655440 BGN655434:BGN655440 BQJ655434:BQJ655440 CAF655434:CAF655440 CKB655434:CKB655440 CTX655434:CTX655440 DDT655434:DDT655440 DNP655434:DNP655440 DXL655434:DXL655440 EHH655434:EHH655440 ERD655434:ERD655440 FAZ655434:FAZ655440 FKV655434:FKV655440 FUR655434:FUR655440 GEN655434:GEN655440 GOJ655434:GOJ655440 GYF655434:GYF655440 HIB655434:HIB655440 HRX655434:HRX655440 IBT655434:IBT655440 ILP655434:ILP655440 IVL655434:IVL655440 JFH655434:JFH655440 JPD655434:JPD655440 JYZ655434:JYZ655440 KIV655434:KIV655440 KSR655434:KSR655440 LCN655434:LCN655440 LMJ655434:LMJ655440 LWF655434:LWF655440 MGB655434:MGB655440 MPX655434:MPX655440 MZT655434:MZT655440 NJP655434:NJP655440 NTL655434:NTL655440 ODH655434:ODH655440 OND655434:OND655440 OWZ655434:OWZ655440 PGV655434:PGV655440 PQR655434:PQR655440 QAN655434:QAN655440 QKJ655434:QKJ655440 QUF655434:QUF655440 REB655434:REB655440 RNX655434:RNX655440 RXT655434:RXT655440 SHP655434:SHP655440 SRL655434:SRL655440 TBH655434:TBH655440 TLD655434:TLD655440 TUZ655434:TUZ655440 UEV655434:UEV655440 UOR655434:UOR655440 UYN655434:UYN655440 VIJ655434:VIJ655440 VSF655434:VSF655440 WCB655434:WCB655440 WLX655434:WLX655440 WVT655434:WVT655440 D720970:D720976 JH720970:JH720976 TD720970:TD720976 ACZ720970:ACZ720976 AMV720970:AMV720976 AWR720970:AWR720976 BGN720970:BGN720976 BQJ720970:BQJ720976 CAF720970:CAF720976 CKB720970:CKB720976 CTX720970:CTX720976 DDT720970:DDT720976 DNP720970:DNP720976 DXL720970:DXL720976 EHH720970:EHH720976 ERD720970:ERD720976 FAZ720970:FAZ720976 FKV720970:FKV720976 FUR720970:FUR720976 GEN720970:GEN720976 GOJ720970:GOJ720976 GYF720970:GYF720976 HIB720970:HIB720976 HRX720970:HRX720976 IBT720970:IBT720976 ILP720970:ILP720976 IVL720970:IVL720976 JFH720970:JFH720976 JPD720970:JPD720976 JYZ720970:JYZ720976 KIV720970:KIV720976 KSR720970:KSR720976 LCN720970:LCN720976 LMJ720970:LMJ720976 LWF720970:LWF720976 MGB720970:MGB720976 MPX720970:MPX720976 MZT720970:MZT720976 NJP720970:NJP720976 NTL720970:NTL720976 ODH720970:ODH720976 OND720970:OND720976 OWZ720970:OWZ720976 PGV720970:PGV720976 PQR720970:PQR720976 QAN720970:QAN720976 QKJ720970:QKJ720976 QUF720970:QUF720976 REB720970:REB720976 RNX720970:RNX720976 RXT720970:RXT720976 SHP720970:SHP720976 SRL720970:SRL720976 TBH720970:TBH720976 TLD720970:TLD720976 TUZ720970:TUZ720976 UEV720970:UEV720976 UOR720970:UOR720976 UYN720970:UYN720976 VIJ720970:VIJ720976 VSF720970:VSF720976 WCB720970:WCB720976 WLX720970:WLX720976 WVT720970:WVT720976 D786506:D786512 JH786506:JH786512 TD786506:TD786512 ACZ786506:ACZ786512 AMV786506:AMV786512 AWR786506:AWR786512 BGN786506:BGN786512 BQJ786506:BQJ786512 CAF786506:CAF786512 CKB786506:CKB786512 CTX786506:CTX786512 DDT786506:DDT786512 DNP786506:DNP786512 DXL786506:DXL786512 EHH786506:EHH786512 ERD786506:ERD786512 FAZ786506:FAZ786512 FKV786506:FKV786512 FUR786506:FUR786512 GEN786506:GEN786512 GOJ786506:GOJ786512 GYF786506:GYF786512 HIB786506:HIB786512 HRX786506:HRX786512 IBT786506:IBT786512 ILP786506:ILP786512 IVL786506:IVL786512 JFH786506:JFH786512 JPD786506:JPD786512 JYZ786506:JYZ786512 KIV786506:KIV786512 KSR786506:KSR786512 LCN786506:LCN786512 LMJ786506:LMJ786512 LWF786506:LWF786512 MGB786506:MGB786512 MPX786506:MPX786512 MZT786506:MZT786512 NJP786506:NJP786512 NTL786506:NTL786512 ODH786506:ODH786512 OND786506:OND786512 OWZ786506:OWZ786512 PGV786506:PGV786512 PQR786506:PQR786512 QAN786506:QAN786512 QKJ786506:QKJ786512 QUF786506:QUF786512 REB786506:REB786512 RNX786506:RNX786512 RXT786506:RXT786512 SHP786506:SHP786512 SRL786506:SRL786512 TBH786506:TBH786512 TLD786506:TLD786512 TUZ786506:TUZ786512 UEV786506:UEV786512 UOR786506:UOR786512 UYN786506:UYN786512 VIJ786506:VIJ786512 VSF786506:VSF786512 WCB786506:WCB786512 WLX786506:WLX786512 WVT786506:WVT786512 D852042:D852048 JH852042:JH852048 TD852042:TD852048 ACZ852042:ACZ852048 AMV852042:AMV852048 AWR852042:AWR852048 BGN852042:BGN852048 BQJ852042:BQJ852048 CAF852042:CAF852048 CKB852042:CKB852048 CTX852042:CTX852048 DDT852042:DDT852048 DNP852042:DNP852048 DXL852042:DXL852048 EHH852042:EHH852048 ERD852042:ERD852048 FAZ852042:FAZ852048 FKV852042:FKV852048 FUR852042:FUR852048 GEN852042:GEN852048 GOJ852042:GOJ852048 GYF852042:GYF852048 HIB852042:HIB852048 HRX852042:HRX852048 IBT852042:IBT852048 ILP852042:ILP852048 IVL852042:IVL852048 JFH852042:JFH852048 JPD852042:JPD852048 JYZ852042:JYZ852048 KIV852042:KIV852048 KSR852042:KSR852048 LCN852042:LCN852048 LMJ852042:LMJ852048 LWF852042:LWF852048 MGB852042:MGB852048 MPX852042:MPX852048 MZT852042:MZT852048 NJP852042:NJP852048 NTL852042:NTL852048 ODH852042:ODH852048 OND852042:OND852048 OWZ852042:OWZ852048 PGV852042:PGV852048 PQR852042:PQR852048 QAN852042:QAN852048 QKJ852042:QKJ852048 QUF852042:QUF852048 REB852042:REB852048 RNX852042:RNX852048 RXT852042:RXT852048 SHP852042:SHP852048 SRL852042:SRL852048 TBH852042:TBH852048 TLD852042:TLD852048 TUZ852042:TUZ852048 UEV852042:UEV852048 UOR852042:UOR852048 UYN852042:UYN852048 VIJ852042:VIJ852048 VSF852042:VSF852048 WCB852042:WCB852048 WLX852042:WLX852048 WVT852042:WVT852048 D917578:D917584 JH917578:JH917584 TD917578:TD917584 ACZ917578:ACZ917584 AMV917578:AMV917584 AWR917578:AWR917584 BGN917578:BGN917584 BQJ917578:BQJ917584 CAF917578:CAF917584 CKB917578:CKB917584 CTX917578:CTX917584 DDT917578:DDT917584 DNP917578:DNP917584 DXL917578:DXL917584 EHH917578:EHH917584 ERD917578:ERD917584 FAZ917578:FAZ917584 FKV917578:FKV917584 FUR917578:FUR917584 GEN917578:GEN917584 GOJ917578:GOJ917584 GYF917578:GYF917584 HIB917578:HIB917584 HRX917578:HRX917584 IBT917578:IBT917584 ILP917578:ILP917584 IVL917578:IVL917584 JFH917578:JFH917584 JPD917578:JPD917584 JYZ917578:JYZ917584 KIV917578:KIV917584 KSR917578:KSR917584 LCN917578:LCN917584 LMJ917578:LMJ917584 LWF917578:LWF917584 MGB917578:MGB917584 MPX917578:MPX917584 MZT917578:MZT917584 NJP917578:NJP917584 NTL917578:NTL917584 ODH917578:ODH917584 OND917578:OND917584 OWZ917578:OWZ917584 PGV917578:PGV917584 PQR917578:PQR917584 QAN917578:QAN917584 QKJ917578:QKJ917584 QUF917578:QUF917584 REB917578:REB917584 RNX917578:RNX917584 RXT917578:RXT917584 SHP917578:SHP917584 SRL917578:SRL917584 TBH917578:TBH917584 TLD917578:TLD917584 TUZ917578:TUZ917584 UEV917578:UEV917584 UOR917578:UOR917584 UYN917578:UYN917584 VIJ917578:VIJ917584 VSF917578:VSF917584 WCB917578:WCB917584 WLX917578:WLX917584 WVT917578:WVT917584 D983114:D983120 JH983114:JH983120 TD983114:TD983120 ACZ983114:ACZ983120 AMV983114:AMV983120 AWR983114:AWR983120 BGN983114:BGN983120 BQJ983114:BQJ983120 CAF983114:CAF983120 CKB983114:CKB983120 CTX983114:CTX983120 DDT983114:DDT983120 DNP983114:DNP983120 DXL983114:DXL983120 EHH983114:EHH983120 ERD983114:ERD983120 FAZ983114:FAZ983120 FKV983114:FKV983120 FUR983114:FUR983120 GEN983114:GEN983120 GOJ983114:GOJ983120 GYF983114:GYF983120 HIB983114:HIB983120 HRX983114:HRX983120 IBT983114:IBT983120 ILP983114:ILP983120 IVL983114:IVL983120 JFH983114:JFH983120 JPD983114:JPD983120 JYZ983114:JYZ983120 KIV983114:KIV983120 KSR983114:KSR983120 LCN983114:LCN983120 LMJ983114:LMJ983120 LWF983114:LWF983120 MGB983114:MGB983120 MPX983114:MPX983120 MZT983114:MZT983120 NJP983114:NJP983120 NTL983114:NTL983120 ODH983114:ODH983120 OND983114:OND983120 OWZ983114:OWZ983120 PGV983114:PGV983120 PQR983114:PQR983120 QAN983114:QAN983120 QKJ983114:QKJ983120 QUF983114:QUF983120 REB983114:REB983120 RNX983114:RNX983120 RXT983114:RXT983120 SHP983114:SHP983120 SRL983114:SRL983120 TBH983114:TBH983120 TLD983114:TLD983120 TUZ983114:TUZ983120 UEV983114:UEV983120 UOR983114:UOR983120 UYN983114:UYN983120 VIJ983114:VIJ983120 VSF983114:VSF983120 WCB983114:WCB983120 WLX983114:WLX983120 WVT983114:WVT983120 D86:D87 JH86:JH87 TD86:TD87 ACZ86:ACZ87 AMV86:AMV87 AWR86:AWR87 BGN86:BGN87 BQJ86:BQJ87 CAF86:CAF87 CKB86:CKB87 CTX86:CTX87 DDT86:DDT87 DNP86:DNP87 DXL86:DXL87 EHH86:EHH87 ERD86:ERD87 FAZ86:FAZ87 FKV86:FKV87 FUR86:FUR87 GEN86:GEN87 GOJ86:GOJ87 GYF86:GYF87 HIB86:HIB87 HRX86:HRX87 IBT86:IBT87 ILP86:ILP87 IVL86:IVL87 JFH86:JFH87 JPD86:JPD87 JYZ86:JYZ87 KIV86:KIV87 KSR86:KSR87 LCN86:LCN87 LMJ86:LMJ87 LWF86:LWF87 MGB86:MGB87 MPX86:MPX87 MZT86:MZT87 NJP86:NJP87 NTL86:NTL87 ODH86:ODH87 OND86:OND87 OWZ86:OWZ87 PGV86:PGV87 PQR86:PQR87 QAN86:QAN87 QKJ86:QKJ87 QUF86:QUF87 REB86:REB87 RNX86:RNX87 RXT86:RXT87 SHP86:SHP87 SRL86:SRL87 TBH86:TBH87 TLD86:TLD87 TUZ86:TUZ87 UEV86:UEV87 UOR86:UOR87 UYN86:UYN87 VIJ86:VIJ87 VSF86:VSF87 WCB86:WCB87 WLX86:WLX87 WVT86:WVT87 D65622:D65623 JH65622:JH65623 TD65622:TD65623 ACZ65622:ACZ65623 AMV65622:AMV65623 AWR65622:AWR65623 BGN65622:BGN65623 BQJ65622:BQJ65623 CAF65622:CAF65623 CKB65622:CKB65623 CTX65622:CTX65623 DDT65622:DDT65623 DNP65622:DNP65623 DXL65622:DXL65623 EHH65622:EHH65623 ERD65622:ERD65623 FAZ65622:FAZ65623 FKV65622:FKV65623 FUR65622:FUR65623 GEN65622:GEN65623 GOJ65622:GOJ65623 GYF65622:GYF65623 HIB65622:HIB65623 HRX65622:HRX65623 IBT65622:IBT65623 ILP65622:ILP65623 IVL65622:IVL65623 JFH65622:JFH65623 JPD65622:JPD65623 JYZ65622:JYZ65623 KIV65622:KIV65623 KSR65622:KSR65623 LCN65622:LCN65623 LMJ65622:LMJ65623 LWF65622:LWF65623 MGB65622:MGB65623 MPX65622:MPX65623 MZT65622:MZT65623 NJP65622:NJP65623 NTL65622:NTL65623 ODH65622:ODH65623 OND65622:OND65623 OWZ65622:OWZ65623 PGV65622:PGV65623 PQR65622:PQR65623 QAN65622:QAN65623 QKJ65622:QKJ65623 QUF65622:QUF65623 REB65622:REB65623 RNX65622:RNX65623 RXT65622:RXT65623 SHP65622:SHP65623 SRL65622:SRL65623 TBH65622:TBH65623 TLD65622:TLD65623 TUZ65622:TUZ65623 UEV65622:UEV65623 UOR65622:UOR65623 UYN65622:UYN65623 VIJ65622:VIJ65623 VSF65622:VSF65623 WCB65622:WCB65623 WLX65622:WLX65623 WVT65622:WVT65623 D131158:D131159 JH131158:JH131159 TD131158:TD131159 ACZ131158:ACZ131159 AMV131158:AMV131159 AWR131158:AWR131159 BGN131158:BGN131159 BQJ131158:BQJ131159 CAF131158:CAF131159 CKB131158:CKB131159 CTX131158:CTX131159 DDT131158:DDT131159 DNP131158:DNP131159 DXL131158:DXL131159 EHH131158:EHH131159 ERD131158:ERD131159 FAZ131158:FAZ131159 FKV131158:FKV131159 FUR131158:FUR131159 GEN131158:GEN131159 GOJ131158:GOJ131159 GYF131158:GYF131159 HIB131158:HIB131159 HRX131158:HRX131159 IBT131158:IBT131159 ILP131158:ILP131159 IVL131158:IVL131159 JFH131158:JFH131159 JPD131158:JPD131159 JYZ131158:JYZ131159 KIV131158:KIV131159 KSR131158:KSR131159 LCN131158:LCN131159 LMJ131158:LMJ131159 LWF131158:LWF131159 MGB131158:MGB131159 MPX131158:MPX131159 MZT131158:MZT131159 NJP131158:NJP131159 NTL131158:NTL131159 ODH131158:ODH131159 OND131158:OND131159 OWZ131158:OWZ131159 PGV131158:PGV131159 PQR131158:PQR131159 QAN131158:QAN131159 QKJ131158:QKJ131159 QUF131158:QUF131159 REB131158:REB131159 RNX131158:RNX131159 RXT131158:RXT131159 SHP131158:SHP131159 SRL131158:SRL131159 TBH131158:TBH131159 TLD131158:TLD131159 TUZ131158:TUZ131159 UEV131158:UEV131159 UOR131158:UOR131159 UYN131158:UYN131159 VIJ131158:VIJ131159 VSF131158:VSF131159 WCB131158:WCB131159 WLX131158:WLX131159 WVT131158:WVT131159 D196694:D196695 JH196694:JH196695 TD196694:TD196695 ACZ196694:ACZ196695 AMV196694:AMV196695 AWR196694:AWR196695 BGN196694:BGN196695 BQJ196694:BQJ196695 CAF196694:CAF196695 CKB196694:CKB196695 CTX196694:CTX196695 DDT196694:DDT196695 DNP196694:DNP196695 DXL196694:DXL196695 EHH196694:EHH196695 ERD196694:ERD196695 FAZ196694:FAZ196695 FKV196694:FKV196695 FUR196694:FUR196695 GEN196694:GEN196695 GOJ196694:GOJ196695 GYF196694:GYF196695 HIB196694:HIB196695 HRX196694:HRX196695 IBT196694:IBT196695 ILP196694:ILP196695 IVL196694:IVL196695 JFH196694:JFH196695 JPD196694:JPD196695 JYZ196694:JYZ196695 KIV196694:KIV196695 KSR196694:KSR196695 LCN196694:LCN196695 LMJ196694:LMJ196695 LWF196694:LWF196695 MGB196694:MGB196695 MPX196694:MPX196695 MZT196694:MZT196695 NJP196694:NJP196695 NTL196694:NTL196695 ODH196694:ODH196695 OND196694:OND196695 OWZ196694:OWZ196695 PGV196694:PGV196695 PQR196694:PQR196695 QAN196694:QAN196695 QKJ196694:QKJ196695 QUF196694:QUF196695 REB196694:REB196695 RNX196694:RNX196695 RXT196694:RXT196695 SHP196694:SHP196695 SRL196694:SRL196695 TBH196694:TBH196695 TLD196694:TLD196695 TUZ196694:TUZ196695 UEV196694:UEV196695 UOR196694:UOR196695 UYN196694:UYN196695 VIJ196694:VIJ196695 VSF196694:VSF196695 WCB196694:WCB196695 WLX196694:WLX196695 WVT196694:WVT196695 D262230:D262231 JH262230:JH262231 TD262230:TD262231 ACZ262230:ACZ262231 AMV262230:AMV262231 AWR262230:AWR262231 BGN262230:BGN262231 BQJ262230:BQJ262231 CAF262230:CAF262231 CKB262230:CKB262231 CTX262230:CTX262231 DDT262230:DDT262231 DNP262230:DNP262231 DXL262230:DXL262231 EHH262230:EHH262231 ERD262230:ERD262231 FAZ262230:FAZ262231 FKV262230:FKV262231 FUR262230:FUR262231 GEN262230:GEN262231 GOJ262230:GOJ262231 GYF262230:GYF262231 HIB262230:HIB262231 HRX262230:HRX262231 IBT262230:IBT262231 ILP262230:ILP262231 IVL262230:IVL262231 JFH262230:JFH262231 JPD262230:JPD262231 JYZ262230:JYZ262231 KIV262230:KIV262231 KSR262230:KSR262231 LCN262230:LCN262231 LMJ262230:LMJ262231 LWF262230:LWF262231 MGB262230:MGB262231 MPX262230:MPX262231 MZT262230:MZT262231 NJP262230:NJP262231 NTL262230:NTL262231 ODH262230:ODH262231 OND262230:OND262231 OWZ262230:OWZ262231 PGV262230:PGV262231 PQR262230:PQR262231 QAN262230:QAN262231 QKJ262230:QKJ262231 QUF262230:QUF262231 REB262230:REB262231 RNX262230:RNX262231 RXT262230:RXT262231 SHP262230:SHP262231 SRL262230:SRL262231 TBH262230:TBH262231 TLD262230:TLD262231 TUZ262230:TUZ262231 UEV262230:UEV262231 UOR262230:UOR262231 UYN262230:UYN262231 VIJ262230:VIJ262231 VSF262230:VSF262231 WCB262230:WCB262231 WLX262230:WLX262231 WVT262230:WVT262231 D327766:D327767 JH327766:JH327767 TD327766:TD327767 ACZ327766:ACZ327767 AMV327766:AMV327767 AWR327766:AWR327767 BGN327766:BGN327767 BQJ327766:BQJ327767 CAF327766:CAF327767 CKB327766:CKB327767 CTX327766:CTX327767 DDT327766:DDT327767 DNP327766:DNP327767 DXL327766:DXL327767 EHH327766:EHH327767 ERD327766:ERD327767 FAZ327766:FAZ327767 FKV327766:FKV327767 FUR327766:FUR327767 GEN327766:GEN327767 GOJ327766:GOJ327767 GYF327766:GYF327767 HIB327766:HIB327767 HRX327766:HRX327767 IBT327766:IBT327767 ILP327766:ILP327767 IVL327766:IVL327767 JFH327766:JFH327767 JPD327766:JPD327767 JYZ327766:JYZ327767 KIV327766:KIV327767 KSR327766:KSR327767 LCN327766:LCN327767 LMJ327766:LMJ327767 LWF327766:LWF327767 MGB327766:MGB327767 MPX327766:MPX327767 MZT327766:MZT327767 NJP327766:NJP327767 NTL327766:NTL327767 ODH327766:ODH327767 OND327766:OND327767 OWZ327766:OWZ327767 PGV327766:PGV327767 PQR327766:PQR327767 QAN327766:QAN327767 QKJ327766:QKJ327767 QUF327766:QUF327767 REB327766:REB327767 RNX327766:RNX327767 RXT327766:RXT327767 SHP327766:SHP327767 SRL327766:SRL327767 TBH327766:TBH327767 TLD327766:TLD327767 TUZ327766:TUZ327767 UEV327766:UEV327767 UOR327766:UOR327767 UYN327766:UYN327767 VIJ327766:VIJ327767 VSF327766:VSF327767 WCB327766:WCB327767 WLX327766:WLX327767 WVT327766:WVT327767 D393302:D393303 JH393302:JH393303 TD393302:TD393303 ACZ393302:ACZ393303 AMV393302:AMV393303 AWR393302:AWR393303 BGN393302:BGN393303 BQJ393302:BQJ393303 CAF393302:CAF393303 CKB393302:CKB393303 CTX393302:CTX393303 DDT393302:DDT393303 DNP393302:DNP393303 DXL393302:DXL393303 EHH393302:EHH393303 ERD393302:ERD393303 FAZ393302:FAZ393303 FKV393302:FKV393303 FUR393302:FUR393303 GEN393302:GEN393303 GOJ393302:GOJ393303 GYF393302:GYF393303 HIB393302:HIB393303 HRX393302:HRX393303 IBT393302:IBT393303 ILP393302:ILP393303 IVL393302:IVL393303 JFH393302:JFH393303 JPD393302:JPD393303 JYZ393302:JYZ393303 KIV393302:KIV393303 KSR393302:KSR393303 LCN393302:LCN393303 LMJ393302:LMJ393303 LWF393302:LWF393303 MGB393302:MGB393303 MPX393302:MPX393303 MZT393302:MZT393303 NJP393302:NJP393303 NTL393302:NTL393303 ODH393302:ODH393303 OND393302:OND393303 OWZ393302:OWZ393303 PGV393302:PGV393303 PQR393302:PQR393303 QAN393302:QAN393303 QKJ393302:QKJ393303 QUF393302:QUF393303 REB393302:REB393303 RNX393302:RNX393303 RXT393302:RXT393303 SHP393302:SHP393303 SRL393302:SRL393303 TBH393302:TBH393303 TLD393302:TLD393303 TUZ393302:TUZ393303 UEV393302:UEV393303 UOR393302:UOR393303 UYN393302:UYN393303 VIJ393302:VIJ393303 VSF393302:VSF393303 WCB393302:WCB393303 WLX393302:WLX393303 WVT393302:WVT393303 D458838:D458839 JH458838:JH458839 TD458838:TD458839 ACZ458838:ACZ458839 AMV458838:AMV458839 AWR458838:AWR458839 BGN458838:BGN458839 BQJ458838:BQJ458839 CAF458838:CAF458839 CKB458838:CKB458839 CTX458838:CTX458839 DDT458838:DDT458839 DNP458838:DNP458839 DXL458838:DXL458839 EHH458838:EHH458839 ERD458838:ERD458839 FAZ458838:FAZ458839 FKV458838:FKV458839 FUR458838:FUR458839 GEN458838:GEN458839 GOJ458838:GOJ458839 GYF458838:GYF458839 HIB458838:HIB458839 HRX458838:HRX458839 IBT458838:IBT458839 ILP458838:ILP458839 IVL458838:IVL458839 JFH458838:JFH458839 JPD458838:JPD458839 JYZ458838:JYZ458839 KIV458838:KIV458839 KSR458838:KSR458839 LCN458838:LCN458839 LMJ458838:LMJ458839 LWF458838:LWF458839 MGB458838:MGB458839 MPX458838:MPX458839 MZT458838:MZT458839 NJP458838:NJP458839 NTL458838:NTL458839 ODH458838:ODH458839 OND458838:OND458839 OWZ458838:OWZ458839 PGV458838:PGV458839 PQR458838:PQR458839 QAN458838:QAN458839 QKJ458838:QKJ458839 QUF458838:QUF458839 REB458838:REB458839 RNX458838:RNX458839 RXT458838:RXT458839 SHP458838:SHP458839 SRL458838:SRL458839 TBH458838:TBH458839 TLD458838:TLD458839 TUZ458838:TUZ458839 UEV458838:UEV458839 UOR458838:UOR458839 UYN458838:UYN458839 VIJ458838:VIJ458839 VSF458838:VSF458839 WCB458838:WCB458839 WLX458838:WLX458839 WVT458838:WVT458839 D524374:D524375 JH524374:JH524375 TD524374:TD524375 ACZ524374:ACZ524375 AMV524374:AMV524375 AWR524374:AWR524375 BGN524374:BGN524375 BQJ524374:BQJ524375 CAF524374:CAF524375 CKB524374:CKB524375 CTX524374:CTX524375 DDT524374:DDT524375 DNP524374:DNP524375 DXL524374:DXL524375 EHH524374:EHH524375 ERD524374:ERD524375 FAZ524374:FAZ524375 FKV524374:FKV524375 FUR524374:FUR524375 GEN524374:GEN524375 GOJ524374:GOJ524375 GYF524374:GYF524375 HIB524374:HIB524375 HRX524374:HRX524375 IBT524374:IBT524375 ILP524374:ILP524375 IVL524374:IVL524375 JFH524374:JFH524375 JPD524374:JPD524375 JYZ524374:JYZ524375 KIV524374:KIV524375 KSR524374:KSR524375 LCN524374:LCN524375 LMJ524374:LMJ524375 LWF524374:LWF524375 MGB524374:MGB524375 MPX524374:MPX524375 MZT524374:MZT524375 NJP524374:NJP524375 NTL524374:NTL524375 ODH524374:ODH524375 OND524374:OND524375 OWZ524374:OWZ524375 PGV524374:PGV524375 PQR524374:PQR524375 QAN524374:QAN524375 QKJ524374:QKJ524375 QUF524374:QUF524375 REB524374:REB524375 RNX524374:RNX524375 RXT524374:RXT524375 SHP524374:SHP524375 SRL524374:SRL524375 TBH524374:TBH524375 TLD524374:TLD524375 TUZ524374:TUZ524375 UEV524374:UEV524375 UOR524374:UOR524375 UYN524374:UYN524375 VIJ524374:VIJ524375 VSF524374:VSF524375 WCB524374:WCB524375 WLX524374:WLX524375 WVT524374:WVT524375 D589910:D589911 JH589910:JH589911 TD589910:TD589911 ACZ589910:ACZ589911 AMV589910:AMV589911 AWR589910:AWR589911 BGN589910:BGN589911 BQJ589910:BQJ589911 CAF589910:CAF589911 CKB589910:CKB589911 CTX589910:CTX589911 DDT589910:DDT589911 DNP589910:DNP589911 DXL589910:DXL589911 EHH589910:EHH589911 ERD589910:ERD589911 FAZ589910:FAZ589911 FKV589910:FKV589911 FUR589910:FUR589911 GEN589910:GEN589911 GOJ589910:GOJ589911 GYF589910:GYF589911 HIB589910:HIB589911 HRX589910:HRX589911 IBT589910:IBT589911 ILP589910:ILP589911 IVL589910:IVL589911 JFH589910:JFH589911 JPD589910:JPD589911 JYZ589910:JYZ589911 KIV589910:KIV589911 KSR589910:KSR589911 LCN589910:LCN589911 LMJ589910:LMJ589911 LWF589910:LWF589911 MGB589910:MGB589911 MPX589910:MPX589911 MZT589910:MZT589911 NJP589910:NJP589911 NTL589910:NTL589911 ODH589910:ODH589911 OND589910:OND589911 OWZ589910:OWZ589911 PGV589910:PGV589911 PQR589910:PQR589911 QAN589910:QAN589911 QKJ589910:QKJ589911 QUF589910:QUF589911 REB589910:REB589911 RNX589910:RNX589911 RXT589910:RXT589911 SHP589910:SHP589911 SRL589910:SRL589911 TBH589910:TBH589911 TLD589910:TLD589911 TUZ589910:TUZ589911 UEV589910:UEV589911 UOR589910:UOR589911 UYN589910:UYN589911 VIJ589910:VIJ589911 VSF589910:VSF589911 WCB589910:WCB589911 WLX589910:WLX589911 WVT589910:WVT589911 D655446:D655447 JH655446:JH655447 TD655446:TD655447 ACZ655446:ACZ655447 AMV655446:AMV655447 AWR655446:AWR655447 BGN655446:BGN655447 BQJ655446:BQJ655447 CAF655446:CAF655447 CKB655446:CKB655447 CTX655446:CTX655447 DDT655446:DDT655447 DNP655446:DNP655447 DXL655446:DXL655447 EHH655446:EHH655447 ERD655446:ERD655447 FAZ655446:FAZ655447 FKV655446:FKV655447 FUR655446:FUR655447 GEN655446:GEN655447 GOJ655446:GOJ655447 GYF655446:GYF655447 HIB655446:HIB655447 HRX655446:HRX655447 IBT655446:IBT655447 ILP655446:ILP655447 IVL655446:IVL655447 JFH655446:JFH655447 JPD655446:JPD655447 JYZ655446:JYZ655447 KIV655446:KIV655447 KSR655446:KSR655447 LCN655446:LCN655447 LMJ655446:LMJ655447 LWF655446:LWF655447 MGB655446:MGB655447 MPX655446:MPX655447 MZT655446:MZT655447 NJP655446:NJP655447 NTL655446:NTL655447 ODH655446:ODH655447 OND655446:OND655447 OWZ655446:OWZ655447 PGV655446:PGV655447 PQR655446:PQR655447 QAN655446:QAN655447 QKJ655446:QKJ655447 QUF655446:QUF655447 REB655446:REB655447 RNX655446:RNX655447 RXT655446:RXT655447 SHP655446:SHP655447 SRL655446:SRL655447 TBH655446:TBH655447 TLD655446:TLD655447 TUZ655446:TUZ655447 UEV655446:UEV655447 UOR655446:UOR655447 UYN655446:UYN655447 VIJ655446:VIJ655447 VSF655446:VSF655447 WCB655446:WCB655447 WLX655446:WLX655447 WVT655446:WVT655447 D720982:D720983 JH720982:JH720983 TD720982:TD720983 ACZ720982:ACZ720983 AMV720982:AMV720983 AWR720982:AWR720983 BGN720982:BGN720983 BQJ720982:BQJ720983 CAF720982:CAF720983 CKB720982:CKB720983 CTX720982:CTX720983 DDT720982:DDT720983 DNP720982:DNP720983 DXL720982:DXL720983 EHH720982:EHH720983 ERD720982:ERD720983 FAZ720982:FAZ720983 FKV720982:FKV720983 FUR720982:FUR720983 GEN720982:GEN720983 GOJ720982:GOJ720983 GYF720982:GYF720983 HIB720982:HIB720983 HRX720982:HRX720983 IBT720982:IBT720983 ILP720982:ILP720983 IVL720982:IVL720983 JFH720982:JFH720983 JPD720982:JPD720983 JYZ720982:JYZ720983 KIV720982:KIV720983 KSR720982:KSR720983 LCN720982:LCN720983 LMJ720982:LMJ720983 LWF720982:LWF720983 MGB720982:MGB720983 MPX720982:MPX720983 MZT720982:MZT720983 NJP720982:NJP720983 NTL720982:NTL720983 ODH720982:ODH720983 OND720982:OND720983 OWZ720982:OWZ720983 PGV720982:PGV720983 PQR720982:PQR720983 QAN720982:QAN720983 QKJ720982:QKJ720983 QUF720982:QUF720983 REB720982:REB720983 RNX720982:RNX720983 RXT720982:RXT720983 SHP720982:SHP720983 SRL720982:SRL720983 TBH720982:TBH720983 TLD720982:TLD720983 TUZ720982:TUZ720983 UEV720982:UEV720983 UOR720982:UOR720983 UYN720982:UYN720983 VIJ720982:VIJ720983 VSF720982:VSF720983 WCB720982:WCB720983 WLX720982:WLX720983 WVT720982:WVT720983 D786518:D786519 JH786518:JH786519 TD786518:TD786519 ACZ786518:ACZ786519 AMV786518:AMV786519 AWR786518:AWR786519 BGN786518:BGN786519 BQJ786518:BQJ786519 CAF786518:CAF786519 CKB786518:CKB786519 CTX786518:CTX786519 DDT786518:DDT786519 DNP786518:DNP786519 DXL786518:DXL786519 EHH786518:EHH786519 ERD786518:ERD786519 FAZ786518:FAZ786519 FKV786518:FKV786519 FUR786518:FUR786519 GEN786518:GEN786519 GOJ786518:GOJ786519 GYF786518:GYF786519 HIB786518:HIB786519 HRX786518:HRX786519 IBT786518:IBT786519 ILP786518:ILP786519 IVL786518:IVL786519 JFH786518:JFH786519 JPD786518:JPD786519 JYZ786518:JYZ786519 KIV786518:KIV786519 KSR786518:KSR786519 LCN786518:LCN786519 LMJ786518:LMJ786519 LWF786518:LWF786519 MGB786518:MGB786519 MPX786518:MPX786519 MZT786518:MZT786519 NJP786518:NJP786519 NTL786518:NTL786519 ODH786518:ODH786519 OND786518:OND786519 OWZ786518:OWZ786519 PGV786518:PGV786519 PQR786518:PQR786519 QAN786518:QAN786519 QKJ786518:QKJ786519 QUF786518:QUF786519 REB786518:REB786519 RNX786518:RNX786519 RXT786518:RXT786519 SHP786518:SHP786519 SRL786518:SRL786519 TBH786518:TBH786519 TLD786518:TLD786519 TUZ786518:TUZ786519 UEV786518:UEV786519 UOR786518:UOR786519 UYN786518:UYN786519 VIJ786518:VIJ786519 VSF786518:VSF786519 WCB786518:WCB786519 WLX786518:WLX786519 WVT786518:WVT786519 D852054:D852055 JH852054:JH852055 TD852054:TD852055 ACZ852054:ACZ852055 AMV852054:AMV852055 AWR852054:AWR852055 BGN852054:BGN852055 BQJ852054:BQJ852055 CAF852054:CAF852055 CKB852054:CKB852055 CTX852054:CTX852055 DDT852054:DDT852055 DNP852054:DNP852055 DXL852054:DXL852055 EHH852054:EHH852055 ERD852054:ERD852055 FAZ852054:FAZ852055 FKV852054:FKV852055 FUR852054:FUR852055 GEN852054:GEN852055 GOJ852054:GOJ852055 GYF852054:GYF852055 HIB852054:HIB852055 HRX852054:HRX852055 IBT852054:IBT852055 ILP852054:ILP852055 IVL852054:IVL852055 JFH852054:JFH852055 JPD852054:JPD852055 JYZ852054:JYZ852055 KIV852054:KIV852055 KSR852054:KSR852055 LCN852054:LCN852055 LMJ852054:LMJ852055 LWF852054:LWF852055 MGB852054:MGB852055 MPX852054:MPX852055 MZT852054:MZT852055 NJP852054:NJP852055 NTL852054:NTL852055 ODH852054:ODH852055 OND852054:OND852055 OWZ852054:OWZ852055 PGV852054:PGV852055 PQR852054:PQR852055 QAN852054:QAN852055 QKJ852054:QKJ852055 QUF852054:QUF852055 REB852054:REB852055 RNX852054:RNX852055 RXT852054:RXT852055 SHP852054:SHP852055 SRL852054:SRL852055 TBH852054:TBH852055 TLD852054:TLD852055 TUZ852054:TUZ852055 UEV852054:UEV852055 UOR852054:UOR852055 UYN852054:UYN852055 VIJ852054:VIJ852055 VSF852054:VSF852055 WCB852054:WCB852055 WLX852054:WLX852055 WVT852054:WVT852055 D917590:D917591 JH917590:JH917591 TD917590:TD917591 ACZ917590:ACZ917591 AMV917590:AMV917591 AWR917590:AWR917591 BGN917590:BGN917591 BQJ917590:BQJ917591 CAF917590:CAF917591 CKB917590:CKB917591 CTX917590:CTX917591 DDT917590:DDT917591 DNP917590:DNP917591 DXL917590:DXL917591 EHH917590:EHH917591 ERD917590:ERD917591 FAZ917590:FAZ917591 FKV917590:FKV917591 FUR917590:FUR917591 GEN917590:GEN917591 GOJ917590:GOJ917591 GYF917590:GYF917591 HIB917590:HIB917591 HRX917590:HRX917591 IBT917590:IBT917591 ILP917590:ILP917591 IVL917590:IVL917591 JFH917590:JFH917591 JPD917590:JPD917591 JYZ917590:JYZ917591 KIV917590:KIV917591 KSR917590:KSR917591 LCN917590:LCN917591 LMJ917590:LMJ917591 LWF917590:LWF917591 MGB917590:MGB917591 MPX917590:MPX917591 MZT917590:MZT917591 NJP917590:NJP917591 NTL917590:NTL917591 ODH917590:ODH917591 OND917590:OND917591 OWZ917590:OWZ917591 PGV917590:PGV917591 PQR917590:PQR917591 QAN917590:QAN917591 QKJ917590:QKJ917591 QUF917590:QUF917591 REB917590:REB917591 RNX917590:RNX917591 RXT917590:RXT917591 SHP917590:SHP917591 SRL917590:SRL917591 TBH917590:TBH917591 TLD917590:TLD917591 TUZ917590:TUZ917591 UEV917590:UEV917591 UOR917590:UOR917591 UYN917590:UYN917591 VIJ917590:VIJ917591 VSF917590:VSF917591 WCB917590:WCB917591 WLX917590:WLX917591 WVT917590:WVT917591 D983126:D983127 JH983126:JH983127 TD983126:TD983127 ACZ983126:ACZ983127 AMV983126:AMV983127 AWR983126:AWR983127 BGN983126:BGN983127 BQJ983126:BQJ983127 CAF983126:CAF983127 CKB983126:CKB983127 CTX983126:CTX983127 DDT983126:DDT983127 DNP983126:DNP983127 DXL983126:DXL983127 EHH983126:EHH983127 ERD983126:ERD983127 FAZ983126:FAZ983127 FKV983126:FKV983127 FUR983126:FUR983127 GEN983126:GEN983127 GOJ983126:GOJ983127 GYF983126:GYF983127 HIB983126:HIB983127 HRX983126:HRX983127 IBT983126:IBT983127 ILP983126:ILP983127 IVL983126:IVL983127 JFH983126:JFH983127 JPD983126:JPD983127 JYZ983126:JYZ983127 KIV983126:KIV983127 KSR983126:KSR983127 LCN983126:LCN983127 LMJ983126:LMJ983127 LWF983126:LWF983127 MGB983126:MGB983127 MPX983126:MPX983127 MZT983126:MZT983127 NJP983126:NJP983127 NTL983126:NTL983127 ODH983126:ODH983127 OND983126:OND983127 OWZ983126:OWZ983127 PGV983126:PGV983127 PQR983126:PQR983127 QAN983126:QAN983127 QKJ983126:QKJ983127 QUF983126:QUF983127 REB983126:REB983127 RNX983126:RNX983127 RXT983126:RXT983127 SHP983126:SHP983127 SRL983126:SRL983127 TBH983126:TBH983127 TLD983126:TLD983127 TUZ983126:TUZ983127 UEV983126:UEV983127 UOR983126:UOR983127 UYN983126:UYN983127 VIJ983126:VIJ983127 VSF983126:VSF983127 WCB983126:WCB983127 WLX983126:WLX983127 WVT983126:WVT983127 D89:D92 JH89:JH92 TD89:TD92 ACZ89:ACZ92 AMV89:AMV92 AWR89:AWR92 BGN89:BGN92 BQJ89:BQJ92 CAF89:CAF92 CKB89:CKB92 CTX89:CTX92 DDT89:DDT92 DNP89:DNP92 DXL89:DXL92 EHH89:EHH92 ERD89:ERD92 FAZ89:FAZ92 FKV89:FKV92 FUR89:FUR92 GEN89:GEN92 GOJ89:GOJ92 GYF89:GYF92 HIB89:HIB92 HRX89:HRX92 IBT89:IBT92 ILP89:ILP92 IVL89:IVL92 JFH89:JFH92 JPD89:JPD92 JYZ89:JYZ92 KIV89:KIV92 KSR89:KSR92 LCN89:LCN92 LMJ89:LMJ92 LWF89:LWF92 MGB89:MGB92 MPX89:MPX92 MZT89:MZT92 NJP89:NJP92 NTL89:NTL92 ODH89:ODH92 OND89:OND92 OWZ89:OWZ92 PGV89:PGV92 PQR89:PQR92 QAN89:QAN92 QKJ89:QKJ92 QUF89:QUF92 REB89:REB92 RNX89:RNX92 RXT89:RXT92 SHP89:SHP92 SRL89:SRL92 TBH89:TBH92 TLD89:TLD92 TUZ89:TUZ92 UEV89:UEV92 UOR89:UOR92 UYN89:UYN92 VIJ89:VIJ92 VSF89:VSF92 WCB89:WCB92 WLX89:WLX92 WVT89:WVT92 D65625:D65628 JH65625:JH65628 TD65625:TD65628 ACZ65625:ACZ65628 AMV65625:AMV65628 AWR65625:AWR65628 BGN65625:BGN65628 BQJ65625:BQJ65628 CAF65625:CAF65628 CKB65625:CKB65628 CTX65625:CTX65628 DDT65625:DDT65628 DNP65625:DNP65628 DXL65625:DXL65628 EHH65625:EHH65628 ERD65625:ERD65628 FAZ65625:FAZ65628 FKV65625:FKV65628 FUR65625:FUR65628 GEN65625:GEN65628 GOJ65625:GOJ65628 GYF65625:GYF65628 HIB65625:HIB65628 HRX65625:HRX65628 IBT65625:IBT65628 ILP65625:ILP65628 IVL65625:IVL65628 JFH65625:JFH65628 JPD65625:JPD65628 JYZ65625:JYZ65628 KIV65625:KIV65628 KSR65625:KSR65628 LCN65625:LCN65628 LMJ65625:LMJ65628 LWF65625:LWF65628 MGB65625:MGB65628 MPX65625:MPX65628 MZT65625:MZT65628 NJP65625:NJP65628 NTL65625:NTL65628 ODH65625:ODH65628 OND65625:OND65628 OWZ65625:OWZ65628 PGV65625:PGV65628 PQR65625:PQR65628 QAN65625:QAN65628 QKJ65625:QKJ65628 QUF65625:QUF65628 REB65625:REB65628 RNX65625:RNX65628 RXT65625:RXT65628 SHP65625:SHP65628 SRL65625:SRL65628 TBH65625:TBH65628 TLD65625:TLD65628 TUZ65625:TUZ65628 UEV65625:UEV65628 UOR65625:UOR65628 UYN65625:UYN65628 VIJ65625:VIJ65628 VSF65625:VSF65628 WCB65625:WCB65628 WLX65625:WLX65628 WVT65625:WVT65628 D131161:D131164 JH131161:JH131164 TD131161:TD131164 ACZ131161:ACZ131164 AMV131161:AMV131164 AWR131161:AWR131164 BGN131161:BGN131164 BQJ131161:BQJ131164 CAF131161:CAF131164 CKB131161:CKB131164 CTX131161:CTX131164 DDT131161:DDT131164 DNP131161:DNP131164 DXL131161:DXL131164 EHH131161:EHH131164 ERD131161:ERD131164 FAZ131161:FAZ131164 FKV131161:FKV131164 FUR131161:FUR131164 GEN131161:GEN131164 GOJ131161:GOJ131164 GYF131161:GYF131164 HIB131161:HIB131164 HRX131161:HRX131164 IBT131161:IBT131164 ILP131161:ILP131164 IVL131161:IVL131164 JFH131161:JFH131164 JPD131161:JPD131164 JYZ131161:JYZ131164 KIV131161:KIV131164 KSR131161:KSR131164 LCN131161:LCN131164 LMJ131161:LMJ131164 LWF131161:LWF131164 MGB131161:MGB131164 MPX131161:MPX131164 MZT131161:MZT131164 NJP131161:NJP131164 NTL131161:NTL131164 ODH131161:ODH131164 OND131161:OND131164 OWZ131161:OWZ131164 PGV131161:PGV131164 PQR131161:PQR131164 QAN131161:QAN131164 QKJ131161:QKJ131164 QUF131161:QUF131164 REB131161:REB131164 RNX131161:RNX131164 RXT131161:RXT131164 SHP131161:SHP131164 SRL131161:SRL131164 TBH131161:TBH131164 TLD131161:TLD131164 TUZ131161:TUZ131164 UEV131161:UEV131164 UOR131161:UOR131164 UYN131161:UYN131164 VIJ131161:VIJ131164 VSF131161:VSF131164 WCB131161:WCB131164 WLX131161:WLX131164 WVT131161:WVT131164 D196697:D196700 JH196697:JH196700 TD196697:TD196700 ACZ196697:ACZ196700 AMV196697:AMV196700 AWR196697:AWR196700 BGN196697:BGN196700 BQJ196697:BQJ196700 CAF196697:CAF196700 CKB196697:CKB196700 CTX196697:CTX196700 DDT196697:DDT196700 DNP196697:DNP196700 DXL196697:DXL196700 EHH196697:EHH196700 ERD196697:ERD196700 FAZ196697:FAZ196700 FKV196697:FKV196700 FUR196697:FUR196700 GEN196697:GEN196700 GOJ196697:GOJ196700 GYF196697:GYF196700 HIB196697:HIB196700 HRX196697:HRX196700 IBT196697:IBT196700 ILP196697:ILP196700 IVL196697:IVL196700 JFH196697:JFH196700 JPD196697:JPD196700 JYZ196697:JYZ196700 KIV196697:KIV196700 KSR196697:KSR196700 LCN196697:LCN196700 LMJ196697:LMJ196700 LWF196697:LWF196700 MGB196697:MGB196700 MPX196697:MPX196700 MZT196697:MZT196700 NJP196697:NJP196700 NTL196697:NTL196700 ODH196697:ODH196700 OND196697:OND196700 OWZ196697:OWZ196700 PGV196697:PGV196700 PQR196697:PQR196700 QAN196697:QAN196700 QKJ196697:QKJ196700 QUF196697:QUF196700 REB196697:REB196700 RNX196697:RNX196700 RXT196697:RXT196700 SHP196697:SHP196700 SRL196697:SRL196700 TBH196697:TBH196700 TLD196697:TLD196700 TUZ196697:TUZ196700 UEV196697:UEV196700 UOR196697:UOR196700 UYN196697:UYN196700 VIJ196697:VIJ196700 VSF196697:VSF196700 WCB196697:WCB196700 WLX196697:WLX196700 WVT196697:WVT196700 D262233:D262236 JH262233:JH262236 TD262233:TD262236 ACZ262233:ACZ262236 AMV262233:AMV262236 AWR262233:AWR262236 BGN262233:BGN262236 BQJ262233:BQJ262236 CAF262233:CAF262236 CKB262233:CKB262236 CTX262233:CTX262236 DDT262233:DDT262236 DNP262233:DNP262236 DXL262233:DXL262236 EHH262233:EHH262236 ERD262233:ERD262236 FAZ262233:FAZ262236 FKV262233:FKV262236 FUR262233:FUR262236 GEN262233:GEN262236 GOJ262233:GOJ262236 GYF262233:GYF262236 HIB262233:HIB262236 HRX262233:HRX262236 IBT262233:IBT262236 ILP262233:ILP262236 IVL262233:IVL262236 JFH262233:JFH262236 JPD262233:JPD262236 JYZ262233:JYZ262236 KIV262233:KIV262236 KSR262233:KSR262236 LCN262233:LCN262236 LMJ262233:LMJ262236 LWF262233:LWF262236 MGB262233:MGB262236 MPX262233:MPX262236 MZT262233:MZT262236 NJP262233:NJP262236 NTL262233:NTL262236 ODH262233:ODH262236 OND262233:OND262236 OWZ262233:OWZ262236 PGV262233:PGV262236 PQR262233:PQR262236 QAN262233:QAN262236 QKJ262233:QKJ262236 QUF262233:QUF262236 REB262233:REB262236 RNX262233:RNX262236 RXT262233:RXT262236 SHP262233:SHP262236 SRL262233:SRL262236 TBH262233:TBH262236 TLD262233:TLD262236 TUZ262233:TUZ262236 UEV262233:UEV262236 UOR262233:UOR262236 UYN262233:UYN262236 VIJ262233:VIJ262236 VSF262233:VSF262236 WCB262233:WCB262236 WLX262233:WLX262236 WVT262233:WVT262236 D327769:D327772 JH327769:JH327772 TD327769:TD327772 ACZ327769:ACZ327772 AMV327769:AMV327772 AWR327769:AWR327772 BGN327769:BGN327772 BQJ327769:BQJ327772 CAF327769:CAF327772 CKB327769:CKB327772 CTX327769:CTX327772 DDT327769:DDT327772 DNP327769:DNP327772 DXL327769:DXL327772 EHH327769:EHH327772 ERD327769:ERD327772 FAZ327769:FAZ327772 FKV327769:FKV327772 FUR327769:FUR327772 GEN327769:GEN327772 GOJ327769:GOJ327772 GYF327769:GYF327772 HIB327769:HIB327772 HRX327769:HRX327772 IBT327769:IBT327772 ILP327769:ILP327772 IVL327769:IVL327772 JFH327769:JFH327772 JPD327769:JPD327772 JYZ327769:JYZ327772 KIV327769:KIV327772 KSR327769:KSR327772 LCN327769:LCN327772 LMJ327769:LMJ327772 LWF327769:LWF327772 MGB327769:MGB327772 MPX327769:MPX327772 MZT327769:MZT327772 NJP327769:NJP327772 NTL327769:NTL327772 ODH327769:ODH327772 OND327769:OND327772 OWZ327769:OWZ327772 PGV327769:PGV327772 PQR327769:PQR327772 QAN327769:QAN327772 QKJ327769:QKJ327772 QUF327769:QUF327772 REB327769:REB327772 RNX327769:RNX327772 RXT327769:RXT327772 SHP327769:SHP327772 SRL327769:SRL327772 TBH327769:TBH327772 TLD327769:TLD327772 TUZ327769:TUZ327772 UEV327769:UEV327772 UOR327769:UOR327772 UYN327769:UYN327772 VIJ327769:VIJ327772 VSF327769:VSF327772 WCB327769:WCB327772 WLX327769:WLX327772 WVT327769:WVT327772 D393305:D393308 JH393305:JH393308 TD393305:TD393308 ACZ393305:ACZ393308 AMV393305:AMV393308 AWR393305:AWR393308 BGN393305:BGN393308 BQJ393305:BQJ393308 CAF393305:CAF393308 CKB393305:CKB393308 CTX393305:CTX393308 DDT393305:DDT393308 DNP393305:DNP393308 DXL393305:DXL393308 EHH393305:EHH393308 ERD393305:ERD393308 FAZ393305:FAZ393308 FKV393305:FKV393308 FUR393305:FUR393308 GEN393305:GEN393308 GOJ393305:GOJ393308 GYF393305:GYF393308 HIB393305:HIB393308 HRX393305:HRX393308 IBT393305:IBT393308 ILP393305:ILP393308 IVL393305:IVL393308 JFH393305:JFH393308 JPD393305:JPD393308 JYZ393305:JYZ393308 KIV393305:KIV393308 KSR393305:KSR393308 LCN393305:LCN393308 LMJ393305:LMJ393308 LWF393305:LWF393308 MGB393305:MGB393308 MPX393305:MPX393308 MZT393305:MZT393308 NJP393305:NJP393308 NTL393305:NTL393308 ODH393305:ODH393308 OND393305:OND393308 OWZ393305:OWZ393308 PGV393305:PGV393308 PQR393305:PQR393308 QAN393305:QAN393308 QKJ393305:QKJ393308 QUF393305:QUF393308 REB393305:REB393308 RNX393305:RNX393308 RXT393305:RXT393308 SHP393305:SHP393308 SRL393305:SRL393308 TBH393305:TBH393308 TLD393305:TLD393308 TUZ393305:TUZ393308 UEV393305:UEV393308 UOR393305:UOR393308 UYN393305:UYN393308 VIJ393305:VIJ393308 VSF393305:VSF393308 WCB393305:WCB393308 WLX393305:WLX393308 WVT393305:WVT393308 D458841:D458844 JH458841:JH458844 TD458841:TD458844 ACZ458841:ACZ458844 AMV458841:AMV458844 AWR458841:AWR458844 BGN458841:BGN458844 BQJ458841:BQJ458844 CAF458841:CAF458844 CKB458841:CKB458844 CTX458841:CTX458844 DDT458841:DDT458844 DNP458841:DNP458844 DXL458841:DXL458844 EHH458841:EHH458844 ERD458841:ERD458844 FAZ458841:FAZ458844 FKV458841:FKV458844 FUR458841:FUR458844 GEN458841:GEN458844 GOJ458841:GOJ458844 GYF458841:GYF458844 HIB458841:HIB458844 HRX458841:HRX458844 IBT458841:IBT458844 ILP458841:ILP458844 IVL458841:IVL458844 JFH458841:JFH458844 JPD458841:JPD458844 JYZ458841:JYZ458844 KIV458841:KIV458844 KSR458841:KSR458844 LCN458841:LCN458844 LMJ458841:LMJ458844 LWF458841:LWF458844 MGB458841:MGB458844 MPX458841:MPX458844 MZT458841:MZT458844 NJP458841:NJP458844 NTL458841:NTL458844 ODH458841:ODH458844 OND458841:OND458844 OWZ458841:OWZ458844 PGV458841:PGV458844 PQR458841:PQR458844 QAN458841:QAN458844 QKJ458841:QKJ458844 QUF458841:QUF458844 REB458841:REB458844 RNX458841:RNX458844 RXT458841:RXT458844 SHP458841:SHP458844 SRL458841:SRL458844 TBH458841:TBH458844 TLD458841:TLD458844 TUZ458841:TUZ458844 UEV458841:UEV458844 UOR458841:UOR458844 UYN458841:UYN458844 VIJ458841:VIJ458844 VSF458841:VSF458844 WCB458841:WCB458844 WLX458841:WLX458844 WVT458841:WVT458844 D524377:D524380 JH524377:JH524380 TD524377:TD524380 ACZ524377:ACZ524380 AMV524377:AMV524380 AWR524377:AWR524380 BGN524377:BGN524380 BQJ524377:BQJ524380 CAF524377:CAF524380 CKB524377:CKB524380 CTX524377:CTX524380 DDT524377:DDT524380 DNP524377:DNP524380 DXL524377:DXL524380 EHH524377:EHH524380 ERD524377:ERD524380 FAZ524377:FAZ524380 FKV524377:FKV524380 FUR524377:FUR524380 GEN524377:GEN524380 GOJ524377:GOJ524380 GYF524377:GYF524380 HIB524377:HIB524380 HRX524377:HRX524380 IBT524377:IBT524380 ILP524377:ILP524380 IVL524377:IVL524380 JFH524377:JFH524380 JPD524377:JPD524380 JYZ524377:JYZ524380 KIV524377:KIV524380 KSR524377:KSR524380 LCN524377:LCN524380 LMJ524377:LMJ524380 LWF524377:LWF524380 MGB524377:MGB524380 MPX524377:MPX524380 MZT524377:MZT524380 NJP524377:NJP524380 NTL524377:NTL524380 ODH524377:ODH524380 OND524377:OND524380 OWZ524377:OWZ524380 PGV524377:PGV524380 PQR524377:PQR524380 QAN524377:QAN524380 QKJ524377:QKJ524380 QUF524377:QUF524380 REB524377:REB524380 RNX524377:RNX524380 RXT524377:RXT524380 SHP524377:SHP524380 SRL524377:SRL524380 TBH524377:TBH524380 TLD524377:TLD524380 TUZ524377:TUZ524380 UEV524377:UEV524380 UOR524377:UOR524380 UYN524377:UYN524380 VIJ524377:VIJ524380 VSF524377:VSF524380 WCB524377:WCB524380 WLX524377:WLX524380 WVT524377:WVT524380 D589913:D589916 JH589913:JH589916 TD589913:TD589916 ACZ589913:ACZ589916 AMV589913:AMV589916 AWR589913:AWR589916 BGN589913:BGN589916 BQJ589913:BQJ589916 CAF589913:CAF589916 CKB589913:CKB589916 CTX589913:CTX589916 DDT589913:DDT589916 DNP589913:DNP589916 DXL589913:DXL589916 EHH589913:EHH589916 ERD589913:ERD589916 FAZ589913:FAZ589916 FKV589913:FKV589916 FUR589913:FUR589916 GEN589913:GEN589916 GOJ589913:GOJ589916 GYF589913:GYF589916 HIB589913:HIB589916 HRX589913:HRX589916 IBT589913:IBT589916 ILP589913:ILP589916 IVL589913:IVL589916 JFH589913:JFH589916 JPD589913:JPD589916 JYZ589913:JYZ589916 KIV589913:KIV589916 KSR589913:KSR589916 LCN589913:LCN589916 LMJ589913:LMJ589916 LWF589913:LWF589916 MGB589913:MGB589916 MPX589913:MPX589916 MZT589913:MZT589916 NJP589913:NJP589916 NTL589913:NTL589916 ODH589913:ODH589916 OND589913:OND589916 OWZ589913:OWZ589916 PGV589913:PGV589916 PQR589913:PQR589916 QAN589913:QAN589916 QKJ589913:QKJ589916 QUF589913:QUF589916 REB589913:REB589916 RNX589913:RNX589916 RXT589913:RXT589916 SHP589913:SHP589916 SRL589913:SRL589916 TBH589913:TBH589916 TLD589913:TLD589916 TUZ589913:TUZ589916 UEV589913:UEV589916 UOR589913:UOR589916 UYN589913:UYN589916 VIJ589913:VIJ589916 VSF589913:VSF589916 WCB589913:WCB589916 WLX589913:WLX589916 WVT589913:WVT589916 D655449:D655452 JH655449:JH655452 TD655449:TD655452 ACZ655449:ACZ655452 AMV655449:AMV655452 AWR655449:AWR655452 BGN655449:BGN655452 BQJ655449:BQJ655452 CAF655449:CAF655452 CKB655449:CKB655452 CTX655449:CTX655452 DDT655449:DDT655452 DNP655449:DNP655452 DXL655449:DXL655452 EHH655449:EHH655452 ERD655449:ERD655452 FAZ655449:FAZ655452 FKV655449:FKV655452 FUR655449:FUR655452 GEN655449:GEN655452 GOJ655449:GOJ655452 GYF655449:GYF655452 HIB655449:HIB655452 HRX655449:HRX655452 IBT655449:IBT655452 ILP655449:ILP655452 IVL655449:IVL655452 JFH655449:JFH655452 JPD655449:JPD655452 JYZ655449:JYZ655452 KIV655449:KIV655452 KSR655449:KSR655452 LCN655449:LCN655452 LMJ655449:LMJ655452 LWF655449:LWF655452 MGB655449:MGB655452 MPX655449:MPX655452 MZT655449:MZT655452 NJP655449:NJP655452 NTL655449:NTL655452 ODH655449:ODH655452 OND655449:OND655452 OWZ655449:OWZ655452 PGV655449:PGV655452 PQR655449:PQR655452 QAN655449:QAN655452 QKJ655449:QKJ655452 QUF655449:QUF655452 REB655449:REB655452 RNX655449:RNX655452 RXT655449:RXT655452 SHP655449:SHP655452 SRL655449:SRL655452 TBH655449:TBH655452 TLD655449:TLD655452 TUZ655449:TUZ655452 UEV655449:UEV655452 UOR655449:UOR655452 UYN655449:UYN655452 VIJ655449:VIJ655452 VSF655449:VSF655452 WCB655449:WCB655452 WLX655449:WLX655452 WVT655449:WVT655452 D720985:D720988 JH720985:JH720988 TD720985:TD720988 ACZ720985:ACZ720988 AMV720985:AMV720988 AWR720985:AWR720988 BGN720985:BGN720988 BQJ720985:BQJ720988 CAF720985:CAF720988 CKB720985:CKB720988 CTX720985:CTX720988 DDT720985:DDT720988 DNP720985:DNP720988 DXL720985:DXL720988 EHH720985:EHH720988 ERD720985:ERD720988 FAZ720985:FAZ720988 FKV720985:FKV720988 FUR720985:FUR720988 GEN720985:GEN720988 GOJ720985:GOJ720988 GYF720985:GYF720988 HIB720985:HIB720988 HRX720985:HRX720988 IBT720985:IBT720988 ILP720985:ILP720988 IVL720985:IVL720988 JFH720985:JFH720988 JPD720985:JPD720988 JYZ720985:JYZ720988 KIV720985:KIV720988 KSR720985:KSR720988 LCN720985:LCN720988 LMJ720985:LMJ720988 LWF720985:LWF720988 MGB720985:MGB720988 MPX720985:MPX720988 MZT720985:MZT720988 NJP720985:NJP720988 NTL720985:NTL720988 ODH720985:ODH720988 OND720985:OND720988 OWZ720985:OWZ720988 PGV720985:PGV720988 PQR720985:PQR720988 QAN720985:QAN720988 QKJ720985:QKJ720988 QUF720985:QUF720988 REB720985:REB720988 RNX720985:RNX720988 RXT720985:RXT720988 SHP720985:SHP720988 SRL720985:SRL720988 TBH720985:TBH720988 TLD720985:TLD720988 TUZ720985:TUZ720988 UEV720985:UEV720988 UOR720985:UOR720988 UYN720985:UYN720988 VIJ720985:VIJ720988 VSF720985:VSF720988 WCB720985:WCB720988 WLX720985:WLX720988 WVT720985:WVT720988 D786521:D786524 JH786521:JH786524 TD786521:TD786524 ACZ786521:ACZ786524 AMV786521:AMV786524 AWR786521:AWR786524 BGN786521:BGN786524 BQJ786521:BQJ786524 CAF786521:CAF786524 CKB786521:CKB786524 CTX786521:CTX786524 DDT786521:DDT786524 DNP786521:DNP786524 DXL786521:DXL786524 EHH786521:EHH786524 ERD786521:ERD786524 FAZ786521:FAZ786524 FKV786521:FKV786524 FUR786521:FUR786524 GEN786521:GEN786524 GOJ786521:GOJ786524 GYF786521:GYF786524 HIB786521:HIB786524 HRX786521:HRX786524 IBT786521:IBT786524 ILP786521:ILP786524 IVL786521:IVL786524 JFH786521:JFH786524 JPD786521:JPD786524 JYZ786521:JYZ786524 KIV786521:KIV786524 KSR786521:KSR786524 LCN786521:LCN786524 LMJ786521:LMJ786524 LWF786521:LWF786524 MGB786521:MGB786524 MPX786521:MPX786524 MZT786521:MZT786524 NJP786521:NJP786524 NTL786521:NTL786524 ODH786521:ODH786524 OND786521:OND786524 OWZ786521:OWZ786524 PGV786521:PGV786524 PQR786521:PQR786524 QAN786521:QAN786524 QKJ786521:QKJ786524 QUF786521:QUF786524 REB786521:REB786524 RNX786521:RNX786524 RXT786521:RXT786524 SHP786521:SHP786524 SRL786521:SRL786524 TBH786521:TBH786524 TLD786521:TLD786524 TUZ786521:TUZ786524 UEV786521:UEV786524 UOR786521:UOR786524 UYN786521:UYN786524 VIJ786521:VIJ786524 VSF786521:VSF786524 WCB786521:WCB786524 WLX786521:WLX786524 WVT786521:WVT786524 D852057:D852060 JH852057:JH852060 TD852057:TD852060 ACZ852057:ACZ852060 AMV852057:AMV852060 AWR852057:AWR852060 BGN852057:BGN852060 BQJ852057:BQJ852060 CAF852057:CAF852060 CKB852057:CKB852060 CTX852057:CTX852060 DDT852057:DDT852060 DNP852057:DNP852060 DXL852057:DXL852060 EHH852057:EHH852060 ERD852057:ERD852060 FAZ852057:FAZ852060 FKV852057:FKV852060 FUR852057:FUR852060 GEN852057:GEN852060 GOJ852057:GOJ852060 GYF852057:GYF852060 HIB852057:HIB852060 HRX852057:HRX852060 IBT852057:IBT852060 ILP852057:ILP852060 IVL852057:IVL852060 JFH852057:JFH852060 JPD852057:JPD852060 JYZ852057:JYZ852060 KIV852057:KIV852060 KSR852057:KSR852060 LCN852057:LCN852060 LMJ852057:LMJ852060 LWF852057:LWF852060 MGB852057:MGB852060 MPX852057:MPX852060 MZT852057:MZT852060 NJP852057:NJP852060 NTL852057:NTL852060 ODH852057:ODH852060 OND852057:OND852060 OWZ852057:OWZ852060 PGV852057:PGV852060 PQR852057:PQR852060 QAN852057:QAN852060 QKJ852057:QKJ852060 QUF852057:QUF852060 REB852057:REB852060 RNX852057:RNX852060 RXT852057:RXT852060 SHP852057:SHP852060 SRL852057:SRL852060 TBH852057:TBH852060 TLD852057:TLD852060 TUZ852057:TUZ852060 UEV852057:UEV852060 UOR852057:UOR852060 UYN852057:UYN852060 VIJ852057:VIJ852060 VSF852057:VSF852060 WCB852057:WCB852060 WLX852057:WLX852060 WVT852057:WVT852060 D917593:D917596 JH917593:JH917596 TD917593:TD917596 ACZ917593:ACZ917596 AMV917593:AMV917596 AWR917593:AWR917596 BGN917593:BGN917596 BQJ917593:BQJ917596 CAF917593:CAF917596 CKB917593:CKB917596 CTX917593:CTX917596 DDT917593:DDT917596 DNP917593:DNP917596 DXL917593:DXL917596 EHH917593:EHH917596 ERD917593:ERD917596 FAZ917593:FAZ917596 FKV917593:FKV917596 FUR917593:FUR917596 GEN917593:GEN917596 GOJ917593:GOJ917596 GYF917593:GYF917596 HIB917593:HIB917596 HRX917593:HRX917596 IBT917593:IBT917596 ILP917593:ILP917596 IVL917593:IVL917596 JFH917593:JFH917596 JPD917593:JPD917596 JYZ917593:JYZ917596 KIV917593:KIV917596 KSR917593:KSR917596 LCN917593:LCN917596 LMJ917593:LMJ917596 LWF917593:LWF917596 MGB917593:MGB917596 MPX917593:MPX917596 MZT917593:MZT917596 NJP917593:NJP917596 NTL917593:NTL917596 ODH917593:ODH917596 OND917593:OND917596 OWZ917593:OWZ917596 PGV917593:PGV917596 PQR917593:PQR917596 QAN917593:QAN917596 QKJ917593:QKJ917596 QUF917593:QUF917596 REB917593:REB917596 RNX917593:RNX917596 RXT917593:RXT917596 SHP917593:SHP917596 SRL917593:SRL917596 TBH917593:TBH917596 TLD917593:TLD917596 TUZ917593:TUZ917596 UEV917593:UEV917596 UOR917593:UOR917596 UYN917593:UYN917596 VIJ917593:VIJ917596 VSF917593:VSF917596 WCB917593:WCB917596 WLX917593:WLX917596 WVT917593:WVT917596 D983129:D983132 JH983129:JH983132 TD983129:TD983132 ACZ983129:ACZ983132 AMV983129:AMV983132 AWR983129:AWR983132 BGN983129:BGN983132 BQJ983129:BQJ983132 CAF983129:CAF983132 CKB983129:CKB983132 CTX983129:CTX983132 DDT983129:DDT983132 DNP983129:DNP983132 DXL983129:DXL983132 EHH983129:EHH983132 ERD983129:ERD983132 FAZ983129:FAZ983132 FKV983129:FKV983132 FUR983129:FUR983132 GEN983129:GEN983132 GOJ983129:GOJ983132 GYF983129:GYF983132 HIB983129:HIB983132 HRX983129:HRX983132 IBT983129:IBT983132 ILP983129:ILP983132 IVL983129:IVL983132 JFH983129:JFH983132 JPD983129:JPD983132 JYZ983129:JYZ983132 KIV983129:KIV983132 KSR983129:KSR983132 LCN983129:LCN983132 LMJ983129:LMJ983132 LWF983129:LWF983132 MGB983129:MGB983132 MPX983129:MPX983132 MZT983129:MZT983132 NJP983129:NJP983132 NTL983129:NTL983132 ODH983129:ODH983132 OND983129:OND983132 OWZ983129:OWZ983132 PGV983129:PGV983132 PQR983129:PQR983132 QAN983129:QAN983132 QKJ983129:QKJ983132 QUF983129:QUF983132 REB983129:REB983132 RNX983129:RNX983132 RXT983129:RXT983132 SHP983129:SHP983132 SRL983129:SRL983132 TBH983129:TBH983132 TLD983129:TLD983132 TUZ983129:TUZ983132 UEV983129:UEV983132 UOR983129:UOR983132 UYN983129:UYN983132 VIJ983129:VIJ983132 VSF983129:VSF983132 WCB983129:WCB983132 WLX983129:WLX983132 WVT983129:WVT983132 D94:D104 JH94:JH104 TD94:TD104 ACZ94:ACZ104 AMV94:AMV104 AWR94:AWR104 BGN94:BGN104 BQJ94:BQJ104 CAF94:CAF104 CKB94:CKB104 CTX94:CTX104 DDT94:DDT104 DNP94:DNP104 DXL94:DXL104 EHH94:EHH104 ERD94:ERD104 FAZ94:FAZ104 FKV94:FKV104 FUR94:FUR104 GEN94:GEN104 GOJ94:GOJ104 GYF94:GYF104 HIB94:HIB104 HRX94:HRX104 IBT94:IBT104 ILP94:ILP104 IVL94:IVL104 JFH94:JFH104 JPD94:JPD104 JYZ94:JYZ104 KIV94:KIV104 KSR94:KSR104 LCN94:LCN104 LMJ94:LMJ104 LWF94:LWF104 MGB94:MGB104 MPX94:MPX104 MZT94:MZT104 NJP94:NJP104 NTL94:NTL104 ODH94:ODH104 OND94:OND104 OWZ94:OWZ104 PGV94:PGV104 PQR94:PQR104 QAN94:QAN104 QKJ94:QKJ104 QUF94:QUF104 REB94:REB104 RNX94:RNX104 RXT94:RXT104 SHP94:SHP104 SRL94:SRL104 TBH94:TBH104 TLD94:TLD104 TUZ94:TUZ104 UEV94:UEV104 UOR94:UOR104 UYN94:UYN104 VIJ94:VIJ104 VSF94:VSF104 WCB94:WCB104 WLX94:WLX104 WVT94:WVT104 D65630:D65640 JH65630:JH65640 TD65630:TD65640 ACZ65630:ACZ65640 AMV65630:AMV65640 AWR65630:AWR65640 BGN65630:BGN65640 BQJ65630:BQJ65640 CAF65630:CAF65640 CKB65630:CKB65640 CTX65630:CTX65640 DDT65630:DDT65640 DNP65630:DNP65640 DXL65630:DXL65640 EHH65630:EHH65640 ERD65630:ERD65640 FAZ65630:FAZ65640 FKV65630:FKV65640 FUR65630:FUR65640 GEN65630:GEN65640 GOJ65630:GOJ65640 GYF65630:GYF65640 HIB65630:HIB65640 HRX65630:HRX65640 IBT65630:IBT65640 ILP65630:ILP65640 IVL65630:IVL65640 JFH65630:JFH65640 JPD65630:JPD65640 JYZ65630:JYZ65640 KIV65630:KIV65640 KSR65630:KSR65640 LCN65630:LCN65640 LMJ65630:LMJ65640 LWF65630:LWF65640 MGB65630:MGB65640 MPX65630:MPX65640 MZT65630:MZT65640 NJP65630:NJP65640 NTL65630:NTL65640 ODH65630:ODH65640 OND65630:OND65640 OWZ65630:OWZ65640 PGV65630:PGV65640 PQR65630:PQR65640 QAN65630:QAN65640 QKJ65630:QKJ65640 QUF65630:QUF65640 REB65630:REB65640 RNX65630:RNX65640 RXT65630:RXT65640 SHP65630:SHP65640 SRL65630:SRL65640 TBH65630:TBH65640 TLD65630:TLD65640 TUZ65630:TUZ65640 UEV65630:UEV65640 UOR65630:UOR65640 UYN65630:UYN65640 VIJ65630:VIJ65640 VSF65630:VSF65640 WCB65630:WCB65640 WLX65630:WLX65640 WVT65630:WVT65640 D131166:D131176 JH131166:JH131176 TD131166:TD131176 ACZ131166:ACZ131176 AMV131166:AMV131176 AWR131166:AWR131176 BGN131166:BGN131176 BQJ131166:BQJ131176 CAF131166:CAF131176 CKB131166:CKB131176 CTX131166:CTX131176 DDT131166:DDT131176 DNP131166:DNP131176 DXL131166:DXL131176 EHH131166:EHH131176 ERD131166:ERD131176 FAZ131166:FAZ131176 FKV131166:FKV131176 FUR131166:FUR131176 GEN131166:GEN131176 GOJ131166:GOJ131176 GYF131166:GYF131176 HIB131166:HIB131176 HRX131166:HRX131176 IBT131166:IBT131176 ILP131166:ILP131176 IVL131166:IVL131176 JFH131166:JFH131176 JPD131166:JPD131176 JYZ131166:JYZ131176 KIV131166:KIV131176 KSR131166:KSR131176 LCN131166:LCN131176 LMJ131166:LMJ131176 LWF131166:LWF131176 MGB131166:MGB131176 MPX131166:MPX131176 MZT131166:MZT131176 NJP131166:NJP131176 NTL131166:NTL131176 ODH131166:ODH131176 OND131166:OND131176 OWZ131166:OWZ131176 PGV131166:PGV131176 PQR131166:PQR131176 QAN131166:QAN131176 QKJ131166:QKJ131176 QUF131166:QUF131176 REB131166:REB131176 RNX131166:RNX131176 RXT131166:RXT131176 SHP131166:SHP131176 SRL131166:SRL131176 TBH131166:TBH131176 TLD131166:TLD131176 TUZ131166:TUZ131176 UEV131166:UEV131176 UOR131166:UOR131176 UYN131166:UYN131176 VIJ131166:VIJ131176 VSF131166:VSF131176 WCB131166:WCB131176 WLX131166:WLX131176 WVT131166:WVT131176 D196702:D196712 JH196702:JH196712 TD196702:TD196712 ACZ196702:ACZ196712 AMV196702:AMV196712 AWR196702:AWR196712 BGN196702:BGN196712 BQJ196702:BQJ196712 CAF196702:CAF196712 CKB196702:CKB196712 CTX196702:CTX196712 DDT196702:DDT196712 DNP196702:DNP196712 DXL196702:DXL196712 EHH196702:EHH196712 ERD196702:ERD196712 FAZ196702:FAZ196712 FKV196702:FKV196712 FUR196702:FUR196712 GEN196702:GEN196712 GOJ196702:GOJ196712 GYF196702:GYF196712 HIB196702:HIB196712 HRX196702:HRX196712 IBT196702:IBT196712 ILP196702:ILP196712 IVL196702:IVL196712 JFH196702:JFH196712 JPD196702:JPD196712 JYZ196702:JYZ196712 KIV196702:KIV196712 KSR196702:KSR196712 LCN196702:LCN196712 LMJ196702:LMJ196712 LWF196702:LWF196712 MGB196702:MGB196712 MPX196702:MPX196712 MZT196702:MZT196712 NJP196702:NJP196712 NTL196702:NTL196712 ODH196702:ODH196712 OND196702:OND196712 OWZ196702:OWZ196712 PGV196702:PGV196712 PQR196702:PQR196712 QAN196702:QAN196712 QKJ196702:QKJ196712 QUF196702:QUF196712 REB196702:REB196712 RNX196702:RNX196712 RXT196702:RXT196712 SHP196702:SHP196712 SRL196702:SRL196712 TBH196702:TBH196712 TLD196702:TLD196712 TUZ196702:TUZ196712 UEV196702:UEV196712 UOR196702:UOR196712 UYN196702:UYN196712 VIJ196702:VIJ196712 VSF196702:VSF196712 WCB196702:WCB196712 WLX196702:WLX196712 WVT196702:WVT196712 D262238:D262248 JH262238:JH262248 TD262238:TD262248 ACZ262238:ACZ262248 AMV262238:AMV262248 AWR262238:AWR262248 BGN262238:BGN262248 BQJ262238:BQJ262248 CAF262238:CAF262248 CKB262238:CKB262248 CTX262238:CTX262248 DDT262238:DDT262248 DNP262238:DNP262248 DXL262238:DXL262248 EHH262238:EHH262248 ERD262238:ERD262248 FAZ262238:FAZ262248 FKV262238:FKV262248 FUR262238:FUR262248 GEN262238:GEN262248 GOJ262238:GOJ262248 GYF262238:GYF262248 HIB262238:HIB262248 HRX262238:HRX262248 IBT262238:IBT262248 ILP262238:ILP262248 IVL262238:IVL262248 JFH262238:JFH262248 JPD262238:JPD262248 JYZ262238:JYZ262248 KIV262238:KIV262248 KSR262238:KSR262248 LCN262238:LCN262248 LMJ262238:LMJ262248 LWF262238:LWF262248 MGB262238:MGB262248 MPX262238:MPX262248 MZT262238:MZT262248 NJP262238:NJP262248 NTL262238:NTL262248 ODH262238:ODH262248 OND262238:OND262248 OWZ262238:OWZ262248 PGV262238:PGV262248 PQR262238:PQR262248 QAN262238:QAN262248 QKJ262238:QKJ262248 QUF262238:QUF262248 REB262238:REB262248 RNX262238:RNX262248 RXT262238:RXT262248 SHP262238:SHP262248 SRL262238:SRL262248 TBH262238:TBH262248 TLD262238:TLD262248 TUZ262238:TUZ262248 UEV262238:UEV262248 UOR262238:UOR262248 UYN262238:UYN262248 VIJ262238:VIJ262248 VSF262238:VSF262248 WCB262238:WCB262248 WLX262238:WLX262248 WVT262238:WVT262248 D327774:D327784 JH327774:JH327784 TD327774:TD327784 ACZ327774:ACZ327784 AMV327774:AMV327784 AWR327774:AWR327784 BGN327774:BGN327784 BQJ327774:BQJ327784 CAF327774:CAF327784 CKB327774:CKB327784 CTX327774:CTX327784 DDT327774:DDT327784 DNP327774:DNP327784 DXL327774:DXL327784 EHH327774:EHH327784 ERD327774:ERD327784 FAZ327774:FAZ327784 FKV327774:FKV327784 FUR327774:FUR327784 GEN327774:GEN327784 GOJ327774:GOJ327784 GYF327774:GYF327784 HIB327774:HIB327784 HRX327774:HRX327784 IBT327774:IBT327784 ILP327774:ILP327784 IVL327774:IVL327784 JFH327774:JFH327784 JPD327774:JPD327784 JYZ327774:JYZ327784 KIV327774:KIV327784 KSR327774:KSR327784 LCN327774:LCN327784 LMJ327774:LMJ327784 LWF327774:LWF327784 MGB327774:MGB327784 MPX327774:MPX327784 MZT327774:MZT327784 NJP327774:NJP327784 NTL327774:NTL327784 ODH327774:ODH327784 OND327774:OND327784 OWZ327774:OWZ327784 PGV327774:PGV327784 PQR327774:PQR327784 QAN327774:QAN327784 QKJ327774:QKJ327784 QUF327774:QUF327784 REB327774:REB327784 RNX327774:RNX327784 RXT327774:RXT327784 SHP327774:SHP327784 SRL327774:SRL327784 TBH327774:TBH327784 TLD327774:TLD327784 TUZ327774:TUZ327784 UEV327774:UEV327784 UOR327774:UOR327784 UYN327774:UYN327784 VIJ327774:VIJ327784 VSF327774:VSF327784 WCB327774:WCB327784 WLX327774:WLX327784 WVT327774:WVT327784 D393310:D393320 JH393310:JH393320 TD393310:TD393320 ACZ393310:ACZ393320 AMV393310:AMV393320 AWR393310:AWR393320 BGN393310:BGN393320 BQJ393310:BQJ393320 CAF393310:CAF393320 CKB393310:CKB393320 CTX393310:CTX393320 DDT393310:DDT393320 DNP393310:DNP393320 DXL393310:DXL393320 EHH393310:EHH393320 ERD393310:ERD393320 FAZ393310:FAZ393320 FKV393310:FKV393320 FUR393310:FUR393320 GEN393310:GEN393320 GOJ393310:GOJ393320 GYF393310:GYF393320 HIB393310:HIB393320 HRX393310:HRX393320 IBT393310:IBT393320 ILP393310:ILP393320 IVL393310:IVL393320 JFH393310:JFH393320 JPD393310:JPD393320 JYZ393310:JYZ393320 KIV393310:KIV393320 KSR393310:KSR393320 LCN393310:LCN393320 LMJ393310:LMJ393320 LWF393310:LWF393320 MGB393310:MGB393320 MPX393310:MPX393320 MZT393310:MZT393320 NJP393310:NJP393320 NTL393310:NTL393320 ODH393310:ODH393320 OND393310:OND393320 OWZ393310:OWZ393320 PGV393310:PGV393320 PQR393310:PQR393320 QAN393310:QAN393320 QKJ393310:QKJ393320 QUF393310:QUF393320 REB393310:REB393320 RNX393310:RNX393320 RXT393310:RXT393320 SHP393310:SHP393320 SRL393310:SRL393320 TBH393310:TBH393320 TLD393310:TLD393320 TUZ393310:TUZ393320 UEV393310:UEV393320 UOR393310:UOR393320 UYN393310:UYN393320 VIJ393310:VIJ393320 VSF393310:VSF393320 WCB393310:WCB393320 WLX393310:WLX393320 WVT393310:WVT393320 D458846:D458856 JH458846:JH458856 TD458846:TD458856 ACZ458846:ACZ458856 AMV458846:AMV458856 AWR458846:AWR458856 BGN458846:BGN458856 BQJ458846:BQJ458856 CAF458846:CAF458856 CKB458846:CKB458856 CTX458846:CTX458856 DDT458846:DDT458856 DNP458846:DNP458856 DXL458846:DXL458856 EHH458846:EHH458856 ERD458846:ERD458856 FAZ458846:FAZ458856 FKV458846:FKV458856 FUR458846:FUR458856 GEN458846:GEN458856 GOJ458846:GOJ458856 GYF458846:GYF458856 HIB458846:HIB458856 HRX458846:HRX458856 IBT458846:IBT458856 ILP458846:ILP458856 IVL458846:IVL458856 JFH458846:JFH458856 JPD458846:JPD458856 JYZ458846:JYZ458856 KIV458846:KIV458856 KSR458846:KSR458856 LCN458846:LCN458856 LMJ458846:LMJ458856 LWF458846:LWF458856 MGB458846:MGB458856 MPX458846:MPX458856 MZT458846:MZT458856 NJP458846:NJP458856 NTL458846:NTL458856 ODH458846:ODH458856 OND458846:OND458856 OWZ458846:OWZ458856 PGV458846:PGV458856 PQR458846:PQR458856 QAN458846:QAN458856 QKJ458846:QKJ458856 QUF458846:QUF458856 REB458846:REB458856 RNX458846:RNX458856 RXT458846:RXT458856 SHP458846:SHP458856 SRL458846:SRL458856 TBH458846:TBH458856 TLD458846:TLD458856 TUZ458846:TUZ458856 UEV458846:UEV458856 UOR458846:UOR458856 UYN458846:UYN458856 VIJ458846:VIJ458856 VSF458846:VSF458856 WCB458846:WCB458856 WLX458846:WLX458856 WVT458846:WVT458856 D524382:D524392 JH524382:JH524392 TD524382:TD524392 ACZ524382:ACZ524392 AMV524382:AMV524392 AWR524382:AWR524392 BGN524382:BGN524392 BQJ524382:BQJ524392 CAF524382:CAF524392 CKB524382:CKB524392 CTX524382:CTX524392 DDT524382:DDT524392 DNP524382:DNP524392 DXL524382:DXL524392 EHH524382:EHH524392 ERD524382:ERD524392 FAZ524382:FAZ524392 FKV524382:FKV524392 FUR524382:FUR524392 GEN524382:GEN524392 GOJ524382:GOJ524392 GYF524382:GYF524392 HIB524382:HIB524392 HRX524382:HRX524392 IBT524382:IBT524392 ILP524382:ILP524392 IVL524382:IVL524392 JFH524382:JFH524392 JPD524382:JPD524392 JYZ524382:JYZ524392 KIV524382:KIV524392 KSR524382:KSR524392 LCN524382:LCN524392 LMJ524382:LMJ524392 LWF524382:LWF524392 MGB524382:MGB524392 MPX524382:MPX524392 MZT524382:MZT524392 NJP524382:NJP524392 NTL524382:NTL524392 ODH524382:ODH524392 OND524382:OND524392 OWZ524382:OWZ524392 PGV524382:PGV524392 PQR524382:PQR524392 QAN524382:QAN524392 QKJ524382:QKJ524392 QUF524382:QUF524392 REB524382:REB524392 RNX524382:RNX524392 RXT524382:RXT524392 SHP524382:SHP524392 SRL524382:SRL524392 TBH524382:TBH524392 TLD524382:TLD524392 TUZ524382:TUZ524392 UEV524382:UEV524392 UOR524382:UOR524392 UYN524382:UYN524392 VIJ524382:VIJ524392 VSF524382:VSF524392 WCB524382:WCB524392 WLX524382:WLX524392 WVT524382:WVT524392 D589918:D589928 JH589918:JH589928 TD589918:TD589928 ACZ589918:ACZ589928 AMV589918:AMV589928 AWR589918:AWR589928 BGN589918:BGN589928 BQJ589918:BQJ589928 CAF589918:CAF589928 CKB589918:CKB589928 CTX589918:CTX589928 DDT589918:DDT589928 DNP589918:DNP589928 DXL589918:DXL589928 EHH589918:EHH589928 ERD589918:ERD589928 FAZ589918:FAZ589928 FKV589918:FKV589928 FUR589918:FUR589928 GEN589918:GEN589928 GOJ589918:GOJ589928 GYF589918:GYF589928 HIB589918:HIB589928 HRX589918:HRX589928 IBT589918:IBT589928 ILP589918:ILP589928 IVL589918:IVL589928 JFH589918:JFH589928 JPD589918:JPD589928 JYZ589918:JYZ589928 KIV589918:KIV589928 KSR589918:KSR589928 LCN589918:LCN589928 LMJ589918:LMJ589928 LWF589918:LWF589928 MGB589918:MGB589928 MPX589918:MPX589928 MZT589918:MZT589928 NJP589918:NJP589928 NTL589918:NTL589928 ODH589918:ODH589928 OND589918:OND589928 OWZ589918:OWZ589928 PGV589918:PGV589928 PQR589918:PQR589928 QAN589918:QAN589928 QKJ589918:QKJ589928 QUF589918:QUF589928 REB589918:REB589928 RNX589918:RNX589928 RXT589918:RXT589928 SHP589918:SHP589928 SRL589918:SRL589928 TBH589918:TBH589928 TLD589918:TLD589928 TUZ589918:TUZ589928 UEV589918:UEV589928 UOR589918:UOR589928 UYN589918:UYN589928 VIJ589918:VIJ589928 VSF589918:VSF589928 WCB589918:WCB589928 WLX589918:WLX589928 WVT589918:WVT589928 D655454:D655464 JH655454:JH655464 TD655454:TD655464 ACZ655454:ACZ655464 AMV655454:AMV655464 AWR655454:AWR655464 BGN655454:BGN655464 BQJ655454:BQJ655464 CAF655454:CAF655464 CKB655454:CKB655464 CTX655454:CTX655464 DDT655454:DDT655464 DNP655454:DNP655464 DXL655454:DXL655464 EHH655454:EHH655464 ERD655454:ERD655464 FAZ655454:FAZ655464 FKV655454:FKV655464 FUR655454:FUR655464 GEN655454:GEN655464 GOJ655454:GOJ655464 GYF655454:GYF655464 HIB655454:HIB655464 HRX655454:HRX655464 IBT655454:IBT655464 ILP655454:ILP655464 IVL655454:IVL655464 JFH655454:JFH655464 JPD655454:JPD655464 JYZ655454:JYZ655464 KIV655454:KIV655464 KSR655454:KSR655464 LCN655454:LCN655464 LMJ655454:LMJ655464 LWF655454:LWF655464 MGB655454:MGB655464 MPX655454:MPX655464 MZT655454:MZT655464 NJP655454:NJP655464 NTL655454:NTL655464 ODH655454:ODH655464 OND655454:OND655464 OWZ655454:OWZ655464 PGV655454:PGV655464 PQR655454:PQR655464 QAN655454:QAN655464 QKJ655454:QKJ655464 QUF655454:QUF655464 REB655454:REB655464 RNX655454:RNX655464 RXT655454:RXT655464 SHP655454:SHP655464 SRL655454:SRL655464 TBH655454:TBH655464 TLD655454:TLD655464 TUZ655454:TUZ655464 UEV655454:UEV655464 UOR655454:UOR655464 UYN655454:UYN655464 VIJ655454:VIJ655464 VSF655454:VSF655464 WCB655454:WCB655464 WLX655454:WLX655464 WVT655454:WVT655464 D720990:D721000 JH720990:JH721000 TD720990:TD721000 ACZ720990:ACZ721000 AMV720990:AMV721000 AWR720990:AWR721000 BGN720990:BGN721000 BQJ720990:BQJ721000 CAF720990:CAF721000 CKB720990:CKB721000 CTX720990:CTX721000 DDT720990:DDT721000 DNP720990:DNP721000 DXL720990:DXL721000 EHH720990:EHH721000 ERD720990:ERD721000 FAZ720990:FAZ721000 FKV720990:FKV721000 FUR720990:FUR721000 GEN720990:GEN721000 GOJ720990:GOJ721000 GYF720990:GYF721000 HIB720990:HIB721000 HRX720990:HRX721000 IBT720990:IBT721000 ILP720990:ILP721000 IVL720990:IVL721000 JFH720990:JFH721000 JPD720990:JPD721000 JYZ720990:JYZ721000 KIV720990:KIV721000 KSR720990:KSR721000 LCN720990:LCN721000 LMJ720990:LMJ721000 LWF720990:LWF721000 MGB720990:MGB721000 MPX720990:MPX721000 MZT720990:MZT721000 NJP720990:NJP721000 NTL720990:NTL721000 ODH720990:ODH721000 OND720990:OND721000 OWZ720990:OWZ721000 PGV720990:PGV721000 PQR720990:PQR721000 QAN720990:QAN721000 QKJ720990:QKJ721000 QUF720990:QUF721000 REB720990:REB721000 RNX720990:RNX721000 RXT720990:RXT721000 SHP720990:SHP721000 SRL720990:SRL721000 TBH720990:TBH721000 TLD720990:TLD721000 TUZ720990:TUZ721000 UEV720990:UEV721000 UOR720990:UOR721000 UYN720990:UYN721000 VIJ720990:VIJ721000 VSF720990:VSF721000 WCB720990:WCB721000 WLX720990:WLX721000 WVT720990:WVT721000 D786526:D786536 JH786526:JH786536 TD786526:TD786536 ACZ786526:ACZ786536 AMV786526:AMV786536 AWR786526:AWR786536 BGN786526:BGN786536 BQJ786526:BQJ786536 CAF786526:CAF786536 CKB786526:CKB786536 CTX786526:CTX786536 DDT786526:DDT786536 DNP786526:DNP786536 DXL786526:DXL786536 EHH786526:EHH786536 ERD786526:ERD786536 FAZ786526:FAZ786536 FKV786526:FKV786536 FUR786526:FUR786536 GEN786526:GEN786536 GOJ786526:GOJ786536 GYF786526:GYF786536 HIB786526:HIB786536 HRX786526:HRX786536 IBT786526:IBT786536 ILP786526:ILP786536 IVL786526:IVL786536 JFH786526:JFH786536 JPD786526:JPD786536 JYZ786526:JYZ786536 KIV786526:KIV786536 KSR786526:KSR786536 LCN786526:LCN786536 LMJ786526:LMJ786536 LWF786526:LWF786536 MGB786526:MGB786536 MPX786526:MPX786536 MZT786526:MZT786536 NJP786526:NJP786536 NTL786526:NTL786536 ODH786526:ODH786536 OND786526:OND786536 OWZ786526:OWZ786536 PGV786526:PGV786536 PQR786526:PQR786536 QAN786526:QAN786536 QKJ786526:QKJ786536 QUF786526:QUF786536 REB786526:REB786536 RNX786526:RNX786536 RXT786526:RXT786536 SHP786526:SHP786536 SRL786526:SRL786536 TBH786526:TBH786536 TLD786526:TLD786536 TUZ786526:TUZ786536 UEV786526:UEV786536 UOR786526:UOR786536 UYN786526:UYN786536 VIJ786526:VIJ786536 VSF786526:VSF786536 WCB786526:WCB786536 WLX786526:WLX786536 WVT786526:WVT786536 D852062:D852072 JH852062:JH852072 TD852062:TD852072 ACZ852062:ACZ852072 AMV852062:AMV852072 AWR852062:AWR852072 BGN852062:BGN852072 BQJ852062:BQJ852072 CAF852062:CAF852072 CKB852062:CKB852072 CTX852062:CTX852072 DDT852062:DDT852072 DNP852062:DNP852072 DXL852062:DXL852072 EHH852062:EHH852072 ERD852062:ERD852072 FAZ852062:FAZ852072 FKV852062:FKV852072 FUR852062:FUR852072 GEN852062:GEN852072 GOJ852062:GOJ852072 GYF852062:GYF852072 HIB852062:HIB852072 HRX852062:HRX852072 IBT852062:IBT852072 ILP852062:ILP852072 IVL852062:IVL852072 JFH852062:JFH852072 JPD852062:JPD852072 JYZ852062:JYZ852072 KIV852062:KIV852072 KSR852062:KSR852072 LCN852062:LCN852072 LMJ852062:LMJ852072 LWF852062:LWF852072 MGB852062:MGB852072 MPX852062:MPX852072 MZT852062:MZT852072 NJP852062:NJP852072 NTL852062:NTL852072 ODH852062:ODH852072 OND852062:OND852072 OWZ852062:OWZ852072 PGV852062:PGV852072 PQR852062:PQR852072 QAN852062:QAN852072 QKJ852062:QKJ852072 QUF852062:QUF852072 REB852062:REB852072 RNX852062:RNX852072 RXT852062:RXT852072 SHP852062:SHP852072 SRL852062:SRL852072 TBH852062:TBH852072 TLD852062:TLD852072 TUZ852062:TUZ852072 UEV852062:UEV852072 UOR852062:UOR852072 UYN852062:UYN852072 VIJ852062:VIJ852072 VSF852062:VSF852072 WCB852062:WCB852072 WLX852062:WLX852072 WVT852062:WVT852072 D917598:D917608 JH917598:JH917608 TD917598:TD917608 ACZ917598:ACZ917608 AMV917598:AMV917608 AWR917598:AWR917608 BGN917598:BGN917608 BQJ917598:BQJ917608 CAF917598:CAF917608 CKB917598:CKB917608 CTX917598:CTX917608 DDT917598:DDT917608 DNP917598:DNP917608 DXL917598:DXL917608 EHH917598:EHH917608 ERD917598:ERD917608 FAZ917598:FAZ917608 FKV917598:FKV917608 FUR917598:FUR917608 GEN917598:GEN917608 GOJ917598:GOJ917608 GYF917598:GYF917608 HIB917598:HIB917608 HRX917598:HRX917608 IBT917598:IBT917608 ILP917598:ILP917608 IVL917598:IVL917608 JFH917598:JFH917608 JPD917598:JPD917608 JYZ917598:JYZ917608 KIV917598:KIV917608 KSR917598:KSR917608 LCN917598:LCN917608 LMJ917598:LMJ917608 LWF917598:LWF917608 MGB917598:MGB917608 MPX917598:MPX917608 MZT917598:MZT917608 NJP917598:NJP917608 NTL917598:NTL917608 ODH917598:ODH917608 OND917598:OND917608 OWZ917598:OWZ917608 PGV917598:PGV917608 PQR917598:PQR917608 QAN917598:QAN917608 QKJ917598:QKJ917608 QUF917598:QUF917608 REB917598:REB917608 RNX917598:RNX917608 RXT917598:RXT917608 SHP917598:SHP917608 SRL917598:SRL917608 TBH917598:TBH917608 TLD917598:TLD917608 TUZ917598:TUZ917608 UEV917598:UEV917608 UOR917598:UOR917608 UYN917598:UYN917608 VIJ917598:VIJ917608 VSF917598:VSF917608 WCB917598:WCB917608 WLX917598:WLX917608 WVT917598:WVT917608 D983134:D983144 JH983134:JH983144 TD983134:TD983144 ACZ983134:ACZ983144 AMV983134:AMV983144 AWR983134:AWR983144 BGN983134:BGN983144 BQJ983134:BQJ983144 CAF983134:CAF983144 CKB983134:CKB983144 CTX983134:CTX983144 DDT983134:DDT983144 DNP983134:DNP983144 DXL983134:DXL983144 EHH983134:EHH983144 ERD983134:ERD983144 FAZ983134:FAZ983144 FKV983134:FKV983144 FUR983134:FUR983144 GEN983134:GEN983144 GOJ983134:GOJ983144 GYF983134:GYF983144 HIB983134:HIB983144 HRX983134:HRX983144 IBT983134:IBT983144 ILP983134:ILP983144 IVL983134:IVL983144 JFH983134:JFH983144 JPD983134:JPD983144 JYZ983134:JYZ983144 KIV983134:KIV983144 KSR983134:KSR983144 LCN983134:LCN983144 LMJ983134:LMJ983144 LWF983134:LWF983144 MGB983134:MGB983144 MPX983134:MPX983144 MZT983134:MZT983144 NJP983134:NJP983144 NTL983134:NTL983144 ODH983134:ODH983144 OND983134:OND983144 OWZ983134:OWZ983144 PGV983134:PGV983144 PQR983134:PQR983144 QAN983134:QAN983144 QKJ983134:QKJ983144 QUF983134:QUF983144 REB983134:REB983144 RNX983134:RNX983144 RXT983134:RXT983144 SHP983134:SHP983144 SRL983134:SRL983144 TBH983134:TBH983144 TLD983134:TLD983144 TUZ983134:TUZ983144 UEV983134:UEV983144 UOR983134:UOR983144 UYN983134:UYN983144 VIJ983134:VIJ983144 VSF983134:VSF983144 WCB983134:WCB983144 WLX983134:WLX983144 WVT983134:WVT983144 D61:D70 D65573:E65575 JH65573:JI65575 TD65573:TE65575 ACZ65573:ADA65575 AMV65573:AMW65575 AWR65573:AWS65575 BGN65573:BGO65575 BQJ65573:BQK65575 CAF65573:CAG65575 CKB65573:CKC65575 CTX65573:CTY65575 DDT65573:DDU65575 DNP65573:DNQ65575 DXL65573:DXM65575 EHH65573:EHI65575 ERD65573:ERE65575 FAZ65573:FBA65575 FKV65573:FKW65575 FUR65573:FUS65575 GEN65573:GEO65575 GOJ65573:GOK65575 GYF65573:GYG65575 HIB65573:HIC65575 HRX65573:HRY65575 IBT65573:IBU65575 ILP65573:ILQ65575 IVL65573:IVM65575 JFH65573:JFI65575 JPD65573:JPE65575 JYZ65573:JZA65575 KIV65573:KIW65575 KSR65573:KSS65575 LCN65573:LCO65575 LMJ65573:LMK65575 LWF65573:LWG65575 MGB65573:MGC65575 MPX65573:MPY65575 MZT65573:MZU65575 NJP65573:NJQ65575 NTL65573:NTM65575 ODH65573:ODI65575 OND65573:ONE65575 OWZ65573:OXA65575 PGV65573:PGW65575 PQR65573:PQS65575 QAN65573:QAO65575 QKJ65573:QKK65575 QUF65573:QUG65575 REB65573:REC65575 RNX65573:RNY65575 RXT65573:RXU65575 SHP65573:SHQ65575 SRL65573:SRM65575 TBH65573:TBI65575 TLD65573:TLE65575 TUZ65573:TVA65575 UEV65573:UEW65575 UOR65573:UOS65575 UYN65573:UYO65575 VIJ65573:VIK65575 VSF65573:VSG65575 WCB65573:WCC65575 WLX65573:WLY65575 WVT65573:WVU65575 D131109:E131111 JH131109:JI131111 TD131109:TE131111 ACZ131109:ADA131111 AMV131109:AMW131111 AWR131109:AWS131111 BGN131109:BGO131111 BQJ131109:BQK131111 CAF131109:CAG131111 CKB131109:CKC131111 CTX131109:CTY131111 DDT131109:DDU131111 DNP131109:DNQ131111 DXL131109:DXM131111 EHH131109:EHI131111 ERD131109:ERE131111 FAZ131109:FBA131111 FKV131109:FKW131111 FUR131109:FUS131111 GEN131109:GEO131111 GOJ131109:GOK131111 GYF131109:GYG131111 HIB131109:HIC131111 HRX131109:HRY131111 IBT131109:IBU131111 ILP131109:ILQ131111 IVL131109:IVM131111 JFH131109:JFI131111 JPD131109:JPE131111 JYZ131109:JZA131111 KIV131109:KIW131111 KSR131109:KSS131111 LCN131109:LCO131111 LMJ131109:LMK131111 LWF131109:LWG131111 MGB131109:MGC131111 MPX131109:MPY131111 MZT131109:MZU131111 NJP131109:NJQ131111 NTL131109:NTM131111 ODH131109:ODI131111 OND131109:ONE131111 OWZ131109:OXA131111 PGV131109:PGW131111 PQR131109:PQS131111 QAN131109:QAO131111 QKJ131109:QKK131111 QUF131109:QUG131111 REB131109:REC131111 RNX131109:RNY131111 RXT131109:RXU131111 SHP131109:SHQ131111 SRL131109:SRM131111 TBH131109:TBI131111 TLD131109:TLE131111 TUZ131109:TVA131111 UEV131109:UEW131111 UOR131109:UOS131111 UYN131109:UYO131111 VIJ131109:VIK131111 VSF131109:VSG131111 WCB131109:WCC131111 WLX131109:WLY131111 WVT131109:WVU131111 D196645:E196647 JH196645:JI196647 TD196645:TE196647 ACZ196645:ADA196647 AMV196645:AMW196647 AWR196645:AWS196647 BGN196645:BGO196647 BQJ196645:BQK196647 CAF196645:CAG196647 CKB196645:CKC196647 CTX196645:CTY196647 DDT196645:DDU196647 DNP196645:DNQ196647 DXL196645:DXM196647 EHH196645:EHI196647 ERD196645:ERE196647 FAZ196645:FBA196647 FKV196645:FKW196647 FUR196645:FUS196647 GEN196645:GEO196647 GOJ196645:GOK196647 GYF196645:GYG196647 HIB196645:HIC196647 HRX196645:HRY196647 IBT196645:IBU196647 ILP196645:ILQ196647 IVL196645:IVM196647 JFH196645:JFI196647 JPD196645:JPE196647 JYZ196645:JZA196647 KIV196645:KIW196647 KSR196645:KSS196647 LCN196645:LCO196647 LMJ196645:LMK196647 LWF196645:LWG196647 MGB196645:MGC196647 MPX196645:MPY196647 MZT196645:MZU196647 NJP196645:NJQ196647 NTL196645:NTM196647 ODH196645:ODI196647 OND196645:ONE196647 OWZ196645:OXA196647 PGV196645:PGW196647 PQR196645:PQS196647 QAN196645:QAO196647 QKJ196645:QKK196647 QUF196645:QUG196647 REB196645:REC196647 RNX196645:RNY196647 RXT196645:RXU196647 SHP196645:SHQ196647 SRL196645:SRM196647 TBH196645:TBI196647 TLD196645:TLE196647 TUZ196645:TVA196647 UEV196645:UEW196647 UOR196645:UOS196647 UYN196645:UYO196647 VIJ196645:VIK196647 VSF196645:VSG196647 WCB196645:WCC196647 WLX196645:WLY196647 WVT196645:WVU196647 D262181:E262183 JH262181:JI262183 TD262181:TE262183 ACZ262181:ADA262183 AMV262181:AMW262183 AWR262181:AWS262183 BGN262181:BGO262183 BQJ262181:BQK262183 CAF262181:CAG262183 CKB262181:CKC262183 CTX262181:CTY262183 DDT262181:DDU262183 DNP262181:DNQ262183 DXL262181:DXM262183 EHH262181:EHI262183 ERD262181:ERE262183 FAZ262181:FBA262183 FKV262181:FKW262183 FUR262181:FUS262183 GEN262181:GEO262183 GOJ262181:GOK262183 GYF262181:GYG262183 HIB262181:HIC262183 HRX262181:HRY262183 IBT262181:IBU262183 ILP262181:ILQ262183 IVL262181:IVM262183 JFH262181:JFI262183 JPD262181:JPE262183 JYZ262181:JZA262183 KIV262181:KIW262183 KSR262181:KSS262183 LCN262181:LCO262183 LMJ262181:LMK262183 LWF262181:LWG262183 MGB262181:MGC262183 MPX262181:MPY262183 MZT262181:MZU262183 NJP262181:NJQ262183 NTL262181:NTM262183 ODH262181:ODI262183 OND262181:ONE262183 OWZ262181:OXA262183 PGV262181:PGW262183 PQR262181:PQS262183 QAN262181:QAO262183 QKJ262181:QKK262183 QUF262181:QUG262183 REB262181:REC262183 RNX262181:RNY262183 RXT262181:RXU262183 SHP262181:SHQ262183 SRL262181:SRM262183 TBH262181:TBI262183 TLD262181:TLE262183 TUZ262181:TVA262183 UEV262181:UEW262183 UOR262181:UOS262183 UYN262181:UYO262183 VIJ262181:VIK262183 VSF262181:VSG262183 WCB262181:WCC262183 WLX262181:WLY262183 WVT262181:WVU262183 D327717:E327719 JH327717:JI327719 TD327717:TE327719 ACZ327717:ADA327719 AMV327717:AMW327719 AWR327717:AWS327719 BGN327717:BGO327719 BQJ327717:BQK327719 CAF327717:CAG327719 CKB327717:CKC327719 CTX327717:CTY327719 DDT327717:DDU327719 DNP327717:DNQ327719 DXL327717:DXM327719 EHH327717:EHI327719 ERD327717:ERE327719 FAZ327717:FBA327719 FKV327717:FKW327719 FUR327717:FUS327719 GEN327717:GEO327719 GOJ327717:GOK327719 GYF327717:GYG327719 HIB327717:HIC327719 HRX327717:HRY327719 IBT327717:IBU327719 ILP327717:ILQ327719 IVL327717:IVM327719 JFH327717:JFI327719 JPD327717:JPE327719 JYZ327717:JZA327719 KIV327717:KIW327719 KSR327717:KSS327719 LCN327717:LCO327719 LMJ327717:LMK327719 LWF327717:LWG327719 MGB327717:MGC327719 MPX327717:MPY327719 MZT327717:MZU327719 NJP327717:NJQ327719 NTL327717:NTM327719 ODH327717:ODI327719 OND327717:ONE327719 OWZ327717:OXA327719 PGV327717:PGW327719 PQR327717:PQS327719 QAN327717:QAO327719 QKJ327717:QKK327719 QUF327717:QUG327719 REB327717:REC327719 RNX327717:RNY327719 RXT327717:RXU327719 SHP327717:SHQ327719 SRL327717:SRM327719 TBH327717:TBI327719 TLD327717:TLE327719 TUZ327717:TVA327719 UEV327717:UEW327719 UOR327717:UOS327719 UYN327717:UYO327719 VIJ327717:VIK327719 VSF327717:VSG327719 WCB327717:WCC327719 WLX327717:WLY327719 WVT327717:WVU327719 D393253:E393255 JH393253:JI393255 TD393253:TE393255 ACZ393253:ADA393255 AMV393253:AMW393255 AWR393253:AWS393255 BGN393253:BGO393255 BQJ393253:BQK393255 CAF393253:CAG393255 CKB393253:CKC393255 CTX393253:CTY393255 DDT393253:DDU393255 DNP393253:DNQ393255 DXL393253:DXM393255 EHH393253:EHI393255 ERD393253:ERE393255 FAZ393253:FBA393255 FKV393253:FKW393255 FUR393253:FUS393255 GEN393253:GEO393255 GOJ393253:GOK393255 GYF393253:GYG393255 HIB393253:HIC393255 HRX393253:HRY393255 IBT393253:IBU393255 ILP393253:ILQ393255 IVL393253:IVM393255 JFH393253:JFI393255 JPD393253:JPE393255 JYZ393253:JZA393255 KIV393253:KIW393255 KSR393253:KSS393255 LCN393253:LCO393255 LMJ393253:LMK393255 LWF393253:LWG393255 MGB393253:MGC393255 MPX393253:MPY393255 MZT393253:MZU393255 NJP393253:NJQ393255 NTL393253:NTM393255 ODH393253:ODI393255 OND393253:ONE393255 OWZ393253:OXA393255 PGV393253:PGW393255 PQR393253:PQS393255 QAN393253:QAO393255 QKJ393253:QKK393255 QUF393253:QUG393255 REB393253:REC393255 RNX393253:RNY393255 RXT393253:RXU393255 SHP393253:SHQ393255 SRL393253:SRM393255 TBH393253:TBI393255 TLD393253:TLE393255 TUZ393253:TVA393255 UEV393253:UEW393255 UOR393253:UOS393255 UYN393253:UYO393255 VIJ393253:VIK393255 VSF393253:VSG393255 WCB393253:WCC393255 WLX393253:WLY393255 WVT393253:WVU393255 D458789:E458791 JH458789:JI458791 TD458789:TE458791 ACZ458789:ADA458791 AMV458789:AMW458791 AWR458789:AWS458791 BGN458789:BGO458791 BQJ458789:BQK458791 CAF458789:CAG458791 CKB458789:CKC458791 CTX458789:CTY458791 DDT458789:DDU458791 DNP458789:DNQ458791 DXL458789:DXM458791 EHH458789:EHI458791 ERD458789:ERE458791 FAZ458789:FBA458791 FKV458789:FKW458791 FUR458789:FUS458791 GEN458789:GEO458791 GOJ458789:GOK458791 GYF458789:GYG458791 HIB458789:HIC458791 HRX458789:HRY458791 IBT458789:IBU458791 ILP458789:ILQ458791 IVL458789:IVM458791 JFH458789:JFI458791 JPD458789:JPE458791 JYZ458789:JZA458791 KIV458789:KIW458791 KSR458789:KSS458791 LCN458789:LCO458791 LMJ458789:LMK458791 LWF458789:LWG458791 MGB458789:MGC458791 MPX458789:MPY458791 MZT458789:MZU458791 NJP458789:NJQ458791 NTL458789:NTM458791 ODH458789:ODI458791 OND458789:ONE458791 OWZ458789:OXA458791 PGV458789:PGW458791 PQR458789:PQS458791 QAN458789:QAO458791 QKJ458789:QKK458791 QUF458789:QUG458791 REB458789:REC458791 RNX458789:RNY458791 RXT458789:RXU458791 SHP458789:SHQ458791 SRL458789:SRM458791 TBH458789:TBI458791 TLD458789:TLE458791 TUZ458789:TVA458791 UEV458789:UEW458791 UOR458789:UOS458791 UYN458789:UYO458791 VIJ458789:VIK458791 VSF458789:VSG458791 WCB458789:WCC458791 WLX458789:WLY458791 WVT458789:WVU458791 D524325:E524327 JH524325:JI524327 TD524325:TE524327 ACZ524325:ADA524327 AMV524325:AMW524327 AWR524325:AWS524327 BGN524325:BGO524327 BQJ524325:BQK524327 CAF524325:CAG524327 CKB524325:CKC524327 CTX524325:CTY524327 DDT524325:DDU524327 DNP524325:DNQ524327 DXL524325:DXM524327 EHH524325:EHI524327 ERD524325:ERE524327 FAZ524325:FBA524327 FKV524325:FKW524327 FUR524325:FUS524327 GEN524325:GEO524327 GOJ524325:GOK524327 GYF524325:GYG524327 HIB524325:HIC524327 HRX524325:HRY524327 IBT524325:IBU524327 ILP524325:ILQ524327 IVL524325:IVM524327 JFH524325:JFI524327 JPD524325:JPE524327 JYZ524325:JZA524327 KIV524325:KIW524327 KSR524325:KSS524327 LCN524325:LCO524327 LMJ524325:LMK524327 LWF524325:LWG524327 MGB524325:MGC524327 MPX524325:MPY524327 MZT524325:MZU524327 NJP524325:NJQ524327 NTL524325:NTM524327 ODH524325:ODI524327 OND524325:ONE524327 OWZ524325:OXA524327 PGV524325:PGW524327 PQR524325:PQS524327 QAN524325:QAO524327 QKJ524325:QKK524327 QUF524325:QUG524327 REB524325:REC524327 RNX524325:RNY524327 RXT524325:RXU524327 SHP524325:SHQ524327 SRL524325:SRM524327 TBH524325:TBI524327 TLD524325:TLE524327 TUZ524325:TVA524327 UEV524325:UEW524327 UOR524325:UOS524327 UYN524325:UYO524327 VIJ524325:VIK524327 VSF524325:VSG524327 WCB524325:WCC524327 WLX524325:WLY524327 WVT524325:WVU524327 D589861:E589863 JH589861:JI589863 TD589861:TE589863 ACZ589861:ADA589863 AMV589861:AMW589863 AWR589861:AWS589863 BGN589861:BGO589863 BQJ589861:BQK589863 CAF589861:CAG589863 CKB589861:CKC589863 CTX589861:CTY589863 DDT589861:DDU589863 DNP589861:DNQ589863 DXL589861:DXM589863 EHH589861:EHI589863 ERD589861:ERE589863 FAZ589861:FBA589863 FKV589861:FKW589863 FUR589861:FUS589863 GEN589861:GEO589863 GOJ589861:GOK589863 GYF589861:GYG589863 HIB589861:HIC589863 HRX589861:HRY589863 IBT589861:IBU589863 ILP589861:ILQ589863 IVL589861:IVM589863 JFH589861:JFI589863 JPD589861:JPE589863 JYZ589861:JZA589863 KIV589861:KIW589863 KSR589861:KSS589863 LCN589861:LCO589863 LMJ589861:LMK589863 LWF589861:LWG589863 MGB589861:MGC589863 MPX589861:MPY589863 MZT589861:MZU589863 NJP589861:NJQ589863 NTL589861:NTM589863 ODH589861:ODI589863 OND589861:ONE589863 OWZ589861:OXA589863 PGV589861:PGW589863 PQR589861:PQS589863 QAN589861:QAO589863 QKJ589861:QKK589863 QUF589861:QUG589863 REB589861:REC589863 RNX589861:RNY589863 RXT589861:RXU589863 SHP589861:SHQ589863 SRL589861:SRM589863 TBH589861:TBI589863 TLD589861:TLE589863 TUZ589861:TVA589863 UEV589861:UEW589863 UOR589861:UOS589863 UYN589861:UYO589863 VIJ589861:VIK589863 VSF589861:VSG589863 WCB589861:WCC589863 WLX589861:WLY589863 WVT589861:WVU589863 D655397:E655399 JH655397:JI655399 TD655397:TE655399 ACZ655397:ADA655399 AMV655397:AMW655399 AWR655397:AWS655399 BGN655397:BGO655399 BQJ655397:BQK655399 CAF655397:CAG655399 CKB655397:CKC655399 CTX655397:CTY655399 DDT655397:DDU655399 DNP655397:DNQ655399 DXL655397:DXM655399 EHH655397:EHI655399 ERD655397:ERE655399 FAZ655397:FBA655399 FKV655397:FKW655399 FUR655397:FUS655399 GEN655397:GEO655399 GOJ655397:GOK655399 GYF655397:GYG655399 HIB655397:HIC655399 HRX655397:HRY655399 IBT655397:IBU655399 ILP655397:ILQ655399 IVL655397:IVM655399 JFH655397:JFI655399 JPD655397:JPE655399 JYZ655397:JZA655399 KIV655397:KIW655399 KSR655397:KSS655399 LCN655397:LCO655399 LMJ655397:LMK655399 LWF655397:LWG655399 MGB655397:MGC655399 MPX655397:MPY655399 MZT655397:MZU655399 NJP655397:NJQ655399 NTL655397:NTM655399 ODH655397:ODI655399 OND655397:ONE655399 OWZ655397:OXA655399 PGV655397:PGW655399 PQR655397:PQS655399 QAN655397:QAO655399 QKJ655397:QKK655399 QUF655397:QUG655399 REB655397:REC655399 RNX655397:RNY655399 RXT655397:RXU655399 SHP655397:SHQ655399 SRL655397:SRM655399 TBH655397:TBI655399 TLD655397:TLE655399 TUZ655397:TVA655399 UEV655397:UEW655399 UOR655397:UOS655399 UYN655397:UYO655399 VIJ655397:VIK655399 VSF655397:VSG655399 WCB655397:WCC655399 WLX655397:WLY655399 WVT655397:WVU655399 D720933:E720935 JH720933:JI720935 TD720933:TE720935 ACZ720933:ADA720935 AMV720933:AMW720935 AWR720933:AWS720935 BGN720933:BGO720935 BQJ720933:BQK720935 CAF720933:CAG720935 CKB720933:CKC720935 CTX720933:CTY720935 DDT720933:DDU720935 DNP720933:DNQ720935 DXL720933:DXM720935 EHH720933:EHI720935 ERD720933:ERE720935 FAZ720933:FBA720935 FKV720933:FKW720935 FUR720933:FUS720935 GEN720933:GEO720935 GOJ720933:GOK720935 GYF720933:GYG720935 HIB720933:HIC720935 HRX720933:HRY720935 IBT720933:IBU720935 ILP720933:ILQ720935 IVL720933:IVM720935 JFH720933:JFI720935 JPD720933:JPE720935 JYZ720933:JZA720935 KIV720933:KIW720935 KSR720933:KSS720935 LCN720933:LCO720935 LMJ720933:LMK720935 LWF720933:LWG720935 MGB720933:MGC720935 MPX720933:MPY720935 MZT720933:MZU720935 NJP720933:NJQ720935 NTL720933:NTM720935 ODH720933:ODI720935 OND720933:ONE720935 OWZ720933:OXA720935 PGV720933:PGW720935 PQR720933:PQS720935 QAN720933:QAO720935 QKJ720933:QKK720935 QUF720933:QUG720935 REB720933:REC720935 RNX720933:RNY720935 RXT720933:RXU720935 SHP720933:SHQ720935 SRL720933:SRM720935 TBH720933:TBI720935 TLD720933:TLE720935 TUZ720933:TVA720935 UEV720933:UEW720935 UOR720933:UOS720935 UYN720933:UYO720935 VIJ720933:VIK720935 VSF720933:VSG720935 WCB720933:WCC720935 WLX720933:WLY720935 WVT720933:WVU720935 D786469:E786471 JH786469:JI786471 TD786469:TE786471 ACZ786469:ADA786471 AMV786469:AMW786471 AWR786469:AWS786471 BGN786469:BGO786471 BQJ786469:BQK786471 CAF786469:CAG786471 CKB786469:CKC786471 CTX786469:CTY786471 DDT786469:DDU786471 DNP786469:DNQ786471 DXL786469:DXM786471 EHH786469:EHI786471 ERD786469:ERE786471 FAZ786469:FBA786471 FKV786469:FKW786471 FUR786469:FUS786471 GEN786469:GEO786471 GOJ786469:GOK786471 GYF786469:GYG786471 HIB786469:HIC786471 HRX786469:HRY786471 IBT786469:IBU786471 ILP786469:ILQ786471 IVL786469:IVM786471 JFH786469:JFI786471 JPD786469:JPE786471 JYZ786469:JZA786471 KIV786469:KIW786471 KSR786469:KSS786471 LCN786469:LCO786471 LMJ786469:LMK786471 LWF786469:LWG786471 MGB786469:MGC786471 MPX786469:MPY786471 MZT786469:MZU786471 NJP786469:NJQ786471 NTL786469:NTM786471 ODH786469:ODI786471 OND786469:ONE786471 OWZ786469:OXA786471 PGV786469:PGW786471 PQR786469:PQS786471 QAN786469:QAO786471 QKJ786469:QKK786471 QUF786469:QUG786471 REB786469:REC786471 RNX786469:RNY786471 RXT786469:RXU786471 SHP786469:SHQ786471 SRL786469:SRM786471 TBH786469:TBI786471 TLD786469:TLE786471 TUZ786469:TVA786471 UEV786469:UEW786471 UOR786469:UOS786471 UYN786469:UYO786471 VIJ786469:VIK786471 VSF786469:VSG786471 WCB786469:WCC786471 WLX786469:WLY786471 WVT786469:WVU786471 D852005:E852007 JH852005:JI852007 TD852005:TE852007 ACZ852005:ADA852007 AMV852005:AMW852007 AWR852005:AWS852007 BGN852005:BGO852007 BQJ852005:BQK852007 CAF852005:CAG852007 CKB852005:CKC852007 CTX852005:CTY852007 DDT852005:DDU852007 DNP852005:DNQ852007 DXL852005:DXM852007 EHH852005:EHI852007 ERD852005:ERE852007 FAZ852005:FBA852007 FKV852005:FKW852007 FUR852005:FUS852007 GEN852005:GEO852007 GOJ852005:GOK852007 GYF852005:GYG852007 HIB852005:HIC852007 HRX852005:HRY852007 IBT852005:IBU852007 ILP852005:ILQ852007 IVL852005:IVM852007 JFH852005:JFI852007 JPD852005:JPE852007 JYZ852005:JZA852007 KIV852005:KIW852007 KSR852005:KSS852007 LCN852005:LCO852007 LMJ852005:LMK852007 LWF852005:LWG852007 MGB852005:MGC852007 MPX852005:MPY852007 MZT852005:MZU852007 NJP852005:NJQ852007 NTL852005:NTM852007 ODH852005:ODI852007 OND852005:ONE852007 OWZ852005:OXA852007 PGV852005:PGW852007 PQR852005:PQS852007 QAN852005:QAO852007 QKJ852005:QKK852007 QUF852005:QUG852007 REB852005:REC852007 RNX852005:RNY852007 RXT852005:RXU852007 SHP852005:SHQ852007 SRL852005:SRM852007 TBH852005:TBI852007 TLD852005:TLE852007 TUZ852005:TVA852007 UEV852005:UEW852007 UOR852005:UOS852007 UYN852005:UYO852007 VIJ852005:VIK852007 VSF852005:VSG852007 WCB852005:WCC852007 WLX852005:WLY852007 WVT852005:WVU852007 D917541:E917543 JH917541:JI917543 TD917541:TE917543 ACZ917541:ADA917543 AMV917541:AMW917543 AWR917541:AWS917543 BGN917541:BGO917543 BQJ917541:BQK917543 CAF917541:CAG917543 CKB917541:CKC917543 CTX917541:CTY917543 DDT917541:DDU917543 DNP917541:DNQ917543 DXL917541:DXM917543 EHH917541:EHI917543 ERD917541:ERE917543 FAZ917541:FBA917543 FKV917541:FKW917543 FUR917541:FUS917543 GEN917541:GEO917543 GOJ917541:GOK917543 GYF917541:GYG917543 HIB917541:HIC917543 HRX917541:HRY917543 IBT917541:IBU917543 ILP917541:ILQ917543 IVL917541:IVM917543 JFH917541:JFI917543 JPD917541:JPE917543 JYZ917541:JZA917543 KIV917541:KIW917543 KSR917541:KSS917543 LCN917541:LCO917543 LMJ917541:LMK917543 LWF917541:LWG917543 MGB917541:MGC917543 MPX917541:MPY917543 MZT917541:MZU917543 NJP917541:NJQ917543 NTL917541:NTM917543 ODH917541:ODI917543 OND917541:ONE917543 OWZ917541:OXA917543 PGV917541:PGW917543 PQR917541:PQS917543 QAN917541:QAO917543 QKJ917541:QKK917543 QUF917541:QUG917543 REB917541:REC917543 RNX917541:RNY917543 RXT917541:RXU917543 SHP917541:SHQ917543 SRL917541:SRM917543 TBH917541:TBI917543 TLD917541:TLE917543 TUZ917541:TVA917543 UEV917541:UEW917543 UOR917541:UOS917543 UYN917541:UYO917543 VIJ917541:VIK917543 VSF917541:VSG917543 WCB917541:WCC917543 WLX917541:WLY917543 WVT917541:WVU917543 D983077:E983079 JH983077:JI983079 TD983077:TE983079 ACZ983077:ADA983079 AMV983077:AMW983079 AWR983077:AWS983079 BGN983077:BGO983079 BQJ983077:BQK983079 CAF983077:CAG983079 CKB983077:CKC983079 CTX983077:CTY983079 DDT983077:DDU983079 DNP983077:DNQ983079 DXL983077:DXM983079 EHH983077:EHI983079 ERD983077:ERE983079 FAZ983077:FBA983079 FKV983077:FKW983079 FUR983077:FUS983079 GEN983077:GEO983079 GOJ983077:GOK983079 GYF983077:GYG983079 HIB983077:HIC983079 HRX983077:HRY983079 IBT983077:IBU983079 ILP983077:ILQ983079 IVL983077:IVM983079 JFH983077:JFI983079 JPD983077:JPE983079 JYZ983077:JZA983079 KIV983077:KIW983079 KSR983077:KSS983079 LCN983077:LCO983079 LMJ983077:LMK983079 LWF983077:LWG983079 MGB983077:MGC983079 MPX983077:MPY983079 MZT983077:MZU983079 NJP983077:NJQ983079 NTL983077:NTM983079 ODH983077:ODI983079 OND983077:ONE983079 OWZ983077:OXA983079 PGV983077:PGW983079 PQR983077:PQS983079 QAN983077:QAO983079 QKJ983077:QKK983079 QUF983077:QUG983079 REB983077:REC983079 RNX983077:RNY983079 RXT983077:RXU983079 SHP983077:SHQ983079 SRL983077:SRM983079 TBH983077:TBI983079 TLD983077:TLE983079 TUZ983077:TVA983079 UEV983077:UEW983079 UOR983077:UOS983079 UYN983077:UYO983079 VIJ983077:VIK983079 VSF983077:VSG983079 WCB983077:WCC983079 WLX983077:WLY983079 WVT983077:WVU983079 D37:D53 JH37:JH53 TD37:TD53 ACZ37:ACZ53 AMV37:AMV53 AWR37:AWR53 BGN37:BGN53 BQJ37:BQJ53 CAF37:CAF53 CKB37:CKB53 CTX37:CTX53 DDT37:DDT53 DNP37:DNP53 DXL37:DXL53 EHH37:EHH53 ERD37:ERD53 FAZ37:FAZ53 FKV37:FKV53 FUR37:FUR53 GEN37:GEN53 GOJ37:GOJ53 GYF37:GYF53 HIB37:HIB53 HRX37:HRX53 IBT37:IBT53 ILP37:ILP53 IVL37:IVL53 JFH37:JFH53 JPD37:JPD53 JYZ37:JYZ53 KIV37:KIV53 KSR37:KSR53 LCN37:LCN53 LMJ37:LMJ53 LWF37:LWF53 MGB37:MGB53 MPX37:MPX53 MZT37:MZT53 NJP37:NJP53 NTL37:NTL53 ODH37:ODH53 OND37:OND53 OWZ37:OWZ53 PGV37:PGV53 PQR37:PQR53 QAN37:QAN53 QKJ37:QKJ53 QUF37:QUF53 REB37:REB53 RNX37:RNX53 RXT37:RXT53 SHP37:SHP53 SRL37:SRL53 TBH37:TBH53 TLD37:TLD53 TUZ37:TUZ53 UEV37:UEV53 UOR37:UOR53 UYN37:UYN53 VIJ37:VIJ53 VSF37:VSF53 WCB37:WCB53 WLX37:WLX53 WVT37:WVT53 D65576:D65592 JH65576:JH65592 TD65576:TD65592 ACZ65576:ACZ65592 AMV65576:AMV65592 AWR65576:AWR65592 BGN65576:BGN65592 BQJ65576:BQJ65592 CAF65576:CAF65592 CKB65576:CKB65592 CTX65576:CTX65592 DDT65576:DDT65592 DNP65576:DNP65592 DXL65576:DXL65592 EHH65576:EHH65592 ERD65576:ERD65592 FAZ65576:FAZ65592 FKV65576:FKV65592 FUR65576:FUR65592 GEN65576:GEN65592 GOJ65576:GOJ65592 GYF65576:GYF65592 HIB65576:HIB65592 HRX65576:HRX65592 IBT65576:IBT65592 ILP65576:ILP65592 IVL65576:IVL65592 JFH65576:JFH65592 JPD65576:JPD65592 JYZ65576:JYZ65592 KIV65576:KIV65592 KSR65576:KSR65592 LCN65576:LCN65592 LMJ65576:LMJ65592 LWF65576:LWF65592 MGB65576:MGB65592 MPX65576:MPX65592 MZT65576:MZT65592 NJP65576:NJP65592 NTL65576:NTL65592 ODH65576:ODH65592 OND65576:OND65592 OWZ65576:OWZ65592 PGV65576:PGV65592 PQR65576:PQR65592 QAN65576:QAN65592 QKJ65576:QKJ65592 QUF65576:QUF65592 REB65576:REB65592 RNX65576:RNX65592 RXT65576:RXT65592 SHP65576:SHP65592 SRL65576:SRL65592 TBH65576:TBH65592 TLD65576:TLD65592 TUZ65576:TUZ65592 UEV65576:UEV65592 UOR65576:UOR65592 UYN65576:UYN65592 VIJ65576:VIJ65592 VSF65576:VSF65592 WCB65576:WCB65592 WLX65576:WLX65592 WVT65576:WVT65592 D131112:D131128 JH131112:JH131128 TD131112:TD131128 ACZ131112:ACZ131128 AMV131112:AMV131128 AWR131112:AWR131128 BGN131112:BGN131128 BQJ131112:BQJ131128 CAF131112:CAF131128 CKB131112:CKB131128 CTX131112:CTX131128 DDT131112:DDT131128 DNP131112:DNP131128 DXL131112:DXL131128 EHH131112:EHH131128 ERD131112:ERD131128 FAZ131112:FAZ131128 FKV131112:FKV131128 FUR131112:FUR131128 GEN131112:GEN131128 GOJ131112:GOJ131128 GYF131112:GYF131128 HIB131112:HIB131128 HRX131112:HRX131128 IBT131112:IBT131128 ILP131112:ILP131128 IVL131112:IVL131128 JFH131112:JFH131128 JPD131112:JPD131128 JYZ131112:JYZ131128 KIV131112:KIV131128 KSR131112:KSR131128 LCN131112:LCN131128 LMJ131112:LMJ131128 LWF131112:LWF131128 MGB131112:MGB131128 MPX131112:MPX131128 MZT131112:MZT131128 NJP131112:NJP131128 NTL131112:NTL131128 ODH131112:ODH131128 OND131112:OND131128 OWZ131112:OWZ131128 PGV131112:PGV131128 PQR131112:PQR131128 QAN131112:QAN131128 QKJ131112:QKJ131128 QUF131112:QUF131128 REB131112:REB131128 RNX131112:RNX131128 RXT131112:RXT131128 SHP131112:SHP131128 SRL131112:SRL131128 TBH131112:TBH131128 TLD131112:TLD131128 TUZ131112:TUZ131128 UEV131112:UEV131128 UOR131112:UOR131128 UYN131112:UYN131128 VIJ131112:VIJ131128 VSF131112:VSF131128 WCB131112:WCB131128 WLX131112:WLX131128 WVT131112:WVT131128 D196648:D196664 JH196648:JH196664 TD196648:TD196664 ACZ196648:ACZ196664 AMV196648:AMV196664 AWR196648:AWR196664 BGN196648:BGN196664 BQJ196648:BQJ196664 CAF196648:CAF196664 CKB196648:CKB196664 CTX196648:CTX196664 DDT196648:DDT196664 DNP196648:DNP196664 DXL196648:DXL196664 EHH196648:EHH196664 ERD196648:ERD196664 FAZ196648:FAZ196664 FKV196648:FKV196664 FUR196648:FUR196664 GEN196648:GEN196664 GOJ196648:GOJ196664 GYF196648:GYF196664 HIB196648:HIB196664 HRX196648:HRX196664 IBT196648:IBT196664 ILP196648:ILP196664 IVL196648:IVL196664 JFH196648:JFH196664 JPD196648:JPD196664 JYZ196648:JYZ196664 KIV196648:KIV196664 KSR196648:KSR196664 LCN196648:LCN196664 LMJ196648:LMJ196664 LWF196648:LWF196664 MGB196648:MGB196664 MPX196648:MPX196664 MZT196648:MZT196664 NJP196648:NJP196664 NTL196648:NTL196664 ODH196648:ODH196664 OND196648:OND196664 OWZ196648:OWZ196664 PGV196648:PGV196664 PQR196648:PQR196664 QAN196648:QAN196664 QKJ196648:QKJ196664 QUF196648:QUF196664 REB196648:REB196664 RNX196648:RNX196664 RXT196648:RXT196664 SHP196648:SHP196664 SRL196648:SRL196664 TBH196648:TBH196664 TLD196648:TLD196664 TUZ196648:TUZ196664 UEV196648:UEV196664 UOR196648:UOR196664 UYN196648:UYN196664 VIJ196648:VIJ196664 VSF196648:VSF196664 WCB196648:WCB196664 WLX196648:WLX196664 WVT196648:WVT196664 D262184:D262200 JH262184:JH262200 TD262184:TD262200 ACZ262184:ACZ262200 AMV262184:AMV262200 AWR262184:AWR262200 BGN262184:BGN262200 BQJ262184:BQJ262200 CAF262184:CAF262200 CKB262184:CKB262200 CTX262184:CTX262200 DDT262184:DDT262200 DNP262184:DNP262200 DXL262184:DXL262200 EHH262184:EHH262200 ERD262184:ERD262200 FAZ262184:FAZ262200 FKV262184:FKV262200 FUR262184:FUR262200 GEN262184:GEN262200 GOJ262184:GOJ262200 GYF262184:GYF262200 HIB262184:HIB262200 HRX262184:HRX262200 IBT262184:IBT262200 ILP262184:ILP262200 IVL262184:IVL262200 JFH262184:JFH262200 JPD262184:JPD262200 JYZ262184:JYZ262200 KIV262184:KIV262200 KSR262184:KSR262200 LCN262184:LCN262200 LMJ262184:LMJ262200 LWF262184:LWF262200 MGB262184:MGB262200 MPX262184:MPX262200 MZT262184:MZT262200 NJP262184:NJP262200 NTL262184:NTL262200 ODH262184:ODH262200 OND262184:OND262200 OWZ262184:OWZ262200 PGV262184:PGV262200 PQR262184:PQR262200 QAN262184:QAN262200 QKJ262184:QKJ262200 QUF262184:QUF262200 REB262184:REB262200 RNX262184:RNX262200 RXT262184:RXT262200 SHP262184:SHP262200 SRL262184:SRL262200 TBH262184:TBH262200 TLD262184:TLD262200 TUZ262184:TUZ262200 UEV262184:UEV262200 UOR262184:UOR262200 UYN262184:UYN262200 VIJ262184:VIJ262200 VSF262184:VSF262200 WCB262184:WCB262200 WLX262184:WLX262200 WVT262184:WVT262200 D327720:D327736 JH327720:JH327736 TD327720:TD327736 ACZ327720:ACZ327736 AMV327720:AMV327736 AWR327720:AWR327736 BGN327720:BGN327736 BQJ327720:BQJ327736 CAF327720:CAF327736 CKB327720:CKB327736 CTX327720:CTX327736 DDT327720:DDT327736 DNP327720:DNP327736 DXL327720:DXL327736 EHH327720:EHH327736 ERD327720:ERD327736 FAZ327720:FAZ327736 FKV327720:FKV327736 FUR327720:FUR327736 GEN327720:GEN327736 GOJ327720:GOJ327736 GYF327720:GYF327736 HIB327720:HIB327736 HRX327720:HRX327736 IBT327720:IBT327736 ILP327720:ILP327736 IVL327720:IVL327736 JFH327720:JFH327736 JPD327720:JPD327736 JYZ327720:JYZ327736 KIV327720:KIV327736 KSR327720:KSR327736 LCN327720:LCN327736 LMJ327720:LMJ327736 LWF327720:LWF327736 MGB327720:MGB327736 MPX327720:MPX327736 MZT327720:MZT327736 NJP327720:NJP327736 NTL327720:NTL327736 ODH327720:ODH327736 OND327720:OND327736 OWZ327720:OWZ327736 PGV327720:PGV327736 PQR327720:PQR327736 QAN327720:QAN327736 QKJ327720:QKJ327736 QUF327720:QUF327736 REB327720:REB327736 RNX327720:RNX327736 RXT327720:RXT327736 SHP327720:SHP327736 SRL327720:SRL327736 TBH327720:TBH327736 TLD327720:TLD327736 TUZ327720:TUZ327736 UEV327720:UEV327736 UOR327720:UOR327736 UYN327720:UYN327736 VIJ327720:VIJ327736 VSF327720:VSF327736 WCB327720:WCB327736 WLX327720:WLX327736 WVT327720:WVT327736 D393256:D393272 JH393256:JH393272 TD393256:TD393272 ACZ393256:ACZ393272 AMV393256:AMV393272 AWR393256:AWR393272 BGN393256:BGN393272 BQJ393256:BQJ393272 CAF393256:CAF393272 CKB393256:CKB393272 CTX393256:CTX393272 DDT393256:DDT393272 DNP393256:DNP393272 DXL393256:DXL393272 EHH393256:EHH393272 ERD393256:ERD393272 FAZ393256:FAZ393272 FKV393256:FKV393272 FUR393256:FUR393272 GEN393256:GEN393272 GOJ393256:GOJ393272 GYF393256:GYF393272 HIB393256:HIB393272 HRX393256:HRX393272 IBT393256:IBT393272 ILP393256:ILP393272 IVL393256:IVL393272 JFH393256:JFH393272 JPD393256:JPD393272 JYZ393256:JYZ393272 KIV393256:KIV393272 KSR393256:KSR393272 LCN393256:LCN393272 LMJ393256:LMJ393272 LWF393256:LWF393272 MGB393256:MGB393272 MPX393256:MPX393272 MZT393256:MZT393272 NJP393256:NJP393272 NTL393256:NTL393272 ODH393256:ODH393272 OND393256:OND393272 OWZ393256:OWZ393272 PGV393256:PGV393272 PQR393256:PQR393272 QAN393256:QAN393272 QKJ393256:QKJ393272 QUF393256:QUF393272 REB393256:REB393272 RNX393256:RNX393272 RXT393256:RXT393272 SHP393256:SHP393272 SRL393256:SRL393272 TBH393256:TBH393272 TLD393256:TLD393272 TUZ393256:TUZ393272 UEV393256:UEV393272 UOR393256:UOR393272 UYN393256:UYN393272 VIJ393256:VIJ393272 VSF393256:VSF393272 WCB393256:WCB393272 WLX393256:WLX393272 WVT393256:WVT393272 D458792:D458808 JH458792:JH458808 TD458792:TD458808 ACZ458792:ACZ458808 AMV458792:AMV458808 AWR458792:AWR458808 BGN458792:BGN458808 BQJ458792:BQJ458808 CAF458792:CAF458808 CKB458792:CKB458808 CTX458792:CTX458808 DDT458792:DDT458808 DNP458792:DNP458808 DXL458792:DXL458808 EHH458792:EHH458808 ERD458792:ERD458808 FAZ458792:FAZ458808 FKV458792:FKV458808 FUR458792:FUR458808 GEN458792:GEN458808 GOJ458792:GOJ458808 GYF458792:GYF458808 HIB458792:HIB458808 HRX458792:HRX458808 IBT458792:IBT458808 ILP458792:ILP458808 IVL458792:IVL458808 JFH458792:JFH458808 JPD458792:JPD458808 JYZ458792:JYZ458808 KIV458792:KIV458808 KSR458792:KSR458808 LCN458792:LCN458808 LMJ458792:LMJ458808 LWF458792:LWF458808 MGB458792:MGB458808 MPX458792:MPX458808 MZT458792:MZT458808 NJP458792:NJP458808 NTL458792:NTL458808 ODH458792:ODH458808 OND458792:OND458808 OWZ458792:OWZ458808 PGV458792:PGV458808 PQR458792:PQR458808 QAN458792:QAN458808 QKJ458792:QKJ458808 QUF458792:QUF458808 REB458792:REB458808 RNX458792:RNX458808 RXT458792:RXT458808 SHP458792:SHP458808 SRL458792:SRL458808 TBH458792:TBH458808 TLD458792:TLD458808 TUZ458792:TUZ458808 UEV458792:UEV458808 UOR458792:UOR458808 UYN458792:UYN458808 VIJ458792:VIJ458808 VSF458792:VSF458808 WCB458792:WCB458808 WLX458792:WLX458808 WVT458792:WVT458808 D524328:D524344 JH524328:JH524344 TD524328:TD524344 ACZ524328:ACZ524344 AMV524328:AMV524344 AWR524328:AWR524344 BGN524328:BGN524344 BQJ524328:BQJ524344 CAF524328:CAF524344 CKB524328:CKB524344 CTX524328:CTX524344 DDT524328:DDT524344 DNP524328:DNP524344 DXL524328:DXL524344 EHH524328:EHH524344 ERD524328:ERD524344 FAZ524328:FAZ524344 FKV524328:FKV524344 FUR524328:FUR524344 GEN524328:GEN524344 GOJ524328:GOJ524344 GYF524328:GYF524344 HIB524328:HIB524344 HRX524328:HRX524344 IBT524328:IBT524344 ILP524328:ILP524344 IVL524328:IVL524344 JFH524328:JFH524344 JPD524328:JPD524344 JYZ524328:JYZ524344 KIV524328:KIV524344 KSR524328:KSR524344 LCN524328:LCN524344 LMJ524328:LMJ524344 LWF524328:LWF524344 MGB524328:MGB524344 MPX524328:MPX524344 MZT524328:MZT524344 NJP524328:NJP524344 NTL524328:NTL524344 ODH524328:ODH524344 OND524328:OND524344 OWZ524328:OWZ524344 PGV524328:PGV524344 PQR524328:PQR524344 QAN524328:QAN524344 QKJ524328:QKJ524344 QUF524328:QUF524344 REB524328:REB524344 RNX524328:RNX524344 RXT524328:RXT524344 SHP524328:SHP524344 SRL524328:SRL524344 TBH524328:TBH524344 TLD524328:TLD524344 TUZ524328:TUZ524344 UEV524328:UEV524344 UOR524328:UOR524344 UYN524328:UYN524344 VIJ524328:VIJ524344 VSF524328:VSF524344 WCB524328:WCB524344 WLX524328:WLX524344 WVT524328:WVT524344 D589864:D589880 JH589864:JH589880 TD589864:TD589880 ACZ589864:ACZ589880 AMV589864:AMV589880 AWR589864:AWR589880 BGN589864:BGN589880 BQJ589864:BQJ589880 CAF589864:CAF589880 CKB589864:CKB589880 CTX589864:CTX589880 DDT589864:DDT589880 DNP589864:DNP589880 DXL589864:DXL589880 EHH589864:EHH589880 ERD589864:ERD589880 FAZ589864:FAZ589880 FKV589864:FKV589880 FUR589864:FUR589880 GEN589864:GEN589880 GOJ589864:GOJ589880 GYF589864:GYF589880 HIB589864:HIB589880 HRX589864:HRX589880 IBT589864:IBT589880 ILP589864:ILP589880 IVL589864:IVL589880 JFH589864:JFH589880 JPD589864:JPD589880 JYZ589864:JYZ589880 KIV589864:KIV589880 KSR589864:KSR589880 LCN589864:LCN589880 LMJ589864:LMJ589880 LWF589864:LWF589880 MGB589864:MGB589880 MPX589864:MPX589880 MZT589864:MZT589880 NJP589864:NJP589880 NTL589864:NTL589880 ODH589864:ODH589880 OND589864:OND589880 OWZ589864:OWZ589880 PGV589864:PGV589880 PQR589864:PQR589880 QAN589864:QAN589880 QKJ589864:QKJ589880 QUF589864:QUF589880 REB589864:REB589880 RNX589864:RNX589880 RXT589864:RXT589880 SHP589864:SHP589880 SRL589864:SRL589880 TBH589864:TBH589880 TLD589864:TLD589880 TUZ589864:TUZ589880 UEV589864:UEV589880 UOR589864:UOR589880 UYN589864:UYN589880 VIJ589864:VIJ589880 VSF589864:VSF589880 WCB589864:WCB589880 WLX589864:WLX589880 WVT589864:WVT589880 D655400:D655416 JH655400:JH655416 TD655400:TD655416 ACZ655400:ACZ655416 AMV655400:AMV655416 AWR655400:AWR655416 BGN655400:BGN655416 BQJ655400:BQJ655416 CAF655400:CAF655416 CKB655400:CKB655416 CTX655400:CTX655416 DDT655400:DDT655416 DNP655400:DNP655416 DXL655400:DXL655416 EHH655400:EHH655416 ERD655400:ERD655416 FAZ655400:FAZ655416 FKV655400:FKV655416 FUR655400:FUR655416 GEN655400:GEN655416 GOJ655400:GOJ655416 GYF655400:GYF655416 HIB655400:HIB655416 HRX655400:HRX655416 IBT655400:IBT655416 ILP655400:ILP655416 IVL655400:IVL655416 JFH655400:JFH655416 JPD655400:JPD655416 JYZ655400:JYZ655416 KIV655400:KIV655416 KSR655400:KSR655416 LCN655400:LCN655416 LMJ655400:LMJ655416 LWF655400:LWF655416 MGB655400:MGB655416 MPX655400:MPX655416 MZT655400:MZT655416 NJP655400:NJP655416 NTL655400:NTL655416 ODH655400:ODH655416 OND655400:OND655416 OWZ655400:OWZ655416 PGV655400:PGV655416 PQR655400:PQR655416 QAN655400:QAN655416 QKJ655400:QKJ655416 QUF655400:QUF655416 REB655400:REB655416 RNX655400:RNX655416 RXT655400:RXT655416 SHP655400:SHP655416 SRL655400:SRL655416 TBH655400:TBH655416 TLD655400:TLD655416 TUZ655400:TUZ655416 UEV655400:UEV655416 UOR655400:UOR655416 UYN655400:UYN655416 VIJ655400:VIJ655416 VSF655400:VSF655416 WCB655400:WCB655416 WLX655400:WLX655416 WVT655400:WVT655416 D720936:D720952 JH720936:JH720952 TD720936:TD720952 ACZ720936:ACZ720952 AMV720936:AMV720952 AWR720936:AWR720952 BGN720936:BGN720952 BQJ720936:BQJ720952 CAF720936:CAF720952 CKB720936:CKB720952 CTX720936:CTX720952 DDT720936:DDT720952 DNP720936:DNP720952 DXL720936:DXL720952 EHH720936:EHH720952 ERD720936:ERD720952 FAZ720936:FAZ720952 FKV720936:FKV720952 FUR720936:FUR720952 GEN720936:GEN720952 GOJ720936:GOJ720952 GYF720936:GYF720952 HIB720936:HIB720952 HRX720936:HRX720952 IBT720936:IBT720952 ILP720936:ILP720952 IVL720936:IVL720952 JFH720936:JFH720952 JPD720936:JPD720952 JYZ720936:JYZ720952 KIV720936:KIV720952 KSR720936:KSR720952 LCN720936:LCN720952 LMJ720936:LMJ720952 LWF720936:LWF720952 MGB720936:MGB720952 MPX720936:MPX720952 MZT720936:MZT720952 NJP720936:NJP720952 NTL720936:NTL720952 ODH720936:ODH720952 OND720936:OND720952 OWZ720936:OWZ720952 PGV720936:PGV720952 PQR720936:PQR720952 QAN720936:QAN720952 QKJ720936:QKJ720952 QUF720936:QUF720952 REB720936:REB720952 RNX720936:RNX720952 RXT720936:RXT720952 SHP720936:SHP720952 SRL720936:SRL720952 TBH720936:TBH720952 TLD720936:TLD720952 TUZ720936:TUZ720952 UEV720936:UEV720952 UOR720936:UOR720952 UYN720936:UYN720952 VIJ720936:VIJ720952 VSF720936:VSF720952 WCB720936:WCB720952 WLX720936:WLX720952 WVT720936:WVT720952 D786472:D786488 JH786472:JH786488 TD786472:TD786488 ACZ786472:ACZ786488 AMV786472:AMV786488 AWR786472:AWR786488 BGN786472:BGN786488 BQJ786472:BQJ786488 CAF786472:CAF786488 CKB786472:CKB786488 CTX786472:CTX786488 DDT786472:DDT786488 DNP786472:DNP786488 DXL786472:DXL786488 EHH786472:EHH786488 ERD786472:ERD786488 FAZ786472:FAZ786488 FKV786472:FKV786488 FUR786472:FUR786488 GEN786472:GEN786488 GOJ786472:GOJ786488 GYF786472:GYF786488 HIB786472:HIB786488 HRX786472:HRX786488 IBT786472:IBT786488 ILP786472:ILP786488 IVL786472:IVL786488 JFH786472:JFH786488 JPD786472:JPD786488 JYZ786472:JYZ786488 KIV786472:KIV786488 KSR786472:KSR786488 LCN786472:LCN786488 LMJ786472:LMJ786488 LWF786472:LWF786488 MGB786472:MGB786488 MPX786472:MPX786488 MZT786472:MZT786488 NJP786472:NJP786488 NTL786472:NTL786488 ODH786472:ODH786488 OND786472:OND786488 OWZ786472:OWZ786488 PGV786472:PGV786488 PQR786472:PQR786488 QAN786472:QAN786488 QKJ786472:QKJ786488 QUF786472:QUF786488 REB786472:REB786488 RNX786472:RNX786488 RXT786472:RXT786488 SHP786472:SHP786488 SRL786472:SRL786488 TBH786472:TBH786488 TLD786472:TLD786488 TUZ786472:TUZ786488 UEV786472:UEV786488 UOR786472:UOR786488 UYN786472:UYN786488 VIJ786472:VIJ786488 VSF786472:VSF786488 WCB786472:WCB786488 WLX786472:WLX786488 WVT786472:WVT786488 D852008:D852024 JH852008:JH852024 TD852008:TD852024 ACZ852008:ACZ852024 AMV852008:AMV852024 AWR852008:AWR852024 BGN852008:BGN852024 BQJ852008:BQJ852024 CAF852008:CAF852024 CKB852008:CKB852024 CTX852008:CTX852024 DDT852008:DDT852024 DNP852008:DNP852024 DXL852008:DXL852024 EHH852008:EHH852024 ERD852008:ERD852024 FAZ852008:FAZ852024 FKV852008:FKV852024 FUR852008:FUR852024 GEN852008:GEN852024 GOJ852008:GOJ852024 GYF852008:GYF852024 HIB852008:HIB852024 HRX852008:HRX852024 IBT852008:IBT852024 ILP852008:ILP852024 IVL852008:IVL852024 JFH852008:JFH852024 JPD852008:JPD852024 JYZ852008:JYZ852024 KIV852008:KIV852024 KSR852008:KSR852024 LCN852008:LCN852024 LMJ852008:LMJ852024 LWF852008:LWF852024 MGB852008:MGB852024 MPX852008:MPX852024 MZT852008:MZT852024 NJP852008:NJP852024 NTL852008:NTL852024 ODH852008:ODH852024 OND852008:OND852024 OWZ852008:OWZ852024 PGV852008:PGV852024 PQR852008:PQR852024 QAN852008:QAN852024 QKJ852008:QKJ852024 QUF852008:QUF852024 REB852008:REB852024 RNX852008:RNX852024 RXT852008:RXT852024 SHP852008:SHP852024 SRL852008:SRL852024 TBH852008:TBH852024 TLD852008:TLD852024 TUZ852008:TUZ852024 UEV852008:UEV852024 UOR852008:UOR852024 UYN852008:UYN852024 VIJ852008:VIJ852024 VSF852008:VSF852024 WCB852008:WCB852024 WLX852008:WLX852024 WVT852008:WVT852024 D917544:D917560 JH917544:JH917560 TD917544:TD917560 ACZ917544:ACZ917560 AMV917544:AMV917560 AWR917544:AWR917560 BGN917544:BGN917560 BQJ917544:BQJ917560 CAF917544:CAF917560 CKB917544:CKB917560 CTX917544:CTX917560 DDT917544:DDT917560 DNP917544:DNP917560 DXL917544:DXL917560 EHH917544:EHH917560 ERD917544:ERD917560 FAZ917544:FAZ917560 FKV917544:FKV917560 FUR917544:FUR917560 GEN917544:GEN917560 GOJ917544:GOJ917560 GYF917544:GYF917560 HIB917544:HIB917560 HRX917544:HRX917560 IBT917544:IBT917560 ILP917544:ILP917560 IVL917544:IVL917560 JFH917544:JFH917560 JPD917544:JPD917560 JYZ917544:JYZ917560 KIV917544:KIV917560 KSR917544:KSR917560 LCN917544:LCN917560 LMJ917544:LMJ917560 LWF917544:LWF917560 MGB917544:MGB917560 MPX917544:MPX917560 MZT917544:MZT917560 NJP917544:NJP917560 NTL917544:NTL917560 ODH917544:ODH917560 OND917544:OND917560 OWZ917544:OWZ917560 PGV917544:PGV917560 PQR917544:PQR917560 QAN917544:QAN917560 QKJ917544:QKJ917560 QUF917544:QUF917560 REB917544:REB917560 RNX917544:RNX917560 RXT917544:RXT917560 SHP917544:SHP917560 SRL917544:SRL917560 TBH917544:TBH917560 TLD917544:TLD917560 TUZ917544:TUZ917560 UEV917544:UEV917560 UOR917544:UOR917560 UYN917544:UYN917560 VIJ917544:VIJ917560 VSF917544:VSF917560 WCB917544:WCB917560 WLX917544:WLX917560 WVT917544:WVT917560 D983080:D983096 JH983080:JH983096 TD983080:TD983096 ACZ983080:ACZ983096 AMV983080:AMV983096 AWR983080:AWR983096 BGN983080:BGN983096 BQJ983080:BQJ983096 CAF983080:CAF983096 CKB983080:CKB983096 CTX983080:CTX983096 DDT983080:DDT983096 DNP983080:DNP983096 DXL983080:DXL983096 EHH983080:EHH983096 ERD983080:ERD983096 FAZ983080:FAZ983096 FKV983080:FKV983096 FUR983080:FUR983096 GEN983080:GEN983096 GOJ983080:GOJ983096 GYF983080:GYF983096 HIB983080:HIB983096 HRX983080:HRX983096 IBT983080:IBT983096 ILP983080:ILP983096 IVL983080:IVL983096 JFH983080:JFH983096 JPD983080:JPD983096 JYZ983080:JYZ983096 KIV983080:KIV983096 KSR983080:KSR983096 LCN983080:LCN983096 LMJ983080:LMJ983096 LWF983080:LWF983096 MGB983080:MGB983096 MPX983080:MPX983096 MZT983080:MZT983096 NJP983080:NJP983096 NTL983080:NTL983096 ODH983080:ODH983096 OND983080:OND983096 OWZ983080:OWZ983096 PGV983080:PGV983096 PQR983080:PQR983096 QAN983080:QAN983096 QKJ983080:QKJ983096 QUF983080:QUF983096 REB983080:REB983096 RNX983080:RNX983096 RXT983080:RXT983096 SHP983080:SHP983096 SRL983080:SRL983096 TBH983080:TBH983096 TLD983080:TLD983096 TUZ983080:TUZ983096 UEV983080:UEV983096 UOR983080:UOR983096 UYN983080:UYN983096 VIJ983080:VIJ983096 VSF983080:VSF983096 WCB983080:WCB983096 WLX983080:WLX983096 WVT983080:WVT983096 D65600:D65606 JH65600:JH65606 TD65600:TD65606 ACZ65600:ACZ65606 AMV65600:AMV65606 AWR65600:AWR65606 BGN65600:BGN65606 BQJ65600:BQJ65606 CAF65600:CAF65606 CKB65600:CKB65606 CTX65600:CTX65606 DDT65600:DDT65606 DNP65600:DNP65606 DXL65600:DXL65606 EHH65600:EHH65606 ERD65600:ERD65606 FAZ65600:FAZ65606 FKV65600:FKV65606 FUR65600:FUR65606 GEN65600:GEN65606 GOJ65600:GOJ65606 GYF65600:GYF65606 HIB65600:HIB65606 HRX65600:HRX65606 IBT65600:IBT65606 ILP65600:ILP65606 IVL65600:IVL65606 JFH65600:JFH65606 JPD65600:JPD65606 JYZ65600:JYZ65606 KIV65600:KIV65606 KSR65600:KSR65606 LCN65600:LCN65606 LMJ65600:LMJ65606 LWF65600:LWF65606 MGB65600:MGB65606 MPX65600:MPX65606 MZT65600:MZT65606 NJP65600:NJP65606 NTL65600:NTL65606 ODH65600:ODH65606 OND65600:OND65606 OWZ65600:OWZ65606 PGV65600:PGV65606 PQR65600:PQR65606 QAN65600:QAN65606 QKJ65600:QKJ65606 QUF65600:QUF65606 REB65600:REB65606 RNX65600:RNX65606 RXT65600:RXT65606 SHP65600:SHP65606 SRL65600:SRL65606 TBH65600:TBH65606 TLD65600:TLD65606 TUZ65600:TUZ65606 UEV65600:UEV65606 UOR65600:UOR65606 UYN65600:UYN65606 VIJ65600:VIJ65606 VSF65600:VSF65606 WCB65600:WCB65606 WLX65600:WLX65606 WVT65600:WVT65606 D131136:D131142 JH131136:JH131142 TD131136:TD131142 ACZ131136:ACZ131142 AMV131136:AMV131142 AWR131136:AWR131142 BGN131136:BGN131142 BQJ131136:BQJ131142 CAF131136:CAF131142 CKB131136:CKB131142 CTX131136:CTX131142 DDT131136:DDT131142 DNP131136:DNP131142 DXL131136:DXL131142 EHH131136:EHH131142 ERD131136:ERD131142 FAZ131136:FAZ131142 FKV131136:FKV131142 FUR131136:FUR131142 GEN131136:GEN131142 GOJ131136:GOJ131142 GYF131136:GYF131142 HIB131136:HIB131142 HRX131136:HRX131142 IBT131136:IBT131142 ILP131136:ILP131142 IVL131136:IVL131142 JFH131136:JFH131142 JPD131136:JPD131142 JYZ131136:JYZ131142 KIV131136:KIV131142 KSR131136:KSR131142 LCN131136:LCN131142 LMJ131136:LMJ131142 LWF131136:LWF131142 MGB131136:MGB131142 MPX131136:MPX131142 MZT131136:MZT131142 NJP131136:NJP131142 NTL131136:NTL131142 ODH131136:ODH131142 OND131136:OND131142 OWZ131136:OWZ131142 PGV131136:PGV131142 PQR131136:PQR131142 QAN131136:QAN131142 QKJ131136:QKJ131142 QUF131136:QUF131142 REB131136:REB131142 RNX131136:RNX131142 RXT131136:RXT131142 SHP131136:SHP131142 SRL131136:SRL131142 TBH131136:TBH131142 TLD131136:TLD131142 TUZ131136:TUZ131142 UEV131136:UEV131142 UOR131136:UOR131142 UYN131136:UYN131142 VIJ131136:VIJ131142 VSF131136:VSF131142 WCB131136:WCB131142 WLX131136:WLX131142 WVT131136:WVT131142 D196672:D196678 JH196672:JH196678 TD196672:TD196678 ACZ196672:ACZ196678 AMV196672:AMV196678 AWR196672:AWR196678 BGN196672:BGN196678 BQJ196672:BQJ196678 CAF196672:CAF196678 CKB196672:CKB196678 CTX196672:CTX196678 DDT196672:DDT196678 DNP196672:DNP196678 DXL196672:DXL196678 EHH196672:EHH196678 ERD196672:ERD196678 FAZ196672:FAZ196678 FKV196672:FKV196678 FUR196672:FUR196678 GEN196672:GEN196678 GOJ196672:GOJ196678 GYF196672:GYF196678 HIB196672:HIB196678 HRX196672:HRX196678 IBT196672:IBT196678 ILP196672:ILP196678 IVL196672:IVL196678 JFH196672:JFH196678 JPD196672:JPD196678 JYZ196672:JYZ196678 KIV196672:KIV196678 KSR196672:KSR196678 LCN196672:LCN196678 LMJ196672:LMJ196678 LWF196672:LWF196678 MGB196672:MGB196678 MPX196672:MPX196678 MZT196672:MZT196678 NJP196672:NJP196678 NTL196672:NTL196678 ODH196672:ODH196678 OND196672:OND196678 OWZ196672:OWZ196678 PGV196672:PGV196678 PQR196672:PQR196678 QAN196672:QAN196678 QKJ196672:QKJ196678 QUF196672:QUF196678 REB196672:REB196678 RNX196672:RNX196678 RXT196672:RXT196678 SHP196672:SHP196678 SRL196672:SRL196678 TBH196672:TBH196678 TLD196672:TLD196678 TUZ196672:TUZ196678 UEV196672:UEV196678 UOR196672:UOR196678 UYN196672:UYN196678 VIJ196672:VIJ196678 VSF196672:VSF196678 WCB196672:WCB196678 WLX196672:WLX196678 WVT196672:WVT196678 D262208:D262214 JH262208:JH262214 TD262208:TD262214 ACZ262208:ACZ262214 AMV262208:AMV262214 AWR262208:AWR262214 BGN262208:BGN262214 BQJ262208:BQJ262214 CAF262208:CAF262214 CKB262208:CKB262214 CTX262208:CTX262214 DDT262208:DDT262214 DNP262208:DNP262214 DXL262208:DXL262214 EHH262208:EHH262214 ERD262208:ERD262214 FAZ262208:FAZ262214 FKV262208:FKV262214 FUR262208:FUR262214 GEN262208:GEN262214 GOJ262208:GOJ262214 GYF262208:GYF262214 HIB262208:HIB262214 HRX262208:HRX262214 IBT262208:IBT262214 ILP262208:ILP262214 IVL262208:IVL262214 JFH262208:JFH262214 JPD262208:JPD262214 JYZ262208:JYZ262214 KIV262208:KIV262214 KSR262208:KSR262214 LCN262208:LCN262214 LMJ262208:LMJ262214 LWF262208:LWF262214 MGB262208:MGB262214 MPX262208:MPX262214 MZT262208:MZT262214 NJP262208:NJP262214 NTL262208:NTL262214 ODH262208:ODH262214 OND262208:OND262214 OWZ262208:OWZ262214 PGV262208:PGV262214 PQR262208:PQR262214 QAN262208:QAN262214 QKJ262208:QKJ262214 QUF262208:QUF262214 REB262208:REB262214 RNX262208:RNX262214 RXT262208:RXT262214 SHP262208:SHP262214 SRL262208:SRL262214 TBH262208:TBH262214 TLD262208:TLD262214 TUZ262208:TUZ262214 UEV262208:UEV262214 UOR262208:UOR262214 UYN262208:UYN262214 VIJ262208:VIJ262214 VSF262208:VSF262214 WCB262208:WCB262214 WLX262208:WLX262214 WVT262208:WVT262214 D327744:D327750 JH327744:JH327750 TD327744:TD327750 ACZ327744:ACZ327750 AMV327744:AMV327750 AWR327744:AWR327750 BGN327744:BGN327750 BQJ327744:BQJ327750 CAF327744:CAF327750 CKB327744:CKB327750 CTX327744:CTX327750 DDT327744:DDT327750 DNP327744:DNP327750 DXL327744:DXL327750 EHH327744:EHH327750 ERD327744:ERD327750 FAZ327744:FAZ327750 FKV327744:FKV327750 FUR327744:FUR327750 GEN327744:GEN327750 GOJ327744:GOJ327750 GYF327744:GYF327750 HIB327744:HIB327750 HRX327744:HRX327750 IBT327744:IBT327750 ILP327744:ILP327750 IVL327744:IVL327750 JFH327744:JFH327750 JPD327744:JPD327750 JYZ327744:JYZ327750 KIV327744:KIV327750 KSR327744:KSR327750 LCN327744:LCN327750 LMJ327744:LMJ327750 LWF327744:LWF327750 MGB327744:MGB327750 MPX327744:MPX327750 MZT327744:MZT327750 NJP327744:NJP327750 NTL327744:NTL327750 ODH327744:ODH327750 OND327744:OND327750 OWZ327744:OWZ327750 PGV327744:PGV327750 PQR327744:PQR327750 QAN327744:QAN327750 QKJ327744:QKJ327750 QUF327744:QUF327750 REB327744:REB327750 RNX327744:RNX327750 RXT327744:RXT327750 SHP327744:SHP327750 SRL327744:SRL327750 TBH327744:TBH327750 TLD327744:TLD327750 TUZ327744:TUZ327750 UEV327744:UEV327750 UOR327744:UOR327750 UYN327744:UYN327750 VIJ327744:VIJ327750 VSF327744:VSF327750 WCB327744:WCB327750 WLX327744:WLX327750 WVT327744:WVT327750 D393280:D393286 JH393280:JH393286 TD393280:TD393286 ACZ393280:ACZ393286 AMV393280:AMV393286 AWR393280:AWR393286 BGN393280:BGN393286 BQJ393280:BQJ393286 CAF393280:CAF393286 CKB393280:CKB393286 CTX393280:CTX393286 DDT393280:DDT393286 DNP393280:DNP393286 DXL393280:DXL393286 EHH393280:EHH393286 ERD393280:ERD393286 FAZ393280:FAZ393286 FKV393280:FKV393286 FUR393280:FUR393286 GEN393280:GEN393286 GOJ393280:GOJ393286 GYF393280:GYF393286 HIB393280:HIB393286 HRX393280:HRX393286 IBT393280:IBT393286 ILP393280:ILP393286 IVL393280:IVL393286 JFH393280:JFH393286 JPD393280:JPD393286 JYZ393280:JYZ393286 KIV393280:KIV393286 KSR393280:KSR393286 LCN393280:LCN393286 LMJ393280:LMJ393286 LWF393280:LWF393286 MGB393280:MGB393286 MPX393280:MPX393286 MZT393280:MZT393286 NJP393280:NJP393286 NTL393280:NTL393286 ODH393280:ODH393286 OND393280:OND393286 OWZ393280:OWZ393286 PGV393280:PGV393286 PQR393280:PQR393286 QAN393280:QAN393286 QKJ393280:QKJ393286 QUF393280:QUF393286 REB393280:REB393286 RNX393280:RNX393286 RXT393280:RXT393286 SHP393280:SHP393286 SRL393280:SRL393286 TBH393280:TBH393286 TLD393280:TLD393286 TUZ393280:TUZ393286 UEV393280:UEV393286 UOR393280:UOR393286 UYN393280:UYN393286 VIJ393280:VIJ393286 VSF393280:VSF393286 WCB393280:WCB393286 WLX393280:WLX393286 WVT393280:WVT393286 D458816:D458822 JH458816:JH458822 TD458816:TD458822 ACZ458816:ACZ458822 AMV458816:AMV458822 AWR458816:AWR458822 BGN458816:BGN458822 BQJ458816:BQJ458822 CAF458816:CAF458822 CKB458816:CKB458822 CTX458816:CTX458822 DDT458816:DDT458822 DNP458816:DNP458822 DXL458816:DXL458822 EHH458816:EHH458822 ERD458816:ERD458822 FAZ458816:FAZ458822 FKV458816:FKV458822 FUR458816:FUR458822 GEN458816:GEN458822 GOJ458816:GOJ458822 GYF458816:GYF458822 HIB458816:HIB458822 HRX458816:HRX458822 IBT458816:IBT458822 ILP458816:ILP458822 IVL458816:IVL458822 JFH458816:JFH458822 JPD458816:JPD458822 JYZ458816:JYZ458822 KIV458816:KIV458822 KSR458816:KSR458822 LCN458816:LCN458822 LMJ458816:LMJ458822 LWF458816:LWF458822 MGB458816:MGB458822 MPX458816:MPX458822 MZT458816:MZT458822 NJP458816:NJP458822 NTL458816:NTL458822 ODH458816:ODH458822 OND458816:OND458822 OWZ458816:OWZ458822 PGV458816:PGV458822 PQR458816:PQR458822 QAN458816:QAN458822 QKJ458816:QKJ458822 QUF458816:QUF458822 REB458816:REB458822 RNX458816:RNX458822 RXT458816:RXT458822 SHP458816:SHP458822 SRL458816:SRL458822 TBH458816:TBH458822 TLD458816:TLD458822 TUZ458816:TUZ458822 UEV458816:UEV458822 UOR458816:UOR458822 UYN458816:UYN458822 VIJ458816:VIJ458822 VSF458816:VSF458822 WCB458816:WCB458822 WLX458816:WLX458822 WVT458816:WVT458822 D524352:D524358 JH524352:JH524358 TD524352:TD524358 ACZ524352:ACZ524358 AMV524352:AMV524358 AWR524352:AWR524358 BGN524352:BGN524358 BQJ524352:BQJ524358 CAF524352:CAF524358 CKB524352:CKB524358 CTX524352:CTX524358 DDT524352:DDT524358 DNP524352:DNP524358 DXL524352:DXL524358 EHH524352:EHH524358 ERD524352:ERD524358 FAZ524352:FAZ524358 FKV524352:FKV524358 FUR524352:FUR524358 GEN524352:GEN524358 GOJ524352:GOJ524358 GYF524352:GYF524358 HIB524352:HIB524358 HRX524352:HRX524358 IBT524352:IBT524358 ILP524352:ILP524358 IVL524352:IVL524358 JFH524352:JFH524358 JPD524352:JPD524358 JYZ524352:JYZ524358 KIV524352:KIV524358 KSR524352:KSR524358 LCN524352:LCN524358 LMJ524352:LMJ524358 LWF524352:LWF524358 MGB524352:MGB524358 MPX524352:MPX524358 MZT524352:MZT524358 NJP524352:NJP524358 NTL524352:NTL524358 ODH524352:ODH524358 OND524352:OND524358 OWZ524352:OWZ524358 PGV524352:PGV524358 PQR524352:PQR524358 QAN524352:QAN524358 QKJ524352:QKJ524358 QUF524352:QUF524358 REB524352:REB524358 RNX524352:RNX524358 RXT524352:RXT524358 SHP524352:SHP524358 SRL524352:SRL524358 TBH524352:TBH524358 TLD524352:TLD524358 TUZ524352:TUZ524358 UEV524352:UEV524358 UOR524352:UOR524358 UYN524352:UYN524358 VIJ524352:VIJ524358 VSF524352:VSF524358 WCB524352:WCB524358 WLX524352:WLX524358 WVT524352:WVT524358 D589888:D589894 JH589888:JH589894 TD589888:TD589894 ACZ589888:ACZ589894 AMV589888:AMV589894 AWR589888:AWR589894 BGN589888:BGN589894 BQJ589888:BQJ589894 CAF589888:CAF589894 CKB589888:CKB589894 CTX589888:CTX589894 DDT589888:DDT589894 DNP589888:DNP589894 DXL589888:DXL589894 EHH589888:EHH589894 ERD589888:ERD589894 FAZ589888:FAZ589894 FKV589888:FKV589894 FUR589888:FUR589894 GEN589888:GEN589894 GOJ589888:GOJ589894 GYF589888:GYF589894 HIB589888:HIB589894 HRX589888:HRX589894 IBT589888:IBT589894 ILP589888:ILP589894 IVL589888:IVL589894 JFH589888:JFH589894 JPD589888:JPD589894 JYZ589888:JYZ589894 KIV589888:KIV589894 KSR589888:KSR589894 LCN589888:LCN589894 LMJ589888:LMJ589894 LWF589888:LWF589894 MGB589888:MGB589894 MPX589888:MPX589894 MZT589888:MZT589894 NJP589888:NJP589894 NTL589888:NTL589894 ODH589888:ODH589894 OND589888:OND589894 OWZ589888:OWZ589894 PGV589888:PGV589894 PQR589888:PQR589894 QAN589888:QAN589894 QKJ589888:QKJ589894 QUF589888:QUF589894 REB589888:REB589894 RNX589888:RNX589894 RXT589888:RXT589894 SHP589888:SHP589894 SRL589888:SRL589894 TBH589888:TBH589894 TLD589888:TLD589894 TUZ589888:TUZ589894 UEV589888:UEV589894 UOR589888:UOR589894 UYN589888:UYN589894 VIJ589888:VIJ589894 VSF589888:VSF589894 WCB589888:WCB589894 WLX589888:WLX589894 WVT589888:WVT589894 D655424:D655430 JH655424:JH655430 TD655424:TD655430 ACZ655424:ACZ655430 AMV655424:AMV655430 AWR655424:AWR655430 BGN655424:BGN655430 BQJ655424:BQJ655430 CAF655424:CAF655430 CKB655424:CKB655430 CTX655424:CTX655430 DDT655424:DDT655430 DNP655424:DNP655430 DXL655424:DXL655430 EHH655424:EHH655430 ERD655424:ERD655430 FAZ655424:FAZ655430 FKV655424:FKV655430 FUR655424:FUR655430 GEN655424:GEN655430 GOJ655424:GOJ655430 GYF655424:GYF655430 HIB655424:HIB655430 HRX655424:HRX655430 IBT655424:IBT655430 ILP655424:ILP655430 IVL655424:IVL655430 JFH655424:JFH655430 JPD655424:JPD655430 JYZ655424:JYZ655430 KIV655424:KIV655430 KSR655424:KSR655430 LCN655424:LCN655430 LMJ655424:LMJ655430 LWF655424:LWF655430 MGB655424:MGB655430 MPX655424:MPX655430 MZT655424:MZT655430 NJP655424:NJP655430 NTL655424:NTL655430 ODH655424:ODH655430 OND655424:OND655430 OWZ655424:OWZ655430 PGV655424:PGV655430 PQR655424:PQR655430 QAN655424:QAN655430 QKJ655424:QKJ655430 QUF655424:QUF655430 REB655424:REB655430 RNX655424:RNX655430 RXT655424:RXT655430 SHP655424:SHP655430 SRL655424:SRL655430 TBH655424:TBH655430 TLD655424:TLD655430 TUZ655424:TUZ655430 UEV655424:UEV655430 UOR655424:UOR655430 UYN655424:UYN655430 VIJ655424:VIJ655430 VSF655424:VSF655430 WCB655424:WCB655430 WLX655424:WLX655430 WVT655424:WVT655430 D720960:D720966 JH720960:JH720966 TD720960:TD720966 ACZ720960:ACZ720966 AMV720960:AMV720966 AWR720960:AWR720966 BGN720960:BGN720966 BQJ720960:BQJ720966 CAF720960:CAF720966 CKB720960:CKB720966 CTX720960:CTX720966 DDT720960:DDT720966 DNP720960:DNP720966 DXL720960:DXL720966 EHH720960:EHH720966 ERD720960:ERD720966 FAZ720960:FAZ720966 FKV720960:FKV720966 FUR720960:FUR720966 GEN720960:GEN720966 GOJ720960:GOJ720966 GYF720960:GYF720966 HIB720960:HIB720966 HRX720960:HRX720966 IBT720960:IBT720966 ILP720960:ILP720966 IVL720960:IVL720966 JFH720960:JFH720966 JPD720960:JPD720966 JYZ720960:JYZ720966 KIV720960:KIV720966 KSR720960:KSR720966 LCN720960:LCN720966 LMJ720960:LMJ720966 LWF720960:LWF720966 MGB720960:MGB720966 MPX720960:MPX720966 MZT720960:MZT720966 NJP720960:NJP720966 NTL720960:NTL720966 ODH720960:ODH720966 OND720960:OND720966 OWZ720960:OWZ720966 PGV720960:PGV720966 PQR720960:PQR720966 QAN720960:QAN720966 QKJ720960:QKJ720966 QUF720960:QUF720966 REB720960:REB720966 RNX720960:RNX720966 RXT720960:RXT720966 SHP720960:SHP720966 SRL720960:SRL720966 TBH720960:TBH720966 TLD720960:TLD720966 TUZ720960:TUZ720966 UEV720960:UEV720966 UOR720960:UOR720966 UYN720960:UYN720966 VIJ720960:VIJ720966 VSF720960:VSF720966 WCB720960:WCB720966 WLX720960:WLX720966 WVT720960:WVT720966 D786496:D786502 JH786496:JH786502 TD786496:TD786502 ACZ786496:ACZ786502 AMV786496:AMV786502 AWR786496:AWR786502 BGN786496:BGN786502 BQJ786496:BQJ786502 CAF786496:CAF786502 CKB786496:CKB786502 CTX786496:CTX786502 DDT786496:DDT786502 DNP786496:DNP786502 DXL786496:DXL786502 EHH786496:EHH786502 ERD786496:ERD786502 FAZ786496:FAZ786502 FKV786496:FKV786502 FUR786496:FUR786502 GEN786496:GEN786502 GOJ786496:GOJ786502 GYF786496:GYF786502 HIB786496:HIB786502 HRX786496:HRX786502 IBT786496:IBT786502 ILP786496:ILP786502 IVL786496:IVL786502 JFH786496:JFH786502 JPD786496:JPD786502 JYZ786496:JYZ786502 KIV786496:KIV786502 KSR786496:KSR786502 LCN786496:LCN786502 LMJ786496:LMJ786502 LWF786496:LWF786502 MGB786496:MGB786502 MPX786496:MPX786502 MZT786496:MZT786502 NJP786496:NJP786502 NTL786496:NTL786502 ODH786496:ODH786502 OND786496:OND786502 OWZ786496:OWZ786502 PGV786496:PGV786502 PQR786496:PQR786502 QAN786496:QAN786502 QKJ786496:QKJ786502 QUF786496:QUF786502 REB786496:REB786502 RNX786496:RNX786502 RXT786496:RXT786502 SHP786496:SHP786502 SRL786496:SRL786502 TBH786496:TBH786502 TLD786496:TLD786502 TUZ786496:TUZ786502 UEV786496:UEV786502 UOR786496:UOR786502 UYN786496:UYN786502 VIJ786496:VIJ786502 VSF786496:VSF786502 WCB786496:WCB786502 WLX786496:WLX786502 WVT786496:WVT786502 D852032:D852038 JH852032:JH852038 TD852032:TD852038 ACZ852032:ACZ852038 AMV852032:AMV852038 AWR852032:AWR852038 BGN852032:BGN852038 BQJ852032:BQJ852038 CAF852032:CAF852038 CKB852032:CKB852038 CTX852032:CTX852038 DDT852032:DDT852038 DNP852032:DNP852038 DXL852032:DXL852038 EHH852032:EHH852038 ERD852032:ERD852038 FAZ852032:FAZ852038 FKV852032:FKV852038 FUR852032:FUR852038 GEN852032:GEN852038 GOJ852032:GOJ852038 GYF852032:GYF852038 HIB852032:HIB852038 HRX852032:HRX852038 IBT852032:IBT852038 ILP852032:ILP852038 IVL852032:IVL852038 JFH852032:JFH852038 JPD852032:JPD852038 JYZ852032:JYZ852038 KIV852032:KIV852038 KSR852032:KSR852038 LCN852032:LCN852038 LMJ852032:LMJ852038 LWF852032:LWF852038 MGB852032:MGB852038 MPX852032:MPX852038 MZT852032:MZT852038 NJP852032:NJP852038 NTL852032:NTL852038 ODH852032:ODH852038 OND852032:OND852038 OWZ852032:OWZ852038 PGV852032:PGV852038 PQR852032:PQR852038 QAN852032:QAN852038 QKJ852032:QKJ852038 QUF852032:QUF852038 REB852032:REB852038 RNX852032:RNX852038 RXT852032:RXT852038 SHP852032:SHP852038 SRL852032:SRL852038 TBH852032:TBH852038 TLD852032:TLD852038 TUZ852032:TUZ852038 UEV852032:UEV852038 UOR852032:UOR852038 UYN852032:UYN852038 VIJ852032:VIJ852038 VSF852032:VSF852038 WCB852032:WCB852038 WLX852032:WLX852038 WVT852032:WVT852038 D917568:D917574 JH917568:JH917574 TD917568:TD917574 ACZ917568:ACZ917574 AMV917568:AMV917574 AWR917568:AWR917574 BGN917568:BGN917574 BQJ917568:BQJ917574 CAF917568:CAF917574 CKB917568:CKB917574 CTX917568:CTX917574 DDT917568:DDT917574 DNP917568:DNP917574 DXL917568:DXL917574 EHH917568:EHH917574 ERD917568:ERD917574 FAZ917568:FAZ917574 FKV917568:FKV917574 FUR917568:FUR917574 GEN917568:GEN917574 GOJ917568:GOJ917574 GYF917568:GYF917574 HIB917568:HIB917574 HRX917568:HRX917574 IBT917568:IBT917574 ILP917568:ILP917574 IVL917568:IVL917574 JFH917568:JFH917574 JPD917568:JPD917574 JYZ917568:JYZ917574 KIV917568:KIV917574 KSR917568:KSR917574 LCN917568:LCN917574 LMJ917568:LMJ917574 LWF917568:LWF917574 MGB917568:MGB917574 MPX917568:MPX917574 MZT917568:MZT917574 NJP917568:NJP917574 NTL917568:NTL917574 ODH917568:ODH917574 OND917568:OND917574 OWZ917568:OWZ917574 PGV917568:PGV917574 PQR917568:PQR917574 QAN917568:QAN917574 QKJ917568:QKJ917574 QUF917568:QUF917574 REB917568:REB917574 RNX917568:RNX917574 RXT917568:RXT917574 SHP917568:SHP917574 SRL917568:SRL917574 TBH917568:TBH917574 TLD917568:TLD917574 TUZ917568:TUZ917574 UEV917568:UEV917574 UOR917568:UOR917574 UYN917568:UYN917574 VIJ917568:VIJ917574 VSF917568:VSF917574 WCB917568:WCB917574 WLX917568:WLX917574 WVT917568:WVT917574 D983104:D983110 JH983104:JH983110 TD983104:TD983110 ACZ983104:ACZ983110 AMV983104:AMV983110 AWR983104:AWR983110 BGN983104:BGN983110 BQJ983104:BQJ983110 CAF983104:CAF983110 CKB983104:CKB983110 CTX983104:CTX983110 DDT983104:DDT983110 DNP983104:DNP983110 DXL983104:DXL983110 EHH983104:EHH983110 ERD983104:ERD983110 FAZ983104:FAZ983110 FKV983104:FKV983110 FUR983104:FUR983110 GEN983104:GEN983110 GOJ983104:GOJ983110 GYF983104:GYF983110 HIB983104:HIB983110 HRX983104:HRX983110 IBT983104:IBT983110 ILP983104:ILP983110 IVL983104:IVL983110 JFH983104:JFH983110 JPD983104:JPD983110 JYZ983104:JYZ983110 KIV983104:KIV983110 KSR983104:KSR983110 LCN983104:LCN983110 LMJ983104:LMJ983110 LWF983104:LWF983110 MGB983104:MGB983110 MPX983104:MPX983110 MZT983104:MZT983110 NJP983104:NJP983110 NTL983104:NTL983110 ODH983104:ODH983110 OND983104:OND983110 OWZ983104:OWZ983110 PGV983104:PGV983110 PQR983104:PQR983110 QAN983104:QAN983110 QKJ983104:QKJ983110 QUF983104:QUF983110 REB983104:REB983110 RNX983104:RNX983110 RXT983104:RXT983110 SHP983104:SHP983110 SRL983104:SRL983110 TBH983104:TBH983110 TLD983104:TLD983110 TUZ983104:TUZ983110 UEV983104:UEV983110 UOR983104:UOR983110 UYN983104:UYN983110 VIJ983104:VIJ983110 VSF983104:VSF983110 WCB983104:WCB983110 WLX983104:WLX983110 WVT983104:WVT983110 D110:D112 JH110:JH112 TD110:TD112 ACZ110:ACZ112 AMV110:AMV112 AWR110:AWR112 BGN110:BGN112 BQJ110:BQJ112 CAF110:CAF112 CKB110:CKB112 CTX110:CTX112 DDT110:DDT112 DNP110:DNP112 DXL110:DXL112 EHH110:EHH112 ERD110:ERD112 FAZ110:FAZ112 FKV110:FKV112 FUR110:FUR112 GEN110:GEN112 GOJ110:GOJ112 GYF110:GYF112 HIB110:HIB112 HRX110:HRX112 IBT110:IBT112 ILP110:ILP112 IVL110:IVL112 JFH110:JFH112 JPD110:JPD112 JYZ110:JYZ112 KIV110:KIV112 KSR110:KSR112 LCN110:LCN112 LMJ110:LMJ112 LWF110:LWF112 MGB110:MGB112 MPX110:MPX112 MZT110:MZT112 NJP110:NJP112 NTL110:NTL112 ODH110:ODH112 OND110:OND112 OWZ110:OWZ112 PGV110:PGV112 PQR110:PQR112 QAN110:QAN112 QKJ110:QKJ112 QUF110:QUF112 REB110:REB112 RNX110:RNX112 RXT110:RXT112 SHP110:SHP112 SRL110:SRL112 TBH110:TBH112 TLD110:TLD112 TUZ110:TUZ112 UEV110:UEV112 UOR110:UOR112 UYN110:UYN112 VIJ110:VIJ112 VSF110:VSF112 WCB110:WCB112 WLX110:WLX112 WVT110:WVT112 D65646:D65648 JH65646:JH65648 TD65646:TD65648 ACZ65646:ACZ65648 AMV65646:AMV65648 AWR65646:AWR65648 BGN65646:BGN65648 BQJ65646:BQJ65648 CAF65646:CAF65648 CKB65646:CKB65648 CTX65646:CTX65648 DDT65646:DDT65648 DNP65646:DNP65648 DXL65646:DXL65648 EHH65646:EHH65648 ERD65646:ERD65648 FAZ65646:FAZ65648 FKV65646:FKV65648 FUR65646:FUR65648 GEN65646:GEN65648 GOJ65646:GOJ65648 GYF65646:GYF65648 HIB65646:HIB65648 HRX65646:HRX65648 IBT65646:IBT65648 ILP65646:ILP65648 IVL65646:IVL65648 JFH65646:JFH65648 JPD65646:JPD65648 JYZ65646:JYZ65648 KIV65646:KIV65648 KSR65646:KSR65648 LCN65646:LCN65648 LMJ65646:LMJ65648 LWF65646:LWF65648 MGB65646:MGB65648 MPX65646:MPX65648 MZT65646:MZT65648 NJP65646:NJP65648 NTL65646:NTL65648 ODH65646:ODH65648 OND65646:OND65648 OWZ65646:OWZ65648 PGV65646:PGV65648 PQR65646:PQR65648 QAN65646:QAN65648 QKJ65646:QKJ65648 QUF65646:QUF65648 REB65646:REB65648 RNX65646:RNX65648 RXT65646:RXT65648 SHP65646:SHP65648 SRL65646:SRL65648 TBH65646:TBH65648 TLD65646:TLD65648 TUZ65646:TUZ65648 UEV65646:UEV65648 UOR65646:UOR65648 UYN65646:UYN65648 VIJ65646:VIJ65648 VSF65646:VSF65648 WCB65646:WCB65648 WLX65646:WLX65648 WVT65646:WVT65648 D131182:D131184 JH131182:JH131184 TD131182:TD131184 ACZ131182:ACZ131184 AMV131182:AMV131184 AWR131182:AWR131184 BGN131182:BGN131184 BQJ131182:BQJ131184 CAF131182:CAF131184 CKB131182:CKB131184 CTX131182:CTX131184 DDT131182:DDT131184 DNP131182:DNP131184 DXL131182:DXL131184 EHH131182:EHH131184 ERD131182:ERD131184 FAZ131182:FAZ131184 FKV131182:FKV131184 FUR131182:FUR131184 GEN131182:GEN131184 GOJ131182:GOJ131184 GYF131182:GYF131184 HIB131182:HIB131184 HRX131182:HRX131184 IBT131182:IBT131184 ILP131182:ILP131184 IVL131182:IVL131184 JFH131182:JFH131184 JPD131182:JPD131184 JYZ131182:JYZ131184 KIV131182:KIV131184 KSR131182:KSR131184 LCN131182:LCN131184 LMJ131182:LMJ131184 LWF131182:LWF131184 MGB131182:MGB131184 MPX131182:MPX131184 MZT131182:MZT131184 NJP131182:NJP131184 NTL131182:NTL131184 ODH131182:ODH131184 OND131182:OND131184 OWZ131182:OWZ131184 PGV131182:PGV131184 PQR131182:PQR131184 QAN131182:QAN131184 QKJ131182:QKJ131184 QUF131182:QUF131184 REB131182:REB131184 RNX131182:RNX131184 RXT131182:RXT131184 SHP131182:SHP131184 SRL131182:SRL131184 TBH131182:TBH131184 TLD131182:TLD131184 TUZ131182:TUZ131184 UEV131182:UEV131184 UOR131182:UOR131184 UYN131182:UYN131184 VIJ131182:VIJ131184 VSF131182:VSF131184 WCB131182:WCB131184 WLX131182:WLX131184 WVT131182:WVT131184 D196718:D196720 JH196718:JH196720 TD196718:TD196720 ACZ196718:ACZ196720 AMV196718:AMV196720 AWR196718:AWR196720 BGN196718:BGN196720 BQJ196718:BQJ196720 CAF196718:CAF196720 CKB196718:CKB196720 CTX196718:CTX196720 DDT196718:DDT196720 DNP196718:DNP196720 DXL196718:DXL196720 EHH196718:EHH196720 ERD196718:ERD196720 FAZ196718:FAZ196720 FKV196718:FKV196720 FUR196718:FUR196720 GEN196718:GEN196720 GOJ196718:GOJ196720 GYF196718:GYF196720 HIB196718:HIB196720 HRX196718:HRX196720 IBT196718:IBT196720 ILP196718:ILP196720 IVL196718:IVL196720 JFH196718:JFH196720 JPD196718:JPD196720 JYZ196718:JYZ196720 KIV196718:KIV196720 KSR196718:KSR196720 LCN196718:LCN196720 LMJ196718:LMJ196720 LWF196718:LWF196720 MGB196718:MGB196720 MPX196718:MPX196720 MZT196718:MZT196720 NJP196718:NJP196720 NTL196718:NTL196720 ODH196718:ODH196720 OND196718:OND196720 OWZ196718:OWZ196720 PGV196718:PGV196720 PQR196718:PQR196720 QAN196718:QAN196720 QKJ196718:QKJ196720 QUF196718:QUF196720 REB196718:REB196720 RNX196718:RNX196720 RXT196718:RXT196720 SHP196718:SHP196720 SRL196718:SRL196720 TBH196718:TBH196720 TLD196718:TLD196720 TUZ196718:TUZ196720 UEV196718:UEV196720 UOR196718:UOR196720 UYN196718:UYN196720 VIJ196718:VIJ196720 VSF196718:VSF196720 WCB196718:WCB196720 WLX196718:WLX196720 WVT196718:WVT196720 D262254:D262256 JH262254:JH262256 TD262254:TD262256 ACZ262254:ACZ262256 AMV262254:AMV262256 AWR262254:AWR262256 BGN262254:BGN262256 BQJ262254:BQJ262256 CAF262254:CAF262256 CKB262254:CKB262256 CTX262254:CTX262256 DDT262254:DDT262256 DNP262254:DNP262256 DXL262254:DXL262256 EHH262254:EHH262256 ERD262254:ERD262256 FAZ262254:FAZ262256 FKV262254:FKV262256 FUR262254:FUR262256 GEN262254:GEN262256 GOJ262254:GOJ262256 GYF262254:GYF262256 HIB262254:HIB262256 HRX262254:HRX262256 IBT262254:IBT262256 ILP262254:ILP262256 IVL262254:IVL262256 JFH262254:JFH262256 JPD262254:JPD262256 JYZ262254:JYZ262256 KIV262254:KIV262256 KSR262254:KSR262256 LCN262254:LCN262256 LMJ262254:LMJ262256 LWF262254:LWF262256 MGB262254:MGB262256 MPX262254:MPX262256 MZT262254:MZT262256 NJP262254:NJP262256 NTL262254:NTL262256 ODH262254:ODH262256 OND262254:OND262256 OWZ262254:OWZ262256 PGV262254:PGV262256 PQR262254:PQR262256 QAN262254:QAN262256 QKJ262254:QKJ262256 QUF262254:QUF262256 REB262254:REB262256 RNX262254:RNX262256 RXT262254:RXT262256 SHP262254:SHP262256 SRL262254:SRL262256 TBH262254:TBH262256 TLD262254:TLD262256 TUZ262254:TUZ262256 UEV262254:UEV262256 UOR262254:UOR262256 UYN262254:UYN262256 VIJ262254:VIJ262256 VSF262254:VSF262256 WCB262254:WCB262256 WLX262254:WLX262256 WVT262254:WVT262256 D327790:D327792 JH327790:JH327792 TD327790:TD327792 ACZ327790:ACZ327792 AMV327790:AMV327792 AWR327790:AWR327792 BGN327790:BGN327792 BQJ327790:BQJ327792 CAF327790:CAF327792 CKB327790:CKB327792 CTX327790:CTX327792 DDT327790:DDT327792 DNP327790:DNP327792 DXL327790:DXL327792 EHH327790:EHH327792 ERD327790:ERD327792 FAZ327790:FAZ327792 FKV327790:FKV327792 FUR327790:FUR327792 GEN327790:GEN327792 GOJ327790:GOJ327792 GYF327790:GYF327792 HIB327790:HIB327792 HRX327790:HRX327792 IBT327790:IBT327792 ILP327790:ILP327792 IVL327790:IVL327792 JFH327790:JFH327792 JPD327790:JPD327792 JYZ327790:JYZ327792 KIV327790:KIV327792 KSR327790:KSR327792 LCN327790:LCN327792 LMJ327790:LMJ327792 LWF327790:LWF327792 MGB327790:MGB327792 MPX327790:MPX327792 MZT327790:MZT327792 NJP327790:NJP327792 NTL327790:NTL327792 ODH327790:ODH327792 OND327790:OND327792 OWZ327790:OWZ327792 PGV327790:PGV327792 PQR327790:PQR327792 QAN327790:QAN327792 QKJ327790:QKJ327792 QUF327790:QUF327792 REB327790:REB327792 RNX327790:RNX327792 RXT327790:RXT327792 SHP327790:SHP327792 SRL327790:SRL327792 TBH327790:TBH327792 TLD327790:TLD327792 TUZ327790:TUZ327792 UEV327790:UEV327792 UOR327790:UOR327792 UYN327790:UYN327792 VIJ327790:VIJ327792 VSF327790:VSF327792 WCB327790:WCB327792 WLX327790:WLX327792 WVT327790:WVT327792 D393326:D393328 JH393326:JH393328 TD393326:TD393328 ACZ393326:ACZ393328 AMV393326:AMV393328 AWR393326:AWR393328 BGN393326:BGN393328 BQJ393326:BQJ393328 CAF393326:CAF393328 CKB393326:CKB393328 CTX393326:CTX393328 DDT393326:DDT393328 DNP393326:DNP393328 DXL393326:DXL393328 EHH393326:EHH393328 ERD393326:ERD393328 FAZ393326:FAZ393328 FKV393326:FKV393328 FUR393326:FUR393328 GEN393326:GEN393328 GOJ393326:GOJ393328 GYF393326:GYF393328 HIB393326:HIB393328 HRX393326:HRX393328 IBT393326:IBT393328 ILP393326:ILP393328 IVL393326:IVL393328 JFH393326:JFH393328 JPD393326:JPD393328 JYZ393326:JYZ393328 KIV393326:KIV393328 KSR393326:KSR393328 LCN393326:LCN393328 LMJ393326:LMJ393328 LWF393326:LWF393328 MGB393326:MGB393328 MPX393326:MPX393328 MZT393326:MZT393328 NJP393326:NJP393328 NTL393326:NTL393328 ODH393326:ODH393328 OND393326:OND393328 OWZ393326:OWZ393328 PGV393326:PGV393328 PQR393326:PQR393328 QAN393326:QAN393328 QKJ393326:QKJ393328 QUF393326:QUF393328 REB393326:REB393328 RNX393326:RNX393328 RXT393326:RXT393328 SHP393326:SHP393328 SRL393326:SRL393328 TBH393326:TBH393328 TLD393326:TLD393328 TUZ393326:TUZ393328 UEV393326:UEV393328 UOR393326:UOR393328 UYN393326:UYN393328 VIJ393326:VIJ393328 VSF393326:VSF393328 WCB393326:WCB393328 WLX393326:WLX393328 WVT393326:WVT393328 D458862:D458864 JH458862:JH458864 TD458862:TD458864 ACZ458862:ACZ458864 AMV458862:AMV458864 AWR458862:AWR458864 BGN458862:BGN458864 BQJ458862:BQJ458864 CAF458862:CAF458864 CKB458862:CKB458864 CTX458862:CTX458864 DDT458862:DDT458864 DNP458862:DNP458864 DXL458862:DXL458864 EHH458862:EHH458864 ERD458862:ERD458864 FAZ458862:FAZ458864 FKV458862:FKV458864 FUR458862:FUR458864 GEN458862:GEN458864 GOJ458862:GOJ458864 GYF458862:GYF458864 HIB458862:HIB458864 HRX458862:HRX458864 IBT458862:IBT458864 ILP458862:ILP458864 IVL458862:IVL458864 JFH458862:JFH458864 JPD458862:JPD458864 JYZ458862:JYZ458864 KIV458862:KIV458864 KSR458862:KSR458864 LCN458862:LCN458864 LMJ458862:LMJ458864 LWF458862:LWF458864 MGB458862:MGB458864 MPX458862:MPX458864 MZT458862:MZT458864 NJP458862:NJP458864 NTL458862:NTL458864 ODH458862:ODH458864 OND458862:OND458864 OWZ458862:OWZ458864 PGV458862:PGV458864 PQR458862:PQR458864 QAN458862:QAN458864 QKJ458862:QKJ458864 QUF458862:QUF458864 REB458862:REB458864 RNX458862:RNX458864 RXT458862:RXT458864 SHP458862:SHP458864 SRL458862:SRL458864 TBH458862:TBH458864 TLD458862:TLD458864 TUZ458862:TUZ458864 UEV458862:UEV458864 UOR458862:UOR458864 UYN458862:UYN458864 VIJ458862:VIJ458864 VSF458862:VSF458864 WCB458862:WCB458864 WLX458862:WLX458864 WVT458862:WVT458864 D524398:D524400 JH524398:JH524400 TD524398:TD524400 ACZ524398:ACZ524400 AMV524398:AMV524400 AWR524398:AWR524400 BGN524398:BGN524400 BQJ524398:BQJ524400 CAF524398:CAF524400 CKB524398:CKB524400 CTX524398:CTX524400 DDT524398:DDT524400 DNP524398:DNP524400 DXL524398:DXL524400 EHH524398:EHH524400 ERD524398:ERD524400 FAZ524398:FAZ524400 FKV524398:FKV524400 FUR524398:FUR524400 GEN524398:GEN524400 GOJ524398:GOJ524400 GYF524398:GYF524400 HIB524398:HIB524400 HRX524398:HRX524400 IBT524398:IBT524400 ILP524398:ILP524400 IVL524398:IVL524400 JFH524398:JFH524400 JPD524398:JPD524400 JYZ524398:JYZ524400 KIV524398:KIV524400 KSR524398:KSR524400 LCN524398:LCN524400 LMJ524398:LMJ524400 LWF524398:LWF524400 MGB524398:MGB524400 MPX524398:MPX524400 MZT524398:MZT524400 NJP524398:NJP524400 NTL524398:NTL524400 ODH524398:ODH524400 OND524398:OND524400 OWZ524398:OWZ524400 PGV524398:PGV524400 PQR524398:PQR524400 QAN524398:QAN524400 QKJ524398:QKJ524400 QUF524398:QUF524400 REB524398:REB524400 RNX524398:RNX524400 RXT524398:RXT524400 SHP524398:SHP524400 SRL524398:SRL524400 TBH524398:TBH524400 TLD524398:TLD524400 TUZ524398:TUZ524400 UEV524398:UEV524400 UOR524398:UOR524400 UYN524398:UYN524400 VIJ524398:VIJ524400 VSF524398:VSF524400 WCB524398:WCB524400 WLX524398:WLX524400 WVT524398:WVT524400 D589934:D589936 JH589934:JH589936 TD589934:TD589936 ACZ589934:ACZ589936 AMV589934:AMV589936 AWR589934:AWR589936 BGN589934:BGN589936 BQJ589934:BQJ589936 CAF589934:CAF589936 CKB589934:CKB589936 CTX589934:CTX589936 DDT589934:DDT589936 DNP589934:DNP589936 DXL589934:DXL589936 EHH589934:EHH589936 ERD589934:ERD589936 FAZ589934:FAZ589936 FKV589934:FKV589936 FUR589934:FUR589936 GEN589934:GEN589936 GOJ589934:GOJ589936 GYF589934:GYF589936 HIB589934:HIB589936 HRX589934:HRX589936 IBT589934:IBT589936 ILP589934:ILP589936 IVL589934:IVL589936 JFH589934:JFH589936 JPD589934:JPD589936 JYZ589934:JYZ589936 KIV589934:KIV589936 KSR589934:KSR589936 LCN589934:LCN589936 LMJ589934:LMJ589936 LWF589934:LWF589936 MGB589934:MGB589936 MPX589934:MPX589936 MZT589934:MZT589936 NJP589934:NJP589936 NTL589934:NTL589936 ODH589934:ODH589936 OND589934:OND589936 OWZ589934:OWZ589936 PGV589934:PGV589936 PQR589934:PQR589936 QAN589934:QAN589936 QKJ589934:QKJ589936 QUF589934:QUF589936 REB589934:REB589936 RNX589934:RNX589936 RXT589934:RXT589936 SHP589934:SHP589936 SRL589934:SRL589936 TBH589934:TBH589936 TLD589934:TLD589936 TUZ589934:TUZ589936 UEV589934:UEV589936 UOR589934:UOR589936 UYN589934:UYN589936 VIJ589934:VIJ589936 VSF589934:VSF589936 WCB589934:WCB589936 WLX589934:WLX589936 WVT589934:WVT589936 D655470:D655472 JH655470:JH655472 TD655470:TD655472 ACZ655470:ACZ655472 AMV655470:AMV655472 AWR655470:AWR655472 BGN655470:BGN655472 BQJ655470:BQJ655472 CAF655470:CAF655472 CKB655470:CKB655472 CTX655470:CTX655472 DDT655470:DDT655472 DNP655470:DNP655472 DXL655470:DXL655472 EHH655470:EHH655472 ERD655470:ERD655472 FAZ655470:FAZ655472 FKV655470:FKV655472 FUR655470:FUR655472 GEN655470:GEN655472 GOJ655470:GOJ655472 GYF655470:GYF655472 HIB655470:HIB655472 HRX655470:HRX655472 IBT655470:IBT655472 ILP655470:ILP655472 IVL655470:IVL655472 JFH655470:JFH655472 JPD655470:JPD655472 JYZ655470:JYZ655472 KIV655470:KIV655472 KSR655470:KSR655472 LCN655470:LCN655472 LMJ655470:LMJ655472 LWF655470:LWF655472 MGB655470:MGB655472 MPX655470:MPX655472 MZT655470:MZT655472 NJP655470:NJP655472 NTL655470:NTL655472 ODH655470:ODH655472 OND655470:OND655472 OWZ655470:OWZ655472 PGV655470:PGV655472 PQR655470:PQR655472 QAN655470:QAN655472 QKJ655470:QKJ655472 QUF655470:QUF655472 REB655470:REB655472 RNX655470:RNX655472 RXT655470:RXT655472 SHP655470:SHP655472 SRL655470:SRL655472 TBH655470:TBH655472 TLD655470:TLD655472 TUZ655470:TUZ655472 UEV655470:UEV655472 UOR655470:UOR655472 UYN655470:UYN655472 VIJ655470:VIJ655472 VSF655470:VSF655472 WCB655470:WCB655472 WLX655470:WLX655472 WVT655470:WVT655472 D721006:D721008 JH721006:JH721008 TD721006:TD721008 ACZ721006:ACZ721008 AMV721006:AMV721008 AWR721006:AWR721008 BGN721006:BGN721008 BQJ721006:BQJ721008 CAF721006:CAF721008 CKB721006:CKB721008 CTX721006:CTX721008 DDT721006:DDT721008 DNP721006:DNP721008 DXL721006:DXL721008 EHH721006:EHH721008 ERD721006:ERD721008 FAZ721006:FAZ721008 FKV721006:FKV721008 FUR721006:FUR721008 GEN721006:GEN721008 GOJ721006:GOJ721008 GYF721006:GYF721008 HIB721006:HIB721008 HRX721006:HRX721008 IBT721006:IBT721008 ILP721006:ILP721008 IVL721006:IVL721008 JFH721006:JFH721008 JPD721006:JPD721008 JYZ721006:JYZ721008 KIV721006:KIV721008 KSR721006:KSR721008 LCN721006:LCN721008 LMJ721006:LMJ721008 LWF721006:LWF721008 MGB721006:MGB721008 MPX721006:MPX721008 MZT721006:MZT721008 NJP721006:NJP721008 NTL721006:NTL721008 ODH721006:ODH721008 OND721006:OND721008 OWZ721006:OWZ721008 PGV721006:PGV721008 PQR721006:PQR721008 QAN721006:QAN721008 QKJ721006:QKJ721008 QUF721006:QUF721008 REB721006:REB721008 RNX721006:RNX721008 RXT721006:RXT721008 SHP721006:SHP721008 SRL721006:SRL721008 TBH721006:TBH721008 TLD721006:TLD721008 TUZ721006:TUZ721008 UEV721006:UEV721008 UOR721006:UOR721008 UYN721006:UYN721008 VIJ721006:VIJ721008 VSF721006:VSF721008 WCB721006:WCB721008 WLX721006:WLX721008 WVT721006:WVT721008 D786542:D786544 JH786542:JH786544 TD786542:TD786544 ACZ786542:ACZ786544 AMV786542:AMV786544 AWR786542:AWR786544 BGN786542:BGN786544 BQJ786542:BQJ786544 CAF786542:CAF786544 CKB786542:CKB786544 CTX786542:CTX786544 DDT786542:DDT786544 DNP786542:DNP786544 DXL786542:DXL786544 EHH786542:EHH786544 ERD786542:ERD786544 FAZ786542:FAZ786544 FKV786542:FKV786544 FUR786542:FUR786544 GEN786542:GEN786544 GOJ786542:GOJ786544 GYF786542:GYF786544 HIB786542:HIB786544 HRX786542:HRX786544 IBT786542:IBT786544 ILP786542:ILP786544 IVL786542:IVL786544 JFH786542:JFH786544 JPD786542:JPD786544 JYZ786542:JYZ786544 KIV786542:KIV786544 KSR786542:KSR786544 LCN786542:LCN786544 LMJ786542:LMJ786544 LWF786542:LWF786544 MGB786542:MGB786544 MPX786542:MPX786544 MZT786542:MZT786544 NJP786542:NJP786544 NTL786542:NTL786544 ODH786542:ODH786544 OND786542:OND786544 OWZ786542:OWZ786544 PGV786542:PGV786544 PQR786542:PQR786544 QAN786542:QAN786544 QKJ786542:QKJ786544 QUF786542:QUF786544 REB786542:REB786544 RNX786542:RNX786544 RXT786542:RXT786544 SHP786542:SHP786544 SRL786542:SRL786544 TBH786542:TBH786544 TLD786542:TLD786544 TUZ786542:TUZ786544 UEV786542:UEV786544 UOR786542:UOR786544 UYN786542:UYN786544 VIJ786542:VIJ786544 VSF786542:VSF786544 WCB786542:WCB786544 WLX786542:WLX786544 WVT786542:WVT786544 D852078:D852080 JH852078:JH852080 TD852078:TD852080 ACZ852078:ACZ852080 AMV852078:AMV852080 AWR852078:AWR852080 BGN852078:BGN852080 BQJ852078:BQJ852080 CAF852078:CAF852080 CKB852078:CKB852080 CTX852078:CTX852080 DDT852078:DDT852080 DNP852078:DNP852080 DXL852078:DXL852080 EHH852078:EHH852080 ERD852078:ERD852080 FAZ852078:FAZ852080 FKV852078:FKV852080 FUR852078:FUR852080 GEN852078:GEN852080 GOJ852078:GOJ852080 GYF852078:GYF852080 HIB852078:HIB852080 HRX852078:HRX852080 IBT852078:IBT852080 ILP852078:ILP852080 IVL852078:IVL852080 JFH852078:JFH852080 JPD852078:JPD852080 JYZ852078:JYZ852080 KIV852078:KIV852080 KSR852078:KSR852080 LCN852078:LCN852080 LMJ852078:LMJ852080 LWF852078:LWF852080 MGB852078:MGB852080 MPX852078:MPX852080 MZT852078:MZT852080 NJP852078:NJP852080 NTL852078:NTL852080 ODH852078:ODH852080 OND852078:OND852080 OWZ852078:OWZ852080 PGV852078:PGV852080 PQR852078:PQR852080 QAN852078:QAN852080 QKJ852078:QKJ852080 QUF852078:QUF852080 REB852078:REB852080 RNX852078:RNX852080 RXT852078:RXT852080 SHP852078:SHP852080 SRL852078:SRL852080 TBH852078:TBH852080 TLD852078:TLD852080 TUZ852078:TUZ852080 UEV852078:UEV852080 UOR852078:UOR852080 UYN852078:UYN852080 VIJ852078:VIJ852080 VSF852078:VSF852080 WCB852078:WCB852080 WLX852078:WLX852080 WVT852078:WVT852080 D917614:D917616 JH917614:JH917616 TD917614:TD917616 ACZ917614:ACZ917616 AMV917614:AMV917616 AWR917614:AWR917616 BGN917614:BGN917616 BQJ917614:BQJ917616 CAF917614:CAF917616 CKB917614:CKB917616 CTX917614:CTX917616 DDT917614:DDT917616 DNP917614:DNP917616 DXL917614:DXL917616 EHH917614:EHH917616 ERD917614:ERD917616 FAZ917614:FAZ917616 FKV917614:FKV917616 FUR917614:FUR917616 GEN917614:GEN917616 GOJ917614:GOJ917616 GYF917614:GYF917616 HIB917614:HIB917616 HRX917614:HRX917616 IBT917614:IBT917616 ILP917614:ILP917616 IVL917614:IVL917616 JFH917614:JFH917616 JPD917614:JPD917616 JYZ917614:JYZ917616 KIV917614:KIV917616 KSR917614:KSR917616 LCN917614:LCN917616 LMJ917614:LMJ917616 LWF917614:LWF917616 MGB917614:MGB917616 MPX917614:MPX917616 MZT917614:MZT917616 NJP917614:NJP917616 NTL917614:NTL917616 ODH917614:ODH917616 OND917614:OND917616 OWZ917614:OWZ917616 PGV917614:PGV917616 PQR917614:PQR917616 QAN917614:QAN917616 QKJ917614:QKJ917616 QUF917614:QUF917616 REB917614:REB917616 RNX917614:RNX917616 RXT917614:RXT917616 SHP917614:SHP917616 SRL917614:SRL917616 TBH917614:TBH917616 TLD917614:TLD917616 TUZ917614:TUZ917616 UEV917614:UEV917616 UOR917614:UOR917616 UYN917614:UYN917616 VIJ917614:VIJ917616 VSF917614:VSF917616 WCB917614:WCB917616 WLX917614:WLX917616 WVT917614:WVT917616 D983150:D983152 JH983150:JH983152 TD983150:TD983152 ACZ983150:ACZ983152 AMV983150:AMV983152 AWR983150:AWR983152 BGN983150:BGN983152 BQJ983150:BQJ983152 CAF983150:CAF983152 CKB983150:CKB983152 CTX983150:CTX983152 DDT983150:DDT983152 DNP983150:DNP983152 DXL983150:DXL983152 EHH983150:EHH983152 ERD983150:ERD983152 FAZ983150:FAZ983152 FKV983150:FKV983152 FUR983150:FUR983152 GEN983150:GEN983152 GOJ983150:GOJ983152 GYF983150:GYF983152 HIB983150:HIB983152 HRX983150:HRX983152 IBT983150:IBT983152 ILP983150:ILP983152 IVL983150:IVL983152 JFH983150:JFH983152 JPD983150:JPD983152 JYZ983150:JYZ983152 KIV983150:KIV983152 KSR983150:KSR983152 LCN983150:LCN983152 LMJ983150:LMJ983152 LWF983150:LWF983152 MGB983150:MGB983152 MPX983150:MPX983152 MZT983150:MZT983152 NJP983150:NJP983152 NTL983150:NTL983152 ODH983150:ODH983152 OND983150:OND983152 OWZ983150:OWZ983152 PGV983150:PGV983152 PQR983150:PQR983152 QAN983150:QAN983152 QKJ983150:QKJ983152 QUF983150:QUF983152 REB983150:REB983152 RNX983150:RNX983152 RXT983150:RXT983152 SHP983150:SHP983152 SRL983150:SRL983152 TBH983150:TBH983152 TLD983150:TLD983152 TUZ983150:TUZ983152 UEV983150:UEV983152 UOR983150:UOR983152 UYN983150:UYN983152 VIJ983150:VIJ983152 VSF983150:VSF983152 WCB983150:WCB983152 WLX983150:WLX983152 WVT983150:WVT983152 D20:D29 JH20:JH29 TD20:TD29 ACZ20:ACZ29 AMV20:AMV29 AWR20:AWR29 BGN20:BGN29 BQJ20:BQJ29 CAF20:CAF29 CKB20:CKB29 CTX20:CTX29 DDT20:DDT29 DNP20:DNP29 DXL20:DXL29 EHH20:EHH29 ERD20:ERD29 FAZ20:FAZ29 FKV20:FKV29 FUR20:FUR29 GEN20:GEN29 GOJ20:GOJ29 GYF20:GYF29 HIB20:HIB29 HRX20:HRX29 IBT20:IBT29 ILP20:ILP29 IVL20:IVL29 JFH20:JFH29 JPD20:JPD29 JYZ20:JYZ29 KIV20:KIV29 KSR20:KSR29 LCN20:LCN29 LMJ20:LMJ29 LWF20:LWF29 MGB20:MGB29 MPX20:MPX29 MZT20:MZT29 NJP20:NJP29 NTL20:NTL29 ODH20:ODH29 OND20:OND29 OWZ20:OWZ29 PGV20:PGV29 PQR20:PQR29 QAN20:QAN29 QKJ20:QKJ29 QUF20:QUF29 REB20:REB29 RNX20:RNX29 RXT20:RXT29 SHP20:SHP29 SRL20:SRL29 TBH20:TBH29 TLD20:TLD29 TUZ20:TUZ29 UEV20:UEV29 UOR20:UOR29 UYN20:UYN29 VIJ20:VIJ29 VSF20:VSF29 WCB20:WCB29 WLX20:WLX29 WVT20:WVT29 D65563:D65572 JH65563:JH65572 TD65563:TD65572 ACZ65563:ACZ65572 AMV65563:AMV65572 AWR65563:AWR65572 BGN65563:BGN65572 BQJ65563:BQJ65572 CAF65563:CAF65572 CKB65563:CKB65572 CTX65563:CTX65572 DDT65563:DDT65572 DNP65563:DNP65572 DXL65563:DXL65572 EHH65563:EHH65572 ERD65563:ERD65572 FAZ65563:FAZ65572 FKV65563:FKV65572 FUR65563:FUR65572 GEN65563:GEN65572 GOJ65563:GOJ65572 GYF65563:GYF65572 HIB65563:HIB65572 HRX65563:HRX65572 IBT65563:IBT65572 ILP65563:ILP65572 IVL65563:IVL65572 JFH65563:JFH65572 JPD65563:JPD65572 JYZ65563:JYZ65572 KIV65563:KIV65572 KSR65563:KSR65572 LCN65563:LCN65572 LMJ65563:LMJ65572 LWF65563:LWF65572 MGB65563:MGB65572 MPX65563:MPX65572 MZT65563:MZT65572 NJP65563:NJP65572 NTL65563:NTL65572 ODH65563:ODH65572 OND65563:OND65572 OWZ65563:OWZ65572 PGV65563:PGV65572 PQR65563:PQR65572 QAN65563:QAN65572 QKJ65563:QKJ65572 QUF65563:QUF65572 REB65563:REB65572 RNX65563:RNX65572 RXT65563:RXT65572 SHP65563:SHP65572 SRL65563:SRL65572 TBH65563:TBH65572 TLD65563:TLD65572 TUZ65563:TUZ65572 UEV65563:UEV65572 UOR65563:UOR65572 UYN65563:UYN65572 VIJ65563:VIJ65572 VSF65563:VSF65572 WCB65563:WCB65572 WLX65563:WLX65572 WVT65563:WVT65572 D131099:D131108 JH131099:JH131108 TD131099:TD131108 ACZ131099:ACZ131108 AMV131099:AMV131108 AWR131099:AWR131108 BGN131099:BGN131108 BQJ131099:BQJ131108 CAF131099:CAF131108 CKB131099:CKB131108 CTX131099:CTX131108 DDT131099:DDT131108 DNP131099:DNP131108 DXL131099:DXL131108 EHH131099:EHH131108 ERD131099:ERD131108 FAZ131099:FAZ131108 FKV131099:FKV131108 FUR131099:FUR131108 GEN131099:GEN131108 GOJ131099:GOJ131108 GYF131099:GYF131108 HIB131099:HIB131108 HRX131099:HRX131108 IBT131099:IBT131108 ILP131099:ILP131108 IVL131099:IVL131108 JFH131099:JFH131108 JPD131099:JPD131108 JYZ131099:JYZ131108 KIV131099:KIV131108 KSR131099:KSR131108 LCN131099:LCN131108 LMJ131099:LMJ131108 LWF131099:LWF131108 MGB131099:MGB131108 MPX131099:MPX131108 MZT131099:MZT131108 NJP131099:NJP131108 NTL131099:NTL131108 ODH131099:ODH131108 OND131099:OND131108 OWZ131099:OWZ131108 PGV131099:PGV131108 PQR131099:PQR131108 QAN131099:QAN131108 QKJ131099:QKJ131108 QUF131099:QUF131108 REB131099:REB131108 RNX131099:RNX131108 RXT131099:RXT131108 SHP131099:SHP131108 SRL131099:SRL131108 TBH131099:TBH131108 TLD131099:TLD131108 TUZ131099:TUZ131108 UEV131099:UEV131108 UOR131099:UOR131108 UYN131099:UYN131108 VIJ131099:VIJ131108 VSF131099:VSF131108 WCB131099:WCB131108 WLX131099:WLX131108 WVT131099:WVT131108 D196635:D196644 JH196635:JH196644 TD196635:TD196644 ACZ196635:ACZ196644 AMV196635:AMV196644 AWR196635:AWR196644 BGN196635:BGN196644 BQJ196635:BQJ196644 CAF196635:CAF196644 CKB196635:CKB196644 CTX196635:CTX196644 DDT196635:DDT196644 DNP196635:DNP196644 DXL196635:DXL196644 EHH196635:EHH196644 ERD196635:ERD196644 FAZ196635:FAZ196644 FKV196635:FKV196644 FUR196635:FUR196644 GEN196635:GEN196644 GOJ196635:GOJ196644 GYF196635:GYF196644 HIB196635:HIB196644 HRX196635:HRX196644 IBT196635:IBT196644 ILP196635:ILP196644 IVL196635:IVL196644 JFH196635:JFH196644 JPD196635:JPD196644 JYZ196635:JYZ196644 KIV196635:KIV196644 KSR196635:KSR196644 LCN196635:LCN196644 LMJ196635:LMJ196644 LWF196635:LWF196644 MGB196635:MGB196644 MPX196635:MPX196644 MZT196635:MZT196644 NJP196635:NJP196644 NTL196635:NTL196644 ODH196635:ODH196644 OND196635:OND196644 OWZ196635:OWZ196644 PGV196635:PGV196644 PQR196635:PQR196644 QAN196635:QAN196644 QKJ196635:QKJ196644 QUF196635:QUF196644 REB196635:REB196644 RNX196635:RNX196644 RXT196635:RXT196644 SHP196635:SHP196644 SRL196635:SRL196644 TBH196635:TBH196644 TLD196635:TLD196644 TUZ196635:TUZ196644 UEV196635:UEV196644 UOR196635:UOR196644 UYN196635:UYN196644 VIJ196635:VIJ196644 VSF196635:VSF196644 WCB196635:WCB196644 WLX196635:WLX196644 WVT196635:WVT196644 D262171:D262180 JH262171:JH262180 TD262171:TD262180 ACZ262171:ACZ262180 AMV262171:AMV262180 AWR262171:AWR262180 BGN262171:BGN262180 BQJ262171:BQJ262180 CAF262171:CAF262180 CKB262171:CKB262180 CTX262171:CTX262180 DDT262171:DDT262180 DNP262171:DNP262180 DXL262171:DXL262180 EHH262171:EHH262180 ERD262171:ERD262180 FAZ262171:FAZ262180 FKV262171:FKV262180 FUR262171:FUR262180 GEN262171:GEN262180 GOJ262171:GOJ262180 GYF262171:GYF262180 HIB262171:HIB262180 HRX262171:HRX262180 IBT262171:IBT262180 ILP262171:ILP262180 IVL262171:IVL262180 JFH262171:JFH262180 JPD262171:JPD262180 JYZ262171:JYZ262180 KIV262171:KIV262180 KSR262171:KSR262180 LCN262171:LCN262180 LMJ262171:LMJ262180 LWF262171:LWF262180 MGB262171:MGB262180 MPX262171:MPX262180 MZT262171:MZT262180 NJP262171:NJP262180 NTL262171:NTL262180 ODH262171:ODH262180 OND262171:OND262180 OWZ262171:OWZ262180 PGV262171:PGV262180 PQR262171:PQR262180 QAN262171:QAN262180 QKJ262171:QKJ262180 QUF262171:QUF262180 REB262171:REB262180 RNX262171:RNX262180 RXT262171:RXT262180 SHP262171:SHP262180 SRL262171:SRL262180 TBH262171:TBH262180 TLD262171:TLD262180 TUZ262171:TUZ262180 UEV262171:UEV262180 UOR262171:UOR262180 UYN262171:UYN262180 VIJ262171:VIJ262180 VSF262171:VSF262180 WCB262171:WCB262180 WLX262171:WLX262180 WVT262171:WVT262180 D327707:D327716 JH327707:JH327716 TD327707:TD327716 ACZ327707:ACZ327716 AMV327707:AMV327716 AWR327707:AWR327716 BGN327707:BGN327716 BQJ327707:BQJ327716 CAF327707:CAF327716 CKB327707:CKB327716 CTX327707:CTX327716 DDT327707:DDT327716 DNP327707:DNP327716 DXL327707:DXL327716 EHH327707:EHH327716 ERD327707:ERD327716 FAZ327707:FAZ327716 FKV327707:FKV327716 FUR327707:FUR327716 GEN327707:GEN327716 GOJ327707:GOJ327716 GYF327707:GYF327716 HIB327707:HIB327716 HRX327707:HRX327716 IBT327707:IBT327716 ILP327707:ILP327716 IVL327707:IVL327716 JFH327707:JFH327716 JPD327707:JPD327716 JYZ327707:JYZ327716 KIV327707:KIV327716 KSR327707:KSR327716 LCN327707:LCN327716 LMJ327707:LMJ327716 LWF327707:LWF327716 MGB327707:MGB327716 MPX327707:MPX327716 MZT327707:MZT327716 NJP327707:NJP327716 NTL327707:NTL327716 ODH327707:ODH327716 OND327707:OND327716 OWZ327707:OWZ327716 PGV327707:PGV327716 PQR327707:PQR327716 QAN327707:QAN327716 QKJ327707:QKJ327716 QUF327707:QUF327716 REB327707:REB327716 RNX327707:RNX327716 RXT327707:RXT327716 SHP327707:SHP327716 SRL327707:SRL327716 TBH327707:TBH327716 TLD327707:TLD327716 TUZ327707:TUZ327716 UEV327707:UEV327716 UOR327707:UOR327716 UYN327707:UYN327716 VIJ327707:VIJ327716 VSF327707:VSF327716 WCB327707:WCB327716 WLX327707:WLX327716 WVT327707:WVT327716 D393243:D393252 JH393243:JH393252 TD393243:TD393252 ACZ393243:ACZ393252 AMV393243:AMV393252 AWR393243:AWR393252 BGN393243:BGN393252 BQJ393243:BQJ393252 CAF393243:CAF393252 CKB393243:CKB393252 CTX393243:CTX393252 DDT393243:DDT393252 DNP393243:DNP393252 DXL393243:DXL393252 EHH393243:EHH393252 ERD393243:ERD393252 FAZ393243:FAZ393252 FKV393243:FKV393252 FUR393243:FUR393252 GEN393243:GEN393252 GOJ393243:GOJ393252 GYF393243:GYF393252 HIB393243:HIB393252 HRX393243:HRX393252 IBT393243:IBT393252 ILP393243:ILP393252 IVL393243:IVL393252 JFH393243:JFH393252 JPD393243:JPD393252 JYZ393243:JYZ393252 KIV393243:KIV393252 KSR393243:KSR393252 LCN393243:LCN393252 LMJ393243:LMJ393252 LWF393243:LWF393252 MGB393243:MGB393252 MPX393243:MPX393252 MZT393243:MZT393252 NJP393243:NJP393252 NTL393243:NTL393252 ODH393243:ODH393252 OND393243:OND393252 OWZ393243:OWZ393252 PGV393243:PGV393252 PQR393243:PQR393252 QAN393243:QAN393252 QKJ393243:QKJ393252 QUF393243:QUF393252 REB393243:REB393252 RNX393243:RNX393252 RXT393243:RXT393252 SHP393243:SHP393252 SRL393243:SRL393252 TBH393243:TBH393252 TLD393243:TLD393252 TUZ393243:TUZ393252 UEV393243:UEV393252 UOR393243:UOR393252 UYN393243:UYN393252 VIJ393243:VIJ393252 VSF393243:VSF393252 WCB393243:WCB393252 WLX393243:WLX393252 WVT393243:WVT393252 D458779:D458788 JH458779:JH458788 TD458779:TD458788 ACZ458779:ACZ458788 AMV458779:AMV458788 AWR458779:AWR458788 BGN458779:BGN458788 BQJ458779:BQJ458788 CAF458779:CAF458788 CKB458779:CKB458788 CTX458779:CTX458788 DDT458779:DDT458788 DNP458779:DNP458788 DXL458779:DXL458788 EHH458779:EHH458788 ERD458779:ERD458788 FAZ458779:FAZ458788 FKV458779:FKV458788 FUR458779:FUR458788 GEN458779:GEN458788 GOJ458779:GOJ458788 GYF458779:GYF458788 HIB458779:HIB458788 HRX458779:HRX458788 IBT458779:IBT458788 ILP458779:ILP458788 IVL458779:IVL458788 JFH458779:JFH458788 JPD458779:JPD458788 JYZ458779:JYZ458788 KIV458779:KIV458788 KSR458779:KSR458788 LCN458779:LCN458788 LMJ458779:LMJ458788 LWF458779:LWF458788 MGB458779:MGB458788 MPX458779:MPX458788 MZT458779:MZT458788 NJP458779:NJP458788 NTL458779:NTL458788 ODH458779:ODH458788 OND458779:OND458788 OWZ458779:OWZ458788 PGV458779:PGV458788 PQR458779:PQR458788 QAN458779:QAN458788 QKJ458779:QKJ458788 QUF458779:QUF458788 REB458779:REB458788 RNX458779:RNX458788 RXT458779:RXT458788 SHP458779:SHP458788 SRL458779:SRL458788 TBH458779:TBH458788 TLD458779:TLD458788 TUZ458779:TUZ458788 UEV458779:UEV458788 UOR458779:UOR458788 UYN458779:UYN458788 VIJ458779:VIJ458788 VSF458779:VSF458788 WCB458779:WCB458788 WLX458779:WLX458788 WVT458779:WVT458788 D524315:D524324 JH524315:JH524324 TD524315:TD524324 ACZ524315:ACZ524324 AMV524315:AMV524324 AWR524315:AWR524324 BGN524315:BGN524324 BQJ524315:BQJ524324 CAF524315:CAF524324 CKB524315:CKB524324 CTX524315:CTX524324 DDT524315:DDT524324 DNP524315:DNP524324 DXL524315:DXL524324 EHH524315:EHH524324 ERD524315:ERD524324 FAZ524315:FAZ524324 FKV524315:FKV524324 FUR524315:FUR524324 GEN524315:GEN524324 GOJ524315:GOJ524324 GYF524315:GYF524324 HIB524315:HIB524324 HRX524315:HRX524324 IBT524315:IBT524324 ILP524315:ILP524324 IVL524315:IVL524324 JFH524315:JFH524324 JPD524315:JPD524324 JYZ524315:JYZ524324 KIV524315:KIV524324 KSR524315:KSR524324 LCN524315:LCN524324 LMJ524315:LMJ524324 LWF524315:LWF524324 MGB524315:MGB524324 MPX524315:MPX524324 MZT524315:MZT524324 NJP524315:NJP524324 NTL524315:NTL524324 ODH524315:ODH524324 OND524315:OND524324 OWZ524315:OWZ524324 PGV524315:PGV524324 PQR524315:PQR524324 QAN524315:QAN524324 QKJ524315:QKJ524324 QUF524315:QUF524324 REB524315:REB524324 RNX524315:RNX524324 RXT524315:RXT524324 SHP524315:SHP524324 SRL524315:SRL524324 TBH524315:TBH524324 TLD524315:TLD524324 TUZ524315:TUZ524324 UEV524315:UEV524324 UOR524315:UOR524324 UYN524315:UYN524324 VIJ524315:VIJ524324 VSF524315:VSF524324 WCB524315:WCB524324 WLX524315:WLX524324 WVT524315:WVT524324 D589851:D589860 JH589851:JH589860 TD589851:TD589860 ACZ589851:ACZ589860 AMV589851:AMV589860 AWR589851:AWR589860 BGN589851:BGN589860 BQJ589851:BQJ589860 CAF589851:CAF589860 CKB589851:CKB589860 CTX589851:CTX589860 DDT589851:DDT589860 DNP589851:DNP589860 DXL589851:DXL589860 EHH589851:EHH589860 ERD589851:ERD589860 FAZ589851:FAZ589860 FKV589851:FKV589860 FUR589851:FUR589860 GEN589851:GEN589860 GOJ589851:GOJ589860 GYF589851:GYF589860 HIB589851:HIB589860 HRX589851:HRX589860 IBT589851:IBT589860 ILP589851:ILP589860 IVL589851:IVL589860 JFH589851:JFH589860 JPD589851:JPD589860 JYZ589851:JYZ589860 KIV589851:KIV589860 KSR589851:KSR589860 LCN589851:LCN589860 LMJ589851:LMJ589860 LWF589851:LWF589860 MGB589851:MGB589860 MPX589851:MPX589860 MZT589851:MZT589860 NJP589851:NJP589860 NTL589851:NTL589860 ODH589851:ODH589860 OND589851:OND589860 OWZ589851:OWZ589860 PGV589851:PGV589860 PQR589851:PQR589860 QAN589851:QAN589860 QKJ589851:QKJ589860 QUF589851:QUF589860 REB589851:REB589860 RNX589851:RNX589860 RXT589851:RXT589860 SHP589851:SHP589860 SRL589851:SRL589860 TBH589851:TBH589860 TLD589851:TLD589860 TUZ589851:TUZ589860 UEV589851:UEV589860 UOR589851:UOR589860 UYN589851:UYN589860 VIJ589851:VIJ589860 VSF589851:VSF589860 WCB589851:WCB589860 WLX589851:WLX589860 WVT589851:WVT589860 D655387:D655396 JH655387:JH655396 TD655387:TD655396 ACZ655387:ACZ655396 AMV655387:AMV655396 AWR655387:AWR655396 BGN655387:BGN655396 BQJ655387:BQJ655396 CAF655387:CAF655396 CKB655387:CKB655396 CTX655387:CTX655396 DDT655387:DDT655396 DNP655387:DNP655396 DXL655387:DXL655396 EHH655387:EHH655396 ERD655387:ERD655396 FAZ655387:FAZ655396 FKV655387:FKV655396 FUR655387:FUR655396 GEN655387:GEN655396 GOJ655387:GOJ655396 GYF655387:GYF655396 HIB655387:HIB655396 HRX655387:HRX655396 IBT655387:IBT655396 ILP655387:ILP655396 IVL655387:IVL655396 JFH655387:JFH655396 JPD655387:JPD655396 JYZ655387:JYZ655396 KIV655387:KIV655396 KSR655387:KSR655396 LCN655387:LCN655396 LMJ655387:LMJ655396 LWF655387:LWF655396 MGB655387:MGB655396 MPX655387:MPX655396 MZT655387:MZT655396 NJP655387:NJP655396 NTL655387:NTL655396 ODH655387:ODH655396 OND655387:OND655396 OWZ655387:OWZ655396 PGV655387:PGV655396 PQR655387:PQR655396 QAN655387:QAN655396 QKJ655387:QKJ655396 QUF655387:QUF655396 REB655387:REB655396 RNX655387:RNX655396 RXT655387:RXT655396 SHP655387:SHP655396 SRL655387:SRL655396 TBH655387:TBH655396 TLD655387:TLD655396 TUZ655387:TUZ655396 UEV655387:UEV655396 UOR655387:UOR655396 UYN655387:UYN655396 VIJ655387:VIJ655396 VSF655387:VSF655396 WCB655387:WCB655396 WLX655387:WLX655396 WVT655387:WVT655396 D720923:D720932 JH720923:JH720932 TD720923:TD720932 ACZ720923:ACZ720932 AMV720923:AMV720932 AWR720923:AWR720932 BGN720923:BGN720932 BQJ720923:BQJ720932 CAF720923:CAF720932 CKB720923:CKB720932 CTX720923:CTX720932 DDT720923:DDT720932 DNP720923:DNP720932 DXL720923:DXL720932 EHH720923:EHH720932 ERD720923:ERD720932 FAZ720923:FAZ720932 FKV720923:FKV720932 FUR720923:FUR720932 GEN720923:GEN720932 GOJ720923:GOJ720932 GYF720923:GYF720932 HIB720923:HIB720932 HRX720923:HRX720932 IBT720923:IBT720932 ILP720923:ILP720932 IVL720923:IVL720932 JFH720923:JFH720932 JPD720923:JPD720932 JYZ720923:JYZ720932 KIV720923:KIV720932 KSR720923:KSR720932 LCN720923:LCN720932 LMJ720923:LMJ720932 LWF720923:LWF720932 MGB720923:MGB720932 MPX720923:MPX720932 MZT720923:MZT720932 NJP720923:NJP720932 NTL720923:NTL720932 ODH720923:ODH720932 OND720923:OND720932 OWZ720923:OWZ720932 PGV720923:PGV720932 PQR720923:PQR720932 QAN720923:QAN720932 QKJ720923:QKJ720932 QUF720923:QUF720932 REB720923:REB720932 RNX720923:RNX720932 RXT720923:RXT720932 SHP720923:SHP720932 SRL720923:SRL720932 TBH720923:TBH720932 TLD720923:TLD720932 TUZ720923:TUZ720932 UEV720923:UEV720932 UOR720923:UOR720932 UYN720923:UYN720932 VIJ720923:VIJ720932 VSF720923:VSF720932 WCB720923:WCB720932 WLX720923:WLX720932 WVT720923:WVT720932 D786459:D786468 JH786459:JH786468 TD786459:TD786468 ACZ786459:ACZ786468 AMV786459:AMV786468 AWR786459:AWR786468 BGN786459:BGN786468 BQJ786459:BQJ786468 CAF786459:CAF786468 CKB786459:CKB786468 CTX786459:CTX786468 DDT786459:DDT786468 DNP786459:DNP786468 DXL786459:DXL786468 EHH786459:EHH786468 ERD786459:ERD786468 FAZ786459:FAZ786468 FKV786459:FKV786468 FUR786459:FUR786468 GEN786459:GEN786468 GOJ786459:GOJ786468 GYF786459:GYF786468 HIB786459:HIB786468 HRX786459:HRX786468 IBT786459:IBT786468 ILP786459:ILP786468 IVL786459:IVL786468 JFH786459:JFH786468 JPD786459:JPD786468 JYZ786459:JYZ786468 KIV786459:KIV786468 KSR786459:KSR786468 LCN786459:LCN786468 LMJ786459:LMJ786468 LWF786459:LWF786468 MGB786459:MGB786468 MPX786459:MPX786468 MZT786459:MZT786468 NJP786459:NJP786468 NTL786459:NTL786468 ODH786459:ODH786468 OND786459:OND786468 OWZ786459:OWZ786468 PGV786459:PGV786468 PQR786459:PQR786468 QAN786459:QAN786468 QKJ786459:QKJ786468 QUF786459:QUF786468 REB786459:REB786468 RNX786459:RNX786468 RXT786459:RXT786468 SHP786459:SHP786468 SRL786459:SRL786468 TBH786459:TBH786468 TLD786459:TLD786468 TUZ786459:TUZ786468 UEV786459:UEV786468 UOR786459:UOR786468 UYN786459:UYN786468 VIJ786459:VIJ786468 VSF786459:VSF786468 WCB786459:WCB786468 WLX786459:WLX786468 WVT786459:WVT786468 D851995:D852004 JH851995:JH852004 TD851995:TD852004 ACZ851995:ACZ852004 AMV851995:AMV852004 AWR851995:AWR852004 BGN851995:BGN852004 BQJ851995:BQJ852004 CAF851995:CAF852004 CKB851995:CKB852004 CTX851995:CTX852004 DDT851995:DDT852004 DNP851995:DNP852004 DXL851995:DXL852004 EHH851995:EHH852004 ERD851995:ERD852004 FAZ851995:FAZ852004 FKV851995:FKV852004 FUR851995:FUR852004 GEN851995:GEN852004 GOJ851995:GOJ852004 GYF851995:GYF852004 HIB851995:HIB852004 HRX851995:HRX852004 IBT851995:IBT852004 ILP851995:ILP852004 IVL851995:IVL852004 JFH851995:JFH852004 JPD851995:JPD852004 JYZ851995:JYZ852004 KIV851995:KIV852004 KSR851995:KSR852004 LCN851995:LCN852004 LMJ851995:LMJ852004 LWF851995:LWF852004 MGB851995:MGB852004 MPX851995:MPX852004 MZT851995:MZT852004 NJP851995:NJP852004 NTL851995:NTL852004 ODH851995:ODH852004 OND851995:OND852004 OWZ851995:OWZ852004 PGV851995:PGV852004 PQR851995:PQR852004 QAN851995:QAN852004 QKJ851995:QKJ852004 QUF851995:QUF852004 REB851995:REB852004 RNX851995:RNX852004 RXT851995:RXT852004 SHP851995:SHP852004 SRL851995:SRL852004 TBH851995:TBH852004 TLD851995:TLD852004 TUZ851995:TUZ852004 UEV851995:UEV852004 UOR851995:UOR852004 UYN851995:UYN852004 VIJ851995:VIJ852004 VSF851995:VSF852004 WCB851995:WCB852004 WLX851995:WLX852004 WVT851995:WVT852004 D917531:D917540 JH917531:JH917540 TD917531:TD917540 ACZ917531:ACZ917540 AMV917531:AMV917540 AWR917531:AWR917540 BGN917531:BGN917540 BQJ917531:BQJ917540 CAF917531:CAF917540 CKB917531:CKB917540 CTX917531:CTX917540 DDT917531:DDT917540 DNP917531:DNP917540 DXL917531:DXL917540 EHH917531:EHH917540 ERD917531:ERD917540 FAZ917531:FAZ917540 FKV917531:FKV917540 FUR917531:FUR917540 GEN917531:GEN917540 GOJ917531:GOJ917540 GYF917531:GYF917540 HIB917531:HIB917540 HRX917531:HRX917540 IBT917531:IBT917540 ILP917531:ILP917540 IVL917531:IVL917540 JFH917531:JFH917540 JPD917531:JPD917540 JYZ917531:JYZ917540 KIV917531:KIV917540 KSR917531:KSR917540 LCN917531:LCN917540 LMJ917531:LMJ917540 LWF917531:LWF917540 MGB917531:MGB917540 MPX917531:MPX917540 MZT917531:MZT917540 NJP917531:NJP917540 NTL917531:NTL917540 ODH917531:ODH917540 OND917531:OND917540 OWZ917531:OWZ917540 PGV917531:PGV917540 PQR917531:PQR917540 QAN917531:QAN917540 QKJ917531:QKJ917540 QUF917531:QUF917540 REB917531:REB917540 RNX917531:RNX917540 RXT917531:RXT917540 SHP917531:SHP917540 SRL917531:SRL917540 TBH917531:TBH917540 TLD917531:TLD917540 TUZ917531:TUZ917540 UEV917531:UEV917540 UOR917531:UOR917540 UYN917531:UYN917540 VIJ917531:VIJ917540 VSF917531:VSF917540 WCB917531:WCB917540 WLX917531:WLX917540 WVT917531:WVT917540 D983067:D983076 JH983067:JH983076 TD983067:TD983076 ACZ983067:ACZ983076 AMV983067:AMV983076 AWR983067:AWR983076 BGN983067:BGN983076 BQJ983067:BQJ983076 CAF983067:CAF983076 CKB983067:CKB983076 CTX983067:CTX983076 DDT983067:DDT983076 DNP983067:DNP983076 DXL983067:DXL983076 EHH983067:EHH983076 ERD983067:ERD983076 FAZ983067:FAZ983076 FKV983067:FKV983076 FUR983067:FUR983076 GEN983067:GEN983076 GOJ983067:GOJ983076 GYF983067:GYF983076 HIB983067:HIB983076 HRX983067:HRX983076 IBT983067:IBT983076 ILP983067:ILP983076 IVL983067:IVL983076 JFH983067:JFH983076 JPD983067:JPD983076 JYZ983067:JYZ983076 KIV983067:KIV983076 KSR983067:KSR983076 LCN983067:LCN983076 LMJ983067:LMJ983076 LWF983067:LWF983076 MGB983067:MGB983076 MPX983067:MPX983076 MZT983067:MZT983076 NJP983067:NJP983076 NTL983067:NTL983076 ODH983067:ODH983076 OND983067:OND983076 OWZ983067:OWZ983076 PGV983067:PGV983076 PQR983067:PQR983076 QAN983067:QAN983076 QKJ983067:QKJ983076 QUF983067:QUF983076 REB983067:REB983076 RNX983067:RNX983076 RXT983067:RXT983076 SHP983067:SHP983076 SRL983067:SRL983076 TBH983067:TBH983076 TLD983067:TLD983076 TUZ983067:TUZ983076 UEV983067:UEV983076 UOR983067:UOR983076 UYN983067:UYN983076 VIJ983067:VIJ983076 VSF983067:VSF983076 WCB983067:WCB983076 WLX983067:WLX983076 WVT61:WVT70 WLX61:WLX70 WCB61:WCB70 VSF61:VSF70 VIJ61:VIJ70 UYN61:UYN70 UOR61:UOR70 UEV61:UEV70 TUZ61:TUZ70 TLD61:TLD70 TBH61:TBH70 SRL61:SRL70 SHP61:SHP70 RXT61:RXT70 RNX61:RNX70 REB61:REB70 QUF61:QUF70 QKJ61:QKJ70 QAN61:QAN70 PQR61:PQR70 PGV61:PGV70 OWZ61:OWZ70 OND61:OND70 ODH61:ODH70 NTL61:NTL70 NJP61:NJP70 MZT61:MZT70 MPX61:MPX70 MGB61:MGB70 LWF61:LWF70 LMJ61:LMJ70 LCN61:LCN70 KSR61:KSR70 KIV61:KIV70 JYZ61:JYZ70 JPD61:JPD70 JFH61:JFH70 IVL61:IVL70 ILP61:ILP70 IBT61:IBT70 HRX61:HRX70 HIB61:HIB70 GYF61:GYF70 GOJ61:GOJ70 GEN61:GEN70 FUR61:FUR70 FKV61:FKV70 FAZ61:FAZ70 ERD61:ERD70 EHH61:EHH70 DXL61:DXL70 DNP61:DNP70 DDT61:DDT70 CTX61:CTX70 CKB61:CKB70 CAF61:CAF70 BQJ61:BQJ70 BGN61:BGN70 AWR61:AWR70 AMV61:AMV70 ACZ61:ACZ70 TD61:TD70 JH61:JH70 WVT74:WVT80 WLX74:WLX80 WCB74:WCB80 VSF74:VSF80 VIJ74:VIJ80 UYN74:UYN80 UOR74:UOR80 UEV74:UEV80 TUZ74:TUZ80 TLD74:TLD80 TBH74:TBH80 SRL74:SRL80 SHP74:SHP80 RXT74:RXT80 RNX74:RNX80 REB74:REB80 QUF74:QUF80 QKJ74:QKJ80 QAN74:QAN80 PQR74:PQR80 PGV74:PGV80 OWZ74:OWZ80 OND74:OND80 ODH74:ODH80 NTL74:NTL80 NJP74:NJP80 MZT74:MZT80 MPX74:MPX80 MGB74:MGB80 LWF74:LWF80 LMJ74:LMJ80 LCN74:LCN80 KSR74:KSR80 KIV74:KIV80 JYZ74:JYZ80 JPD74:JPD80 JFH74:JFH80 IVL74:IVL80 ILP74:ILP80 IBT74:IBT80 HRX74:HRX80 HIB74:HIB80 GYF74:GYF80 GOJ74:GOJ80 GEN74:GEN80 FUR74:FUR80 FKV74:FKV80 FAZ74:FAZ80 ERD74:ERD80 EHH74:EHH80 DXL74:DXL80 DNP74:DNP80 DDT74:DDT80 CTX74:CTX80 CKB74:CKB80 CAF74:CAF80 BQJ74:BQJ80 BGN74:BGN80 AWR74:AWR80 AMV74:AMV80 ACZ74:ACZ80 TD74:TD80 JH74:JH80 D74:D80 D30:E36 WVT30:WVU36 WLX30:WLY36 WCB30:WCC36 VSF30:VSG36 VIJ30:VIK36 UYN30:UYO36 UOR30:UOS36 UEV30:UEW36 TUZ30:TVA36 TLD30:TLE36 TBH30:TBI36 SRL30:SRM36 SHP30:SHQ36 RXT30:RXU36 RNX30:RNY36 REB30:REC36 QUF30:QUG36 QKJ30:QKK36 QAN30:QAO36 PQR30:PQS36 PGV30:PGW36 OWZ30:OXA36 OND30:ONE36 ODH30:ODI36 NTL30:NTM36 NJP30:NJQ36 MZT30:MZU36 MPX30:MPY36 MGB30:MGC36 LWF30:LWG36 LMJ30:LMK36 LCN30:LCO36 KSR30:KSS36 KIV30:KIW36 JYZ30:JZA36 JPD30:JPE36 JFH30:JFI36 IVL30:IVM36 ILP30:ILQ36 IBT30:IBU36 HRX30:HRY36 HIB30:HIC36 GYF30:GYG36 GOJ30:GOK36 GEN30:GEO36 FUR30:FUS36 FKV30:FKW36 FAZ30:FBA36 ERD30:ERE36 EHH30:EHI36 DXL30:DXM36 DNP30:DNQ36 DDT30:DDU36 CTX30:CTY36 CKB30:CKC36 CAF30:CAG36 BQJ30:BQK36 BGN30:BGO36 AWR30:AWS36 AMV30:AMW36 ACZ30:ADA36 TD30:TE36 JH30:JI36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ACIAR </vt:lpstr>
      <vt:lpstr>UNHABITAT</vt:lpstr>
      <vt:lpstr>OIM</vt:lpstr>
      <vt:lpstr>CARITAS</vt:lpstr>
      <vt:lpstr>SFCG</vt:lpstr>
      <vt:lpstr>Mercy Corp</vt:lpstr>
      <vt:lpstr>COOPI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UNHAB</dc:creator>
  <cp:lastModifiedBy>Christophe Onambele</cp:lastModifiedBy>
  <dcterms:created xsi:type="dcterms:W3CDTF">2018-07-31T09:43:36Z</dcterms:created>
  <dcterms:modified xsi:type="dcterms:W3CDTF">2018-09-20T16:43:13Z</dcterms:modified>
</cp:coreProperties>
</file>