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lphonse\Documents\PROJETS BPF\Rapports annuels 2020\ONUFEMMES OIM PNUD\"/>
    </mc:Choice>
  </mc:AlternateContent>
  <xr:revisionPtr revIDLastSave="0" documentId="8_{64B54D5C-B5F6-471F-AE22-63CA0F989FF6}" xr6:coauthVersionLast="45" xr6:coauthVersionMax="45" xr10:uidLastSave="{00000000-0000-0000-0000-000000000000}"/>
  <bookViews>
    <workbookView xWindow="-120" yWindow="-120" windowWidth="20730" windowHeight="11160" xr2:uid="{00000000-000D-0000-FFFF-FFFF00000000}"/>
  </bookViews>
  <sheets>
    <sheet name="Rapport PBF" sheetId="1" r:id="rId1"/>
    <sheet name="Sheet 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3" l="1"/>
  <c r="K21" i="1"/>
  <c r="K60" i="1"/>
  <c r="K14" i="1"/>
  <c r="K17" i="1"/>
  <c r="K15" i="1"/>
  <c r="K12" i="1"/>
  <c r="K11" i="1"/>
  <c r="K19" i="3" l="1"/>
  <c r="J65" i="1" l="1"/>
  <c r="J51" i="1"/>
  <c r="H13" i="3" l="1"/>
  <c r="H10" i="3"/>
  <c r="L17" i="3" l="1"/>
  <c r="L19" i="3" s="1"/>
  <c r="L10" i="3"/>
  <c r="H17" i="3"/>
  <c r="H18" i="3" s="1"/>
  <c r="H19" i="3" s="1"/>
  <c r="G17" i="3"/>
  <c r="G18" i="3" s="1"/>
  <c r="G19" i="3" s="1"/>
  <c r="I10" i="3"/>
  <c r="K26" i="1" l="1"/>
  <c r="K66" i="1" l="1"/>
  <c r="E72" i="1" l="1"/>
  <c r="L65" i="1" l="1"/>
  <c r="J35" i="1" l="1"/>
  <c r="J17" i="3"/>
  <c r="J18" i="3" l="1"/>
  <c r="J19" i="3" s="1"/>
  <c r="D17" i="3"/>
  <c r="D18" i="3" s="1"/>
  <c r="D19" i="3" s="1"/>
  <c r="C17" i="3"/>
  <c r="I16" i="3"/>
  <c r="I15" i="3"/>
  <c r="I14" i="3"/>
  <c r="I13" i="3"/>
  <c r="I12" i="3"/>
  <c r="I11" i="3"/>
  <c r="L51" i="1"/>
  <c r="L26" i="1"/>
  <c r="J69" i="1"/>
  <c r="J70" i="1" s="1"/>
  <c r="J71" i="1" s="1"/>
  <c r="L69" i="1" l="1"/>
  <c r="L70" i="1" s="1"/>
  <c r="L71" i="1" s="1"/>
  <c r="C18" i="3"/>
  <c r="C19" i="3" s="1"/>
  <c r="I17" i="3"/>
  <c r="I18" i="3" l="1"/>
  <c r="I19" i="3" s="1"/>
  <c r="D70" i="1" l="1"/>
  <c r="D69" i="1"/>
  <c r="D71" i="1" s="1"/>
  <c r="D68" i="1"/>
  <c r="D67" i="1"/>
  <c r="D66" i="1"/>
  <c r="D59" i="1"/>
  <c r="D58" i="1"/>
  <c r="D57" i="1"/>
  <c r="D49" i="1"/>
  <c r="D44" i="1"/>
  <c r="D43" i="1"/>
  <c r="D42" i="1"/>
  <c r="D41" i="1"/>
  <c r="D40" i="1"/>
  <c r="D39" i="1"/>
  <c r="D37" i="1"/>
  <c r="D36" i="1"/>
  <c r="D35" i="1"/>
  <c r="D34" i="1"/>
  <c r="D33" i="1"/>
  <c r="D32" i="1"/>
  <c r="D31" i="1"/>
  <c r="D29" i="1"/>
  <c r="F65" i="1"/>
  <c r="E70" i="1" l="1"/>
  <c r="E68" i="1"/>
  <c r="E66" i="1"/>
  <c r="E60" i="1"/>
  <c r="E21" i="1"/>
  <c r="E20" i="1"/>
  <c r="E19" i="1"/>
  <c r="E18" i="1"/>
  <c r="E17" i="1"/>
  <c r="E15" i="1"/>
  <c r="E14" i="1"/>
  <c r="E13" i="1"/>
  <c r="E12" i="1"/>
  <c r="E11" i="1"/>
  <c r="K65" i="1" l="1"/>
  <c r="K69" i="1" s="1"/>
  <c r="K71" i="1" s="1"/>
  <c r="E26" i="1" l="1"/>
  <c r="D51" i="1" l="1"/>
  <c r="D65" i="1"/>
  <c r="E65" i="1" l="1"/>
  <c r="F26" i="1"/>
  <c r="F51" i="1"/>
  <c r="F69" i="1" s="1"/>
  <c r="F70" i="1" s="1"/>
  <c r="F71" i="1" s="1"/>
  <c r="E69" i="1" l="1"/>
  <c r="E71" i="1" s="1"/>
</calcChain>
</file>

<file path=xl/sharedStrings.xml><?xml version="1.0" encoding="utf-8"?>
<sst xmlns="http://schemas.openxmlformats.org/spreadsheetml/2006/main" count="151" uniqueCount="138">
  <si>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</si>
  <si>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</si>
  <si>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</si>
  <si>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</si>
  <si>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</si>
  <si>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</si>
  <si>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</si>
  <si>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</si>
  <si>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</si>
  <si>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</si>
  <si>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</si>
  <si>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</si>
  <si>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</si>
  <si>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</si>
  <si>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</si>
  <si>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</si>
  <si>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</si>
  <si>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</si>
  <si>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</si>
  <si>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</si>
  <si>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</si>
  <si>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</si>
  <si>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</si>
  <si>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</si>
  <si>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</si>
  <si>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</si>
  <si>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</si>
  <si>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</si>
  <si>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</si>
  <si>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</si>
  <si>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</si>
  <si>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</si>
  <si>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</si>
  <si>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</si>
  <si>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</si>
  <si>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</si>
  <si>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</si>
  <si>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</si>
  <si>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</si>
  <si>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</si>
  <si>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</si>
  <si>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</si>
  <si>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</si>
  <si>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</si>
  <si>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</si>
  <si>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</si>
  <si>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</si>
  <si>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</si>
  <si>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</si>
  <si>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</si>
  <si>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</si>
  <si>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</si>
  <si>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</si>
  <si>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</si>
  <si>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</si>
  <si>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</si>
  <si>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</si>
  <si>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</si>
  <si>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</si>
  <si>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</si>
  <si>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</si>
  <si>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</si>
  <si>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</si>
  <si>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</si>
  <si>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</si>
  <si>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</si>
  <si>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</si>
  <si>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</si>
  <si>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</si>
  <si>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</si>
  <si>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</si>
  <si>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</si>
  <si>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</si>
  <si>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</si>
  <si>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</si>
  <si>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</si>
  <si>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</si>
  <si>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</si>
  <si>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</si>
  <si>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</si>
  <si>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</si>
  <si>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</si>
  <si>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</si>
  <si>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</si>
  <si>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</si>
  <si>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</si>
  <si>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</si>
  <si>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</si>
  <si>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</si>
  <si>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</si>
  <si>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</si>
  <si>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</si>
  <si>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</si>
  <si>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</si>
  <si>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</si>
  <si>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</si>
  <si>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</si>
  <si>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</si>
  <si>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</si>
  <si>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</si>
  <si>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</si>
  <si>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</si>
  <si>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</si>
  <si>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</si>
  <si>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</si>
  <si>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</si>
  <si>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</si>
  <si>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</si>
  <si>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</si>
  <si>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</si>
  <si>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</si>
  <si>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</si>
  <si>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</si>
  <si>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</si>
  <si>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</si>
  <si>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</si>
  <si>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</si>
  <si>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</si>
  <si>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</si>
  <si>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</si>
  <si>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</si>
  <si>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</si>
  <si>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</si>
  <si>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</si>
  <si>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</si>
  <si>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</si>
  <si>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</si>
  <si>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</si>
  <si>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</si>
  <si>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</si>
  <si>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</si>
  <si>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</si>
  <si>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</si>
  <si>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Dépenses PNUD</t>
  </si>
  <si>
    <t>Agence Récipiendiaire OIM</t>
  </si>
  <si>
    <t>Dépenses OIM</t>
  </si>
  <si>
    <t>Agence Récipiendiare UN Women</t>
  </si>
  <si>
    <t>Dépenses ONU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</si>
</sst>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_-;\-* #,##0.00\ _€_-;_-* &quot;-&quot;??\ _€_-;_-@_-"/>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21">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0" borderId="6" xfId="1" applyNumberFormat="1" applyFont="1" applyFill="1" applyBorder="1" applyAlignment="1">
      <alignment horizontal="center" vertical="center" wrapText="1"/>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4" borderId="0" xfId="0" applyFill="1" applyAlignment="1">
      <alignment horizontal="center" vertical="center"/>
    </xf>
    <xf numFmtId="164" fontId="2" fillId="4" borderId="1" xfId="1" applyNumberFormat="1" applyFont="1" applyFill="1" applyBorder="1" applyAlignment="1">
      <alignment horizontal="center" vertical="center" wrapText="1"/>
    </xf>
    <xf numFmtId="164" fontId="0" fillId="4" borderId="0" xfId="0" applyNumberFormat="1" applyFill="1" applyAlignment="1">
      <alignment horizontal="center" vertical="center"/>
    </xf>
    <xf numFmtId="164" fontId="0" fillId="4" borderId="1" xfId="1" applyNumberFormat="1" applyFont="1" applyFill="1" applyBorder="1" applyAlignment="1">
      <alignment horizontal="center" vertical="center"/>
    </xf>
    <xf numFmtId="164" fontId="1" fillId="4" borderId="3"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9" fillId="8" borderId="1" xfId="1" applyNumberFormat="1" applyFont="1" applyFill="1" applyBorder="1" applyAlignment="1">
      <alignment horizontal="center"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164" fontId="0" fillId="0" borderId="0" xfId="0" applyNumberFormat="1"/>
    <xf numFmtId="164" fontId="0" fillId="0" borderId="0" xfId="0" applyNumberFormat="1" applyAlignment="1">
      <alignment horizontal="center" vertical="center"/>
    </xf>
    <xf numFmtId="164" fontId="11" fillId="7" borderId="1"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xf numFmtId="43" fontId="0" fillId="0" borderId="0" xfId="1" applyFont="1" applyAlignment="1">
      <alignment horizontal="center" vertical="center"/>
    </xf>
    <xf numFmtId="43" fontId="0" fillId="0" borderId="0" xfId="1" applyFont="1"/>
    <xf numFmtId="165" fontId="0" fillId="0" borderId="0" xfId="0" applyNumberFormat="1"/>
    <xf numFmtId="164" fontId="21" fillId="10" borderId="1" xfId="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455083</xdr:colOff>
      <xdr:row>4</xdr:row>
      <xdr:rowOff>53975</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55033</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14817</xdr:colOff>
      <xdr:row>5</xdr:row>
      <xdr:rowOff>34925</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186266</xdr:colOff>
      <xdr:row>3</xdr:row>
      <xdr:rowOff>168275</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247650</xdr:colOff>
      <xdr:row>5</xdr:row>
      <xdr:rowOff>187325</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835025</xdr:colOff>
      <xdr:row>5</xdr:row>
      <xdr:rowOff>149225</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15875</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606425</xdr:colOff>
      <xdr:row>5</xdr:row>
      <xdr:rowOff>15875</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0"/>
  <sheetViews>
    <sheetView tabSelected="1" topLeftCell="B1" zoomScale="65" zoomScaleNormal="65" zoomScalePageLayoutView="78" workbookViewId="0">
      <pane ySplit="9" topLeftCell="A10" activePane="bottomLeft" state="frozen"/>
      <selection pane="bottomLeft" activeCell="K71" sqref="K71"/>
    </sheetView>
  </sheetViews>
  <sheetFormatPr baseColWidth="10" defaultColWidth="8.7109375" defaultRowHeight="15" x14ac:dyDescent="0.25"/>
  <cols>
    <col min="2" max="2" width="27.5703125" style="30" customWidth="1"/>
    <col min="3" max="3" width="81.42578125" style="33" customWidth="1"/>
    <col min="4" max="4" width="19" style="39" customWidth="1"/>
    <col min="5" max="5" width="17.140625" style="39" customWidth="1"/>
    <col min="6" max="6" width="17" style="51" customWidth="1"/>
    <col min="7" max="7" width="18.140625" style="30" customWidth="1"/>
    <col min="8" max="8" width="16.5703125" style="30" customWidth="1"/>
    <col min="9" max="9" width="11.7109375" style="30" customWidth="1"/>
    <col min="10" max="10" width="14.42578125" style="30" bestFit="1" customWidth="1"/>
    <col min="11" max="11" width="13.7109375" style="39" customWidth="1"/>
    <col min="12" max="12" width="16.140625" style="54" bestFit="1" customWidth="1"/>
    <col min="13" max="13" width="11.5703125" customWidth="1"/>
    <col min="14" max="14" width="17.8554687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55" t="s">
        <v>5</v>
      </c>
      <c r="D1" s="37"/>
      <c r="E1" s="37"/>
      <c r="F1" s="51"/>
      <c r="G1" s="26"/>
      <c r="H1" s="26"/>
      <c r="I1" s="26"/>
      <c r="J1" s="26"/>
      <c r="K1" s="39"/>
      <c r="L1" s="54"/>
      <c r="P1" s="9"/>
      <c r="Q1" s="9"/>
      <c r="R1" s="9"/>
      <c r="S1" s="9"/>
    </row>
    <row r="2" spans="2:19" ht="15.75" x14ac:dyDescent="0.25">
      <c r="B2" s="27"/>
      <c r="C2" s="56"/>
      <c r="D2" s="38"/>
      <c r="E2" s="38"/>
      <c r="G2" s="26"/>
      <c r="H2" s="26"/>
      <c r="I2" s="26"/>
      <c r="J2" s="26"/>
      <c r="M2" s="3"/>
      <c r="N2" s="3"/>
      <c r="O2" s="3"/>
    </row>
    <row r="3" spans="2:19" ht="31.5" x14ac:dyDescent="0.25">
      <c r="C3" s="57" t="s">
        <v>6</v>
      </c>
      <c r="D3" s="38"/>
      <c r="E3" s="38"/>
      <c r="G3" s="26"/>
      <c r="H3" s="26"/>
      <c r="I3" s="26"/>
      <c r="J3" s="26"/>
      <c r="M3" s="3"/>
      <c r="N3" s="3"/>
      <c r="O3" s="3"/>
    </row>
    <row r="4" spans="2:19" x14ac:dyDescent="0.25">
      <c r="B4" s="26"/>
      <c r="C4" s="58"/>
      <c r="G4" s="26"/>
      <c r="H4" s="26"/>
      <c r="I4" s="26"/>
      <c r="J4" s="26"/>
      <c r="M4" s="3"/>
      <c r="N4" s="3"/>
      <c r="O4" s="3"/>
    </row>
    <row r="5" spans="2:19" ht="15.75" x14ac:dyDescent="0.25">
      <c r="C5" s="57" t="s">
        <v>7</v>
      </c>
      <c r="G5" s="26"/>
      <c r="H5" s="26"/>
      <c r="I5" s="26"/>
      <c r="J5" s="26"/>
      <c r="M5" s="3"/>
      <c r="N5" s="3"/>
      <c r="O5" s="3"/>
    </row>
    <row r="6" spans="2:19" x14ac:dyDescent="0.25">
      <c r="B6" s="26"/>
      <c r="C6" s="31"/>
      <c r="G6" s="26"/>
      <c r="H6" s="26"/>
      <c r="I6" s="26"/>
      <c r="J6" s="26"/>
      <c r="M6" s="3"/>
      <c r="N6" s="3"/>
      <c r="O6" s="3"/>
    </row>
    <row r="7" spans="2:19" ht="88.5" customHeight="1" x14ac:dyDescent="0.25">
      <c r="B7" s="17" t="s">
        <v>8</v>
      </c>
      <c r="C7" s="32" t="s">
        <v>9</v>
      </c>
      <c r="D7" s="98" t="s">
        <v>47</v>
      </c>
      <c r="E7" s="98"/>
      <c r="F7" s="98"/>
      <c r="G7" s="98" t="s">
        <v>10</v>
      </c>
      <c r="H7" s="98"/>
      <c r="I7" s="98"/>
      <c r="J7" s="99" t="s">
        <v>48</v>
      </c>
      <c r="K7" s="99"/>
      <c r="L7" s="99"/>
      <c r="M7" s="99" t="s">
        <v>11</v>
      </c>
      <c r="N7" s="99"/>
      <c r="O7" s="99"/>
    </row>
    <row r="8" spans="2:19" ht="45" customHeight="1" x14ac:dyDescent="0.25">
      <c r="B8" s="100" t="s">
        <v>92</v>
      </c>
      <c r="C8" s="100"/>
      <c r="D8" s="100"/>
      <c r="E8" s="100"/>
      <c r="F8" s="100"/>
      <c r="G8" s="100"/>
      <c r="H8" s="100"/>
      <c r="I8" s="100"/>
      <c r="J8" s="100"/>
      <c r="K8" s="100"/>
      <c r="L8" s="100"/>
      <c r="M8" s="100"/>
      <c r="N8" s="100"/>
      <c r="O8" s="100"/>
    </row>
    <row r="9" spans="2:19" s="49" customFormat="1" ht="37.5" customHeight="1" x14ac:dyDescent="0.3">
      <c r="B9" s="44"/>
      <c r="C9" s="45"/>
      <c r="D9" s="46" t="s">
        <v>56</v>
      </c>
      <c r="E9" s="46" t="s">
        <v>57</v>
      </c>
      <c r="F9" s="52" t="s">
        <v>58</v>
      </c>
      <c r="G9" s="44" t="s">
        <v>56</v>
      </c>
      <c r="H9" s="46" t="s">
        <v>57</v>
      </c>
      <c r="I9" s="44" t="s">
        <v>58</v>
      </c>
      <c r="J9" s="44" t="s">
        <v>56</v>
      </c>
      <c r="K9" s="46" t="s">
        <v>117</v>
      </c>
      <c r="L9" s="52" t="s">
        <v>58</v>
      </c>
      <c r="M9" s="44" t="s">
        <v>56</v>
      </c>
      <c r="N9" s="44" t="s">
        <v>57</v>
      </c>
      <c r="O9" s="47" t="s">
        <v>58</v>
      </c>
      <c r="P9" s="48"/>
      <c r="Q9" s="48"/>
      <c r="R9" s="48"/>
      <c r="S9" s="48"/>
    </row>
    <row r="10" spans="2:19" ht="45.6" customHeight="1" x14ac:dyDescent="0.25">
      <c r="B10" s="97" t="s">
        <v>94</v>
      </c>
      <c r="C10" s="97"/>
      <c r="D10" s="97"/>
      <c r="E10" s="97"/>
      <c r="F10" s="97"/>
      <c r="G10" s="97"/>
      <c r="H10" s="97"/>
      <c r="I10" s="97"/>
      <c r="J10" s="97"/>
      <c r="K10" s="97"/>
      <c r="L10" s="97"/>
      <c r="M10" s="97"/>
      <c r="N10" s="97"/>
      <c r="O10" s="97"/>
    </row>
    <row r="11" spans="2:19" ht="118.5" customHeight="1" x14ac:dyDescent="0.25">
      <c r="B11" s="17" t="s">
        <v>118</v>
      </c>
      <c r="C11" s="32" t="s">
        <v>95</v>
      </c>
      <c r="D11" s="36"/>
      <c r="E11" s="36">
        <f>49500*1.42857142857143</f>
        <v>70714.285714285783</v>
      </c>
      <c r="F11" s="36"/>
      <c r="G11" s="2"/>
      <c r="H11" s="2">
        <v>100</v>
      </c>
      <c r="I11" s="2"/>
      <c r="J11" s="2"/>
      <c r="K11" s="42">
        <f>44799+25000</f>
        <v>69799</v>
      </c>
      <c r="L11" s="36"/>
      <c r="M11" s="2"/>
      <c r="N11" s="2"/>
      <c r="O11" s="6"/>
    </row>
    <row r="12" spans="2:19" ht="90.75" customHeight="1" x14ac:dyDescent="0.25">
      <c r="B12" s="17" t="s">
        <v>119</v>
      </c>
      <c r="C12" s="32" t="s">
        <v>96</v>
      </c>
      <c r="D12" s="36"/>
      <c r="E12" s="36">
        <f>39900*1.42857142857143</f>
        <v>57000.000000000051</v>
      </c>
      <c r="F12" s="36"/>
      <c r="G12" s="2"/>
      <c r="H12" s="2">
        <v>100</v>
      </c>
      <c r="I12" s="2"/>
      <c r="J12" s="2"/>
      <c r="K12" s="36">
        <f>15843+22738</f>
        <v>38581</v>
      </c>
      <c r="L12" s="36"/>
      <c r="M12" s="2"/>
      <c r="N12" s="2"/>
      <c r="O12" s="6"/>
    </row>
    <row r="13" spans="2:19" ht="113.45" customHeight="1" x14ac:dyDescent="0.25">
      <c r="B13" s="17" t="s">
        <v>120</v>
      </c>
      <c r="C13" s="32" t="s">
        <v>97</v>
      </c>
      <c r="D13" s="36"/>
      <c r="E13" s="36">
        <f>39900*1.42857142857143</f>
        <v>57000.000000000051</v>
      </c>
      <c r="F13" s="36"/>
      <c r="G13" s="2"/>
      <c r="H13" s="2">
        <v>100</v>
      </c>
      <c r="I13" s="2"/>
      <c r="J13" s="2"/>
      <c r="K13" s="36">
        <v>48264</v>
      </c>
      <c r="L13" s="36"/>
      <c r="M13" s="2"/>
      <c r="N13" s="2"/>
      <c r="O13" s="6"/>
    </row>
    <row r="14" spans="2:19" ht="115.5" customHeight="1" x14ac:dyDescent="0.25">
      <c r="B14" s="17" t="s">
        <v>121</v>
      </c>
      <c r="C14" s="32" t="s">
        <v>98</v>
      </c>
      <c r="D14" s="36"/>
      <c r="E14" s="36">
        <f>1.42857142857143*200500</f>
        <v>286428.57142857171</v>
      </c>
      <c r="F14" s="36"/>
      <c r="G14" s="2"/>
      <c r="H14" s="2">
        <v>100</v>
      </c>
      <c r="I14" s="2"/>
      <c r="J14" s="2"/>
      <c r="K14" s="36">
        <f>12000+148218+58830</f>
        <v>219048</v>
      </c>
      <c r="L14" s="36"/>
      <c r="M14" s="2"/>
      <c r="N14" s="2"/>
      <c r="O14" s="6"/>
    </row>
    <row r="15" spans="2:19" ht="55.5" customHeight="1" x14ac:dyDescent="0.25">
      <c r="B15" s="17" t="s">
        <v>122</v>
      </c>
      <c r="C15" s="32" t="s">
        <v>99</v>
      </c>
      <c r="D15" s="36"/>
      <c r="E15" s="36">
        <f>1.42857142857143*35000</f>
        <v>50000.000000000051</v>
      </c>
      <c r="F15" s="36"/>
      <c r="G15" s="2"/>
      <c r="H15" s="2">
        <v>100</v>
      </c>
      <c r="I15" s="2"/>
      <c r="J15" s="2"/>
      <c r="K15" s="36">
        <f>14262+33600</f>
        <v>47862</v>
      </c>
      <c r="L15" s="36"/>
      <c r="M15" s="2"/>
      <c r="N15" s="2"/>
      <c r="O15" s="6"/>
      <c r="S15" s="10"/>
    </row>
    <row r="16" spans="2:19" ht="39.950000000000003" customHeight="1" x14ac:dyDescent="0.25">
      <c r="B16" s="101" t="s">
        <v>93</v>
      </c>
      <c r="C16" s="102"/>
      <c r="D16" s="102"/>
      <c r="E16" s="102"/>
      <c r="F16" s="102"/>
      <c r="G16" s="102"/>
      <c r="H16" s="102"/>
      <c r="I16" s="102"/>
      <c r="J16" s="102"/>
      <c r="K16" s="102"/>
      <c r="L16" s="102"/>
      <c r="M16" s="102"/>
      <c r="N16" s="102"/>
      <c r="O16" s="102"/>
    </row>
    <row r="17" spans="2:18" ht="70.5" customHeight="1" x14ac:dyDescent="0.25">
      <c r="B17" s="17" t="s">
        <v>125</v>
      </c>
      <c r="C17" s="32" t="s">
        <v>100</v>
      </c>
      <c r="D17" s="36"/>
      <c r="E17" s="36">
        <f>1.42857142857143*42000</f>
        <v>60000.000000000058</v>
      </c>
      <c r="F17" s="36"/>
      <c r="G17" s="2"/>
      <c r="H17" s="2">
        <v>100</v>
      </c>
      <c r="I17" s="2"/>
      <c r="J17" s="2"/>
      <c r="K17" s="36">
        <f>16300+44529</f>
        <v>60829</v>
      </c>
      <c r="L17" s="35"/>
      <c r="M17" s="4"/>
      <c r="N17" s="4"/>
      <c r="O17" s="7"/>
      <c r="R17" s="10"/>
    </row>
    <row r="18" spans="2:18" ht="72" customHeight="1" x14ac:dyDescent="0.25">
      <c r="B18" s="17" t="s">
        <v>126</v>
      </c>
      <c r="C18" s="32" t="s">
        <v>101</v>
      </c>
      <c r="D18" s="36"/>
      <c r="E18" s="36">
        <f>1.42857142857143*35000</f>
        <v>50000.000000000051</v>
      </c>
      <c r="F18" s="36"/>
      <c r="G18" s="2"/>
      <c r="H18" s="2">
        <v>100</v>
      </c>
      <c r="I18" s="2"/>
      <c r="J18" s="2"/>
      <c r="K18" s="36">
        <v>42610</v>
      </c>
      <c r="L18" s="35"/>
      <c r="M18" s="4"/>
      <c r="N18" s="4"/>
      <c r="O18" s="7"/>
    </row>
    <row r="19" spans="2:18" ht="65.25" customHeight="1" x14ac:dyDescent="0.25">
      <c r="B19" s="17" t="s">
        <v>127</v>
      </c>
      <c r="C19" s="32" t="s">
        <v>102</v>
      </c>
      <c r="D19" s="36"/>
      <c r="E19" s="36">
        <f>1.42857142857143*28000</f>
        <v>40000.000000000036</v>
      </c>
      <c r="F19" s="36"/>
      <c r="G19" s="2"/>
      <c r="H19" s="2">
        <v>100</v>
      </c>
      <c r="I19" s="2"/>
      <c r="J19" s="2"/>
      <c r="K19" s="36">
        <v>40432</v>
      </c>
      <c r="L19" s="35"/>
      <c r="M19" s="4"/>
      <c r="N19" s="4"/>
      <c r="O19" s="7"/>
      <c r="R19" s="10"/>
    </row>
    <row r="20" spans="2:18" ht="91.5" customHeight="1" x14ac:dyDescent="0.25">
      <c r="B20" s="17" t="s">
        <v>104</v>
      </c>
      <c r="C20" s="32" t="s">
        <v>103</v>
      </c>
      <c r="D20" s="36"/>
      <c r="E20" s="36">
        <f>1.42857142857143*28696.5</f>
        <v>40995.000000000036</v>
      </c>
      <c r="F20" s="36"/>
      <c r="G20" s="2"/>
      <c r="H20" s="2">
        <v>100</v>
      </c>
      <c r="I20" s="2"/>
      <c r="J20" s="2"/>
      <c r="K20" s="36">
        <v>40916</v>
      </c>
      <c r="L20" s="35"/>
      <c r="M20" s="4"/>
      <c r="N20" s="4"/>
      <c r="O20" s="7"/>
      <c r="R20" s="10"/>
    </row>
    <row r="21" spans="2:18" ht="70.5" customHeight="1" x14ac:dyDescent="0.25">
      <c r="B21" s="17" t="s">
        <v>128</v>
      </c>
      <c r="C21" s="32" t="s">
        <v>105</v>
      </c>
      <c r="D21" s="36"/>
      <c r="E21" s="36">
        <f>1.42857142857143*35028.7</f>
        <v>50041.000000000044</v>
      </c>
      <c r="F21" s="36"/>
      <c r="G21" s="2"/>
      <c r="H21" s="2">
        <v>100</v>
      </c>
      <c r="I21" s="2"/>
      <c r="J21" s="2"/>
      <c r="K21" s="36">
        <f>27940+12520</f>
        <v>40460</v>
      </c>
      <c r="L21" s="35"/>
      <c r="M21" s="4"/>
      <c r="N21" s="4"/>
      <c r="O21" s="7"/>
    </row>
    <row r="22" spans="2:18" ht="68.099999999999994" customHeight="1" x14ac:dyDescent="0.25">
      <c r="B22" s="101" t="s">
        <v>81</v>
      </c>
      <c r="C22" s="102"/>
      <c r="D22" s="102"/>
      <c r="E22" s="102"/>
      <c r="F22" s="102"/>
      <c r="G22" s="102"/>
      <c r="H22" s="102"/>
      <c r="I22" s="102"/>
      <c r="J22" s="102"/>
      <c r="K22" s="102"/>
      <c r="L22" s="102"/>
      <c r="M22" s="102"/>
      <c r="N22" s="102"/>
      <c r="O22" s="102"/>
    </row>
    <row r="23" spans="2:18" ht="75.599999999999994" customHeight="1" x14ac:dyDescent="0.25">
      <c r="B23" s="2" t="s">
        <v>12</v>
      </c>
      <c r="C23" s="18" t="s">
        <v>82</v>
      </c>
      <c r="D23" s="36"/>
      <c r="E23" s="36"/>
      <c r="F23" s="36">
        <v>60000</v>
      </c>
      <c r="G23" s="2"/>
      <c r="H23" s="2"/>
      <c r="I23" s="2"/>
      <c r="J23" s="2"/>
      <c r="K23" s="36"/>
      <c r="L23" s="35">
        <v>73643.41</v>
      </c>
      <c r="M23" s="4"/>
      <c r="N23" s="4"/>
      <c r="O23" s="7"/>
    </row>
    <row r="24" spans="2:18" ht="39.950000000000003" customHeight="1" x14ac:dyDescent="0.25">
      <c r="B24" s="2" t="s">
        <v>13</v>
      </c>
      <c r="C24" s="20"/>
      <c r="D24" s="36"/>
      <c r="E24" s="36"/>
      <c r="F24" s="36"/>
      <c r="G24" s="2"/>
      <c r="H24" s="2"/>
      <c r="I24" s="2"/>
      <c r="J24" s="2"/>
      <c r="K24" s="36"/>
      <c r="L24" s="35"/>
      <c r="M24" s="4"/>
      <c r="N24" s="4"/>
      <c r="O24" s="7"/>
    </row>
    <row r="25" spans="2:18" ht="39.950000000000003" customHeight="1" x14ac:dyDescent="0.25">
      <c r="B25" s="2" t="s">
        <v>14</v>
      </c>
      <c r="C25" s="20"/>
      <c r="D25" s="36">
        <v>0</v>
      </c>
      <c r="E25" s="36"/>
      <c r="F25" s="36"/>
      <c r="G25" s="2"/>
      <c r="H25" s="2"/>
      <c r="I25" s="2"/>
      <c r="J25" s="2"/>
      <c r="K25" s="36"/>
      <c r="L25" s="35"/>
      <c r="M25" s="4"/>
      <c r="N25" s="4"/>
      <c r="O25" s="7"/>
    </row>
    <row r="26" spans="2:18" ht="39.950000000000003" customHeight="1" x14ac:dyDescent="0.25">
      <c r="B26" s="106" t="s">
        <v>43</v>
      </c>
      <c r="C26" s="106"/>
      <c r="D26" s="40"/>
      <c r="E26" s="40">
        <f>+E21+E20+E19+E18+E17+E15+E14+E13+E12+E11</f>
        <v>762178.85714285786</v>
      </c>
      <c r="F26" s="40">
        <f>+F23</f>
        <v>60000</v>
      </c>
      <c r="G26" s="19"/>
      <c r="H26" s="19"/>
      <c r="I26" s="19"/>
      <c r="J26" s="19"/>
      <c r="K26" s="40">
        <f>+K21+K20+K19+K18+K17+K15+K14+K13+K12+K11</f>
        <v>648801</v>
      </c>
      <c r="L26" s="50">
        <f>+L23</f>
        <v>73643.41</v>
      </c>
      <c r="M26" s="5"/>
      <c r="N26" s="5"/>
      <c r="O26" s="8"/>
    </row>
    <row r="27" spans="2:18" ht="39.950000000000003" customHeight="1" x14ac:dyDescent="0.25">
      <c r="B27" s="110" t="s">
        <v>115</v>
      </c>
      <c r="C27" s="110"/>
      <c r="D27" s="110"/>
      <c r="E27" s="110"/>
      <c r="F27" s="110"/>
      <c r="G27" s="110"/>
      <c r="H27" s="110"/>
      <c r="I27" s="110"/>
      <c r="J27" s="110"/>
      <c r="K27" s="110"/>
      <c r="L27" s="110"/>
      <c r="M27" s="110"/>
      <c r="N27" s="110"/>
      <c r="O27" s="110"/>
    </row>
    <row r="28" spans="2:18" ht="39.950000000000003" customHeight="1" x14ac:dyDescent="0.25">
      <c r="B28" s="103" t="s">
        <v>129</v>
      </c>
      <c r="C28" s="104"/>
      <c r="D28" s="104"/>
      <c r="E28" s="104"/>
      <c r="F28" s="104"/>
      <c r="G28" s="104"/>
      <c r="H28" s="104"/>
      <c r="I28" s="104"/>
      <c r="J28" s="104"/>
      <c r="K28" s="104"/>
      <c r="L28" s="104"/>
      <c r="M28" s="104"/>
      <c r="N28" s="104"/>
      <c r="O28" s="104"/>
    </row>
    <row r="29" spans="2:18" ht="39.950000000000003" customHeight="1" x14ac:dyDescent="0.25">
      <c r="B29" s="2" t="s">
        <v>15</v>
      </c>
      <c r="C29" s="20" t="s">
        <v>59</v>
      </c>
      <c r="D29" s="36">
        <f>20000</f>
        <v>20000</v>
      </c>
      <c r="E29" s="36"/>
      <c r="F29" s="36"/>
      <c r="G29" s="2">
        <v>50</v>
      </c>
      <c r="H29" s="2"/>
      <c r="I29" s="2"/>
      <c r="J29" s="35">
        <v>14000</v>
      </c>
      <c r="K29" s="43"/>
      <c r="L29" s="35"/>
      <c r="M29" s="4"/>
      <c r="N29" s="4"/>
      <c r="O29" s="7"/>
    </row>
    <row r="30" spans="2:18" ht="39.950000000000003" customHeight="1" x14ac:dyDescent="0.25">
      <c r="B30" s="2" t="s">
        <v>16</v>
      </c>
      <c r="C30" s="20" t="s">
        <v>130</v>
      </c>
      <c r="D30" s="36">
        <v>0</v>
      </c>
      <c r="E30" s="36"/>
      <c r="F30" s="36"/>
      <c r="G30" s="2"/>
      <c r="H30" s="2"/>
      <c r="I30" s="2"/>
      <c r="J30" s="35">
        <v>0</v>
      </c>
      <c r="K30" s="43"/>
      <c r="L30" s="35"/>
      <c r="M30" s="4"/>
      <c r="N30" s="4"/>
      <c r="O30" s="7"/>
    </row>
    <row r="31" spans="2:18" ht="39.950000000000003" customHeight="1" x14ac:dyDescent="0.25">
      <c r="B31" s="2" t="s">
        <v>17</v>
      </c>
      <c r="C31" s="20" t="s">
        <v>60</v>
      </c>
      <c r="D31" s="36">
        <f>180000</f>
        <v>180000</v>
      </c>
      <c r="E31" s="36"/>
      <c r="F31" s="36"/>
      <c r="G31" s="2">
        <v>50</v>
      </c>
      <c r="H31" s="2"/>
      <c r="I31" s="2"/>
      <c r="J31" s="35">
        <v>131959</v>
      </c>
      <c r="K31" s="43"/>
      <c r="L31" s="35"/>
      <c r="M31" s="4"/>
      <c r="N31" s="4"/>
      <c r="O31" s="7"/>
    </row>
    <row r="32" spans="2:18" ht="39.950000000000003" customHeight="1" x14ac:dyDescent="0.25">
      <c r="B32" s="2" t="s">
        <v>49</v>
      </c>
      <c r="C32" s="20" t="s">
        <v>51</v>
      </c>
      <c r="D32" s="36">
        <f>20000</f>
        <v>20000</v>
      </c>
      <c r="E32" s="36"/>
      <c r="F32" s="36"/>
      <c r="G32" s="2">
        <v>50</v>
      </c>
      <c r="H32" s="2"/>
      <c r="I32" s="2"/>
      <c r="J32" s="35">
        <v>14000</v>
      </c>
      <c r="K32" s="43"/>
      <c r="L32" s="35"/>
      <c r="M32" s="4"/>
      <c r="N32" s="4"/>
      <c r="O32" s="7"/>
    </row>
    <row r="33" spans="2:15" ht="39.950000000000003" customHeight="1" x14ac:dyDescent="0.25">
      <c r="B33" s="2" t="s">
        <v>50</v>
      </c>
      <c r="C33" s="20" t="s">
        <v>52</v>
      </c>
      <c r="D33" s="36">
        <f>15000</f>
        <v>15000</v>
      </c>
      <c r="E33" s="36"/>
      <c r="F33" s="36"/>
      <c r="G33" s="2">
        <v>50</v>
      </c>
      <c r="H33" s="2"/>
      <c r="I33" s="2"/>
      <c r="J33" s="35">
        <v>10500</v>
      </c>
      <c r="K33" s="43"/>
      <c r="L33" s="35"/>
      <c r="M33" s="4"/>
      <c r="N33" s="4"/>
      <c r="O33" s="7"/>
    </row>
    <row r="34" spans="2:15" ht="39.950000000000003" customHeight="1" x14ac:dyDescent="0.25">
      <c r="B34" s="2" t="s">
        <v>61</v>
      </c>
      <c r="C34" s="20" t="s">
        <v>62</v>
      </c>
      <c r="D34" s="36">
        <f>10000</f>
        <v>10000</v>
      </c>
      <c r="E34" s="36"/>
      <c r="F34" s="36"/>
      <c r="G34" s="2">
        <v>50</v>
      </c>
      <c r="H34" s="2"/>
      <c r="I34" s="2"/>
      <c r="J34" s="35">
        <v>7000</v>
      </c>
      <c r="K34" s="43"/>
      <c r="L34" s="35"/>
      <c r="M34" s="4"/>
      <c r="N34" s="4"/>
      <c r="O34" s="7"/>
    </row>
    <row r="35" spans="2:15" ht="39.950000000000003" customHeight="1" x14ac:dyDescent="0.25">
      <c r="B35" s="2" t="s">
        <v>63</v>
      </c>
      <c r="C35" s="20" t="s">
        <v>66</v>
      </c>
      <c r="D35" s="36">
        <f>55000</f>
        <v>55000</v>
      </c>
      <c r="E35" s="36"/>
      <c r="F35" s="36"/>
      <c r="G35" s="2">
        <v>50</v>
      </c>
      <c r="H35" s="2"/>
      <c r="I35" s="2"/>
      <c r="J35" s="35">
        <f>38500+12057.78+138540</f>
        <v>189097.78</v>
      </c>
      <c r="K35" s="43"/>
      <c r="L35" s="35"/>
      <c r="M35" s="4"/>
      <c r="N35" s="4"/>
      <c r="O35" s="7"/>
    </row>
    <row r="36" spans="2:15" ht="39.950000000000003" customHeight="1" x14ac:dyDescent="0.25">
      <c r="B36" s="2" t="s">
        <v>64</v>
      </c>
      <c r="C36" s="20" t="s">
        <v>67</v>
      </c>
      <c r="D36" s="36">
        <f>15000</f>
        <v>15000</v>
      </c>
      <c r="E36" s="36"/>
      <c r="F36" s="36"/>
      <c r="G36" s="2">
        <v>50</v>
      </c>
      <c r="H36" s="2"/>
      <c r="I36" s="2"/>
      <c r="J36" s="35">
        <v>10221</v>
      </c>
      <c r="K36" s="43"/>
      <c r="L36" s="35"/>
      <c r="M36" s="4"/>
      <c r="N36" s="4"/>
      <c r="O36" s="7"/>
    </row>
    <row r="37" spans="2:15" ht="39.950000000000003" customHeight="1" x14ac:dyDescent="0.25">
      <c r="B37" s="2" t="s">
        <v>65</v>
      </c>
      <c r="C37" s="20" t="s">
        <v>68</v>
      </c>
      <c r="D37" s="36">
        <f>30000</f>
        <v>30000</v>
      </c>
      <c r="E37" s="36"/>
      <c r="F37" s="36"/>
      <c r="G37" s="2">
        <v>50</v>
      </c>
      <c r="H37" s="2"/>
      <c r="I37" s="2"/>
      <c r="J37" s="34"/>
      <c r="K37" s="36"/>
      <c r="L37" s="35"/>
      <c r="M37" s="4"/>
      <c r="N37" s="4"/>
      <c r="O37" s="7"/>
    </row>
    <row r="38" spans="2:15" ht="39.950000000000003" customHeight="1" x14ac:dyDescent="0.25">
      <c r="B38" s="107" t="s">
        <v>116</v>
      </c>
      <c r="C38" s="107"/>
      <c r="D38" s="107"/>
      <c r="E38" s="107"/>
      <c r="F38" s="107"/>
      <c r="G38" s="107"/>
      <c r="H38" s="107"/>
      <c r="I38" s="107"/>
      <c r="J38" s="107"/>
      <c r="K38" s="107"/>
      <c r="L38" s="107"/>
      <c r="M38" s="107"/>
      <c r="N38" s="107"/>
      <c r="O38" s="107"/>
    </row>
    <row r="39" spans="2:15" ht="39.950000000000003" customHeight="1" x14ac:dyDescent="0.25">
      <c r="B39" s="2" t="s">
        <v>18</v>
      </c>
      <c r="C39" s="20" t="s">
        <v>69</v>
      </c>
      <c r="D39" s="36">
        <f>88000</f>
        <v>88000</v>
      </c>
      <c r="E39" s="36"/>
      <c r="F39" s="36"/>
      <c r="G39" s="2">
        <v>50</v>
      </c>
      <c r="H39" s="2"/>
      <c r="I39" s="2"/>
      <c r="J39" s="2">
        <v>71475</v>
      </c>
      <c r="K39" s="36"/>
      <c r="L39" s="35"/>
      <c r="M39" s="4"/>
      <c r="N39" s="4"/>
      <c r="O39" s="7"/>
    </row>
    <row r="40" spans="2:15" ht="39.950000000000003" customHeight="1" x14ac:dyDescent="0.25">
      <c r="B40" s="2" t="s">
        <v>19</v>
      </c>
      <c r="C40" s="20" t="s">
        <v>70</v>
      </c>
      <c r="D40" s="36">
        <f>20000</f>
        <v>20000</v>
      </c>
      <c r="E40" s="36"/>
      <c r="F40" s="36"/>
      <c r="G40" s="2">
        <v>50</v>
      </c>
      <c r="H40" s="2"/>
      <c r="I40" s="2"/>
      <c r="J40" s="2">
        <v>18215</v>
      </c>
      <c r="K40" s="36"/>
      <c r="L40" s="35"/>
      <c r="M40" s="4"/>
      <c r="N40" s="4"/>
      <c r="O40" s="7"/>
    </row>
    <row r="41" spans="2:15" ht="39.950000000000003" customHeight="1" x14ac:dyDescent="0.25">
      <c r="B41" s="2" t="s">
        <v>20</v>
      </c>
      <c r="C41" s="20" t="s">
        <v>71</v>
      </c>
      <c r="D41" s="36">
        <f>100000</f>
        <v>100000</v>
      </c>
      <c r="E41" s="36"/>
      <c r="F41" s="36"/>
      <c r="G41" s="2">
        <v>50</v>
      </c>
      <c r="H41" s="2"/>
      <c r="I41" s="2"/>
      <c r="J41" s="2">
        <v>99159</v>
      </c>
      <c r="K41" s="36"/>
      <c r="L41" s="35"/>
      <c r="M41" s="4"/>
      <c r="N41" s="4"/>
      <c r="O41" s="7"/>
    </row>
    <row r="42" spans="2:15" ht="60" customHeight="1" x14ac:dyDescent="0.25">
      <c r="B42" s="2" t="s">
        <v>72</v>
      </c>
      <c r="C42" s="20" t="s">
        <v>73</v>
      </c>
      <c r="D42" s="36">
        <f>30000</f>
        <v>30000</v>
      </c>
      <c r="E42" s="36"/>
      <c r="F42" s="36"/>
      <c r="G42" s="2">
        <v>50</v>
      </c>
      <c r="H42" s="2"/>
      <c r="I42" s="2"/>
      <c r="J42" s="2">
        <v>21000</v>
      </c>
      <c r="K42" s="36"/>
      <c r="L42" s="35"/>
      <c r="M42" s="4"/>
      <c r="N42" s="4"/>
      <c r="O42" s="7"/>
    </row>
    <row r="43" spans="2:15" ht="39.950000000000003" customHeight="1" x14ac:dyDescent="0.25">
      <c r="B43" s="2" t="s">
        <v>74</v>
      </c>
      <c r="C43" s="20" t="s">
        <v>55</v>
      </c>
      <c r="D43" s="36">
        <f>15000</f>
        <v>15000</v>
      </c>
      <c r="E43" s="36"/>
      <c r="F43" s="36"/>
      <c r="G43" s="2">
        <v>50</v>
      </c>
      <c r="H43" s="2"/>
      <c r="I43" s="2"/>
      <c r="J43" s="2">
        <v>26189</v>
      </c>
      <c r="K43" s="36"/>
      <c r="L43" s="35"/>
      <c r="M43" s="4"/>
      <c r="N43" s="4"/>
      <c r="O43" s="7"/>
    </row>
    <row r="44" spans="2:15" ht="102.6" customHeight="1" x14ac:dyDescent="0.25">
      <c r="B44" s="2" t="s">
        <v>75</v>
      </c>
      <c r="C44" s="20" t="s">
        <v>76</v>
      </c>
      <c r="D44" s="36">
        <f>45000</f>
        <v>45000</v>
      </c>
      <c r="E44" s="36"/>
      <c r="F44" s="36"/>
      <c r="G44" s="2">
        <v>50</v>
      </c>
      <c r="H44" s="2"/>
      <c r="I44" s="2"/>
      <c r="J44" s="2">
        <v>31500</v>
      </c>
      <c r="K44" s="36"/>
      <c r="L44" s="35"/>
      <c r="M44" s="4"/>
      <c r="N44" s="4"/>
      <c r="O44" s="7"/>
    </row>
    <row r="45" spans="2:15" ht="65.45" customHeight="1" x14ac:dyDescent="0.25">
      <c r="B45" s="111" t="s">
        <v>83</v>
      </c>
      <c r="C45" s="112"/>
      <c r="D45" s="112"/>
      <c r="E45" s="112"/>
      <c r="F45" s="112"/>
      <c r="G45" s="112"/>
      <c r="H45" s="112"/>
      <c r="I45" s="112"/>
      <c r="J45" s="112"/>
      <c r="K45" s="112"/>
      <c r="L45" s="112"/>
      <c r="M45" s="112"/>
      <c r="N45" s="112"/>
      <c r="O45" s="112"/>
    </row>
    <row r="46" spans="2:15" ht="62.25" customHeight="1" x14ac:dyDescent="0.25">
      <c r="B46" s="2" t="s">
        <v>21</v>
      </c>
      <c r="C46" s="20" t="s">
        <v>84</v>
      </c>
      <c r="D46" s="36"/>
      <c r="E46" s="36"/>
      <c r="F46" s="53">
        <v>54800</v>
      </c>
      <c r="G46" s="2"/>
      <c r="H46" s="2"/>
      <c r="I46" s="2"/>
      <c r="J46" s="2"/>
      <c r="K46" s="36"/>
      <c r="L46" s="35">
        <v>12005.24</v>
      </c>
      <c r="M46" s="4"/>
      <c r="N46" s="4"/>
      <c r="O46" s="7"/>
    </row>
    <row r="47" spans="2:15" ht="110.1" customHeight="1" x14ac:dyDescent="0.25">
      <c r="B47" s="2" t="s">
        <v>22</v>
      </c>
      <c r="C47" s="18" t="s">
        <v>85</v>
      </c>
      <c r="D47" s="36"/>
      <c r="E47" s="36"/>
      <c r="F47" s="53">
        <v>25000</v>
      </c>
      <c r="G47" s="2"/>
      <c r="H47" s="2"/>
      <c r="I47" s="2"/>
      <c r="J47" s="2"/>
      <c r="K47" s="36"/>
      <c r="L47" s="35">
        <v>23233.14</v>
      </c>
      <c r="M47" s="4"/>
      <c r="N47" s="4"/>
      <c r="O47" s="7"/>
    </row>
    <row r="48" spans="2:15" ht="150.6" customHeight="1" x14ac:dyDescent="0.25">
      <c r="B48" s="2" t="s">
        <v>23</v>
      </c>
      <c r="C48" s="18" t="s">
        <v>86</v>
      </c>
      <c r="D48" s="36"/>
      <c r="E48" s="36"/>
      <c r="F48" s="53">
        <v>68000</v>
      </c>
      <c r="G48" s="2"/>
      <c r="H48" s="2"/>
      <c r="I48" s="2"/>
      <c r="J48" s="2"/>
      <c r="K48" s="36"/>
      <c r="L48" s="35">
        <v>44910.15</v>
      </c>
      <c r="M48" s="4"/>
      <c r="N48" s="4"/>
      <c r="O48" s="7"/>
    </row>
    <row r="49" spans="2:19" ht="39.950000000000003" customHeight="1" x14ac:dyDescent="0.25">
      <c r="B49" s="2" t="s">
        <v>53</v>
      </c>
      <c r="C49" s="18" t="s">
        <v>55</v>
      </c>
      <c r="D49" s="36">
        <f>15000</f>
        <v>15000</v>
      </c>
      <c r="E49" s="36"/>
      <c r="F49" s="36"/>
      <c r="G49" s="2"/>
      <c r="H49" s="2"/>
      <c r="I49" s="2"/>
      <c r="J49" s="2">
        <v>10300</v>
      </c>
      <c r="K49" s="36"/>
      <c r="L49" s="35"/>
      <c r="M49" s="4"/>
      <c r="N49" s="4"/>
      <c r="O49" s="7"/>
    </row>
    <row r="50" spans="2:19" ht="39.950000000000003" customHeight="1" x14ac:dyDescent="0.25">
      <c r="B50" s="2" t="s">
        <v>54</v>
      </c>
      <c r="C50" s="20"/>
      <c r="D50" s="36"/>
      <c r="E50" s="36"/>
      <c r="F50" s="36"/>
      <c r="G50" s="2"/>
      <c r="H50" s="2"/>
      <c r="I50" s="2"/>
      <c r="J50" s="2"/>
      <c r="K50" s="36"/>
      <c r="L50" s="35"/>
      <c r="M50" s="4"/>
      <c r="N50" s="4"/>
      <c r="O50" s="7"/>
    </row>
    <row r="51" spans="2:19" s="1" customFormat="1" ht="39.950000000000003" customHeight="1" x14ac:dyDescent="0.25">
      <c r="B51" s="19" t="s">
        <v>44</v>
      </c>
      <c r="C51" s="21"/>
      <c r="D51" s="40">
        <f>+D49+D44+D43+D42+D41+D40+D29+D31+D32+D33+D34+D35+D36+D37+D39</f>
        <v>658000</v>
      </c>
      <c r="E51" s="40"/>
      <c r="F51" s="40">
        <f>SUM(F46:F50)</f>
        <v>147800</v>
      </c>
      <c r="G51" s="19"/>
      <c r="H51" s="19"/>
      <c r="I51" s="19"/>
      <c r="J51" s="19">
        <f>+J49+J44+J43+J42+J40+J35+J34+J33+J32+J31+J29+J39+J41+J36</f>
        <v>654615.78</v>
      </c>
      <c r="K51" s="40">
        <v>0</v>
      </c>
      <c r="L51" s="50">
        <f>+L48+L47+L46</f>
        <v>80148.530000000013</v>
      </c>
      <c r="M51" s="22"/>
      <c r="N51" s="22"/>
      <c r="O51" s="8"/>
      <c r="P51" s="13"/>
      <c r="Q51" s="13"/>
      <c r="R51" s="13"/>
      <c r="S51" s="13"/>
    </row>
    <row r="52" spans="2:19" ht="39.950000000000003" customHeight="1" x14ac:dyDescent="0.25">
      <c r="B52" s="108" t="s">
        <v>87</v>
      </c>
      <c r="C52" s="108"/>
      <c r="D52" s="108"/>
      <c r="E52" s="108"/>
      <c r="F52" s="108"/>
      <c r="G52" s="108"/>
      <c r="H52" s="108"/>
      <c r="I52" s="108"/>
      <c r="J52" s="108"/>
      <c r="K52" s="108"/>
      <c r="L52" s="108"/>
      <c r="M52" s="108"/>
      <c r="N52" s="108"/>
      <c r="O52" s="108"/>
    </row>
    <row r="53" spans="2:19" ht="39.950000000000003" customHeight="1" x14ac:dyDescent="0.25">
      <c r="B53" s="109" t="s">
        <v>88</v>
      </c>
      <c r="C53" s="109"/>
      <c r="D53" s="109"/>
      <c r="E53" s="109"/>
      <c r="F53" s="109"/>
      <c r="G53" s="109"/>
      <c r="H53" s="109"/>
      <c r="I53" s="109"/>
      <c r="J53" s="109"/>
      <c r="K53" s="109"/>
      <c r="L53" s="109"/>
      <c r="M53" s="109"/>
      <c r="N53" s="109"/>
      <c r="O53" s="109"/>
    </row>
    <row r="54" spans="2:19" ht="78.95" customHeight="1" x14ac:dyDescent="0.25">
      <c r="B54" s="2" t="s">
        <v>24</v>
      </c>
      <c r="C54" s="20" t="s">
        <v>89</v>
      </c>
      <c r="D54" s="36"/>
      <c r="E54" s="36"/>
      <c r="F54" s="53">
        <v>10000</v>
      </c>
      <c r="G54" s="2"/>
      <c r="H54" s="2"/>
      <c r="I54" s="2"/>
      <c r="J54" s="2"/>
      <c r="K54" s="36"/>
      <c r="L54" s="35">
        <v>2047</v>
      </c>
      <c r="M54" s="4"/>
      <c r="N54" s="4"/>
      <c r="O54" s="7"/>
    </row>
    <row r="55" spans="2:19" ht="110.1" customHeight="1" x14ac:dyDescent="0.25">
      <c r="B55" s="2" t="s">
        <v>25</v>
      </c>
      <c r="C55" s="20" t="s">
        <v>90</v>
      </c>
      <c r="D55" s="36"/>
      <c r="E55" s="36"/>
      <c r="F55" s="53">
        <v>35000</v>
      </c>
      <c r="G55" s="2"/>
      <c r="H55" s="2"/>
      <c r="I55" s="2"/>
      <c r="J55" s="2"/>
      <c r="K55" s="36"/>
      <c r="L55" s="35">
        <v>18956.48</v>
      </c>
      <c r="M55" s="4"/>
      <c r="N55" s="4"/>
      <c r="O55" s="7"/>
    </row>
    <row r="56" spans="2:19" ht="39.950000000000003" customHeight="1" x14ac:dyDescent="0.25">
      <c r="B56" s="2" t="s">
        <v>26</v>
      </c>
      <c r="C56" s="20" t="s">
        <v>91</v>
      </c>
      <c r="D56" s="36"/>
      <c r="E56" s="36"/>
      <c r="F56" s="53">
        <v>95000</v>
      </c>
      <c r="G56" s="2"/>
      <c r="H56" s="2"/>
      <c r="I56" s="2"/>
      <c r="J56" s="2"/>
      <c r="K56" s="36"/>
      <c r="L56" s="35">
        <v>40027.07</v>
      </c>
      <c r="M56" s="4"/>
      <c r="N56" s="4"/>
      <c r="O56" s="7"/>
    </row>
    <row r="57" spans="2:19" ht="49.5" customHeight="1" x14ac:dyDescent="0.25">
      <c r="B57" s="2" t="s">
        <v>77</v>
      </c>
      <c r="C57" s="20" t="s">
        <v>79</v>
      </c>
      <c r="D57" s="36">
        <f>52500</f>
        <v>52500</v>
      </c>
      <c r="E57" s="36"/>
      <c r="F57" s="36"/>
      <c r="G57" s="2">
        <v>50</v>
      </c>
      <c r="H57" s="2"/>
      <c r="I57" s="2"/>
      <c r="J57" s="2">
        <v>44739</v>
      </c>
      <c r="K57" s="36"/>
      <c r="L57" s="35"/>
      <c r="M57" s="4"/>
      <c r="N57" s="4"/>
      <c r="O57" s="7"/>
    </row>
    <row r="58" spans="2:19" ht="89.1" customHeight="1" x14ac:dyDescent="0.25">
      <c r="B58" s="2" t="s">
        <v>78</v>
      </c>
      <c r="C58" s="20" t="s">
        <v>80</v>
      </c>
      <c r="D58" s="36">
        <f>55000</f>
        <v>55000</v>
      </c>
      <c r="E58" s="36"/>
      <c r="F58" s="36"/>
      <c r="G58" s="2">
        <v>50</v>
      </c>
      <c r="H58" s="2"/>
      <c r="I58" s="2"/>
      <c r="J58" s="2">
        <v>30067</v>
      </c>
      <c r="K58" s="36"/>
      <c r="L58" s="35"/>
      <c r="M58" s="4"/>
      <c r="N58" s="4"/>
      <c r="O58" s="7"/>
    </row>
    <row r="59" spans="2:19" ht="39.950000000000003" customHeight="1" x14ac:dyDescent="0.25">
      <c r="B59" s="2" t="s">
        <v>107</v>
      </c>
      <c r="C59" s="20" t="s">
        <v>109</v>
      </c>
      <c r="D59" s="36">
        <f>65000</f>
        <v>65000</v>
      </c>
      <c r="E59" s="36"/>
      <c r="F59" s="36"/>
      <c r="G59" s="2">
        <v>50</v>
      </c>
      <c r="H59" s="2"/>
      <c r="I59" s="2"/>
      <c r="J59" s="2">
        <v>25709</v>
      </c>
      <c r="K59" s="36"/>
      <c r="L59" s="35"/>
      <c r="M59" s="4"/>
      <c r="N59" s="4"/>
      <c r="O59" s="7"/>
    </row>
    <row r="60" spans="2:19" s="3" customFormat="1" ht="84.95" customHeight="1" x14ac:dyDescent="0.25">
      <c r="B60" s="2" t="s">
        <v>106</v>
      </c>
      <c r="C60" s="18" t="s">
        <v>108</v>
      </c>
      <c r="D60" s="36"/>
      <c r="E60" s="36">
        <f>1.42857142857143*54608</f>
        <v>78011.428571428653</v>
      </c>
      <c r="F60" s="36"/>
      <c r="G60" s="2"/>
      <c r="H60" s="2">
        <v>100</v>
      </c>
      <c r="I60" s="2"/>
      <c r="J60" s="2"/>
      <c r="K60" s="36">
        <f>54608+10000+7900</f>
        <v>72508</v>
      </c>
      <c r="L60" s="35"/>
      <c r="M60" s="4"/>
      <c r="N60" s="4"/>
      <c r="O60" s="7"/>
      <c r="P60" s="10"/>
      <c r="Q60" s="9"/>
      <c r="R60" s="9"/>
      <c r="S60" s="9"/>
    </row>
    <row r="61" spans="2:19" ht="39.950000000000003" customHeight="1" x14ac:dyDescent="0.25">
      <c r="B61" s="105" t="s">
        <v>114</v>
      </c>
      <c r="C61" s="105"/>
      <c r="D61" s="105"/>
      <c r="E61" s="105"/>
      <c r="F61" s="105"/>
      <c r="G61" s="105"/>
      <c r="H61" s="105"/>
      <c r="I61" s="105"/>
      <c r="J61" s="105"/>
      <c r="K61" s="105"/>
      <c r="L61" s="105"/>
      <c r="M61" s="105"/>
      <c r="N61" s="105"/>
      <c r="O61" s="105"/>
    </row>
    <row r="62" spans="2:19" ht="70.5" customHeight="1" x14ac:dyDescent="0.25">
      <c r="B62" s="17" t="s">
        <v>110</v>
      </c>
      <c r="C62" s="24" t="s">
        <v>111</v>
      </c>
      <c r="D62" s="36"/>
      <c r="E62" s="36"/>
      <c r="F62" s="36">
        <v>8387</v>
      </c>
      <c r="G62" s="2"/>
      <c r="H62" s="2"/>
      <c r="I62" s="2"/>
      <c r="J62" s="2"/>
      <c r="K62" s="36"/>
      <c r="L62" s="35">
        <v>0</v>
      </c>
      <c r="M62" s="4"/>
      <c r="N62" s="4"/>
      <c r="O62" s="7"/>
    </row>
    <row r="63" spans="2:19" ht="109.5" customHeight="1" x14ac:dyDescent="0.25">
      <c r="B63" s="17" t="s">
        <v>112</v>
      </c>
      <c r="C63" s="25" t="s">
        <v>113</v>
      </c>
      <c r="D63" s="36"/>
      <c r="E63" s="36"/>
      <c r="F63" s="36">
        <v>110693</v>
      </c>
      <c r="G63" s="2"/>
      <c r="H63" s="2"/>
      <c r="I63" s="2"/>
      <c r="J63" s="2"/>
      <c r="K63" s="36"/>
      <c r="L63" s="35">
        <v>113802.39</v>
      </c>
      <c r="M63" s="4"/>
      <c r="N63" s="4"/>
      <c r="O63" s="7"/>
    </row>
    <row r="64" spans="2:19" ht="97.5" customHeight="1" x14ac:dyDescent="0.25">
      <c r="B64" s="17" t="s">
        <v>123</v>
      </c>
      <c r="C64" s="25" t="s">
        <v>124</v>
      </c>
      <c r="D64" s="36"/>
      <c r="E64" s="36"/>
      <c r="F64" s="36">
        <v>67500</v>
      </c>
      <c r="G64" s="2"/>
      <c r="H64" s="2"/>
      <c r="I64" s="2"/>
      <c r="J64" s="2"/>
      <c r="K64" s="36"/>
      <c r="L64" s="35">
        <v>106180.63</v>
      </c>
      <c r="M64" s="4"/>
      <c r="N64" s="4"/>
      <c r="O64" s="7"/>
    </row>
    <row r="65" spans="2:19" ht="39.950000000000003" customHeight="1" x14ac:dyDescent="0.25">
      <c r="B65" s="19" t="s">
        <v>45</v>
      </c>
      <c r="C65" s="21"/>
      <c r="D65" s="40">
        <f>+D59+D58+D57</f>
        <v>172500</v>
      </c>
      <c r="E65" s="40">
        <f>+E60</f>
        <v>78011.428571428653</v>
      </c>
      <c r="F65" s="40">
        <f>+F64+F63+F62+F54+F55+F56</f>
        <v>326580</v>
      </c>
      <c r="G65" s="19"/>
      <c r="H65" s="19"/>
      <c r="I65" s="19"/>
      <c r="J65" s="19">
        <f>+J58+J57+J59</f>
        <v>100515</v>
      </c>
      <c r="K65" s="40">
        <f>K60</f>
        <v>72508</v>
      </c>
      <c r="L65" s="50">
        <f>+L64+L63+L55+L54+L56</f>
        <v>281013.57</v>
      </c>
      <c r="M65" s="5"/>
      <c r="N65" s="5"/>
      <c r="O65" s="8"/>
    </row>
    <row r="66" spans="2:19" ht="65.099999999999994" customHeight="1" x14ac:dyDescent="0.25">
      <c r="B66" s="2" t="s">
        <v>27</v>
      </c>
      <c r="C66" s="20"/>
      <c r="D66" s="36">
        <f>112000</f>
        <v>112000</v>
      </c>
      <c r="E66" s="36">
        <f>1.42857142857143*70000</f>
        <v>100000.0000000001</v>
      </c>
      <c r="F66" s="36">
        <v>542400</v>
      </c>
      <c r="G66" s="2"/>
      <c r="H66" s="2"/>
      <c r="I66" s="2"/>
      <c r="J66" s="2">
        <v>61940</v>
      </c>
      <c r="K66" s="36">
        <f>65479+32500</f>
        <v>97979</v>
      </c>
      <c r="L66" s="35">
        <v>548328</v>
      </c>
      <c r="M66" s="4"/>
      <c r="N66" s="4"/>
      <c r="O66" s="7"/>
      <c r="P66" s="10"/>
    </row>
    <row r="67" spans="2:19" ht="63.95" customHeight="1" x14ac:dyDescent="0.25">
      <c r="B67" s="2" t="s">
        <v>28</v>
      </c>
      <c r="C67" s="20"/>
      <c r="D67" s="36">
        <f>10000</f>
        <v>10000</v>
      </c>
      <c r="E67" s="36">
        <v>0</v>
      </c>
      <c r="F67" s="36">
        <v>184600</v>
      </c>
      <c r="G67" s="2"/>
      <c r="H67" s="2"/>
      <c r="I67" s="2"/>
      <c r="J67" s="2">
        <v>30955</v>
      </c>
      <c r="K67" s="36"/>
      <c r="L67" s="35">
        <v>198691</v>
      </c>
      <c r="M67" s="4"/>
      <c r="N67" s="4"/>
      <c r="O67" s="7"/>
    </row>
    <row r="68" spans="2:19" ht="39.950000000000003" customHeight="1" x14ac:dyDescent="0.25">
      <c r="B68" s="2" t="s">
        <v>29</v>
      </c>
      <c r="C68" s="20" t="s">
        <v>0</v>
      </c>
      <c r="D68" s="36">
        <f>43685</f>
        <v>43685</v>
      </c>
      <c r="E68" s="36">
        <f>1.42857142857143*28357</f>
        <v>40510.000000000036</v>
      </c>
      <c r="F68" s="36"/>
      <c r="G68" s="2"/>
      <c r="H68" s="2"/>
      <c r="I68" s="2"/>
      <c r="J68" s="2">
        <v>1200</v>
      </c>
      <c r="K68" s="36">
        <v>13678</v>
      </c>
      <c r="L68" s="35"/>
      <c r="M68" s="4"/>
      <c r="N68" s="4"/>
      <c r="O68" s="7"/>
      <c r="P68" s="11"/>
    </row>
    <row r="69" spans="2:19" s="1" customFormat="1" ht="57.75" customHeight="1" x14ac:dyDescent="0.25">
      <c r="B69" s="71" t="s">
        <v>46</v>
      </c>
      <c r="C69" s="72"/>
      <c r="D69" s="71">
        <f>981185</f>
        <v>981185</v>
      </c>
      <c r="E69" s="73">
        <f>+E68+E66+E65+E26</f>
        <v>980700.28571428661</v>
      </c>
      <c r="F69" s="71">
        <f>+F67+F66+F65+F51+F26</f>
        <v>1261380</v>
      </c>
      <c r="G69" s="71"/>
      <c r="H69" s="71"/>
      <c r="I69" s="71"/>
      <c r="J69" s="71">
        <f>+J68+J67+J66+J65+J51</f>
        <v>849225.78</v>
      </c>
      <c r="K69" s="71">
        <f>+K68+K66+K65+K26</f>
        <v>832966</v>
      </c>
      <c r="L69" s="74">
        <f>+L67+L66+L65+L51+L26</f>
        <v>1181824.51</v>
      </c>
      <c r="M69" s="74"/>
      <c r="N69" s="74"/>
      <c r="O69" s="75"/>
      <c r="P69" s="12"/>
      <c r="Q69" s="13"/>
      <c r="R69" s="13"/>
      <c r="S69" s="13"/>
    </row>
    <row r="70" spans="2:19" ht="40.5" customHeight="1" x14ac:dyDescent="0.25">
      <c r="B70" s="71" t="s">
        <v>30</v>
      </c>
      <c r="C70" s="72"/>
      <c r="D70" s="71">
        <f>68683</f>
        <v>68683</v>
      </c>
      <c r="E70" s="71">
        <f>1.42857142857143*48054</f>
        <v>68648.571428571493</v>
      </c>
      <c r="F70" s="71">
        <f>+F69*0.07</f>
        <v>88296.6</v>
      </c>
      <c r="G70" s="71"/>
      <c r="H70" s="71"/>
      <c r="I70" s="71"/>
      <c r="J70" s="71">
        <f>+J69*0.07</f>
        <v>59445.80460000001</v>
      </c>
      <c r="K70" s="71">
        <v>58307</v>
      </c>
      <c r="L70" s="74">
        <f>+L69*0.07</f>
        <v>82727.715700000015</v>
      </c>
      <c r="M70" s="74"/>
      <c r="N70" s="74"/>
      <c r="O70" s="75"/>
    </row>
    <row r="71" spans="2:19" s="1" customFormat="1" ht="44.25" customHeight="1" x14ac:dyDescent="0.25">
      <c r="B71" s="71" t="s">
        <v>31</v>
      </c>
      <c r="C71" s="72"/>
      <c r="D71" s="71">
        <f>+D70+D69</f>
        <v>1049868</v>
      </c>
      <c r="E71" s="73">
        <f>+E70+E69</f>
        <v>1049348.8571428582</v>
      </c>
      <c r="F71" s="71">
        <f>+F70+F69</f>
        <v>1349676.6</v>
      </c>
      <c r="G71" s="71"/>
      <c r="H71" s="76"/>
      <c r="I71" s="71"/>
      <c r="J71" s="71">
        <f>+J70+J69</f>
        <v>908671.58460000006</v>
      </c>
      <c r="K71" s="73">
        <f>SUM(K69:K70)</f>
        <v>891273</v>
      </c>
      <c r="L71" s="74">
        <f>+L70+L69</f>
        <v>1264552.2257000001</v>
      </c>
      <c r="M71" s="74"/>
      <c r="N71" s="74"/>
      <c r="O71" s="75"/>
      <c r="P71" s="12"/>
      <c r="Q71" s="13"/>
      <c r="R71" s="13"/>
      <c r="S71" s="13"/>
    </row>
    <row r="72" spans="2:19" ht="15" customHeight="1" x14ac:dyDescent="0.25">
      <c r="B72" s="26"/>
      <c r="C72" s="31"/>
      <c r="E72" s="41">
        <f>+E71*70%</f>
        <v>734544.20000000065</v>
      </c>
      <c r="G72" s="26"/>
      <c r="H72" s="26"/>
      <c r="I72" s="26"/>
      <c r="J72" s="29"/>
      <c r="K72" s="29"/>
      <c r="L72" s="29"/>
      <c r="M72" s="15"/>
      <c r="N72" s="15"/>
      <c r="O72" s="15"/>
      <c r="P72" s="16"/>
    </row>
    <row r="73" spans="2:19" x14ac:dyDescent="0.25">
      <c r="B73" s="26"/>
      <c r="C73" s="31"/>
      <c r="G73" s="26"/>
      <c r="H73" s="26"/>
      <c r="I73" s="26"/>
      <c r="J73" s="29"/>
      <c r="M73" s="14"/>
      <c r="N73" s="14"/>
      <c r="O73" s="14"/>
    </row>
    <row r="74" spans="2:19" x14ac:dyDescent="0.25">
      <c r="B74" s="26"/>
      <c r="C74" s="31"/>
      <c r="G74" s="26"/>
      <c r="H74" s="26"/>
      <c r="I74" s="26"/>
      <c r="J74" s="26"/>
      <c r="M74" s="3"/>
      <c r="N74" s="3"/>
      <c r="O74" s="3"/>
    </row>
    <row r="75" spans="2:19" x14ac:dyDescent="0.25">
      <c r="B75" s="26"/>
      <c r="C75" s="87"/>
      <c r="G75" s="26"/>
      <c r="H75" s="26"/>
      <c r="I75" s="26"/>
      <c r="J75" s="26"/>
      <c r="M75" s="3"/>
      <c r="N75" s="3"/>
      <c r="O75" s="3"/>
    </row>
    <row r="76" spans="2:19" ht="15.75" x14ac:dyDescent="0.25">
      <c r="B76" s="26"/>
      <c r="C76" s="88"/>
      <c r="G76" s="26"/>
      <c r="H76" s="29"/>
      <c r="I76" s="26"/>
      <c r="J76" s="26"/>
      <c r="M76" s="3"/>
      <c r="N76" s="3"/>
      <c r="O76" s="3"/>
    </row>
    <row r="77" spans="2:19" ht="25.5" customHeight="1" x14ac:dyDescent="0.25">
      <c r="B77" s="26"/>
      <c r="C77" s="88"/>
      <c r="G77" s="86"/>
      <c r="H77" s="28"/>
      <c r="I77" s="29"/>
      <c r="J77" s="26"/>
      <c r="K77" s="41"/>
      <c r="M77" s="3"/>
      <c r="N77" s="3"/>
      <c r="O77" s="3"/>
    </row>
    <row r="78" spans="2:19" x14ac:dyDescent="0.25">
      <c r="B78" s="26"/>
      <c r="C78" s="87"/>
      <c r="G78" s="26"/>
      <c r="H78" s="26"/>
      <c r="I78" s="26"/>
      <c r="J78" s="26"/>
      <c r="M78" s="3"/>
      <c r="N78" s="3"/>
      <c r="O78" s="3"/>
    </row>
    <row r="79" spans="2:19" x14ac:dyDescent="0.25">
      <c r="B79" s="26"/>
      <c r="C79" s="87"/>
      <c r="G79" s="26"/>
      <c r="H79" s="26"/>
      <c r="I79" s="26"/>
      <c r="J79" s="26"/>
      <c r="M79" s="3"/>
      <c r="N79" s="3"/>
      <c r="O79" s="3"/>
    </row>
    <row r="80" spans="2:19" x14ac:dyDescent="0.25">
      <c r="B80" s="26"/>
      <c r="C80" s="31"/>
      <c r="G80" s="26"/>
      <c r="H80" s="26"/>
      <c r="I80" s="26"/>
      <c r="J80" s="26"/>
      <c r="M80" s="3"/>
      <c r="N80" s="3"/>
      <c r="O80" s="3"/>
    </row>
  </sheetData>
  <mergeCells count="16">
    <mergeCell ref="B16:O16"/>
    <mergeCell ref="B28:O28"/>
    <mergeCell ref="B22:O22"/>
    <mergeCell ref="B61:O61"/>
    <mergeCell ref="B26:C26"/>
    <mergeCell ref="B38:O38"/>
    <mergeCell ref="B52:O52"/>
    <mergeCell ref="B53:O53"/>
    <mergeCell ref="B27:O27"/>
    <mergeCell ref="B45:O45"/>
    <mergeCell ref="B10:O10"/>
    <mergeCell ref="D7:F7"/>
    <mergeCell ref="G7:I7"/>
    <mergeCell ref="J7:L7"/>
    <mergeCell ref="M7:O7"/>
    <mergeCell ref="B8:O8"/>
  </mergeCells>
  <pageMargins left="0.7" right="0.7" top="0.75" bottom="0.75" header="0.3" footer="0.3"/>
  <pageSetup scale="72" orientation="landscape" r:id="rId1"/>
  <rowBreaks count="4" manualBreakCount="4">
    <brk id="7" max="16383" man="1"/>
    <brk id="43" max="14" man="1"/>
    <brk id="53"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28"/>
  <sheetViews>
    <sheetView topLeftCell="B13" workbookViewId="0">
      <selection activeCell="L12" sqref="L12"/>
    </sheetView>
  </sheetViews>
  <sheetFormatPr baseColWidth="10" defaultColWidth="11.42578125" defaultRowHeight="15" x14ac:dyDescent="0.25"/>
  <cols>
    <col min="2" max="2" width="19.85546875" customWidth="1"/>
    <col min="3" max="3" width="16.28515625" customWidth="1"/>
    <col min="4" max="4" width="16.85546875" customWidth="1"/>
    <col min="5" max="5" width="16.42578125" customWidth="1"/>
    <col min="6" max="6" width="15.5703125" customWidth="1"/>
    <col min="7" max="7" width="16.140625" customWidth="1"/>
    <col min="8" max="8" width="14.5703125" customWidth="1"/>
    <col min="9" max="9" width="14.85546875" customWidth="1"/>
    <col min="10" max="10" width="12.7109375" customWidth="1"/>
  </cols>
  <sheetData>
    <row r="3" spans="2:12" x14ac:dyDescent="0.25">
      <c r="B3" s="60"/>
      <c r="C3" s="60"/>
      <c r="D3" s="60"/>
      <c r="E3" s="60"/>
      <c r="F3" s="60"/>
      <c r="G3" s="60"/>
      <c r="H3" s="60"/>
      <c r="I3" s="60"/>
      <c r="J3" s="23"/>
      <c r="K3" s="23"/>
      <c r="L3" s="23"/>
    </row>
    <row r="4" spans="2:12" ht="15.75" x14ac:dyDescent="0.25">
      <c r="B4" s="60"/>
      <c r="C4" s="60"/>
      <c r="D4" s="61" t="s">
        <v>32</v>
      </c>
      <c r="E4" s="61"/>
      <c r="F4" s="61"/>
      <c r="G4" s="61"/>
      <c r="H4" s="62"/>
      <c r="I4" s="62"/>
      <c r="J4" s="23"/>
      <c r="K4" s="23"/>
      <c r="L4" s="23"/>
    </row>
    <row r="5" spans="2:12" x14ac:dyDescent="0.25">
      <c r="B5" s="60"/>
      <c r="C5" s="60"/>
      <c r="D5" s="63"/>
      <c r="E5" s="63"/>
      <c r="F5" s="63"/>
      <c r="G5" s="63"/>
      <c r="H5" s="62"/>
      <c r="I5" s="62"/>
      <c r="J5" s="23"/>
      <c r="K5" s="23"/>
      <c r="L5" s="23"/>
    </row>
    <row r="6" spans="2:12" ht="15.75" x14ac:dyDescent="0.25">
      <c r="B6" s="60"/>
      <c r="C6" s="60"/>
      <c r="D6" s="64" t="s">
        <v>131</v>
      </c>
      <c r="E6" s="65"/>
      <c r="F6" s="66"/>
      <c r="G6" s="67"/>
      <c r="H6" s="62"/>
      <c r="I6" s="62"/>
      <c r="J6" s="23"/>
      <c r="K6" s="23"/>
      <c r="L6" s="23"/>
    </row>
    <row r="7" spans="2:12" ht="15.75" thickBot="1" x14ac:dyDescent="0.3">
      <c r="B7" s="62"/>
      <c r="C7" s="62"/>
      <c r="D7" s="62"/>
      <c r="E7" s="62"/>
      <c r="F7" s="62"/>
      <c r="G7" s="62"/>
      <c r="H7" s="62"/>
      <c r="I7" s="62"/>
      <c r="J7" s="23"/>
      <c r="K7" s="23"/>
      <c r="L7" s="23"/>
    </row>
    <row r="8" spans="2:12" ht="49.5" customHeight="1" x14ac:dyDescent="0.25">
      <c r="B8" s="117" t="s">
        <v>1</v>
      </c>
      <c r="C8" s="119" t="s">
        <v>132</v>
      </c>
      <c r="D8" s="119"/>
      <c r="E8" s="119" t="s">
        <v>134</v>
      </c>
      <c r="F8" s="119"/>
      <c r="G8" s="119" t="s">
        <v>136</v>
      </c>
      <c r="H8" s="119"/>
      <c r="I8" s="119" t="s">
        <v>33</v>
      </c>
      <c r="J8" s="113" t="s">
        <v>133</v>
      </c>
      <c r="K8" s="113" t="s">
        <v>135</v>
      </c>
      <c r="L8" s="115" t="s">
        <v>137</v>
      </c>
    </row>
    <row r="9" spans="2:12" ht="30" x14ac:dyDescent="0.25">
      <c r="B9" s="118"/>
      <c r="C9" s="85" t="s">
        <v>3</v>
      </c>
      <c r="D9" s="85" t="s">
        <v>4</v>
      </c>
      <c r="E9" s="91" t="s">
        <v>3</v>
      </c>
      <c r="F9" s="91" t="s">
        <v>4</v>
      </c>
      <c r="G9" s="92" t="s">
        <v>3</v>
      </c>
      <c r="H9" s="92" t="s">
        <v>4</v>
      </c>
      <c r="I9" s="120"/>
      <c r="J9" s="114"/>
      <c r="K9" s="114"/>
      <c r="L9" s="116"/>
    </row>
    <row r="10" spans="2:12" ht="30" x14ac:dyDescent="0.25">
      <c r="B10" s="68" t="s">
        <v>34</v>
      </c>
      <c r="C10" s="69">
        <v>70000</v>
      </c>
      <c r="D10" s="69">
        <v>30000</v>
      </c>
      <c r="E10" s="69">
        <v>418040</v>
      </c>
      <c r="F10" s="69">
        <v>179160</v>
      </c>
      <c r="G10" s="69">
        <v>70000</v>
      </c>
      <c r="H10" s="96">
        <f>40518+50000</f>
        <v>90518</v>
      </c>
      <c r="I10" s="69">
        <f>C10+D10+E10+F10+G10+H10</f>
        <v>857718</v>
      </c>
      <c r="J10" s="70">
        <v>61940</v>
      </c>
      <c r="K10" s="70">
        <v>548328</v>
      </c>
      <c r="L10" s="70">
        <f>32500+65479</f>
        <v>97979</v>
      </c>
    </row>
    <row r="11" spans="2:12" ht="45" x14ac:dyDescent="0.25">
      <c r="B11" s="68" t="s">
        <v>35</v>
      </c>
      <c r="C11" s="69">
        <v>35000</v>
      </c>
      <c r="D11" s="69">
        <v>15000</v>
      </c>
      <c r="E11" s="69">
        <v>318206</v>
      </c>
      <c r="F11" s="69">
        <v>136374</v>
      </c>
      <c r="G11" s="69">
        <v>28259.599999999999</v>
      </c>
      <c r="H11" s="69">
        <v>11050</v>
      </c>
      <c r="I11" s="69">
        <f t="shared" ref="I11:I18" si="0">C11+D11+E11+F11+G11+H11</f>
        <v>543889.6</v>
      </c>
      <c r="J11" s="70">
        <v>22107</v>
      </c>
      <c r="K11" s="70">
        <v>434806</v>
      </c>
      <c r="L11" s="70">
        <v>14128</v>
      </c>
    </row>
    <row r="12" spans="2:12" ht="60" x14ac:dyDescent="0.25">
      <c r="B12" s="68" t="s">
        <v>36</v>
      </c>
      <c r="C12" s="69">
        <v>35088</v>
      </c>
      <c r="D12" s="69">
        <v>15000</v>
      </c>
      <c r="E12" s="69">
        <v>2800</v>
      </c>
      <c r="F12" s="69">
        <v>1200</v>
      </c>
      <c r="G12" s="69">
        <v>20026</v>
      </c>
      <c r="H12" s="69">
        <v>9300</v>
      </c>
      <c r="I12" s="69">
        <f t="shared" si="0"/>
        <v>83414</v>
      </c>
      <c r="J12" s="70">
        <v>206478</v>
      </c>
      <c r="K12" s="70">
        <v>4283</v>
      </c>
      <c r="L12" s="70">
        <v>14139</v>
      </c>
    </row>
    <row r="13" spans="2:12" ht="30" x14ac:dyDescent="0.25">
      <c r="B13" s="68" t="s">
        <v>37</v>
      </c>
      <c r="C13" s="69">
        <v>518000</v>
      </c>
      <c r="D13" s="69">
        <v>222000</v>
      </c>
      <c r="E13" s="69">
        <v>71680</v>
      </c>
      <c r="F13" s="69">
        <v>30720</v>
      </c>
      <c r="G13" s="69">
        <v>522204</v>
      </c>
      <c r="H13" s="96">
        <f>205460-40518</f>
        <v>164942</v>
      </c>
      <c r="I13" s="69">
        <f t="shared" si="0"/>
        <v>1529546</v>
      </c>
      <c r="J13" s="70">
        <v>314789</v>
      </c>
      <c r="K13" s="70">
        <v>104336</v>
      </c>
      <c r="L13" s="70">
        <f>(473421+189725)</f>
        <v>663146</v>
      </c>
    </row>
    <row r="14" spans="2:12" ht="30" x14ac:dyDescent="0.25">
      <c r="B14" s="68" t="s">
        <v>38</v>
      </c>
      <c r="C14" s="69">
        <v>21505</v>
      </c>
      <c r="D14" s="69">
        <v>9229</v>
      </c>
      <c r="E14" s="69">
        <v>60479.999999999993</v>
      </c>
      <c r="F14" s="69">
        <v>25920</v>
      </c>
      <c r="G14" s="69">
        <v>32000</v>
      </c>
      <c r="H14" s="69">
        <v>11000</v>
      </c>
      <c r="I14" s="69">
        <f t="shared" si="0"/>
        <v>160134</v>
      </c>
      <c r="J14" s="70">
        <v>344916</v>
      </c>
      <c r="K14" s="70">
        <v>77649</v>
      </c>
      <c r="L14" s="70">
        <v>40240</v>
      </c>
    </row>
    <row r="15" spans="2:12" ht="45" x14ac:dyDescent="0.25">
      <c r="B15" s="68" t="s">
        <v>39</v>
      </c>
      <c r="C15" s="69">
        <v>0</v>
      </c>
      <c r="D15" s="69">
        <v>0</v>
      </c>
      <c r="E15" s="69"/>
      <c r="F15" s="69"/>
      <c r="G15" s="69">
        <v>0</v>
      </c>
      <c r="H15" s="69">
        <v>0</v>
      </c>
      <c r="I15" s="69">
        <f t="shared" si="0"/>
        <v>0</v>
      </c>
      <c r="J15" s="70">
        <v>0</v>
      </c>
      <c r="K15" s="70"/>
      <c r="L15" s="70">
        <v>0</v>
      </c>
    </row>
    <row r="16" spans="2:12" ht="45" x14ac:dyDescent="0.25">
      <c r="B16" s="68" t="s">
        <v>40</v>
      </c>
      <c r="C16" s="69">
        <v>7237</v>
      </c>
      <c r="D16" s="69">
        <v>3126</v>
      </c>
      <c r="E16" s="69">
        <v>11760</v>
      </c>
      <c r="F16" s="69">
        <v>5040</v>
      </c>
      <c r="G16" s="69">
        <v>14000</v>
      </c>
      <c r="H16" s="69">
        <v>7400</v>
      </c>
      <c r="I16" s="69">
        <f t="shared" si="0"/>
        <v>48563</v>
      </c>
      <c r="J16" s="70">
        <v>30955</v>
      </c>
      <c r="K16" s="70">
        <v>12424</v>
      </c>
      <c r="L16" s="70">
        <v>3334</v>
      </c>
    </row>
    <row r="17" spans="2:12" x14ac:dyDescent="0.25">
      <c r="B17" s="77" t="s">
        <v>41</v>
      </c>
      <c r="C17" s="78">
        <f t="shared" ref="C17:I17" si="1">SUM(C10:C16)</f>
        <v>686830</v>
      </c>
      <c r="D17" s="78">
        <f t="shared" si="1"/>
        <v>294355</v>
      </c>
      <c r="E17" s="78">
        <v>882966</v>
      </c>
      <c r="F17" s="78">
        <v>378414</v>
      </c>
      <c r="G17" s="78">
        <f t="shared" ref="G17:H17" si="2">SUM(G10:G16)</f>
        <v>686489.59999999998</v>
      </c>
      <c r="H17" s="78">
        <f t="shared" si="2"/>
        <v>294210</v>
      </c>
      <c r="I17" s="78">
        <f t="shared" si="1"/>
        <v>3223264.6</v>
      </c>
      <c r="J17" s="79">
        <f>SUM(J10:J16)</f>
        <v>981185</v>
      </c>
      <c r="K17" s="79">
        <v>1181825</v>
      </c>
      <c r="L17" s="79">
        <f>SUM(L10:L16)</f>
        <v>832966</v>
      </c>
    </row>
    <row r="18" spans="2:12" x14ac:dyDescent="0.25">
      <c r="B18" s="80" t="s">
        <v>42</v>
      </c>
      <c r="C18" s="78">
        <f>C17*7%</f>
        <v>48078.100000000006</v>
      </c>
      <c r="D18" s="78">
        <f>D17*7%</f>
        <v>20604.850000000002</v>
      </c>
      <c r="E18" s="78">
        <v>61807.62</v>
      </c>
      <c r="F18" s="78">
        <v>26488.980000000003</v>
      </c>
      <c r="G18" s="78">
        <f>G17*7/100</f>
        <v>48054.272000000004</v>
      </c>
      <c r="H18" s="78">
        <f>H17*7/100</f>
        <v>20594.7</v>
      </c>
      <c r="I18" s="78">
        <f t="shared" si="0"/>
        <v>225628.52200000003</v>
      </c>
      <c r="J18" s="79">
        <f>+J17*0.07</f>
        <v>68682.950000000012</v>
      </c>
      <c r="K18" s="79">
        <v>82728</v>
      </c>
      <c r="L18" s="79">
        <v>58307</v>
      </c>
    </row>
    <row r="19" spans="2:12" ht="15.75" thickBot="1" x14ac:dyDescent="0.3">
      <c r="B19" s="81" t="s">
        <v>2</v>
      </c>
      <c r="C19" s="82">
        <f>SUM(C17:C18)</f>
        <v>734908.1</v>
      </c>
      <c r="D19" s="82">
        <f>D18+D17</f>
        <v>314959.84999999998</v>
      </c>
      <c r="E19" s="83">
        <v>944773.62</v>
      </c>
      <c r="F19" s="83">
        <v>404902.98</v>
      </c>
      <c r="G19" s="83">
        <f>SUM(G17:G18)</f>
        <v>734543.87199999997</v>
      </c>
      <c r="H19" s="83">
        <f>SUM(H17:H18)</f>
        <v>314804.7</v>
      </c>
      <c r="I19" s="82">
        <f>SUM(I17:I18)</f>
        <v>3448893.122</v>
      </c>
      <c r="J19" s="84">
        <f>+J18+J17</f>
        <v>1049867.95</v>
      </c>
      <c r="K19" s="84">
        <f>+K18+K17</f>
        <v>1264553</v>
      </c>
      <c r="L19" s="84">
        <f>+L18+L17</f>
        <v>891273</v>
      </c>
    </row>
    <row r="20" spans="2:12" x14ac:dyDescent="0.25">
      <c r="B20" s="59"/>
      <c r="C20" s="59"/>
      <c r="D20" s="59"/>
      <c r="E20" s="59"/>
      <c r="F20" s="59"/>
      <c r="G20" s="59"/>
      <c r="H20" s="59"/>
      <c r="I20" s="59"/>
      <c r="J20" s="93"/>
      <c r="K20" s="30"/>
      <c r="L20" s="30"/>
    </row>
    <row r="21" spans="2:12" x14ac:dyDescent="0.25">
      <c r="B21" s="30"/>
      <c r="C21" s="30"/>
      <c r="D21" s="90"/>
      <c r="E21" s="30"/>
      <c r="F21" s="90"/>
      <c r="G21" s="30"/>
      <c r="H21" s="30"/>
      <c r="I21" s="30"/>
      <c r="J21" s="89"/>
    </row>
    <row r="22" spans="2:12" x14ac:dyDescent="0.25">
      <c r="B22" s="30"/>
      <c r="C22" s="90"/>
      <c r="D22" s="90"/>
      <c r="E22" s="90"/>
      <c r="F22" s="90"/>
      <c r="G22" s="30"/>
      <c r="H22" s="30"/>
      <c r="I22" s="30"/>
      <c r="J22" s="89"/>
    </row>
    <row r="23" spans="2:12" x14ac:dyDescent="0.25">
      <c r="F23" s="89"/>
      <c r="H23" s="89"/>
    </row>
    <row r="25" spans="2:12" x14ac:dyDescent="0.25">
      <c r="G25" s="94"/>
    </row>
    <row r="28" spans="2:12" x14ac:dyDescent="0.25">
      <c r="G28" s="95"/>
    </row>
  </sheetData>
  <mergeCells count="8">
    <mergeCell ref="J8:J9"/>
    <mergeCell ref="K8:K9"/>
    <mergeCell ref="L8:L9"/>
    <mergeCell ref="B8:B9"/>
    <mergeCell ref="C8:D8"/>
    <mergeCell ref="E8:F8"/>
    <mergeCell ref="G8:H8"/>
    <mergeCell ref="I8:I9"/>
  </mergeCells>
  <pageMargins left="0.7" right="0.7" top="0.75" bottom="0.75" header="0.3" footer="0.3"/>
  <pageSetup paperSize="9" orientation="portrait" r:id="rId1"/>
  <ignoredErrors>
    <ignoredError sqref="I1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PBF</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2019-06-18T08:33:15Z</cp:lastPrinted>
  <dcterms:created xsi:type="dcterms:W3CDTF">2017-11-15T21:17:43Z</dcterms:created>
  <dcterms:modified xsi:type="dcterms:W3CDTF">2020-11-17T08:05:14Z</dcterms:modified>
</cp:coreProperties>
</file>