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RapportNarratifs&amp;Financier ISP 2Juin2020\"/>
    </mc:Choice>
  </mc:AlternateContent>
  <xr:revisionPtr revIDLastSave="0" documentId="13_ncr:1_{4E3B88A3-B2CD-4028-9B67-AA518FFB225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AP ISP PAR CATEGORIE BUDGET" sheetId="5" r:id="rId1"/>
    <sheet name="RAP ISP PAR RESULTAT 1JUIN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6" i="4" l="1"/>
  <c r="H8" i="5" l="1"/>
  <c r="H9" i="5"/>
  <c r="I9" i="5" s="1"/>
  <c r="H10" i="5"/>
  <c r="H11" i="5"/>
  <c r="H12" i="5"/>
  <c r="H7" i="5"/>
  <c r="H6" i="5"/>
  <c r="I6" i="5" s="1"/>
  <c r="I12" i="5"/>
  <c r="D14" i="5"/>
  <c r="D15" i="5" s="1"/>
  <c r="E14" i="5"/>
  <c r="E15" i="5" s="1"/>
  <c r="F12" i="5"/>
  <c r="F10" i="5"/>
  <c r="I10" i="5" s="1"/>
  <c r="F9" i="5"/>
  <c r="F8" i="5"/>
  <c r="F7" i="5"/>
  <c r="F6" i="5"/>
  <c r="C13" i="5"/>
  <c r="D13" i="5"/>
  <c r="E13" i="5"/>
  <c r="G13" i="5"/>
  <c r="G14" i="5" s="1"/>
  <c r="H13" i="5"/>
  <c r="H14" i="5" s="1"/>
  <c r="B12" i="5"/>
  <c r="B11" i="5"/>
  <c r="I11" i="5" s="1"/>
  <c r="B10" i="5"/>
  <c r="B8" i="5"/>
  <c r="I8" i="5" s="1"/>
  <c r="B9" i="5"/>
  <c r="B7" i="5"/>
  <c r="B6" i="5"/>
  <c r="B13" i="5" s="1"/>
  <c r="B14" i="5" s="1"/>
  <c r="C14" i="5" l="1"/>
  <c r="C15" i="5" s="1"/>
  <c r="I7" i="5"/>
  <c r="F13" i="5"/>
  <c r="H15" i="5"/>
  <c r="I13" i="5"/>
  <c r="G15" i="5"/>
  <c r="F15" i="5" l="1"/>
  <c r="F14" i="5"/>
  <c r="I14" i="5" s="1"/>
  <c r="I124" i="4" l="1"/>
  <c r="D104" i="4"/>
  <c r="D95" i="4"/>
  <c r="D82" i="4"/>
  <c r="D72" i="4"/>
  <c r="D24" i="4"/>
  <c r="D144" i="4"/>
  <c r="I144" i="4" s="1"/>
  <c r="D143" i="4"/>
  <c r="I143" i="4" s="1"/>
  <c r="D141" i="4"/>
  <c r="D145" i="4" s="1"/>
  <c r="D137" i="4"/>
  <c r="D136" i="4"/>
  <c r="D135" i="4"/>
  <c r="I135" i="4" s="1"/>
  <c r="D134" i="4"/>
  <c r="D133" i="4"/>
  <c r="D132" i="4"/>
  <c r="D128" i="4"/>
  <c r="I128" i="4" s="1"/>
  <c r="D127" i="4"/>
  <c r="I127" i="4" s="1"/>
  <c r="D126" i="4"/>
  <c r="I126" i="4" s="1"/>
  <c r="D125" i="4"/>
  <c r="D124" i="4"/>
  <c r="D123" i="4"/>
  <c r="D122" i="4"/>
  <c r="C129" i="4"/>
  <c r="I129" i="4" s="1"/>
  <c r="C136" i="4"/>
  <c r="I136" i="4" s="1"/>
  <c r="C134" i="4"/>
  <c r="I134" i="4" s="1"/>
  <c r="C133" i="4"/>
  <c r="I133" i="4" s="1"/>
  <c r="C131" i="4"/>
  <c r="I131" i="4" s="1"/>
  <c r="G138" i="4"/>
  <c r="G147" i="4"/>
  <c r="H147" i="4"/>
  <c r="E130" i="4"/>
  <c r="E24" i="4"/>
  <c r="C33" i="4"/>
  <c r="C51" i="4"/>
  <c r="G145" i="4"/>
  <c r="H145" i="4"/>
  <c r="B15" i="5" l="1"/>
  <c r="I15" i="5" s="1"/>
  <c r="D130" i="4"/>
  <c r="D138" i="4"/>
  <c r="D146" i="4"/>
  <c r="D147" i="4" s="1"/>
  <c r="C146" i="4"/>
  <c r="C142" i="4"/>
  <c r="I142" i="4" s="1"/>
  <c r="C141" i="4"/>
  <c r="I141" i="4" s="1"/>
  <c r="C140" i="4"/>
  <c r="I140" i="4" s="1"/>
  <c r="C139" i="4"/>
  <c r="I139" i="4" s="1"/>
  <c r="C137" i="4"/>
  <c r="I137" i="4" s="1"/>
  <c r="C132" i="4"/>
  <c r="C125" i="4"/>
  <c r="I125" i="4" s="1"/>
  <c r="C123" i="4"/>
  <c r="I123" i="4" s="1"/>
  <c r="C122" i="4"/>
  <c r="I122" i="4" s="1"/>
  <c r="C121" i="4"/>
  <c r="I121" i="4" s="1"/>
  <c r="C120" i="4"/>
  <c r="I120" i="4" s="1"/>
  <c r="C119" i="4"/>
  <c r="I119" i="4" s="1"/>
  <c r="D115" i="4"/>
  <c r="D114" i="4"/>
  <c r="D113" i="4"/>
  <c r="D112" i="4"/>
  <c r="D111" i="4"/>
  <c r="D110" i="4"/>
  <c r="D109" i="4"/>
  <c r="D108" i="4"/>
  <c r="D107" i="4"/>
  <c r="D106" i="4"/>
  <c r="D105" i="4"/>
  <c r="C103" i="4"/>
  <c r="I103" i="4" s="1"/>
  <c r="C102" i="4"/>
  <c r="I102" i="4" s="1"/>
  <c r="C101" i="4"/>
  <c r="I101" i="4" s="1"/>
  <c r="C100" i="4"/>
  <c r="I100" i="4" s="1"/>
  <c r="C99" i="4"/>
  <c r="I99" i="4" s="1"/>
  <c r="C98" i="4"/>
  <c r="I98" i="4" s="1"/>
  <c r="C94" i="4"/>
  <c r="I94" i="4" s="1"/>
  <c r="C93" i="4"/>
  <c r="I93" i="4" s="1"/>
  <c r="C92" i="4"/>
  <c r="I92" i="4" s="1"/>
  <c r="C91" i="4"/>
  <c r="I91" i="4" s="1"/>
  <c r="C90" i="4"/>
  <c r="I90" i="4" s="1"/>
  <c r="C89" i="4"/>
  <c r="I89" i="4" s="1"/>
  <c r="C88" i="4"/>
  <c r="I88" i="4" s="1"/>
  <c r="C87" i="4"/>
  <c r="I87" i="4" s="1"/>
  <c r="C86" i="4"/>
  <c r="I86" i="4" s="1"/>
  <c r="C85" i="4"/>
  <c r="I85" i="4" s="1"/>
  <c r="C84" i="4"/>
  <c r="I84" i="4" s="1"/>
  <c r="C83" i="4"/>
  <c r="I83" i="4" s="1"/>
  <c r="C81" i="4"/>
  <c r="I81" i="4" s="1"/>
  <c r="C80" i="4"/>
  <c r="I80" i="4" s="1"/>
  <c r="C79" i="4"/>
  <c r="I79" i="4" s="1"/>
  <c r="C78" i="4"/>
  <c r="I78" i="4" s="1"/>
  <c r="C77" i="4"/>
  <c r="I77" i="4" s="1"/>
  <c r="C76" i="4"/>
  <c r="I76" i="4" s="1"/>
  <c r="C75" i="4"/>
  <c r="I75" i="4" s="1"/>
  <c r="C74" i="4"/>
  <c r="I74" i="4" s="1"/>
  <c r="C73" i="4"/>
  <c r="I73" i="4" s="1"/>
  <c r="C71" i="4"/>
  <c r="I71" i="4" s="1"/>
  <c r="C67" i="4"/>
  <c r="I67" i="4" s="1"/>
  <c r="C70" i="4"/>
  <c r="I70" i="4" s="1"/>
  <c r="C69" i="4"/>
  <c r="I69" i="4" s="1"/>
  <c r="C68" i="4"/>
  <c r="I68" i="4" s="1"/>
  <c r="C66" i="4"/>
  <c r="I66" i="4" s="1"/>
  <c r="C65" i="4"/>
  <c r="I65" i="4" s="1"/>
  <c r="C64" i="4"/>
  <c r="I64" i="4" s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2" i="4"/>
  <c r="D31" i="4"/>
  <c r="D30" i="4"/>
  <c r="D29" i="4"/>
  <c r="D28" i="4"/>
  <c r="D27" i="4"/>
  <c r="D26" i="4"/>
  <c r="D25" i="4"/>
  <c r="C19" i="4"/>
  <c r="I19" i="4" s="1"/>
  <c r="C18" i="4"/>
  <c r="I18" i="4" s="1"/>
  <c r="C17" i="4"/>
  <c r="I17" i="4" s="1"/>
  <c r="C16" i="4"/>
  <c r="I16" i="4" s="1"/>
  <c r="C15" i="4"/>
  <c r="I15" i="4" s="1"/>
  <c r="C14" i="4"/>
  <c r="I14" i="4" s="1"/>
  <c r="C13" i="4"/>
  <c r="I13" i="4" s="1"/>
  <c r="C147" i="4" l="1"/>
  <c r="I146" i="4"/>
  <c r="C138" i="4"/>
  <c r="I132" i="4"/>
  <c r="D33" i="4"/>
  <c r="D51" i="4"/>
  <c r="D116" i="4"/>
  <c r="D117" i="4" s="1"/>
  <c r="D148" i="4"/>
  <c r="C72" i="4"/>
  <c r="C82" i="4"/>
  <c r="D62" i="4"/>
  <c r="C95" i="4"/>
  <c r="C104" i="4"/>
  <c r="C130" i="4"/>
  <c r="C145" i="4"/>
  <c r="C12" i="4"/>
  <c r="I12" i="4" s="1"/>
  <c r="C11" i="4"/>
  <c r="I11" i="4" s="1"/>
  <c r="C10" i="4"/>
  <c r="I10" i="4" s="1"/>
  <c r="C148" i="4" l="1"/>
  <c r="C24" i="4"/>
  <c r="C62" i="4" s="1"/>
  <c r="H138" i="4" l="1"/>
  <c r="G130" i="4"/>
  <c r="H130" i="4"/>
  <c r="G116" i="4"/>
  <c r="H116" i="4"/>
  <c r="G104" i="4"/>
  <c r="H104" i="4"/>
  <c r="G82" i="4"/>
  <c r="H82" i="4"/>
  <c r="G51" i="4"/>
  <c r="H51" i="4"/>
  <c r="G72" i="4"/>
  <c r="H72" i="4"/>
  <c r="G95" i="4"/>
  <c r="H95" i="4"/>
  <c r="G33" i="4"/>
  <c r="H33" i="4"/>
  <c r="G24" i="4"/>
  <c r="H24" i="4"/>
  <c r="G148" i="4" l="1"/>
  <c r="H62" i="4"/>
  <c r="H148" i="4"/>
  <c r="G62" i="4"/>
  <c r="H117" i="4"/>
  <c r="G117" i="4"/>
  <c r="H96" i="4"/>
  <c r="G96" i="4"/>
  <c r="G150" i="4" l="1"/>
  <c r="G151" i="4"/>
  <c r="H150" i="4"/>
  <c r="E147" i="4"/>
  <c r="E145" i="4"/>
  <c r="E138" i="4"/>
  <c r="E116" i="4"/>
  <c r="C116" i="4"/>
  <c r="E104" i="4"/>
  <c r="E95" i="4"/>
  <c r="E82" i="4"/>
  <c r="E72" i="4"/>
  <c r="E61" i="4"/>
  <c r="D61" i="4"/>
  <c r="C61" i="4"/>
  <c r="F60" i="4"/>
  <c r="F59" i="4"/>
  <c r="F58" i="4"/>
  <c r="F57" i="4"/>
  <c r="F56" i="4"/>
  <c r="F55" i="4"/>
  <c r="F54" i="4"/>
  <c r="F53" i="4"/>
  <c r="E51" i="4"/>
  <c r="E33" i="4"/>
  <c r="F23" i="4"/>
  <c r="F22" i="4"/>
  <c r="F21" i="4"/>
  <c r="F20" i="4"/>
  <c r="E62" i="4" l="1"/>
  <c r="E148" i="4"/>
  <c r="G152" i="4"/>
  <c r="F24" i="4"/>
  <c r="I24" i="4" s="1"/>
  <c r="E117" i="4"/>
  <c r="H151" i="4"/>
  <c r="H152" i="4" s="1"/>
  <c r="D96" i="4"/>
  <c r="E96" i="4"/>
  <c r="C117" i="4"/>
  <c r="F61" i="4"/>
  <c r="F51" i="4"/>
  <c r="F33" i="4"/>
  <c r="I33" i="4" s="1"/>
  <c r="G61" i="4"/>
  <c r="F95" i="4"/>
  <c r="I95" i="4" s="1"/>
  <c r="F104" i="4"/>
  <c r="I104" i="4" s="1"/>
  <c r="F82" i="4"/>
  <c r="I82" i="4" s="1"/>
  <c r="F72" i="4"/>
  <c r="I72" i="4" s="1"/>
  <c r="C96" i="4"/>
  <c r="F130" i="4"/>
  <c r="I130" i="4" s="1"/>
  <c r="F138" i="4"/>
  <c r="I138" i="4" s="1"/>
  <c r="F147" i="4"/>
  <c r="I147" i="4" s="1"/>
  <c r="I96" i="4" l="1"/>
  <c r="F62" i="4"/>
  <c r="I62" i="4" s="1"/>
  <c r="I51" i="4"/>
  <c r="C150" i="4"/>
  <c r="C151" i="4" s="1"/>
  <c r="C152" i="4" s="1"/>
  <c r="B156" i="4" s="1"/>
  <c r="E150" i="4"/>
  <c r="E151" i="4"/>
  <c r="D150" i="4"/>
  <c r="D151" i="4" s="1"/>
  <c r="D152" i="4" s="1"/>
  <c r="B157" i="4" s="1"/>
  <c r="F96" i="4"/>
  <c r="F116" i="4"/>
  <c r="F145" i="4"/>
  <c r="G156" i="4" l="1"/>
  <c r="B158" i="4"/>
  <c r="H156" i="4"/>
  <c r="E152" i="4"/>
  <c r="F148" i="4"/>
  <c r="I145" i="4"/>
  <c r="F117" i="4"/>
  <c r="I117" i="4" s="1"/>
  <c r="I116" i="4"/>
  <c r="F150" i="4" l="1"/>
  <c r="I148" i="4"/>
  <c r="F151" i="4" l="1"/>
  <c r="I151" i="4" s="1"/>
  <c r="I150" i="4"/>
  <c r="F152" i="4"/>
  <c r="I152" i="4" l="1"/>
  <c r="C157" i="4"/>
  <c r="E157" i="4" l="1"/>
  <c r="C158" i="4"/>
  <c r="E158" i="4" l="1"/>
  <c r="H158" i="4" s="1"/>
  <c r="H157" i="4"/>
  <c r="G157" i="4"/>
  <c r="G15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Sory Conde</author>
  </authors>
  <commentList>
    <comment ref="B9" authorId="0" shapeId="0" xr:uid="{CA9D5A1D-ED32-4F3B-B42D-5A3F2F8B7CE2}">
      <text>
        <r>
          <rPr>
            <b/>
            <sz val="9"/>
            <color indexed="81"/>
            <rFont val="Tahoma"/>
            <family val="2"/>
          </rPr>
          <t>Sory Conde:</t>
        </r>
        <r>
          <rPr>
            <sz val="9"/>
            <color indexed="81"/>
            <rFont val="Tahoma"/>
            <family val="2"/>
          </rPr>
          <t xml:space="preserve">
Sera financé sur le budget du Secrétariat PBF</t>
        </r>
      </text>
    </comment>
    <comment ref="F121" authorId="0" shapeId="0" xr:uid="{E9954873-D23E-4447-BE7B-C0CEC7374A0F}">
      <text>
        <r>
          <rPr>
            <b/>
            <sz val="9"/>
            <color indexed="81"/>
            <rFont val="Tahoma"/>
            <family val="2"/>
          </rPr>
          <t>Sory Conde:</t>
        </r>
        <r>
          <rPr>
            <sz val="9"/>
            <color indexed="81"/>
            <rFont val="Tahoma"/>
            <family val="2"/>
          </rPr>
          <t xml:space="preserve">
Cette depense n'est pas éligible sur cette ligne budgetaire, car la ligne est uniquement pour le PNUD et non SEARCH
Sory</t>
        </r>
      </text>
    </comment>
  </commentList>
</comments>
</file>

<file path=xl/sharedStrings.xml><?xml version="1.0" encoding="utf-8"?>
<sst xmlns="http://schemas.openxmlformats.org/spreadsheetml/2006/main" count="155" uniqueCount="146">
  <si>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</si>
  <si>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</si>
  <si>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</si>
  <si>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</si>
  <si>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</si>
  <si>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</si>
  <si>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</si>
  <si>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Sous-budget total du projet</t>
  </si>
  <si>
    <t>Coûts indirects (7%):</t>
  </si>
  <si>
    <t>Tableau 1 - Budget du projet PBF par résultat, produit et activité</t>
  </si>
  <si>
    <t>Nombre de resultat/ produit</t>
  </si>
  <si>
    <t>Total</t>
  </si>
  <si>
    <t>Notes quelconque le cas echeant (.e.g sur types des entrants ou justification du budget)</t>
  </si>
  <si>
    <t>PNUD</t>
  </si>
  <si>
    <t>SEARCH</t>
  </si>
  <si>
    <t>Activite 1.1.5</t>
  </si>
  <si>
    <t>Activite 1.1.6</t>
  </si>
  <si>
    <t>Activite 1.1.7</t>
  </si>
  <si>
    <t>Activite 1.1.8</t>
  </si>
  <si>
    <t>Produit total</t>
  </si>
  <si>
    <t>Produit 1.4:</t>
  </si>
  <si>
    <t>Activite 1.4.1</t>
  </si>
  <si>
    <t>Activite 1.4.2</t>
  </si>
  <si>
    <t>Activite 1.4.3</t>
  </si>
  <si>
    <t>Activite 1.4.4</t>
  </si>
  <si>
    <t>Activite 1.4.5</t>
  </si>
  <si>
    <t>Activite 1.4.6</t>
  </si>
  <si>
    <t>Activite 1.4.7</t>
  </si>
  <si>
    <t>Activite 1.4.8</t>
  </si>
  <si>
    <t>Atelier de validation de la srtucture et missions de l'ANP</t>
  </si>
  <si>
    <t>Orientation et appui à la nouvelle équipe de l'ANP</t>
  </si>
  <si>
    <t>Cout de personnel du projet si pas inclus dans les activites si-dessus</t>
  </si>
  <si>
    <t>1 Chef de projet - SB5 (PNUD)</t>
  </si>
  <si>
    <t>1 Spécialiste HIMO - SB4 (PNUD)</t>
  </si>
  <si>
    <t>2 Agents de zone  - SB3</t>
  </si>
  <si>
    <t>Gestionnaire comptable financier, SB4, à 50% par agence</t>
  </si>
  <si>
    <t>Chauffeurs</t>
  </si>
  <si>
    <t>1 Coordinateur administration</t>
  </si>
  <si>
    <t>Assistante au Projet , SB3</t>
  </si>
  <si>
    <t>Directeur Pays</t>
  </si>
  <si>
    <t>1 Country Finance manager</t>
  </si>
  <si>
    <t>Equipe technique régionale</t>
  </si>
  <si>
    <t>Appui technique Programme PNUD</t>
  </si>
  <si>
    <t>Couts operationnels si pas inclus dans les activites si-dessus</t>
  </si>
  <si>
    <t>Achat 1 véhicule</t>
  </si>
  <si>
    <t>Fonctionnement 2 véhicules</t>
  </si>
  <si>
    <t>Locations bureaux et charges locatives</t>
  </si>
  <si>
    <t>Communication</t>
  </si>
  <si>
    <t>Support IT</t>
  </si>
  <si>
    <t>Fournitures et consommables  bureau</t>
  </si>
  <si>
    <t>Equipements de bureau</t>
  </si>
  <si>
    <t>Budget de suivi</t>
  </si>
  <si>
    <t>Rencontre du comité technique de suivi</t>
  </si>
  <si>
    <t>Reunion du comité de pilotage</t>
  </si>
  <si>
    <t>Missions conjointes de suivi terrain</t>
  </si>
  <si>
    <t>1 Chargé de suivi évaluation (PNUD)</t>
  </si>
  <si>
    <t>Support ILT (suivi évaluation)</t>
  </si>
  <si>
    <t>1 Coordonnateur Suivi Evaluation (Search)</t>
  </si>
  <si>
    <t>Budget pour l'évaluation finale indépendante</t>
  </si>
  <si>
    <t>Evaluation à mi-parcours et finale du projet</t>
  </si>
  <si>
    <t>Totaux</t>
  </si>
  <si>
    <t>Conduire de manière participative les exercices d’analyse des conflits dans les 7 préfectures de la région forestière () ;Activite 1.3.1</t>
  </si>
  <si>
    <t>Soutenir le dialogue inter acteurs dans les communautés pendant la période électorale ;  Activite 1.3.2</t>
  </si>
  <si>
    <t>Soutenir l’animation de l’émission « Médias produits par les jeunes - Emission radio UDD (interviews jeunes/membres ISP) Activite 1.3.3</t>
  </si>
  <si>
    <t xml:space="preserve">Réaliser deux enquêtes de perception Activite 1.1.1: </t>
  </si>
  <si>
    <t>Faire un état des lieux des Synergies et identifier les initiatives paralelles de prévention et résolution des conflits  Activite 1.1.2:</t>
  </si>
  <si>
    <t xml:space="preserve"> Redynamiser et améliorer la coordination des synergies des acteurs de paix dans la région;  Activite 1.1.3:</t>
  </si>
  <si>
    <t>Faciliter les échanges de bonnes pratiques et d’expérience entre synergies.  Activite 1.1.4</t>
  </si>
  <si>
    <t>Elaborer un référentiel (cahier des charges) sensible aux conflits et aux droits de l’homme sur le rôle des Synergies locales des acteurs de la Paix ;  Activite 1.2.1</t>
  </si>
  <si>
    <t xml:space="preserve"> Former les synergies sur le référentiel  Activite 1.2.2</t>
  </si>
  <si>
    <t>Former les jeunes sur le processus électoral et la prévention et gestion des conflits en période électorale ;  Activite 2.1.1</t>
  </si>
  <si>
    <t>Soutenir l’élaboration et à la mise en œuvre des plans d’action des jeunes pour la prévention / résolution des conflits Activite 2.1.2</t>
  </si>
  <si>
    <t xml:space="preserve"> Identifier et appuyer les initiatives féminines de prévention des conflits et préservation de la paix ; Activite 2.2.1</t>
  </si>
  <si>
    <t>Vulgariser la résolution 1325 et renforcer le rôles des femmes de la région forestière sur les dynamiques sous régionales de prévention des conflits et préservation de la paix ;  Activite' 2.2.2</t>
  </si>
  <si>
    <t>Appuyer les rencontres de partage d’expérience entre les initiatives des femmes des 7 préfectures de la région forestière ;  Activite 2.2.3</t>
  </si>
  <si>
    <t>Identifier avec les communes les activités prioritaires de HIMO sur des besoins d’intérêts publics ; Activite 2.3.1</t>
  </si>
  <si>
    <t>Identifier les jeunes à risques dans les communes cibles ;  Activite 2.3.2</t>
  </si>
  <si>
    <t xml:space="preserve"> Former les jeunes sur l’approche HIMO, la méthode 3X6 et l’éducation à la citoyenneté;  Activite 2.3.3</t>
  </si>
  <si>
    <t xml:space="preserve"> Réaliser les travaux HIMO  Activite 2.3.4</t>
  </si>
  <si>
    <t xml:space="preserve"> Appuyer les initiatives de sensibilisation par les jeunes à risque sur la citoyenneté et la paix à Cky  Activite 2.3.5</t>
  </si>
  <si>
    <t>Etude et conception de l'ANP  Activite 3.1.1</t>
  </si>
  <si>
    <t>Soutenir la mise en place effective de l’ANP au niveau national et en région forestière  Activite 3.1.2</t>
  </si>
  <si>
    <t>Concevoir un outil de collecte, d’analyse et de reporting des alertes Activite 3.2.1</t>
  </si>
  <si>
    <t>Définir un mécanisme de réponse aux alertes ;  Activite 3.2.2</t>
  </si>
  <si>
    <t>Produire et diffuser deux rapports d'analyse des alertes et des conflits de la région forestière  Activite 3.2.3</t>
  </si>
  <si>
    <t xml:space="preserve">Produit 1.1: Les synergies des acteurs de la Paix des sept préfectures de la Région Forestière sont restructurées et redynamisées. </t>
  </si>
  <si>
    <t>Formulation du resultat/ produit/ activite</t>
  </si>
  <si>
    <t>Budget par agence recipiendiaire en USD - Veuillez ajouter une nouvelle colonne par agence recipiendiaire PNUD</t>
  </si>
  <si>
    <t xml:space="preserve">Niveau de depense/ engagement actuel en USD (a remplir au moment des rapports de projet)          HCDH   </t>
  </si>
  <si>
    <t>Commitement</t>
  </si>
  <si>
    <t>Avances non justifiées</t>
  </si>
  <si>
    <t>Taux de Réalisation par ligne budgetaire</t>
  </si>
  <si>
    <t>Budget par agence recipiendiaire en USD - Veuillez ajouter une nouvelle colonne par agence recipiendiaire SEARCH</t>
  </si>
  <si>
    <t>Niveau de depense/ engagement actuel en USD (a remplir au moment des rapports de projet)          PNUD  et SEARCH</t>
  </si>
  <si>
    <t xml:space="preserve">Produit 1.2: Les Synergies locales disposent d’outils harmonisés et appropriés, et leurs capacités sont renforcées   </t>
  </si>
  <si>
    <t>Produit 1.3: Les acteurs locaux (personnes ressources) renforcent les dispositions de prévention des conflits en période électorale</t>
  </si>
  <si>
    <t>TOTAL RESULTAT 1</t>
  </si>
  <si>
    <t>Produit total 1.3</t>
  </si>
  <si>
    <t>Produit total 1.2</t>
  </si>
  <si>
    <t>Produit total 1.1</t>
  </si>
  <si>
    <t>RESULTAT 2:  Les jeunes et les femmes contribuent à réduire les violences en période électorale à travers leur engagement citoyen et des initiatives socio-économiques.</t>
  </si>
  <si>
    <t>RESULTAT 1:  Les Synergies locales des acteurs de la Paix sont structurées, mieux coordonnées et assurent la prévention et la résolution des conflits en région forestière, en particulier pendant la période électorale</t>
  </si>
  <si>
    <t xml:space="preserve">Produit 2.1  Les associations de jeunes, membres des Synergies, mettent en place des initiatives de prévention et de gestion des conflits en période électorale </t>
  </si>
  <si>
    <t>Produit total 2.1</t>
  </si>
  <si>
    <r>
      <rPr>
        <b/>
        <sz val="9"/>
        <color theme="1"/>
        <rFont val="Calibri"/>
        <family val="2"/>
        <scheme val="minor"/>
      </rPr>
      <t xml:space="preserve">Produit 2.2     </t>
    </r>
    <r>
      <rPr>
        <sz val="9"/>
        <color theme="1"/>
        <rFont val="Calibri"/>
        <family val="2"/>
        <scheme val="minor"/>
      </rPr>
      <t xml:space="preserve">Les initiatives des femmes évoluant dans la prévention et la résolution des conflits sont renforcées et mieux structurées  </t>
    </r>
  </si>
  <si>
    <r>
      <rPr>
        <b/>
        <sz val="9"/>
        <color theme="1"/>
        <rFont val="Calibri"/>
        <family val="2"/>
        <scheme val="minor"/>
      </rPr>
      <t xml:space="preserve">Produit 2.3: </t>
    </r>
    <r>
      <rPr>
        <sz val="9"/>
        <color theme="1"/>
        <rFont val="Calibri"/>
        <family val="2"/>
        <scheme val="minor"/>
      </rPr>
      <t xml:space="preserve">500 jeunes (250 femmes et 250 hommes) à risque sont reconvertis en vecteur de paix à partir des activités de haute intensité de main d’œuvre et d’une éducation à la citoyenneté en période électorale dans la zone spéciale de Conakry </t>
    </r>
  </si>
  <si>
    <t>Produit total 2.3</t>
  </si>
  <si>
    <t>TOTAL RESULTAT 2</t>
  </si>
  <si>
    <t>RESULTAT 3:  L’architecture nationale de Paix est mise en place et renforce les mécanismes locaux de prévention et gestion des conflits en Guinée Forestière</t>
  </si>
  <si>
    <r>
      <rPr>
        <b/>
        <sz val="9"/>
        <color theme="1"/>
        <rFont val="Calibri"/>
        <family val="2"/>
        <scheme val="minor"/>
      </rPr>
      <t>Produit 3.1</t>
    </r>
    <r>
      <rPr>
        <sz val="9"/>
        <color theme="1"/>
        <rFont val="Calibri"/>
        <family val="2"/>
        <scheme val="minor"/>
      </rPr>
      <t xml:space="preserve"> ANP est mise en place au niveau national et opérationnelle en région forestière </t>
    </r>
  </si>
  <si>
    <t>Produit 3.2:  Le mécanisme national de collecte, d’analyse d</t>
  </si>
  <si>
    <t>Produit total 3.1</t>
  </si>
  <si>
    <t>Produit total 3.2</t>
  </si>
  <si>
    <t>Produit total 2.2</t>
  </si>
  <si>
    <t>GESTION DU PROJET</t>
  </si>
  <si>
    <t>PNUD 35 %</t>
  </si>
  <si>
    <t>SEARCH 35%</t>
  </si>
  <si>
    <t>COUT TOTAL ACTIVITE DU PROJET</t>
  </si>
  <si>
    <t>TOTAL RESULTAT 3</t>
  </si>
  <si>
    <t>TOTAL GENERAL</t>
  </si>
  <si>
    <t>GMS 7%</t>
  </si>
  <si>
    <t xml:space="preserve">Appui à la prévention des conflits en période électorale et à la pérennisation des Synergies locales des acteurs pour la paix en Guinée Forestière </t>
  </si>
  <si>
    <t>BUDGET T1</t>
  </si>
  <si>
    <t>DECAISSEMENT T1</t>
  </si>
  <si>
    <t>COMMITMENT</t>
  </si>
  <si>
    <t>AVANCE NON JUSTIFIER</t>
  </si>
  <si>
    <t>Recipient Agency 2 SEARCH</t>
  </si>
  <si>
    <t>Annexe D - Budget du projet PBF PAR RESULTAT</t>
  </si>
  <si>
    <t xml:space="preserve">BUDGET PBF PAR CATEGORIE </t>
  </si>
  <si>
    <t>Recipient Agency 1 Lead PNUD</t>
  </si>
  <si>
    <t>DEPENSE TOTALE</t>
  </si>
  <si>
    <t>Taux de realisation</t>
  </si>
  <si>
    <t>Description par categorie budgetaire</t>
  </si>
  <si>
    <t>Coûts Total Gestion du Projet</t>
  </si>
  <si>
    <t>Budget par agence recipiendiaire en USD</t>
  </si>
  <si>
    <t>BUDGET APPROUVE</t>
  </si>
  <si>
    <t>Dépenses</t>
  </si>
  <si>
    <t>Commitment/PO</t>
  </si>
  <si>
    <t>Total Dépenses</t>
  </si>
  <si>
    <t>Avance</t>
  </si>
  <si>
    <t>Solde</t>
  </si>
  <si>
    <t>%Tage de Réalisation</t>
  </si>
  <si>
    <t xml:space="preserve">Commentaire sur les dépenses / activités </t>
  </si>
  <si>
    <t>Préparé par CONDE SORY</t>
  </si>
  <si>
    <t>Gestionnaire Comptable et Financier PNUD/PBF</t>
  </si>
  <si>
    <t>RECAPITULATIF DE LA SITUTION FINANCIERE DU PROJET 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</si>
</sst>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FG&quot;_-;\-* #,##0.00\ &quot;FG&quot;_-;_-* &quot;-&quot;??\ &quot;FG&quot;_-;_-@_-"/>
    <numFmt numFmtId="165" formatCode="_(* #,##0.00_);_(* \(#,##0.00\);_(* &quot;-&quot;??_);_(@_)"/>
    <numFmt numFmtId="168" formatCode="_(&quot;$&quot;* #,##0.00_);_(&quot;$&quot;* \(#,##0.00\);_(&quot;$&quot;* &quot;-&quot;??_);_(@_)"/>
    <numFmt numFmtId="169" formatCode="_-* #,##0.00\ _€_-;\-* #,##0.00\ _€_-;_-* &quot;-&quot;??\ _€_-;_-@_-"/>
    <numFmt numFmtId="170" formatCode="_-* #,##0.00\ _F_G_-;\-* #,##0.00\ _F_G_-;_-* &quot;-&quot;??\ _F_G_-;_-@_-"/>
    <numFmt numFmtId="171" formatCode="_-[$$-409]* #,##0.00_ ;_-[$$-409]* \-#,##0.00\ ;_-[$$-409]* &quot;-&quot;_ ;_-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Helvetic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164" fontId="1" fillId="0" borderId="0" applyFont="0" applyFill="0" applyBorder="0" applyAlignment="0" applyProtection="0"/>
  </cellStyleXfs>
  <cellXfs count="408">
    <xf numFmtId="0" fontId="0" fillId="0" borderId="0" xfId="0"/>
    <xf numFmtId="3" fontId="8" fillId="0" borderId="22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3" fontId="8" fillId="0" borderId="58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62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5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164" fontId="9" fillId="0" borderId="0" xfId="5" applyFont="1" applyAlignment="1">
      <alignment vertical="center" wrapText="1"/>
    </xf>
    <xf numFmtId="168" fontId="11" fillId="8" borderId="8" xfId="5" applyNumberFormat="1" applyFont="1" applyFill="1" applyBorder="1" applyAlignment="1" applyProtection="1">
      <alignment horizontal="center" vertical="center" wrapText="1"/>
      <protection locked="0"/>
    </xf>
    <xf numFmtId="168" fontId="11" fillId="0" borderId="8" xfId="5" applyNumberFormat="1" applyFont="1" applyBorder="1" applyAlignment="1" applyProtection="1">
      <alignment horizontal="center" vertical="center" wrapText="1"/>
      <protection locked="0"/>
    </xf>
    <xf numFmtId="9" fontId="11" fillId="0" borderId="5" xfId="2" applyFont="1" applyBorder="1" applyAlignment="1" applyProtection="1">
      <alignment horizontal="center" vertical="center" wrapText="1"/>
      <protection locked="0"/>
    </xf>
    <xf numFmtId="168" fontId="11" fillId="0" borderId="0" xfId="5" applyNumberFormat="1" applyFont="1" applyAlignment="1">
      <alignment horizontal="center" vertical="center" wrapText="1"/>
    </xf>
    <xf numFmtId="168" fontId="11" fillId="8" borderId="22" xfId="5" applyNumberFormat="1" applyFont="1" applyFill="1" applyBorder="1" applyAlignment="1" applyProtection="1">
      <alignment horizontal="center" vertical="center" wrapText="1"/>
      <protection locked="0"/>
    </xf>
    <xf numFmtId="168" fontId="11" fillId="0" borderId="22" xfId="5" applyNumberFormat="1" applyFont="1" applyBorder="1" applyAlignment="1" applyProtection="1">
      <alignment horizontal="center" vertical="center" wrapText="1"/>
      <protection locked="0"/>
    </xf>
    <xf numFmtId="168" fontId="11" fillId="8" borderId="5" xfId="5" applyNumberFormat="1" applyFont="1" applyFill="1" applyBorder="1" applyAlignment="1" applyProtection="1">
      <alignment horizontal="center" vertical="center" wrapText="1"/>
      <protection locked="0"/>
    </xf>
    <xf numFmtId="168" fontId="11" fillId="0" borderId="5" xfId="5" applyNumberFormat="1" applyFont="1" applyBorder="1" applyAlignment="1" applyProtection="1">
      <alignment horizontal="center" vertical="center" wrapText="1"/>
      <protection locked="0"/>
    </xf>
    <xf numFmtId="168" fontId="11" fillId="8" borderId="33" xfId="5" applyNumberFormat="1" applyFont="1" applyFill="1" applyBorder="1" applyAlignment="1" applyProtection="1">
      <alignment horizontal="center" vertical="center" wrapText="1"/>
      <protection locked="0"/>
    </xf>
    <xf numFmtId="168" fontId="11" fillId="0" borderId="33" xfId="5" applyNumberFormat="1" applyFont="1" applyBorder="1" applyAlignment="1" applyProtection="1">
      <alignment horizontal="center" vertical="center" wrapText="1"/>
      <protection locked="0"/>
    </xf>
    <xf numFmtId="168" fontId="11" fillId="8" borderId="34" xfId="5" applyNumberFormat="1" applyFont="1" applyFill="1" applyBorder="1" applyAlignment="1" applyProtection="1">
      <alignment horizontal="center" vertical="center" wrapText="1"/>
      <protection locked="0"/>
    </xf>
    <xf numFmtId="168" fontId="11" fillId="0" borderId="34" xfId="5" applyNumberFormat="1" applyFont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>
      <alignment vertical="center" wrapText="1"/>
    </xf>
    <xf numFmtId="0" fontId="11" fillId="0" borderId="2" xfId="0" applyFont="1" applyBorder="1" applyAlignment="1" applyProtection="1">
      <alignment horizontal="left" vertical="top" wrapText="1"/>
      <protection locked="0"/>
    </xf>
    <xf numFmtId="168" fontId="11" fillId="8" borderId="2" xfId="5" applyNumberFormat="1" applyFont="1" applyFill="1" applyBorder="1" applyAlignment="1" applyProtection="1">
      <alignment horizontal="center" vertical="center" wrapText="1"/>
      <protection locked="0"/>
    </xf>
    <xf numFmtId="168" fontId="11" fillId="0" borderId="2" xfId="5" applyNumberFormat="1" applyFont="1" applyBorder="1" applyAlignment="1" applyProtection="1">
      <alignment horizontal="center" vertical="center" wrapText="1"/>
      <protection locked="0"/>
    </xf>
    <xf numFmtId="9" fontId="11" fillId="0" borderId="2" xfId="2" applyFont="1" applyBorder="1" applyAlignment="1" applyProtection="1">
      <alignment horizontal="center" vertical="center" wrapText="1"/>
      <protection locked="0"/>
    </xf>
    <xf numFmtId="0" fontId="11" fillId="7" borderId="5" xfId="0" applyFont="1" applyFill="1" applyBorder="1" applyAlignment="1">
      <alignment vertical="center" wrapText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5" borderId="5" xfId="0" applyFont="1" applyFill="1" applyBorder="1" applyAlignment="1" applyProtection="1">
      <alignment horizontal="left" vertical="top" wrapText="1"/>
      <protection locked="0"/>
    </xf>
    <xf numFmtId="168" fontId="11" fillId="5" borderId="5" xfId="5" applyNumberFormat="1" applyFont="1" applyFill="1" applyBorder="1" applyAlignment="1" applyProtection="1">
      <alignment horizontal="center" vertical="center" wrapText="1"/>
      <protection locked="0"/>
    </xf>
    <xf numFmtId="9" fontId="11" fillId="5" borderId="5" xfId="2" applyFont="1" applyFill="1" applyBorder="1" applyAlignment="1" applyProtection="1">
      <alignment horizontal="center" vertical="center" wrapText="1"/>
      <protection locked="0"/>
    </xf>
    <xf numFmtId="164" fontId="9" fillId="0" borderId="0" xfId="5" applyFont="1" applyAlignment="1">
      <alignment horizontal="center" vertical="center" wrapText="1"/>
    </xf>
    <xf numFmtId="168" fontId="11" fillId="9" borderId="22" xfId="5" applyNumberFormat="1" applyFont="1" applyFill="1" applyBorder="1" applyAlignment="1" applyProtection="1">
      <alignment horizontal="center" vertical="center" wrapText="1"/>
      <protection locked="0"/>
    </xf>
    <xf numFmtId="168" fontId="11" fillId="9" borderId="5" xfId="5" applyNumberFormat="1" applyFont="1" applyFill="1" applyBorder="1" applyAlignment="1" applyProtection="1">
      <alignment horizontal="center" vertical="center" wrapText="1"/>
      <protection locked="0"/>
    </xf>
    <xf numFmtId="168" fontId="11" fillId="9" borderId="8" xfId="5" applyNumberFormat="1" applyFont="1" applyFill="1" applyBorder="1" applyAlignment="1" applyProtection="1">
      <alignment horizontal="center" vertical="center" wrapText="1"/>
      <protection locked="0"/>
    </xf>
    <xf numFmtId="168" fontId="13" fillId="9" borderId="22" xfId="5" applyNumberFormat="1" applyFont="1" applyFill="1" applyBorder="1" applyAlignment="1" applyProtection="1">
      <alignment horizontal="center" vertical="center" wrapText="1"/>
      <protection locked="0"/>
    </xf>
    <xf numFmtId="168" fontId="13" fillId="9" borderId="5" xfId="5" applyNumberFormat="1" applyFont="1" applyFill="1" applyBorder="1" applyAlignment="1" applyProtection="1">
      <alignment horizontal="center" vertical="center" wrapText="1"/>
      <protection locked="0"/>
    </xf>
    <xf numFmtId="168" fontId="13" fillId="9" borderId="33" xfId="5" applyNumberFormat="1" applyFont="1" applyFill="1" applyBorder="1" applyAlignment="1" applyProtection="1">
      <alignment horizontal="center" vertical="center" wrapText="1"/>
      <protection locked="0"/>
    </xf>
    <xf numFmtId="168" fontId="9" fillId="6" borderId="8" xfId="5" applyNumberFormat="1" applyFont="1" applyFill="1" applyBorder="1" applyAlignment="1">
      <alignment horizontal="center" vertical="center" wrapText="1"/>
    </xf>
    <xf numFmtId="168" fontId="13" fillId="9" borderId="2" xfId="5" applyNumberFormat="1" applyFont="1" applyFill="1" applyBorder="1" applyAlignment="1" applyProtection="1">
      <alignment horizontal="center" vertical="center" wrapText="1"/>
      <protection locked="0"/>
    </xf>
    <xf numFmtId="168" fontId="13" fillId="9" borderId="48" xfId="5" applyNumberFormat="1" applyFont="1" applyFill="1" applyBorder="1" applyAlignment="1" applyProtection="1">
      <alignment horizontal="center" vertical="center" wrapText="1"/>
      <protection locked="0"/>
    </xf>
    <xf numFmtId="168" fontId="13" fillId="9" borderId="50" xfId="5" applyNumberFormat="1" applyFont="1" applyFill="1" applyBorder="1" applyAlignment="1" applyProtection="1">
      <alignment horizontal="center" vertical="center" wrapText="1"/>
      <protection locked="0"/>
    </xf>
    <xf numFmtId="168" fontId="13" fillId="9" borderId="51" xfId="5" applyNumberFormat="1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vertical="center" wrapText="1"/>
      <protection locked="0"/>
    </xf>
    <xf numFmtId="168" fontId="11" fillId="8" borderId="48" xfId="5" applyNumberFormat="1" applyFont="1" applyFill="1" applyBorder="1" applyAlignment="1" applyProtection="1">
      <alignment horizontal="center" vertical="center" wrapText="1"/>
      <protection locked="0"/>
    </xf>
    <xf numFmtId="168" fontId="11" fillId="8" borderId="50" xfId="5" applyNumberFormat="1" applyFont="1" applyFill="1" applyBorder="1" applyAlignment="1" applyProtection="1">
      <alignment horizontal="center" vertical="center" wrapText="1"/>
      <protection locked="0"/>
    </xf>
    <xf numFmtId="168" fontId="11" fillId="8" borderId="52" xfId="5" applyNumberFormat="1" applyFont="1" applyFill="1" applyBorder="1" applyAlignment="1" applyProtection="1">
      <alignment horizontal="center" vertical="center" wrapText="1"/>
      <protection locked="0"/>
    </xf>
    <xf numFmtId="168" fontId="11" fillId="8" borderId="51" xfId="5" applyNumberFormat="1" applyFont="1" applyFill="1" applyBorder="1" applyAlignment="1" applyProtection="1">
      <alignment horizontal="center" vertical="center" wrapText="1"/>
      <protection locked="0"/>
    </xf>
    <xf numFmtId="168" fontId="11" fillId="0" borderId="41" xfId="5" applyNumberFormat="1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left" vertical="center" wrapText="1"/>
      <protection locked="0"/>
    </xf>
    <xf numFmtId="168" fontId="11" fillId="8" borderId="20" xfId="5" applyNumberFormat="1" applyFont="1" applyFill="1" applyBorder="1" applyAlignment="1" applyProtection="1">
      <alignment horizontal="center" vertical="center" wrapText="1"/>
      <protection locked="0"/>
    </xf>
    <xf numFmtId="168" fontId="11" fillId="0" borderId="55" xfId="5" applyNumberFormat="1" applyFont="1" applyBorder="1" applyAlignment="1" applyProtection="1">
      <alignment horizontal="center" vertical="center" wrapText="1"/>
      <protection locked="0"/>
    </xf>
    <xf numFmtId="9" fontId="11" fillId="0" borderId="55" xfId="2" applyFont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 vertical="center" wrapText="1"/>
    </xf>
    <xf numFmtId="164" fontId="11" fillId="5" borderId="0" xfId="5" applyFont="1" applyFill="1" applyAlignment="1" applyProtection="1">
      <alignment vertical="center" wrapText="1"/>
      <protection locked="0"/>
    </xf>
    <xf numFmtId="168" fontId="13" fillId="8" borderId="52" xfId="5" applyNumberFormat="1" applyFont="1" applyFill="1" applyBorder="1" applyAlignment="1" applyProtection="1">
      <alignment horizontal="center" vertical="center" wrapText="1"/>
      <protection locked="0"/>
    </xf>
    <xf numFmtId="168" fontId="13" fillId="9" borderId="57" xfId="5" applyNumberFormat="1" applyFont="1" applyFill="1" applyBorder="1" applyAlignment="1" applyProtection="1">
      <alignment horizontal="center" vertical="center" wrapText="1"/>
      <protection locked="0"/>
    </xf>
    <xf numFmtId="3" fontId="13" fillId="0" borderId="38" xfId="0" applyNumberFormat="1" applyFont="1" applyBorder="1" applyAlignment="1">
      <alignment vertical="center" wrapText="1"/>
    </xf>
    <xf numFmtId="164" fontId="11" fillId="0" borderId="22" xfId="5" applyFont="1" applyBorder="1" applyAlignment="1" applyProtection="1">
      <alignment vertical="center" wrapText="1"/>
      <protection locked="0"/>
    </xf>
    <xf numFmtId="3" fontId="13" fillId="0" borderId="40" xfId="0" applyNumberFormat="1" applyFont="1" applyBorder="1" applyAlignment="1">
      <alignment vertical="center" wrapText="1"/>
    </xf>
    <xf numFmtId="164" fontId="11" fillId="0" borderId="5" xfId="5" applyFont="1" applyBorder="1" applyAlignment="1" applyProtection="1">
      <alignment vertical="center" wrapText="1"/>
      <protection locked="0"/>
    </xf>
    <xf numFmtId="3" fontId="13" fillId="0" borderId="42" xfId="0" applyNumberFormat="1" applyFont="1" applyBorder="1" applyAlignment="1">
      <alignment vertical="center" wrapText="1"/>
    </xf>
    <xf numFmtId="3" fontId="13" fillId="0" borderId="44" xfId="0" applyNumberFormat="1" applyFont="1" applyBorder="1" applyAlignment="1">
      <alignment vertical="center" wrapText="1"/>
    </xf>
    <xf numFmtId="168" fontId="11" fillId="9" borderId="33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33" xfId="5" applyFont="1" applyBorder="1" applyAlignment="1" applyProtection="1">
      <alignment vertical="center" wrapText="1"/>
      <protection locked="0"/>
    </xf>
    <xf numFmtId="9" fontId="11" fillId="0" borderId="0" xfId="2" applyFont="1" applyAlignment="1">
      <alignment wrapText="1"/>
    </xf>
    <xf numFmtId="3" fontId="13" fillId="0" borderId="22" xfId="0" applyNumberFormat="1" applyFont="1" applyBorder="1" applyAlignment="1">
      <alignment vertical="center" wrapText="1"/>
    </xf>
    <xf numFmtId="3" fontId="13" fillId="0" borderId="5" xfId="0" applyNumberFormat="1" applyFont="1" applyBorder="1" applyAlignment="1">
      <alignment vertical="center" wrapText="1"/>
    </xf>
    <xf numFmtId="168" fontId="13" fillId="8" borderId="5" xfId="5" applyNumberFormat="1" applyFont="1" applyFill="1" applyBorder="1" applyAlignment="1" applyProtection="1">
      <alignment horizontal="center" vertical="center" wrapText="1"/>
      <protection locked="0"/>
    </xf>
    <xf numFmtId="3" fontId="13" fillId="0" borderId="8" xfId="0" applyNumberFormat="1" applyFont="1" applyBorder="1" applyAlignment="1">
      <alignment vertical="center" wrapText="1"/>
    </xf>
    <xf numFmtId="164" fontId="11" fillId="0" borderId="8" xfId="5" applyFont="1" applyBorder="1" applyAlignment="1" applyProtection="1">
      <alignment vertical="center" wrapText="1"/>
      <protection locked="0"/>
    </xf>
    <xf numFmtId="3" fontId="13" fillId="0" borderId="33" xfId="0" applyNumberFormat="1" applyFont="1" applyBorder="1" applyAlignment="1">
      <alignment vertical="center" wrapText="1"/>
    </xf>
    <xf numFmtId="0" fontId="11" fillId="5" borderId="54" xfId="0" applyFont="1" applyFill="1" applyBorder="1" applyAlignment="1" applyProtection="1">
      <alignment vertical="center" wrapText="1"/>
      <protection locked="0"/>
    </xf>
    <xf numFmtId="164" fontId="11" fillId="8" borderId="55" xfId="5" applyFont="1" applyFill="1" applyBorder="1" applyAlignment="1" applyProtection="1">
      <alignment vertical="center" wrapText="1"/>
      <protection locked="0"/>
    </xf>
    <xf numFmtId="164" fontId="11" fillId="9" borderId="55" xfId="5" applyFont="1" applyFill="1" applyBorder="1" applyAlignment="1" applyProtection="1">
      <alignment vertical="center" wrapText="1"/>
      <protection locked="0"/>
    </xf>
    <xf numFmtId="164" fontId="11" fillId="0" borderId="55" xfId="5" applyFont="1" applyBorder="1" applyAlignment="1" applyProtection="1">
      <alignment vertical="center" wrapText="1"/>
      <protection locked="0"/>
    </xf>
    <xf numFmtId="0" fontId="9" fillId="5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10" borderId="15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68" xfId="0" applyFont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0" fontId="9" fillId="5" borderId="55" xfId="0" applyFont="1" applyFill="1" applyBorder="1" applyAlignment="1" applyProtection="1">
      <alignment horizontal="center" vertical="center" wrapText="1"/>
      <protection locked="0"/>
    </xf>
    <xf numFmtId="0" fontId="12" fillId="6" borderId="68" xfId="0" applyFont="1" applyFill="1" applyBorder="1" applyAlignment="1">
      <alignment horizontal="center" vertical="center" wrapText="1"/>
    </xf>
    <xf numFmtId="0" fontId="11" fillId="0" borderId="54" xfId="0" applyFont="1" applyBorder="1" applyAlignment="1" applyProtection="1">
      <alignment horizontal="left" vertical="top" wrapText="1"/>
      <protection locked="0"/>
    </xf>
    <xf numFmtId="168" fontId="11" fillId="8" borderId="55" xfId="5" applyNumberFormat="1" applyFont="1" applyFill="1" applyBorder="1" applyAlignment="1" applyProtection="1">
      <alignment horizontal="center" vertical="center" wrapText="1"/>
      <protection locked="0"/>
    </xf>
    <xf numFmtId="168" fontId="11" fillId="0" borderId="56" xfId="5" applyNumberFormat="1" applyFont="1" applyBorder="1" applyAlignment="1">
      <alignment horizontal="center" vertical="center" wrapText="1"/>
    </xf>
    <xf numFmtId="0" fontId="11" fillId="5" borderId="8" xfId="0" applyFont="1" applyFill="1" applyBorder="1" applyAlignment="1" applyProtection="1">
      <alignment horizontal="left" vertical="top" wrapText="1"/>
      <protection locked="0"/>
    </xf>
    <xf numFmtId="168" fontId="11" fillId="5" borderId="8" xfId="5" applyNumberFormat="1" applyFont="1" applyFill="1" applyBorder="1" applyAlignment="1" applyProtection="1">
      <alignment horizontal="center" vertical="center" wrapText="1"/>
      <protection locked="0"/>
    </xf>
    <xf numFmtId="9" fontId="11" fillId="5" borderId="8" xfId="2" applyFont="1" applyFill="1" applyBorder="1" applyAlignment="1" applyProtection="1">
      <alignment horizontal="center" vertical="center" wrapText="1"/>
      <protection locked="0"/>
    </xf>
    <xf numFmtId="168" fontId="9" fillId="6" borderId="55" xfId="5" applyNumberFormat="1" applyFont="1" applyFill="1" applyBorder="1" applyAlignment="1">
      <alignment horizontal="center" vertical="center" wrapText="1"/>
    </xf>
    <xf numFmtId="164" fontId="9" fillId="6" borderId="20" xfId="5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vertical="center" wrapText="1"/>
    </xf>
    <xf numFmtId="168" fontId="9" fillId="6" borderId="69" xfId="5" applyNumberFormat="1" applyFont="1" applyFill="1" applyBorder="1" applyAlignment="1">
      <alignment horizontal="center" vertical="center" wrapText="1"/>
    </xf>
    <xf numFmtId="0" fontId="9" fillId="13" borderId="0" xfId="0" applyFont="1" applyFill="1" applyAlignment="1">
      <alignment vertical="center" wrapText="1"/>
    </xf>
    <xf numFmtId="3" fontId="20" fillId="0" borderId="40" xfId="0" applyNumberFormat="1" applyFont="1" applyBorder="1" applyAlignment="1">
      <alignment vertical="center" wrapText="1"/>
    </xf>
    <xf numFmtId="168" fontId="9" fillId="6" borderId="56" xfId="5" applyNumberFormat="1" applyFont="1" applyFill="1" applyBorder="1" applyAlignment="1">
      <alignment horizontal="center" vertical="center" wrapText="1"/>
    </xf>
    <xf numFmtId="170" fontId="9" fillId="11" borderId="69" xfId="0" applyNumberFormat="1" applyFont="1" applyFill="1" applyBorder="1" applyAlignment="1" applyProtection="1">
      <alignment vertical="top" wrapText="1"/>
      <protection locked="0"/>
    </xf>
    <xf numFmtId="0" fontId="9" fillId="11" borderId="56" xfId="0" applyFont="1" applyFill="1" applyBorder="1" applyAlignment="1" applyProtection="1">
      <alignment vertical="top" wrapText="1"/>
      <protection locked="0"/>
    </xf>
    <xf numFmtId="0" fontId="9" fillId="11" borderId="68" xfId="0" applyFont="1" applyFill="1" applyBorder="1" applyAlignment="1" applyProtection="1">
      <alignment vertical="center" wrapText="1"/>
      <protection locked="0"/>
    </xf>
    <xf numFmtId="0" fontId="11" fillId="6" borderId="20" xfId="0" applyFont="1" applyFill="1" applyBorder="1" applyAlignment="1">
      <alignment wrapText="1"/>
    </xf>
    <xf numFmtId="164" fontId="9" fillId="6" borderId="68" xfId="5" applyFont="1" applyFill="1" applyBorder="1" applyAlignment="1">
      <alignment horizontal="center" vertical="center" wrapText="1"/>
    </xf>
    <xf numFmtId="171" fontId="9" fillId="11" borderId="69" xfId="5" applyNumberFormat="1" applyFont="1" applyFill="1" applyBorder="1" applyAlignment="1">
      <alignment vertical="center" wrapText="1"/>
    </xf>
    <xf numFmtId="9" fontId="17" fillId="0" borderId="28" xfId="2" applyFont="1" applyBorder="1" applyAlignment="1">
      <alignment horizontal="center" vertical="center" wrapText="1"/>
    </xf>
    <xf numFmtId="171" fontId="9" fillId="6" borderId="55" xfId="5" applyNumberFormat="1" applyFont="1" applyFill="1" applyBorder="1" applyAlignment="1">
      <alignment horizontal="center" vertical="center" wrapText="1"/>
    </xf>
    <xf numFmtId="171" fontId="5" fillId="2" borderId="5" xfId="4" applyNumberFormat="1" applyFont="1" applyFill="1" applyBorder="1" applyAlignment="1">
      <alignment horizontal="right"/>
    </xf>
    <xf numFmtId="171" fontId="11" fillId="0" borderId="61" xfId="2" applyNumberFormat="1" applyFont="1" applyBorder="1" applyAlignment="1" applyProtection="1">
      <alignment vertical="center" wrapText="1"/>
      <protection locked="0"/>
    </xf>
    <xf numFmtId="171" fontId="11" fillId="5" borderId="0" xfId="5" applyNumberFormat="1" applyFont="1" applyFill="1" applyAlignment="1" applyProtection="1">
      <alignment vertical="center" wrapText="1"/>
      <protection locked="0"/>
    </xf>
    <xf numFmtId="171" fontId="11" fillId="0" borderId="0" xfId="0" applyNumberFormat="1" applyFont="1" applyAlignment="1">
      <alignment wrapText="1"/>
    </xf>
    <xf numFmtId="171" fontId="17" fillId="0" borderId="28" xfId="0" applyNumberFormat="1" applyFont="1" applyBorder="1" applyAlignment="1">
      <alignment horizontal="center" vertical="center" wrapText="1"/>
    </xf>
    <xf numFmtId="171" fontId="11" fillId="6" borderId="55" xfId="0" applyNumberFormat="1" applyFont="1" applyFill="1" applyBorder="1" applyAlignment="1">
      <alignment horizontal="center" vertical="center" wrapText="1"/>
    </xf>
    <xf numFmtId="171" fontId="11" fillId="0" borderId="55" xfId="2" applyNumberFormat="1" applyFont="1" applyBorder="1" applyAlignment="1" applyProtection="1">
      <alignment horizontal="center" vertical="center" wrapText="1"/>
      <protection locked="0"/>
    </xf>
    <xf numFmtId="171" fontId="11" fillId="0" borderId="29" xfId="2" applyNumberFormat="1" applyFont="1" applyBorder="1" applyAlignment="1" applyProtection="1">
      <alignment horizontal="center" vertical="center" wrapText="1"/>
      <protection locked="0"/>
    </xf>
    <xf numFmtId="171" fontId="11" fillId="0" borderId="4" xfId="2" applyNumberFormat="1" applyFont="1" applyBorder="1" applyAlignment="1" applyProtection="1">
      <alignment horizontal="center" vertical="center" wrapText="1"/>
      <protection locked="0"/>
    </xf>
    <xf numFmtId="171" fontId="11" fillId="0" borderId="35" xfId="2" applyNumberFormat="1" applyFont="1" applyBorder="1" applyAlignment="1" applyProtection="1">
      <alignment horizontal="center" vertical="center" wrapText="1"/>
      <protection locked="0"/>
    </xf>
    <xf numFmtId="171" fontId="11" fillId="0" borderId="1" xfId="2" applyNumberFormat="1" applyFont="1" applyBorder="1" applyAlignment="1" applyProtection="1">
      <alignment horizontal="center" vertical="center" wrapText="1"/>
      <protection locked="0"/>
    </xf>
    <xf numFmtId="171" fontId="11" fillId="0" borderId="12" xfId="2" applyNumberFormat="1" applyFont="1" applyBorder="1" applyAlignment="1" applyProtection="1">
      <alignment horizontal="center" vertical="center" wrapText="1"/>
      <protection locked="0"/>
    </xf>
    <xf numFmtId="171" fontId="11" fillId="0" borderId="59" xfId="2" applyNumberFormat="1" applyFont="1" applyBorder="1" applyAlignment="1" applyProtection="1">
      <alignment horizontal="center" vertical="center" wrapText="1"/>
      <protection locked="0"/>
    </xf>
    <xf numFmtId="171" fontId="11" fillId="0" borderId="64" xfId="2" applyNumberFormat="1" applyFont="1" applyBorder="1" applyAlignment="1" applyProtection="1">
      <alignment horizontal="center" vertical="center" wrapText="1"/>
      <protection locked="0"/>
    </xf>
    <xf numFmtId="171" fontId="11" fillId="0" borderId="22" xfId="2" applyNumberFormat="1" applyFont="1" applyBorder="1" applyAlignment="1" applyProtection="1">
      <alignment horizontal="center" vertical="center" wrapText="1"/>
      <protection locked="0"/>
    </xf>
    <xf numFmtId="171" fontId="11" fillId="0" borderId="60" xfId="2" applyNumberFormat="1" applyFont="1" applyBorder="1" applyAlignment="1" applyProtection="1">
      <alignment horizontal="center" vertical="center" wrapText="1"/>
      <protection locked="0"/>
    </xf>
    <xf numFmtId="171" fontId="11" fillId="0" borderId="34" xfId="2" applyNumberFormat="1" applyFont="1" applyBorder="1" applyAlignment="1" applyProtection="1">
      <alignment horizontal="center" vertical="center" wrapText="1"/>
      <protection locked="0"/>
    </xf>
    <xf numFmtId="171" fontId="11" fillId="0" borderId="65" xfId="2" applyNumberFormat="1" applyFont="1" applyBorder="1" applyAlignment="1" applyProtection="1">
      <alignment horizontal="center" vertical="center" wrapText="1"/>
      <protection locked="0"/>
    </xf>
    <xf numFmtId="171" fontId="11" fillId="0" borderId="2" xfId="2" applyNumberFormat="1" applyFont="1" applyBorder="1" applyAlignment="1" applyProtection="1">
      <alignment horizontal="center" vertical="center" wrapText="1"/>
      <protection locked="0"/>
    </xf>
    <xf numFmtId="171" fontId="11" fillId="0" borderId="5" xfId="2" applyNumberFormat="1" applyFont="1" applyBorder="1" applyAlignment="1" applyProtection="1">
      <alignment horizontal="center" vertical="center" wrapText="1"/>
      <protection locked="0"/>
    </xf>
    <xf numFmtId="171" fontId="11" fillId="5" borderId="5" xfId="2" applyNumberFormat="1" applyFont="1" applyFill="1" applyBorder="1" applyAlignment="1" applyProtection="1">
      <alignment horizontal="center" vertical="center" wrapText="1"/>
      <protection locked="0"/>
    </xf>
    <xf numFmtId="171" fontId="11" fillId="5" borderId="8" xfId="2" applyNumberFormat="1" applyFont="1" applyFill="1" applyBorder="1" applyAlignment="1" applyProtection="1">
      <alignment horizontal="center" vertical="center" wrapText="1"/>
      <protection locked="0"/>
    </xf>
    <xf numFmtId="171" fontId="13" fillId="0" borderId="22" xfId="2" applyNumberFormat="1" applyFont="1" applyBorder="1" applyAlignment="1" applyProtection="1">
      <alignment horizontal="center" vertical="center" wrapText="1"/>
      <protection locked="0"/>
    </xf>
    <xf numFmtId="171" fontId="13" fillId="0" borderId="60" xfId="2" applyNumberFormat="1" applyFont="1" applyBorder="1" applyAlignment="1" applyProtection="1">
      <alignment horizontal="center" vertical="center" wrapText="1"/>
      <protection locked="0"/>
    </xf>
    <xf numFmtId="171" fontId="13" fillId="0" borderId="5" xfId="2" applyNumberFormat="1" applyFont="1" applyBorder="1" applyAlignment="1" applyProtection="1">
      <alignment horizontal="center" vertical="center" wrapText="1"/>
      <protection locked="0"/>
    </xf>
    <xf numFmtId="171" fontId="13" fillId="0" borderId="6" xfId="2" applyNumberFormat="1" applyFont="1" applyBorder="1" applyAlignment="1" applyProtection="1">
      <alignment horizontal="center" vertical="center" wrapText="1"/>
      <protection locked="0"/>
    </xf>
    <xf numFmtId="171" fontId="13" fillId="0" borderId="8" xfId="2" applyNumberFormat="1" applyFont="1" applyBorder="1" applyAlignment="1" applyProtection="1">
      <alignment horizontal="center" vertical="center" wrapText="1"/>
      <protection locked="0"/>
    </xf>
    <xf numFmtId="171" fontId="13" fillId="0" borderId="9" xfId="2" applyNumberFormat="1" applyFont="1" applyBorder="1" applyAlignment="1" applyProtection="1">
      <alignment horizontal="center" vertical="center" wrapText="1"/>
      <protection locked="0"/>
    </xf>
    <xf numFmtId="171" fontId="13" fillId="0" borderId="33" xfId="2" applyNumberFormat="1" applyFont="1" applyBorder="1" applyAlignment="1" applyProtection="1">
      <alignment horizontal="center" vertical="center" wrapText="1"/>
      <protection locked="0"/>
    </xf>
    <xf numFmtId="171" fontId="13" fillId="0" borderId="61" xfId="2" applyNumberFormat="1" applyFont="1" applyBorder="1" applyAlignment="1" applyProtection="1">
      <alignment horizontal="center" vertical="center" wrapText="1"/>
      <protection locked="0"/>
    </xf>
    <xf numFmtId="171" fontId="11" fillId="0" borderId="23" xfId="2" applyNumberFormat="1" applyFont="1" applyBorder="1" applyAlignment="1" applyProtection="1">
      <alignment horizontal="center" vertical="center" wrapText="1"/>
      <protection locked="0"/>
    </xf>
    <xf numFmtId="171" fontId="11" fillId="0" borderId="45" xfId="2" applyNumberFormat="1" applyFont="1" applyBorder="1" applyAlignment="1" applyProtection="1">
      <alignment horizontal="center" vertical="center" wrapText="1"/>
      <protection locked="0"/>
    </xf>
    <xf numFmtId="171" fontId="11" fillId="0" borderId="36" xfId="2" applyNumberFormat="1" applyFont="1" applyBorder="1" applyAlignment="1" applyProtection="1">
      <alignment horizontal="center" vertical="center" wrapText="1"/>
      <protection locked="0"/>
    </xf>
    <xf numFmtId="171" fontId="11" fillId="0" borderId="41" xfId="2" applyNumberFormat="1" applyFont="1" applyBorder="1" applyAlignment="1" applyProtection="1">
      <alignment horizontal="center" vertical="center" wrapText="1"/>
      <protection locked="0"/>
    </xf>
    <xf numFmtId="171" fontId="11" fillId="0" borderId="13" xfId="2" applyNumberFormat="1" applyFont="1" applyBorder="1" applyAlignment="1" applyProtection="1">
      <alignment horizontal="center" vertical="center" wrapText="1"/>
      <protection locked="0"/>
    </xf>
    <xf numFmtId="171" fontId="11" fillId="0" borderId="8" xfId="2" applyNumberFormat="1" applyFont="1" applyBorder="1" applyAlignment="1" applyProtection="1">
      <alignment horizontal="center" vertical="center" wrapText="1"/>
      <protection locked="0"/>
    </xf>
    <xf numFmtId="171" fontId="11" fillId="0" borderId="9" xfId="2" applyNumberFormat="1" applyFont="1" applyBorder="1" applyAlignment="1" applyProtection="1">
      <alignment horizontal="center" vertical="center" wrapText="1"/>
      <protection locked="0"/>
    </xf>
    <xf numFmtId="171" fontId="11" fillId="0" borderId="33" xfId="2" applyNumberFormat="1" applyFont="1" applyBorder="1" applyAlignment="1" applyProtection="1">
      <alignment horizontal="center" vertical="center" wrapText="1"/>
      <protection locked="0"/>
    </xf>
    <xf numFmtId="171" fontId="11" fillId="0" borderId="61" xfId="2" applyNumberFormat="1" applyFont="1" applyBorder="1" applyAlignment="1" applyProtection="1">
      <alignment horizontal="center" vertical="center" wrapText="1"/>
      <protection locked="0"/>
    </xf>
    <xf numFmtId="171" fontId="13" fillId="0" borderId="39" xfId="2" applyNumberFormat="1" applyFont="1" applyBorder="1" applyAlignment="1" applyProtection="1">
      <alignment horizontal="center" vertical="center" wrapText="1"/>
      <protection locked="0"/>
    </xf>
    <xf numFmtId="171" fontId="9" fillId="6" borderId="8" xfId="5" applyNumberFormat="1" applyFont="1" applyFill="1" applyBorder="1" applyAlignment="1">
      <alignment horizontal="center" vertical="center" wrapText="1"/>
    </xf>
    <xf numFmtId="171" fontId="11" fillId="0" borderId="3" xfId="2" applyNumberFormat="1" applyFont="1" applyBorder="1" applyAlignment="1" applyProtection="1">
      <alignment horizontal="center" vertical="center" wrapText="1"/>
      <protection locked="0"/>
    </xf>
    <xf numFmtId="171" fontId="11" fillId="0" borderId="6" xfId="2" applyNumberFormat="1" applyFont="1" applyBorder="1" applyAlignment="1" applyProtection="1">
      <alignment horizontal="center" vertical="center" wrapText="1"/>
      <protection locked="0"/>
    </xf>
    <xf numFmtId="171" fontId="11" fillId="0" borderId="67" xfId="2" applyNumberFormat="1" applyFont="1" applyBorder="1" applyAlignment="1" applyProtection="1">
      <alignment horizontal="center" vertical="center" wrapText="1"/>
      <protection locked="0"/>
    </xf>
    <xf numFmtId="171" fontId="9" fillId="11" borderId="69" xfId="0" applyNumberFormat="1" applyFont="1" applyFill="1" applyBorder="1" applyAlignment="1" applyProtection="1">
      <alignment vertical="top" wrapText="1"/>
      <protection locked="0"/>
    </xf>
    <xf numFmtId="171" fontId="13" fillId="0" borderId="2" xfId="2" applyNumberFormat="1" applyFont="1" applyBorder="1" applyAlignment="1" applyProtection="1">
      <alignment horizontal="center" vertical="center" wrapText="1"/>
      <protection locked="0"/>
    </xf>
    <xf numFmtId="171" fontId="13" fillId="0" borderId="3" xfId="2" applyNumberFormat="1" applyFont="1" applyBorder="1" applyAlignment="1" applyProtection="1">
      <alignment horizontal="center" vertical="center" wrapText="1"/>
      <protection locked="0"/>
    </xf>
    <xf numFmtId="171" fontId="5" fillId="2" borderId="0" xfId="4" applyNumberFormat="1" applyFont="1" applyFill="1" applyAlignment="1">
      <alignment horizontal="right"/>
    </xf>
    <xf numFmtId="171" fontId="5" fillId="0" borderId="0" xfId="4" applyNumberFormat="1" applyFont="1" applyFill="1" applyAlignment="1">
      <alignment horizontal="right"/>
    </xf>
    <xf numFmtId="171" fontId="11" fillId="0" borderId="22" xfId="2" applyNumberFormat="1" applyFont="1" applyBorder="1" applyAlignment="1" applyProtection="1">
      <alignment vertical="center" wrapText="1"/>
      <protection locked="0"/>
    </xf>
    <xf numFmtId="171" fontId="11" fillId="0" borderId="60" xfId="2" applyNumberFormat="1" applyFont="1" applyBorder="1" applyAlignment="1" applyProtection="1">
      <alignment vertical="center" wrapText="1"/>
      <protection locked="0"/>
    </xf>
    <xf numFmtId="171" fontId="11" fillId="0" borderId="6" xfId="2" applyNumberFormat="1" applyFont="1" applyBorder="1" applyAlignment="1" applyProtection="1">
      <alignment vertical="center" wrapText="1"/>
      <protection locked="0"/>
    </xf>
    <xf numFmtId="171" fontId="11" fillId="0" borderId="5" xfId="2" applyNumberFormat="1" applyFont="1" applyBorder="1" applyAlignment="1" applyProtection="1">
      <alignment vertical="center" wrapText="1"/>
      <protection locked="0"/>
    </xf>
    <xf numFmtId="171" fontId="11" fillId="0" borderId="3" xfId="2" applyNumberFormat="1" applyFont="1" applyBorder="1" applyAlignment="1" applyProtection="1">
      <alignment vertical="center" wrapText="1"/>
      <protection locked="0"/>
    </xf>
    <xf numFmtId="171" fontId="11" fillId="0" borderId="9" xfId="2" applyNumberFormat="1" applyFont="1" applyBorder="1" applyAlignment="1" applyProtection="1">
      <alignment vertical="center" wrapText="1"/>
      <protection locked="0"/>
    </xf>
    <xf numFmtId="3" fontId="13" fillId="14" borderId="40" xfId="0" applyNumberFormat="1" applyFont="1" applyFill="1" applyBorder="1" applyAlignment="1">
      <alignment vertical="center" wrapText="1"/>
    </xf>
    <xf numFmtId="168" fontId="11" fillId="14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14" borderId="5" xfId="5" applyFont="1" applyFill="1" applyBorder="1" applyAlignment="1" applyProtection="1">
      <alignment vertical="center" wrapText="1"/>
      <protection locked="0"/>
    </xf>
    <xf numFmtId="171" fontId="9" fillId="0" borderId="0" xfId="0" applyNumberFormat="1" applyFont="1" applyAlignment="1">
      <alignment wrapText="1"/>
    </xf>
    <xf numFmtId="171" fontId="16" fillId="10" borderId="15" xfId="0" applyNumberFormat="1" applyFont="1" applyFill="1" applyBorder="1" applyAlignment="1">
      <alignment horizontal="left" vertical="center" wrapText="1"/>
    </xf>
    <xf numFmtId="171" fontId="9" fillId="6" borderId="55" xfId="0" applyNumberFormat="1" applyFont="1" applyFill="1" applyBorder="1" applyAlignment="1">
      <alignment horizontal="center" vertical="center" wrapText="1"/>
    </xf>
    <xf numFmtId="171" fontId="11" fillId="6" borderId="2" xfId="5" applyNumberFormat="1" applyFont="1" applyFill="1" applyBorder="1" applyAlignment="1">
      <alignment horizontal="center" vertical="center" wrapText="1"/>
    </xf>
    <xf numFmtId="171" fontId="11" fillId="6" borderId="5" xfId="5" applyNumberFormat="1" applyFont="1" applyFill="1" applyBorder="1" applyAlignment="1">
      <alignment horizontal="center" vertical="center" wrapText="1"/>
    </xf>
    <xf numFmtId="171" fontId="11" fillId="6" borderId="8" xfId="5" applyNumberFormat="1" applyFont="1" applyFill="1" applyBorder="1" applyAlignment="1">
      <alignment horizontal="center" vertical="center" wrapText="1"/>
    </xf>
    <xf numFmtId="171" fontId="9" fillId="6" borderId="69" xfId="5" applyNumberFormat="1" applyFont="1" applyFill="1" applyBorder="1" applyAlignment="1">
      <alignment horizontal="center" vertical="center" wrapText="1"/>
    </xf>
    <xf numFmtId="171" fontId="5" fillId="0" borderId="5" xfId="4" applyNumberFormat="1" applyFont="1" applyFill="1" applyBorder="1" applyAlignment="1">
      <alignment horizontal="right"/>
    </xf>
    <xf numFmtId="171" fontId="11" fillId="0" borderId="22" xfId="5" applyNumberFormat="1" applyFont="1" applyFill="1" applyBorder="1" applyAlignment="1">
      <alignment vertical="center" wrapText="1"/>
    </xf>
    <xf numFmtId="171" fontId="11" fillId="0" borderId="5" xfId="5" applyNumberFormat="1" applyFont="1" applyFill="1" applyBorder="1" applyAlignment="1">
      <alignment vertical="center" wrapText="1"/>
    </xf>
    <xf numFmtId="171" fontId="11" fillId="0" borderId="6" xfId="2" applyNumberFormat="1" applyFont="1" applyFill="1" applyBorder="1" applyAlignment="1" applyProtection="1">
      <alignment horizontal="center" vertical="center" wrapText="1"/>
      <protection locked="0"/>
    </xf>
    <xf numFmtId="171" fontId="5" fillId="0" borderId="6" xfId="4" applyNumberFormat="1" applyFont="1" applyFill="1" applyBorder="1" applyAlignment="1">
      <alignment horizontal="right"/>
    </xf>
    <xf numFmtId="171" fontId="11" fillId="0" borderId="8" xfId="5" applyNumberFormat="1" applyFont="1" applyFill="1" applyBorder="1" applyAlignment="1">
      <alignment vertical="center" wrapText="1"/>
    </xf>
    <xf numFmtId="171" fontId="11" fillId="0" borderId="2" xfId="5" applyNumberFormat="1" applyFont="1" applyFill="1" applyBorder="1" applyAlignment="1">
      <alignment horizontal="center" vertical="center" wrapText="1"/>
    </xf>
    <xf numFmtId="171" fontId="11" fillId="0" borderId="34" xfId="5" applyNumberFormat="1" applyFont="1" applyFill="1" applyBorder="1" applyAlignment="1">
      <alignment horizontal="center" vertical="center" wrapText="1"/>
    </xf>
    <xf numFmtId="171" fontId="11" fillId="0" borderId="22" xfId="5" applyNumberFormat="1" applyFont="1" applyFill="1" applyBorder="1" applyAlignment="1">
      <alignment horizontal="center" vertical="center" wrapText="1"/>
    </xf>
    <xf numFmtId="171" fontId="11" fillId="0" borderId="41" xfId="5" applyNumberFormat="1" applyFont="1" applyFill="1" applyBorder="1" applyAlignment="1">
      <alignment horizontal="center" vertical="center" wrapText="1"/>
    </xf>
    <xf numFmtId="171" fontId="11" fillId="0" borderId="55" xfId="5" applyNumberFormat="1" applyFont="1" applyFill="1" applyBorder="1" applyAlignment="1">
      <alignment horizontal="center" vertical="center" wrapText="1"/>
    </xf>
    <xf numFmtId="171" fontId="11" fillId="0" borderId="5" xfId="5" applyNumberFormat="1" applyFont="1" applyFill="1" applyBorder="1" applyAlignment="1">
      <alignment horizontal="center" vertical="center" wrapText="1"/>
    </xf>
    <xf numFmtId="171" fontId="11" fillId="0" borderId="33" xfId="5" applyNumberFormat="1" applyFont="1" applyFill="1" applyBorder="1" applyAlignment="1">
      <alignment horizontal="center" vertical="center" wrapText="1"/>
    </xf>
    <xf numFmtId="171" fontId="11" fillId="0" borderId="8" xfId="5" applyNumberFormat="1" applyFont="1" applyFill="1" applyBorder="1" applyAlignment="1">
      <alignment horizontal="center" vertical="center" wrapText="1"/>
    </xf>
    <xf numFmtId="171" fontId="11" fillId="0" borderId="23" xfId="5" applyNumberFormat="1" applyFont="1" applyFill="1" applyBorder="1" applyAlignment="1">
      <alignment horizontal="center" vertical="center" wrapText="1"/>
    </xf>
    <xf numFmtId="171" fontId="11" fillId="0" borderId="26" xfId="5" applyNumberFormat="1" applyFont="1" applyFill="1" applyBorder="1" applyAlignment="1">
      <alignment horizontal="center" vertical="center" wrapText="1"/>
    </xf>
    <xf numFmtId="171" fontId="11" fillId="0" borderId="36" xfId="5" applyNumberFormat="1" applyFont="1" applyFill="1" applyBorder="1" applyAlignment="1">
      <alignment horizontal="center" vertical="center" wrapText="1"/>
    </xf>
    <xf numFmtId="171" fontId="9" fillId="15" borderId="71" xfId="5" applyNumberFormat="1" applyFont="1" applyFill="1" applyBorder="1" applyAlignment="1">
      <alignment vertical="center" wrapText="1"/>
    </xf>
    <xf numFmtId="0" fontId="9" fillId="15" borderId="31" xfId="0" applyFont="1" applyFill="1" applyBorder="1" applyAlignment="1" applyProtection="1">
      <alignment vertical="center" wrapText="1"/>
      <protection locked="0"/>
    </xf>
    <xf numFmtId="171" fontId="9" fillId="15" borderId="19" xfId="0" applyNumberFormat="1" applyFont="1" applyFill="1" applyBorder="1" applyAlignment="1">
      <alignment vertical="center" wrapText="1"/>
    </xf>
    <xf numFmtId="171" fontId="9" fillId="15" borderId="55" xfId="0" applyNumberFormat="1" applyFont="1" applyFill="1" applyBorder="1" applyAlignment="1">
      <alignment vertical="center" wrapText="1"/>
    </xf>
    <xf numFmtId="0" fontId="11" fillId="15" borderId="20" xfId="0" applyFont="1" applyFill="1" applyBorder="1" applyAlignment="1">
      <alignment vertical="center" wrapText="1"/>
    </xf>
    <xf numFmtId="171" fontId="11" fillId="0" borderId="71" xfId="0" applyNumberFormat="1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71" fontId="11" fillId="0" borderId="55" xfId="5" applyNumberFormat="1" applyFont="1" applyFill="1" applyBorder="1" applyAlignment="1">
      <alignment vertical="center" wrapText="1"/>
    </xf>
    <xf numFmtId="0" fontId="21" fillId="0" borderId="54" xfId="0" applyFont="1" applyFill="1" applyBorder="1" applyAlignment="1">
      <alignment vertical="center" wrapText="1"/>
    </xf>
    <xf numFmtId="9" fontId="11" fillId="6" borderId="56" xfId="2" applyFont="1" applyFill="1" applyBorder="1" applyAlignment="1">
      <alignment horizontal="center" vertical="center" wrapText="1"/>
    </xf>
    <xf numFmtId="9" fontId="9" fillId="11" borderId="69" xfId="2" applyFont="1" applyFill="1" applyBorder="1" applyAlignment="1" applyProtection="1">
      <alignment horizontal="center" vertical="center" wrapText="1"/>
      <protection locked="0"/>
    </xf>
    <xf numFmtId="9" fontId="11" fillId="5" borderId="0" xfId="2" applyFont="1" applyFill="1" applyAlignment="1" applyProtection="1">
      <alignment horizontal="center" vertical="center" wrapText="1"/>
      <protection locked="0"/>
    </xf>
    <xf numFmtId="9" fontId="11" fillId="0" borderId="0" xfId="2" applyFont="1" applyAlignment="1">
      <alignment horizontal="center" vertical="center" wrapText="1"/>
    </xf>
    <xf numFmtId="171" fontId="9" fillId="6" borderId="34" xfId="5" applyNumberFormat="1" applyFont="1" applyFill="1" applyBorder="1" applyAlignment="1">
      <alignment horizontal="center" vertical="center" wrapText="1"/>
    </xf>
    <xf numFmtId="171" fontId="11" fillId="0" borderId="73" xfId="2" applyNumberFormat="1" applyFont="1" applyBorder="1" applyAlignment="1" applyProtection="1">
      <alignment horizontal="center" vertical="center" wrapText="1"/>
      <protection locked="0"/>
    </xf>
    <xf numFmtId="9" fontId="11" fillId="6" borderId="55" xfId="2" applyFont="1" applyFill="1" applyBorder="1" applyAlignment="1" applyProtection="1">
      <alignment horizontal="center" vertical="center" wrapText="1"/>
      <protection locked="0"/>
    </xf>
    <xf numFmtId="9" fontId="9" fillId="6" borderId="55" xfId="2" applyFont="1" applyFill="1" applyBorder="1" applyAlignment="1" applyProtection="1">
      <alignment horizontal="center" vertical="center" wrapText="1"/>
      <protection locked="0"/>
    </xf>
    <xf numFmtId="9" fontId="9" fillId="11" borderId="55" xfId="2" applyFont="1" applyFill="1" applyBorder="1" applyAlignment="1" applyProtection="1">
      <alignment horizontal="center" vertical="center" wrapText="1"/>
      <protection locked="0"/>
    </xf>
    <xf numFmtId="9" fontId="9" fillId="15" borderId="55" xfId="2" applyFont="1" applyFill="1" applyBorder="1" applyAlignment="1" applyProtection="1">
      <alignment horizontal="center" vertical="center" wrapText="1"/>
      <protection locked="0"/>
    </xf>
    <xf numFmtId="9" fontId="9" fillId="0" borderId="55" xfId="2" applyFont="1" applyFill="1" applyBorder="1" applyAlignment="1" applyProtection="1">
      <alignment horizontal="center" vertical="center" wrapText="1"/>
      <protection locked="0"/>
    </xf>
    <xf numFmtId="9" fontId="11" fillId="0" borderId="55" xfId="2" applyFont="1" applyFill="1" applyBorder="1" applyAlignment="1" applyProtection="1">
      <alignment horizontal="center" vertical="center" wrapText="1"/>
      <protection locked="0"/>
    </xf>
    <xf numFmtId="0" fontId="9" fillId="5" borderId="6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2" fillId="0" borderId="0" xfId="0" applyFont="1"/>
    <xf numFmtId="0" fontId="11" fillId="0" borderId="0" xfId="0" applyFont="1"/>
    <xf numFmtId="0" fontId="6" fillId="11" borderId="18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164" fontId="2" fillId="11" borderId="16" xfId="5" applyFont="1" applyFill="1" applyBorder="1" applyAlignment="1">
      <alignment wrapText="1"/>
    </xf>
    <xf numFmtId="0" fontId="9" fillId="16" borderId="54" xfId="0" applyFont="1" applyFill="1" applyBorder="1" applyAlignment="1">
      <alignment horizontal="center" wrapText="1"/>
    </xf>
    <xf numFmtId="0" fontId="9" fillId="15" borderId="54" xfId="0" applyFont="1" applyFill="1" applyBorder="1" applyAlignment="1">
      <alignment horizontal="center" wrapText="1"/>
    </xf>
    <xf numFmtId="0" fontId="18" fillId="15" borderId="55" xfId="0" applyFont="1" applyFill="1" applyBorder="1" applyAlignment="1">
      <alignment horizontal="center" wrapText="1"/>
    </xf>
    <xf numFmtId="0" fontId="9" fillId="15" borderId="55" xfId="0" applyFont="1" applyFill="1" applyBorder="1" applyAlignment="1">
      <alignment horizontal="center" wrapText="1"/>
    </xf>
    <xf numFmtId="0" fontId="9" fillId="15" borderId="56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168" fontId="7" fillId="8" borderId="47" xfId="0" applyNumberFormat="1" applyFont="1" applyFill="1" applyBorder="1" applyAlignment="1">
      <alignment vertical="center" wrapText="1"/>
    </xf>
    <xf numFmtId="168" fontId="7" fillId="8" borderId="2" xfId="0" applyNumberFormat="1" applyFont="1" applyFill="1" applyBorder="1" applyAlignment="1">
      <alignment vertical="center" wrapText="1"/>
    </xf>
    <xf numFmtId="168" fontId="7" fillId="8" borderId="43" xfId="0" applyNumberFormat="1" applyFont="1" applyFill="1" applyBorder="1" applyAlignment="1">
      <alignment vertical="center" wrapText="1"/>
    </xf>
    <xf numFmtId="168" fontId="7" fillId="8" borderId="42" xfId="0" applyNumberFormat="1" applyFont="1" applyFill="1" applyBorder="1" applyAlignment="1">
      <alignment vertical="center" wrapText="1"/>
    </xf>
    <xf numFmtId="168" fontId="7" fillId="8" borderId="8" xfId="0" applyNumberFormat="1" applyFont="1" applyFill="1" applyBorder="1" applyAlignment="1">
      <alignment vertical="center" wrapText="1"/>
    </xf>
    <xf numFmtId="168" fontId="7" fillId="8" borderId="27" xfId="0" applyNumberFormat="1" applyFont="1" applyFill="1" applyBorder="1" applyAlignment="1">
      <alignment vertical="center" wrapText="1"/>
    </xf>
    <xf numFmtId="168" fontId="2" fillId="11" borderId="54" xfId="5" applyNumberFormat="1" applyFont="1" applyFill="1" applyBorder="1" applyAlignment="1">
      <alignment vertical="center" wrapText="1"/>
    </xf>
    <xf numFmtId="168" fontId="7" fillId="0" borderId="54" xfId="5" applyNumberFormat="1" applyFont="1" applyFill="1" applyBorder="1" applyAlignment="1">
      <alignment vertical="center" wrapText="1"/>
    </xf>
    <xf numFmtId="168" fontId="2" fillId="11" borderId="32" xfId="5" applyNumberFormat="1" applyFont="1" applyFill="1" applyBorder="1" applyAlignment="1">
      <alignment vertical="center" wrapText="1"/>
    </xf>
    <xf numFmtId="0" fontId="18" fillId="16" borderId="56" xfId="0" applyFont="1" applyFill="1" applyBorder="1" applyAlignment="1">
      <alignment horizontal="center" wrapText="1"/>
    </xf>
    <xf numFmtId="168" fontId="7" fillId="8" borderId="57" xfId="0" applyNumberFormat="1" applyFont="1" applyFill="1" applyBorder="1" applyAlignment="1">
      <alignment vertical="center" wrapText="1"/>
    </xf>
    <xf numFmtId="168" fontId="7" fillId="0" borderId="47" xfId="0" applyNumberFormat="1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43" xfId="0" applyNumberFormat="1" applyFont="1" applyFill="1" applyBorder="1" applyAlignment="1">
      <alignment vertical="center" wrapText="1"/>
    </xf>
    <xf numFmtId="168" fontId="7" fillId="0" borderId="57" xfId="0" applyNumberFormat="1" applyFont="1" applyFill="1" applyBorder="1" applyAlignment="1">
      <alignment vertical="center" wrapText="1"/>
    </xf>
    <xf numFmtId="168" fontId="7" fillId="0" borderId="18" xfId="5" applyNumberFormat="1" applyFont="1" applyFill="1" applyBorder="1" applyAlignment="1">
      <alignment vertical="center" wrapText="1"/>
    </xf>
    <xf numFmtId="168" fontId="2" fillId="11" borderId="16" xfId="5" applyNumberFormat="1" applyFont="1" applyFill="1" applyBorder="1" applyAlignment="1">
      <alignment vertical="center" wrapText="1"/>
    </xf>
    <xf numFmtId="9" fontId="2" fillId="11" borderId="68" xfId="2" applyFont="1" applyFill="1" applyBorder="1" applyAlignment="1">
      <alignment horizontal="center" vertical="center" wrapText="1"/>
    </xf>
    <xf numFmtId="9" fontId="2" fillId="8" borderId="74" xfId="2" applyFont="1" applyFill="1" applyBorder="1" applyAlignment="1">
      <alignment horizontal="center" vertical="center" wrapText="1"/>
    </xf>
    <xf numFmtId="9" fontId="2" fillId="0" borderId="74" xfId="2" applyFont="1" applyFill="1" applyBorder="1" applyAlignment="1">
      <alignment horizontal="center" vertical="center" wrapText="1"/>
    </xf>
    <xf numFmtId="9" fontId="2" fillId="0" borderId="68" xfId="2" applyFont="1" applyFill="1" applyBorder="1" applyAlignment="1">
      <alignment horizontal="center" vertical="center" wrapText="1"/>
    </xf>
    <xf numFmtId="168" fontId="2" fillId="11" borderId="18" xfId="5" applyNumberFormat="1" applyFont="1" applyFill="1" applyBorder="1" applyAlignment="1">
      <alignment vertical="center" wrapText="1"/>
    </xf>
    <xf numFmtId="9" fontId="2" fillId="8" borderId="72" xfId="2" applyFont="1" applyFill="1" applyBorder="1" applyAlignment="1">
      <alignment horizontal="center" vertical="center" wrapText="1"/>
    </xf>
    <xf numFmtId="9" fontId="2" fillId="11" borderId="28" xfId="2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center" vertical="center"/>
    </xf>
    <xf numFmtId="9" fontId="6" fillId="8" borderId="28" xfId="2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9" fontId="6" fillId="15" borderId="28" xfId="2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/>
    </xf>
    <xf numFmtId="169" fontId="0" fillId="0" borderId="14" xfId="1" applyNumberFormat="1" applyFont="1" applyBorder="1" applyAlignment="1">
      <alignment horizontal="center" vertical="center"/>
    </xf>
    <xf numFmtId="165" fontId="0" fillId="0" borderId="28" xfId="1" applyFont="1" applyBorder="1" applyAlignment="1">
      <alignment horizontal="center" vertical="center"/>
    </xf>
    <xf numFmtId="169" fontId="0" fillId="0" borderId="11" xfId="2" applyNumberFormat="1" applyFont="1" applyBorder="1" applyAlignment="1">
      <alignment horizontal="center" vertical="center"/>
    </xf>
    <xf numFmtId="165" fontId="6" fillId="15" borderId="28" xfId="1" applyFont="1" applyFill="1" applyBorder="1" applyAlignment="1">
      <alignment horizontal="center" vertical="center"/>
    </xf>
    <xf numFmtId="169" fontId="0" fillId="16" borderId="70" xfId="2" applyNumberFormat="1" applyFont="1" applyFill="1" applyBorder="1" applyAlignment="1">
      <alignment horizontal="center" vertical="center"/>
    </xf>
    <xf numFmtId="9" fontId="0" fillId="0" borderId="49" xfId="2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169" fontId="0" fillId="0" borderId="18" xfId="1" applyNumberFormat="1" applyFont="1" applyBorder="1" applyAlignment="1">
      <alignment horizontal="center" vertical="center"/>
    </xf>
    <xf numFmtId="165" fontId="0" fillId="0" borderId="68" xfId="1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165" fontId="6" fillId="0" borderId="68" xfId="1" applyFont="1" applyBorder="1" applyAlignment="1">
      <alignment horizontal="center" vertical="center"/>
    </xf>
    <xf numFmtId="169" fontId="6" fillId="0" borderId="19" xfId="2" applyNumberFormat="1" applyFont="1" applyBorder="1" applyAlignment="1">
      <alignment horizontal="center" vertical="center"/>
    </xf>
    <xf numFmtId="165" fontId="6" fillId="15" borderId="68" xfId="1" applyFont="1" applyFill="1" applyBorder="1" applyAlignment="1">
      <alignment horizontal="center" vertical="center"/>
    </xf>
    <xf numFmtId="169" fontId="6" fillId="16" borderId="68" xfId="2" applyNumberFormat="1" applyFont="1" applyFill="1" applyBorder="1" applyAlignment="1">
      <alignment horizontal="center" vertical="center"/>
    </xf>
    <xf numFmtId="9" fontId="0" fillId="0" borderId="68" xfId="2" applyFont="1" applyBorder="1" applyAlignment="1">
      <alignment horizontal="center" vertical="center"/>
    </xf>
    <xf numFmtId="169" fontId="6" fillId="0" borderId="19" xfId="2" applyNumberFormat="1" applyFont="1" applyBorder="1"/>
    <xf numFmtId="169" fontId="6" fillId="0" borderId="20" xfId="2" applyNumberFormat="1" applyFont="1" applyBorder="1"/>
    <xf numFmtId="165" fontId="7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165" fontId="2" fillId="0" borderId="0" xfId="1" applyFont="1" applyAlignment="1">
      <alignment horizontal="center" vertical="center"/>
    </xf>
    <xf numFmtId="15" fontId="7" fillId="0" borderId="0" xfId="1" applyNumberFormat="1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169" fontId="6" fillId="0" borderId="68" xfId="2" applyNumberFormat="1" applyFont="1" applyBorder="1" applyAlignment="1">
      <alignment horizontal="center" vertical="center"/>
    </xf>
    <xf numFmtId="169" fontId="0" fillId="0" borderId="28" xfId="2" applyNumberFormat="1" applyFont="1" applyBorder="1" applyAlignment="1">
      <alignment horizontal="center" vertical="center"/>
    </xf>
    <xf numFmtId="169" fontId="0" fillId="0" borderId="68" xfId="2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71" fontId="9" fillId="0" borderId="0" xfId="5" applyNumberFormat="1" applyFont="1" applyFill="1" applyBorder="1" applyAlignment="1">
      <alignment vertical="center" wrapText="1"/>
    </xf>
    <xf numFmtId="9" fontId="9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9" fontId="9" fillId="0" borderId="0" xfId="2" applyFont="1" applyAlignment="1">
      <alignment horizontal="center" vertical="center" wrapText="1"/>
    </xf>
    <xf numFmtId="0" fontId="2" fillId="16" borderId="18" xfId="0" applyFont="1" applyFill="1" applyBorder="1" applyAlignment="1">
      <alignment horizontal="center" wrapText="1"/>
    </xf>
    <xf numFmtId="0" fontId="2" fillId="16" borderId="20" xfId="0" applyFont="1" applyFill="1" applyBorder="1" applyAlignment="1">
      <alignment horizontal="center" wrapText="1"/>
    </xf>
    <xf numFmtId="0" fontId="2" fillId="15" borderId="18" xfId="0" applyFont="1" applyFill="1" applyBorder="1" applyAlignment="1">
      <alignment horizontal="center" wrapText="1"/>
    </xf>
    <xf numFmtId="0" fontId="2" fillId="15" borderId="19" xfId="0" applyFont="1" applyFill="1" applyBorder="1" applyAlignment="1">
      <alignment horizontal="center" wrapText="1"/>
    </xf>
    <xf numFmtId="0" fontId="2" fillId="15" borderId="20" xfId="0" applyFont="1" applyFill="1" applyBorder="1" applyAlignment="1">
      <alignment horizontal="center" wrapText="1"/>
    </xf>
    <xf numFmtId="0" fontId="9" fillId="6" borderId="28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4" borderId="25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 wrapText="1"/>
    </xf>
    <xf numFmtId="0" fontId="3" fillId="8" borderId="18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 wrapText="1"/>
    </xf>
    <xf numFmtId="0" fontId="3" fillId="8" borderId="20" xfId="0" applyFont="1" applyFill="1" applyBorder="1" applyAlignment="1">
      <alignment horizontal="center" wrapText="1"/>
    </xf>
    <xf numFmtId="0" fontId="6" fillId="8" borderId="54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 wrapText="1"/>
    </xf>
    <xf numFmtId="0" fontId="6" fillId="8" borderId="5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9" fillId="6" borderId="20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 applyProtection="1">
      <alignment horizontal="center" vertical="top" wrapText="1"/>
      <protection locked="0"/>
    </xf>
    <xf numFmtId="0" fontId="9" fillId="11" borderId="20" xfId="0" applyFont="1" applyFill="1" applyBorder="1" applyAlignment="1" applyProtection="1">
      <alignment horizontal="center" vertical="top" wrapText="1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71" xfId="0" applyFont="1" applyFill="1" applyBorder="1" applyAlignment="1">
      <alignment horizontal="center" vertical="center" wrapText="1"/>
    </xf>
    <xf numFmtId="0" fontId="9" fillId="12" borderId="66" xfId="0" applyFont="1" applyFill="1" applyBorder="1" applyAlignment="1" applyProtection="1">
      <alignment horizontal="center" vertical="top" wrapText="1"/>
      <protection locked="0"/>
    </xf>
    <xf numFmtId="0" fontId="9" fillId="12" borderId="11" xfId="0" applyFont="1" applyFill="1" applyBorder="1" applyAlignment="1" applyProtection="1">
      <alignment horizontal="center" vertical="top" wrapText="1"/>
      <protection locked="0"/>
    </xf>
    <xf numFmtId="49" fontId="9" fillId="12" borderId="18" xfId="0" applyNumberFormat="1" applyFont="1" applyFill="1" applyBorder="1" applyAlignment="1" applyProtection="1">
      <alignment horizontal="center" vertical="top"/>
      <protection locked="0"/>
    </xf>
    <xf numFmtId="49" fontId="9" fillId="12" borderId="19" xfId="0" applyNumberFormat="1" applyFont="1" applyFill="1" applyBorder="1" applyAlignment="1" applyProtection="1">
      <alignment horizontal="center" vertical="top"/>
      <protection locked="0"/>
    </xf>
    <xf numFmtId="49" fontId="9" fillId="12" borderId="20" xfId="0" applyNumberFormat="1" applyFont="1" applyFill="1" applyBorder="1" applyAlignment="1" applyProtection="1">
      <alignment horizontal="center" vertical="top"/>
      <protection locked="0"/>
    </xf>
    <xf numFmtId="0" fontId="11" fillId="0" borderId="2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9" fillId="15" borderId="18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15" borderId="16" xfId="0" applyFont="1" applyFill="1" applyBorder="1" applyAlignment="1" applyProtection="1">
      <alignment horizontal="center" vertical="center" wrapText="1"/>
      <protection locked="0"/>
    </xf>
    <xf numFmtId="0" fontId="9" fillId="15" borderId="1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11" borderId="18" xfId="0" applyFont="1" applyFill="1" applyBorder="1" applyAlignment="1" applyProtection="1">
      <alignment horizontal="center" vertical="center" wrapText="1"/>
      <protection locked="0"/>
    </xf>
    <xf numFmtId="0" fontId="9" fillId="11" borderId="20" xfId="0" applyFont="1" applyFill="1" applyBorder="1" applyAlignment="1" applyProtection="1">
      <alignment horizontal="center" vertical="center" wrapText="1"/>
      <protection locked="0"/>
    </xf>
    <xf numFmtId="169" fontId="0" fillId="0" borderId="1" xfId="2" applyNumberFormat="1" applyFont="1" applyBorder="1" applyAlignment="1">
      <alignment horizontal="center" vertical="center"/>
    </xf>
    <xf numFmtId="169" fontId="0" fillId="0" borderId="2" xfId="2" applyNumberFormat="1" applyFont="1" applyBorder="1" applyAlignment="1">
      <alignment horizontal="center" vertical="center"/>
    </xf>
    <xf numFmtId="169" fontId="0" fillId="0" borderId="43" xfId="2" applyNumberFormat="1" applyFont="1" applyBorder="1" applyAlignment="1">
      <alignment horizontal="center" vertical="center"/>
    </xf>
    <xf numFmtId="9" fontId="15" fillId="0" borderId="7" xfId="2" applyFont="1" applyBorder="1" applyAlignment="1">
      <alignment horizontal="center" vertical="center" wrapText="1"/>
    </xf>
    <xf numFmtId="9" fontId="15" fillId="0" borderId="8" xfId="2" applyFont="1" applyBorder="1" applyAlignment="1">
      <alignment horizontal="center" vertical="center" wrapText="1"/>
    </xf>
    <xf numFmtId="9" fontId="15" fillId="0" borderId="27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53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left" vertical="top" wrapText="1"/>
    </xf>
    <xf numFmtId="0" fontId="11" fillId="5" borderId="2" xfId="0" applyFont="1" applyFill="1" applyBorder="1" applyAlignment="1" applyProtection="1">
      <alignment horizontal="left" vertical="top" wrapText="1"/>
      <protection locked="0"/>
    </xf>
    <xf numFmtId="0" fontId="11" fillId="0" borderId="21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9" fillId="6" borderId="19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1" fillId="0" borderId="39" xfId="0" applyFont="1" applyBorder="1" applyAlignment="1" applyProtection="1">
      <alignment horizontal="left" vertical="top" wrapText="1"/>
      <protection locked="0"/>
    </xf>
    <xf numFmtId="0" fontId="11" fillId="0" borderId="41" xfId="0" applyFont="1" applyBorder="1" applyAlignment="1" applyProtection="1">
      <alignment horizontal="left" vertical="top" wrapText="1"/>
      <protection locked="0"/>
    </xf>
    <xf numFmtId="49" fontId="11" fillId="5" borderId="0" xfId="0" applyNumberFormat="1" applyFont="1" applyFill="1" applyBorder="1" applyAlignment="1" applyProtection="1">
      <alignment horizontal="left" vertical="top" wrapText="1"/>
      <protection locked="0"/>
    </xf>
    <xf numFmtId="49" fontId="11" fillId="5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</cellXfs>
  <cellStyles count="6">
    <cellStyle name="Milliers" xfId="1" builtinId="3"/>
    <cellStyle name="Monétaire" xfId="5" builtinId="4"/>
    <cellStyle name="Normal" xfId="0" builtinId="0"/>
    <cellStyle name="Normal 2" xfId="3" xr:uid="{00000000-0005-0000-0000-000002000000}"/>
    <cellStyle name="Normal 3" xfId="4" xr:uid="{00000000-0005-0000-0000-000003000000}"/>
    <cellStyle name="Pourcentage" xfId="2" builtinId="5"/>
  </cellStyles>
  <dxfs count="0"/>
  <tableStyles count="0" defaultTableStyle="TableStyleMedium2" defaultPivotStyle="PivotStyleLight16"/>
  <colors>
    <mruColors>
      <color rgb="FF00FF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43C13-8FB0-43B2-8A0E-644C746E96FF}">
  <sheetPr>
    <tabColor rgb="FF00B0F0"/>
  </sheetPr>
  <dimension ref="A1:I19"/>
  <sheetViews>
    <sheetView tabSelected="1" workbookViewId="0">
      <selection activeCell="D19" sqref="D19"/>
    </sheetView>
  </sheetViews>
  <sheetFormatPr baseColWidth="10" defaultColWidth="9.08984375" defaultRowHeight="14.5" x14ac:dyDescent="0.35"/>
  <cols>
    <col min="1" max="1" width="32.1796875" customWidth="1"/>
    <col min="2" max="2" width="20.6328125" customWidth="1"/>
    <col min="3" max="4" width="14.81640625" customWidth="1"/>
    <col min="5" max="5" width="17" customWidth="1"/>
    <col min="6" max="6" width="22.1796875" customWidth="1"/>
    <col min="7" max="7" width="20.90625" customWidth="1"/>
    <col min="8" max="8" width="19.453125" customWidth="1"/>
    <col min="9" max="9" width="12.6328125" customWidth="1"/>
    <col min="10" max="10" width="18.6328125" customWidth="1"/>
    <col min="11" max="11" width="21.6328125" customWidth="1"/>
    <col min="12" max="13" width="15.6328125" bestFit="1" customWidth="1"/>
    <col min="14" max="14" width="11.08984375" bestFit="1" customWidth="1"/>
  </cols>
  <sheetData>
    <row r="1" spans="1:9" ht="15" thickBot="1" x14ac:dyDescent="0.4"/>
    <row r="2" spans="1:9" s="228" customFormat="1" ht="15.5" x14ac:dyDescent="0.35">
      <c r="A2" s="314" t="s">
        <v>128</v>
      </c>
      <c r="B2" s="315"/>
      <c r="C2" s="315"/>
      <c r="D2" s="315"/>
      <c r="E2" s="315"/>
      <c r="F2" s="315"/>
      <c r="G2" s="315"/>
      <c r="H2" s="315"/>
      <c r="I2" s="316"/>
    </row>
    <row r="3" spans="1:9" s="228" customFormat="1" ht="16" thickBot="1" x14ac:dyDescent="0.4">
      <c r="A3" s="317"/>
      <c r="B3" s="318"/>
      <c r="C3" s="318"/>
      <c r="D3" s="318"/>
      <c r="E3" s="318"/>
      <c r="F3" s="318"/>
      <c r="G3" s="318"/>
      <c r="H3" s="318"/>
      <c r="I3" s="319"/>
    </row>
    <row r="4" spans="1:9" s="228" customFormat="1" ht="16" thickBot="1" x14ac:dyDescent="0.4">
      <c r="A4" s="320" t="s">
        <v>132</v>
      </c>
      <c r="B4" s="307" t="s">
        <v>129</v>
      </c>
      <c r="C4" s="308"/>
      <c r="D4" s="308"/>
      <c r="E4" s="309"/>
      <c r="F4" s="305" t="s">
        <v>126</v>
      </c>
      <c r="G4" s="306"/>
      <c r="H4" s="310" t="s">
        <v>130</v>
      </c>
      <c r="I4" s="312" t="s">
        <v>131</v>
      </c>
    </row>
    <row r="5" spans="1:9" s="230" customFormat="1" ht="26.5" thickBot="1" x14ac:dyDescent="0.35">
      <c r="A5" s="321"/>
      <c r="B5" s="235" t="s">
        <v>122</v>
      </c>
      <c r="C5" s="236" t="s">
        <v>123</v>
      </c>
      <c r="D5" s="237" t="s">
        <v>124</v>
      </c>
      <c r="E5" s="238" t="s">
        <v>125</v>
      </c>
      <c r="F5" s="234" t="s">
        <v>122</v>
      </c>
      <c r="G5" s="252" t="s">
        <v>123</v>
      </c>
      <c r="H5" s="311"/>
      <c r="I5" s="313"/>
    </row>
    <row r="6" spans="1:9" s="228" customFormat="1" ht="22.25" customHeight="1" x14ac:dyDescent="0.35">
      <c r="A6" s="239" t="s">
        <v>0</v>
      </c>
      <c r="B6" s="243">
        <f>64400*35%</f>
        <v>22540</v>
      </c>
      <c r="C6" s="244"/>
      <c r="D6" s="244"/>
      <c r="E6" s="245"/>
      <c r="F6" s="243">
        <f>95282.72*35%</f>
        <v>33348.951999999997</v>
      </c>
      <c r="G6" s="245">
        <v>14185.390000000001</v>
      </c>
      <c r="H6" s="253">
        <f>C6+G6</f>
        <v>14185.390000000001</v>
      </c>
      <c r="I6" s="261">
        <f>H6/(B6+F6)</f>
        <v>0.25381384857601197</v>
      </c>
    </row>
    <row r="7" spans="1:9" s="228" customFormat="1" ht="29" x14ac:dyDescent="0.35">
      <c r="A7" s="240" t="s">
        <v>1</v>
      </c>
      <c r="B7" s="254">
        <f>5000*35%</f>
        <v>1750</v>
      </c>
      <c r="C7" s="255"/>
      <c r="D7" s="255"/>
      <c r="E7" s="256"/>
      <c r="F7" s="254">
        <f>1200*35%</f>
        <v>420</v>
      </c>
      <c r="G7" s="256">
        <v>0</v>
      </c>
      <c r="H7" s="257">
        <f>C7+G7</f>
        <v>0</v>
      </c>
      <c r="I7" s="262">
        <f>H7/(B7+F7)</f>
        <v>0</v>
      </c>
    </row>
    <row r="8" spans="1:9" s="228" customFormat="1" ht="29" x14ac:dyDescent="0.35">
      <c r="A8" s="241" t="s">
        <v>2</v>
      </c>
      <c r="B8" s="243">
        <f>58000*35%</f>
        <v>20300</v>
      </c>
      <c r="C8" s="244"/>
      <c r="D8" s="244"/>
      <c r="E8" s="245"/>
      <c r="F8" s="243">
        <f>2900*35%</f>
        <v>1014.9999999999999</v>
      </c>
      <c r="G8" s="245">
        <v>1132.6199999999999</v>
      </c>
      <c r="H8" s="253">
        <f t="shared" ref="H8:H12" si="0">C8+G8</f>
        <v>1132.6199999999999</v>
      </c>
      <c r="I8" s="261">
        <f>H8/(B8+F8)</f>
        <v>5.3137227304714985E-2</v>
      </c>
    </row>
    <row r="9" spans="1:9" s="228" customFormat="1" ht="15.5" x14ac:dyDescent="0.35">
      <c r="A9" s="240" t="s">
        <v>3</v>
      </c>
      <c r="B9" s="254">
        <f>878400*35%</f>
        <v>307440</v>
      </c>
      <c r="C9" s="255"/>
      <c r="D9" s="255"/>
      <c r="E9" s="256"/>
      <c r="F9" s="254">
        <f>293507*35%</f>
        <v>102727.45</v>
      </c>
      <c r="G9" s="256">
        <v>0</v>
      </c>
      <c r="H9" s="257">
        <f t="shared" si="0"/>
        <v>0</v>
      </c>
      <c r="I9" s="262">
        <f>H9/(B9+F9)</f>
        <v>0</v>
      </c>
    </row>
    <row r="10" spans="1:9" s="228" customFormat="1" ht="15.5" x14ac:dyDescent="0.35">
      <c r="A10" s="241" t="s">
        <v>4</v>
      </c>
      <c r="B10" s="243">
        <f>57000*35%</f>
        <v>19950</v>
      </c>
      <c r="C10" s="244"/>
      <c r="D10" s="244"/>
      <c r="E10" s="245"/>
      <c r="F10" s="243">
        <f>24800*35%</f>
        <v>8680</v>
      </c>
      <c r="G10" s="245">
        <v>0</v>
      </c>
      <c r="H10" s="253">
        <f t="shared" si="0"/>
        <v>0</v>
      </c>
      <c r="I10" s="261">
        <f t="shared" ref="I10:I14" si="1">H10/(B10+F10)</f>
        <v>0</v>
      </c>
    </row>
    <row r="11" spans="1:9" s="228" customFormat="1" ht="29" x14ac:dyDescent="0.35">
      <c r="A11" s="240" t="s">
        <v>5</v>
      </c>
      <c r="B11" s="254">
        <f>318000*35%</f>
        <v>111300</v>
      </c>
      <c r="C11" s="255"/>
      <c r="D11" s="255"/>
      <c r="E11" s="256"/>
      <c r="F11" s="254">
        <v>0</v>
      </c>
      <c r="G11" s="256">
        <v>0</v>
      </c>
      <c r="H11" s="257">
        <f t="shared" si="0"/>
        <v>0</v>
      </c>
      <c r="I11" s="262">
        <f t="shared" si="1"/>
        <v>0</v>
      </c>
    </row>
    <row r="12" spans="1:9" s="228" customFormat="1" ht="31.25" customHeight="1" thickBot="1" x14ac:dyDescent="0.4">
      <c r="A12" s="242" t="s">
        <v>6</v>
      </c>
      <c r="B12" s="246">
        <f>46200*35%</f>
        <v>16169.999999999998</v>
      </c>
      <c r="C12" s="247"/>
      <c r="D12" s="247"/>
      <c r="E12" s="248"/>
      <c r="F12" s="246">
        <f>49600*35%</f>
        <v>17360</v>
      </c>
      <c r="G12" s="248">
        <v>4449.16</v>
      </c>
      <c r="H12" s="253">
        <f t="shared" si="0"/>
        <v>4449.16</v>
      </c>
      <c r="I12" s="265">
        <f t="shared" si="1"/>
        <v>0.13269191768565464</v>
      </c>
    </row>
    <row r="13" spans="1:9" s="229" customFormat="1" ht="16" thickBot="1" x14ac:dyDescent="0.4">
      <c r="A13" s="231" t="s">
        <v>7</v>
      </c>
      <c r="B13" s="249">
        <f>SUM(B6:B12)</f>
        <v>499450</v>
      </c>
      <c r="C13" s="249">
        <f t="shared" ref="C13:H13" si="2">SUM(C6:C12)</f>
        <v>0</v>
      </c>
      <c r="D13" s="249">
        <f t="shared" si="2"/>
        <v>0</v>
      </c>
      <c r="E13" s="249">
        <f t="shared" si="2"/>
        <v>0</v>
      </c>
      <c r="F13" s="249">
        <f t="shared" si="2"/>
        <v>163551.402</v>
      </c>
      <c r="G13" s="249">
        <f t="shared" si="2"/>
        <v>19767.170000000002</v>
      </c>
      <c r="H13" s="264">
        <f t="shared" si="2"/>
        <v>19767.170000000002</v>
      </c>
      <c r="I13" s="266">
        <f t="shared" si="1"/>
        <v>2.9814673001249552E-2</v>
      </c>
    </row>
    <row r="14" spans="1:9" s="228" customFormat="1" ht="16" thickBot="1" x14ac:dyDescent="0.4">
      <c r="A14" s="232" t="s">
        <v>8</v>
      </c>
      <c r="B14" s="250">
        <f>B13*0.07</f>
        <v>34961.5</v>
      </c>
      <c r="C14" s="250">
        <f t="shared" ref="C14:H14" si="3">C13*0.07</f>
        <v>0</v>
      </c>
      <c r="D14" s="250">
        <f t="shared" si="3"/>
        <v>0</v>
      </c>
      <c r="E14" s="250">
        <f t="shared" si="3"/>
        <v>0</v>
      </c>
      <c r="F14" s="250">
        <f t="shared" si="3"/>
        <v>11448.598140000002</v>
      </c>
      <c r="G14" s="250">
        <f t="shared" si="3"/>
        <v>1383.7019000000003</v>
      </c>
      <c r="H14" s="258">
        <f t="shared" si="3"/>
        <v>1383.7019000000003</v>
      </c>
      <c r="I14" s="263">
        <f t="shared" si="1"/>
        <v>2.9814673001249556E-2</v>
      </c>
    </row>
    <row r="15" spans="1:9" s="228" customFormat="1" ht="16" thickBot="1" x14ac:dyDescent="0.4">
      <c r="A15" s="233" t="s">
        <v>119</v>
      </c>
      <c r="B15" s="251">
        <f>SUM(B13:B14)</f>
        <v>534411.5</v>
      </c>
      <c r="C15" s="251">
        <f t="shared" ref="C15:H15" si="4">SUM(C13:C14)</f>
        <v>0</v>
      </c>
      <c r="D15" s="251">
        <f t="shared" si="4"/>
        <v>0</v>
      </c>
      <c r="E15" s="251">
        <f t="shared" si="4"/>
        <v>0</v>
      </c>
      <c r="F15" s="251">
        <f t="shared" si="4"/>
        <v>175000.00014000002</v>
      </c>
      <c r="G15" s="251">
        <f t="shared" si="4"/>
        <v>21150.871900000002</v>
      </c>
      <c r="H15" s="259">
        <f t="shared" si="4"/>
        <v>21150.871900000002</v>
      </c>
      <c r="I15" s="260">
        <f>H15/(B15+F15)</f>
        <v>2.9814673001249552E-2</v>
      </c>
    </row>
    <row r="16" spans="1:9" s="228" customFormat="1" ht="15.5" x14ac:dyDescent="0.35"/>
    <row r="17" spans="1:1" ht="15.5" x14ac:dyDescent="0.35">
      <c r="A17" s="292" t="s">
        <v>143</v>
      </c>
    </row>
    <row r="18" spans="1:1" ht="15.5" x14ac:dyDescent="0.35">
      <c r="A18" s="292" t="s">
        <v>144</v>
      </c>
    </row>
    <row r="19" spans="1:1" ht="15.5" x14ac:dyDescent="0.35">
      <c r="A19" s="295">
        <v>43984</v>
      </c>
    </row>
  </sheetData>
  <mergeCells count="6">
    <mergeCell ref="F4:G4"/>
    <mergeCell ref="B4:E4"/>
    <mergeCell ref="H4:H5"/>
    <mergeCell ref="I4:I5"/>
    <mergeCell ref="A2:I3"/>
    <mergeCell ref="A4:A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D070E-A8B3-4AB0-A7C5-67C17F3DCB5E}">
  <sheetPr>
    <tabColor rgb="FF00B0F0"/>
  </sheetPr>
  <dimension ref="A1:L162"/>
  <sheetViews>
    <sheetView topLeftCell="A149" workbookViewId="0">
      <selection activeCell="B162" sqref="B162"/>
    </sheetView>
  </sheetViews>
  <sheetFormatPr baseColWidth="10" defaultColWidth="9.08984375" defaultRowHeight="13" x14ac:dyDescent="0.3"/>
  <cols>
    <col min="1" max="1" width="11" style="22" customWidth="1"/>
    <col min="2" max="2" width="32.90625" style="22" customWidth="1"/>
    <col min="3" max="3" width="20.1796875" style="22" customWidth="1"/>
    <col min="4" max="4" width="19.90625" style="22" customWidth="1"/>
    <col min="5" max="5" width="23.08984375" style="22" hidden="1" customWidth="1"/>
    <col min="6" max="6" width="19.08984375" style="126" customWidth="1"/>
    <col min="7" max="7" width="14.6328125" style="126" customWidth="1"/>
    <col min="8" max="8" width="14.54296875" style="126" customWidth="1"/>
    <col min="9" max="9" width="13.453125" style="218" customWidth="1"/>
    <col min="10" max="10" width="11.6328125" style="22" customWidth="1"/>
    <col min="11" max="11" width="9.08984375" style="22"/>
    <col min="12" max="12" width="17.6328125" style="22" customWidth="1"/>
    <col min="13" max="13" width="26.6328125" style="22" customWidth="1"/>
    <col min="14" max="14" width="22.6328125" style="22" customWidth="1"/>
    <col min="15" max="15" width="29.6328125" style="22" customWidth="1"/>
    <col min="16" max="16" width="23.36328125" style="22" customWidth="1"/>
    <col min="17" max="17" width="18.6328125" style="22" customWidth="1"/>
    <col min="18" max="18" width="17.36328125" style="22" customWidth="1"/>
    <col min="19" max="19" width="25.08984375" style="22" customWidth="1"/>
    <col min="20" max="16384" width="9.08984375" style="22"/>
  </cols>
  <sheetData>
    <row r="1" spans="1:10" ht="14.4" customHeight="1" x14ac:dyDescent="0.45">
      <c r="A1" s="322"/>
      <c r="B1" s="322"/>
      <c r="C1" s="322"/>
      <c r="D1" s="322"/>
      <c r="E1" s="322"/>
      <c r="F1" s="322"/>
      <c r="G1" s="322"/>
    </row>
    <row r="2" spans="1:10" ht="18.649999999999999" customHeight="1" thickBot="1" x14ac:dyDescent="0.35">
      <c r="A2" s="402" t="s">
        <v>127</v>
      </c>
      <c r="B2" s="402"/>
      <c r="C2" s="402"/>
      <c r="D2" s="402"/>
      <c r="E2" s="21"/>
      <c r="F2" s="181"/>
    </row>
    <row r="3" spans="1:10" ht="18" customHeight="1" thickBot="1" x14ac:dyDescent="0.5">
      <c r="A3" s="325" t="s">
        <v>121</v>
      </c>
      <c r="B3" s="326"/>
      <c r="C3" s="326"/>
      <c r="D3" s="326"/>
      <c r="E3" s="326"/>
      <c r="F3" s="326"/>
      <c r="G3" s="326"/>
      <c r="H3" s="326"/>
      <c r="I3" s="327"/>
    </row>
    <row r="4" spans="1:10" ht="19.75" customHeight="1" x14ac:dyDescent="0.3">
      <c r="A4" s="323" t="s">
        <v>9</v>
      </c>
      <c r="B4" s="324"/>
      <c r="C4" s="324"/>
      <c r="D4" s="324"/>
      <c r="E4" s="324"/>
      <c r="F4" s="324"/>
      <c r="G4" s="324"/>
      <c r="H4" s="324"/>
      <c r="I4" s="324"/>
    </row>
    <row r="5" spans="1:10" ht="13.5" thickBot="1" x14ac:dyDescent="0.35"/>
    <row r="6" spans="1:10" s="97" customFormat="1" ht="64.25" customHeight="1" thickBot="1" x14ac:dyDescent="0.35">
      <c r="A6" s="406" t="s">
        <v>10</v>
      </c>
      <c r="B6" s="406" t="s">
        <v>86</v>
      </c>
      <c r="C6" s="95" t="s">
        <v>87</v>
      </c>
      <c r="D6" s="95" t="s">
        <v>92</v>
      </c>
      <c r="E6" s="96" t="s">
        <v>88</v>
      </c>
      <c r="F6" s="182" t="s">
        <v>93</v>
      </c>
      <c r="G6" s="127" t="s">
        <v>89</v>
      </c>
      <c r="H6" s="127" t="s">
        <v>90</v>
      </c>
      <c r="I6" s="121" t="s">
        <v>91</v>
      </c>
      <c r="J6" s="98" t="s">
        <v>12</v>
      </c>
    </row>
    <row r="7" spans="1:10" ht="18.75" customHeight="1" thickBot="1" x14ac:dyDescent="0.35">
      <c r="A7" s="407"/>
      <c r="B7" s="407"/>
      <c r="C7" s="227" t="s">
        <v>115</v>
      </c>
      <c r="D7" s="100" t="s">
        <v>116</v>
      </c>
      <c r="E7" s="100"/>
      <c r="F7" s="183" t="s">
        <v>11</v>
      </c>
      <c r="G7" s="128"/>
      <c r="H7" s="128"/>
      <c r="I7" s="215"/>
      <c r="J7" s="101"/>
    </row>
    <row r="8" spans="1:10" ht="15.5" customHeight="1" thickBot="1" x14ac:dyDescent="0.35">
      <c r="A8" s="342" t="s">
        <v>101</v>
      </c>
      <c r="B8" s="343"/>
      <c r="C8" s="343"/>
      <c r="D8" s="343"/>
      <c r="E8" s="343"/>
      <c r="F8" s="343"/>
      <c r="G8" s="343"/>
      <c r="H8" s="343"/>
      <c r="I8" s="343"/>
      <c r="J8" s="344"/>
    </row>
    <row r="9" spans="1:10" ht="28.25" customHeight="1" thickBot="1" x14ac:dyDescent="0.35">
      <c r="A9" s="400" t="s">
        <v>85</v>
      </c>
      <c r="B9" s="102" t="s">
        <v>64</v>
      </c>
      <c r="C9" s="103">
        <v>0</v>
      </c>
      <c r="D9" s="67">
        <v>0</v>
      </c>
      <c r="E9" s="67"/>
      <c r="F9" s="198">
        <v>0</v>
      </c>
      <c r="G9" s="129"/>
      <c r="H9" s="129"/>
      <c r="I9" s="68">
        <v>0</v>
      </c>
      <c r="J9" s="104"/>
    </row>
    <row r="10" spans="1:10" ht="18.75" customHeight="1" thickBot="1" x14ac:dyDescent="0.35">
      <c r="A10" s="400"/>
      <c r="B10" s="403" t="s">
        <v>65</v>
      </c>
      <c r="C10" s="29">
        <f>30000*35%</f>
        <v>10500</v>
      </c>
      <c r="D10" s="30">
        <v>0</v>
      </c>
      <c r="E10" s="30"/>
      <c r="F10" s="202">
        <v>0</v>
      </c>
      <c r="G10" s="130"/>
      <c r="H10" s="130"/>
      <c r="I10" s="68">
        <f>(G10+F10)/(C10+D10)</f>
        <v>0</v>
      </c>
      <c r="J10" s="8">
        <v>6</v>
      </c>
    </row>
    <row r="11" spans="1:10" ht="20.25" customHeight="1" thickBot="1" x14ac:dyDescent="0.35">
      <c r="A11" s="400"/>
      <c r="B11" s="404"/>
      <c r="C11" s="31">
        <f>1600*35%</f>
        <v>560</v>
      </c>
      <c r="D11" s="32">
        <v>0</v>
      </c>
      <c r="E11" s="32"/>
      <c r="F11" s="203">
        <v>0</v>
      </c>
      <c r="G11" s="131"/>
      <c r="H11" s="131"/>
      <c r="I11" s="68">
        <f t="shared" ref="I11:I19" si="0">(G11+F11)/(C11+D11)</f>
        <v>0</v>
      </c>
      <c r="J11" s="9">
        <v>4</v>
      </c>
    </row>
    <row r="12" spans="1:10" ht="24" customHeight="1" thickBot="1" x14ac:dyDescent="0.35">
      <c r="A12" s="400"/>
      <c r="B12" s="405"/>
      <c r="C12" s="33">
        <f>4000*35%</f>
        <v>1400</v>
      </c>
      <c r="D12" s="34">
        <v>0</v>
      </c>
      <c r="E12" s="34"/>
      <c r="F12" s="204">
        <v>0</v>
      </c>
      <c r="G12" s="132"/>
      <c r="H12" s="132"/>
      <c r="I12" s="68">
        <f t="shared" si="0"/>
        <v>0</v>
      </c>
      <c r="J12" s="10">
        <v>4</v>
      </c>
    </row>
    <row r="13" spans="1:10" ht="24" customHeight="1" thickBot="1" x14ac:dyDescent="0.35">
      <c r="A13" s="400"/>
      <c r="B13" s="395" t="s">
        <v>66</v>
      </c>
      <c r="C13" s="39">
        <f>20000*35%</f>
        <v>7000</v>
      </c>
      <c r="D13" s="40">
        <v>0</v>
      </c>
      <c r="E13" s="40"/>
      <c r="F13" s="194">
        <v>0</v>
      </c>
      <c r="G13" s="133"/>
      <c r="H13" s="134"/>
      <c r="I13" s="68">
        <f t="shared" si="0"/>
        <v>0</v>
      </c>
      <c r="J13" s="3">
        <v>4</v>
      </c>
    </row>
    <row r="14" spans="1:10" ht="24" customHeight="1" thickBot="1" x14ac:dyDescent="0.35">
      <c r="A14" s="400"/>
      <c r="B14" s="395"/>
      <c r="C14" s="31">
        <f>10000*35%</f>
        <v>3500</v>
      </c>
      <c r="D14" s="32">
        <v>0</v>
      </c>
      <c r="E14" s="32"/>
      <c r="F14" s="194">
        <v>0</v>
      </c>
      <c r="G14" s="131"/>
      <c r="H14" s="135"/>
      <c r="I14" s="68">
        <f t="shared" si="0"/>
        <v>0</v>
      </c>
      <c r="J14" s="2">
        <v>4</v>
      </c>
    </row>
    <row r="15" spans="1:10" ht="24" customHeight="1" thickBot="1" x14ac:dyDescent="0.35">
      <c r="A15" s="400"/>
      <c r="B15" s="395"/>
      <c r="C15" s="31">
        <f>1800*35%</f>
        <v>630</v>
      </c>
      <c r="D15" s="32">
        <v>0</v>
      </c>
      <c r="E15" s="32"/>
      <c r="F15" s="194">
        <v>0</v>
      </c>
      <c r="G15" s="131"/>
      <c r="H15" s="135"/>
      <c r="I15" s="68">
        <f t="shared" si="0"/>
        <v>0</v>
      </c>
      <c r="J15" s="2">
        <v>7</v>
      </c>
    </row>
    <row r="16" spans="1:10" ht="24" customHeight="1" thickBot="1" x14ac:dyDescent="0.35">
      <c r="A16" s="400"/>
      <c r="B16" s="395"/>
      <c r="C16" s="31">
        <f>5000*35%</f>
        <v>1750</v>
      </c>
      <c r="D16" s="32">
        <v>0</v>
      </c>
      <c r="E16" s="32"/>
      <c r="F16" s="194">
        <v>0</v>
      </c>
      <c r="G16" s="131"/>
      <c r="H16" s="135"/>
      <c r="I16" s="68">
        <f t="shared" si="0"/>
        <v>0</v>
      </c>
      <c r="J16" s="2">
        <v>5</v>
      </c>
    </row>
    <row r="17" spans="1:10" ht="24" customHeight="1" thickBot="1" x14ac:dyDescent="0.35">
      <c r="A17" s="400"/>
      <c r="B17" s="396"/>
      <c r="C17" s="33">
        <f>6000*35%</f>
        <v>2100</v>
      </c>
      <c r="D17" s="34">
        <v>0</v>
      </c>
      <c r="E17" s="34"/>
      <c r="F17" s="195">
        <v>0</v>
      </c>
      <c r="G17" s="132"/>
      <c r="H17" s="136"/>
      <c r="I17" s="68">
        <f t="shared" si="0"/>
        <v>0</v>
      </c>
      <c r="J17" s="4">
        <v>5</v>
      </c>
    </row>
    <row r="18" spans="1:10" ht="15.75" customHeight="1" thickBot="1" x14ac:dyDescent="0.35">
      <c r="A18" s="400"/>
      <c r="B18" s="397" t="s">
        <v>67</v>
      </c>
      <c r="C18" s="29">
        <f>7000*35%</f>
        <v>2450</v>
      </c>
      <c r="D18" s="30">
        <v>0</v>
      </c>
      <c r="E18" s="30"/>
      <c r="F18" s="196">
        <v>0</v>
      </c>
      <c r="G18" s="137"/>
      <c r="H18" s="138"/>
      <c r="I18" s="68">
        <f t="shared" si="0"/>
        <v>0</v>
      </c>
      <c r="J18" s="1">
        <v>4</v>
      </c>
    </row>
    <row r="19" spans="1:10" ht="15" customHeight="1" thickBot="1" x14ac:dyDescent="0.35">
      <c r="A19" s="401"/>
      <c r="B19" s="396"/>
      <c r="C19" s="35">
        <f>5000*35%</f>
        <v>1750</v>
      </c>
      <c r="D19" s="36">
        <v>0</v>
      </c>
      <c r="E19" s="36"/>
      <c r="F19" s="195">
        <v>0</v>
      </c>
      <c r="G19" s="139"/>
      <c r="H19" s="140"/>
      <c r="I19" s="68">
        <f t="shared" si="0"/>
        <v>0</v>
      </c>
      <c r="J19" s="5">
        <v>5</v>
      </c>
    </row>
    <row r="20" spans="1:10" hidden="1" x14ac:dyDescent="0.3">
      <c r="A20" s="37" t="s">
        <v>15</v>
      </c>
      <c r="B20" s="38"/>
      <c r="C20" s="39"/>
      <c r="D20" s="40"/>
      <c r="E20" s="40"/>
      <c r="F20" s="184">
        <f t="shared" ref="F20:F23" si="1">SUM(C20:E20)</f>
        <v>0</v>
      </c>
      <c r="G20" s="141"/>
      <c r="H20" s="141"/>
      <c r="I20" s="41"/>
      <c r="J20" s="28"/>
    </row>
    <row r="21" spans="1:10" hidden="1" x14ac:dyDescent="0.3">
      <c r="A21" s="42" t="s">
        <v>16</v>
      </c>
      <c r="B21" s="43"/>
      <c r="C21" s="31"/>
      <c r="D21" s="32"/>
      <c r="E21" s="32"/>
      <c r="F21" s="185">
        <f t="shared" si="1"/>
        <v>0</v>
      </c>
      <c r="G21" s="142"/>
      <c r="H21" s="142"/>
      <c r="I21" s="27"/>
      <c r="J21" s="28"/>
    </row>
    <row r="22" spans="1:10" hidden="1" x14ac:dyDescent="0.3">
      <c r="A22" s="42" t="s">
        <v>17</v>
      </c>
      <c r="B22" s="44"/>
      <c r="C22" s="31"/>
      <c r="D22" s="45"/>
      <c r="E22" s="45"/>
      <c r="F22" s="185">
        <f t="shared" si="1"/>
        <v>0</v>
      </c>
      <c r="G22" s="143"/>
      <c r="H22" s="143"/>
      <c r="I22" s="46"/>
      <c r="J22" s="28"/>
    </row>
    <row r="23" spans="1:10" hidden="1" x14ac:dyDescent="0.3">
      <c r="A23" s="42" t="s">
        <v>18</v>
      </c>
      <c r="B23" s="105"/>
      <c r="C23" s="25"/>
      <c r="D23" s="106"/>
      <c r="E23" s="106"/>
      <c r="F23" s="186">
        <f t="shared" si="1"/>
        <v>0</v>
      </c>
      <c r="G23" s="144"/>
      <c r="H23" s="144"/>
      <c r="I23" s="107"/>
    </row>
    <row r="24" spans="1:10" ht="15" customHeight="1" thickBot="1" x14ac:dyDescent="0.35">
      <c r="A24" s="338" t="s">
        <v>99</v>
      </c>
      <c r="B24" s="339"/>
      <c r="C24" s="108">
        <f>SUM(C9:C23)</f>
        <v>31640</v>
      </c>
      <c r="D24" s="108">
        <f>SUM(D9:D23)</f>
        <v>0</v>
      </c>
      <c r="E24" s="108">
        <f t="shared" ref="E24" si="2">SUM(E9:E23)</f>
        <v>0</v>
      </c>
      <c r="F24" s="122">
        <f>SUM(F9:F23)</f>
        <v>0</v>
      </c>
      <c r="G24" s="122">
        <f t="shared" ref="G24:H24" si="3">SUM(G9:G23)</f>
        <v>0</v>
      </c>
      <c r="H24" s="122">
        <f t="shared" si="3"/>
        <v>0</v>
      </c>
      <c r="I24" s="221">
        <f>(G24+F24)/(C24+D24)</f>
        <v>0</v>
      </c>
      <c r="J24" s="109"/>
    </row>
    <row r="25" spans="1:10" ht="20.399999999999999" customHeight="1" thickBot="1" x14ac:dyDescent="0.35">
      <c r="A25" s="345" t="s">
        <v>94</v>
      </c>
      <c r="B25" s="398" t="s">
        <v>68</v>
      </c>
      <c r="C25" s="30">
        <v>0</v>
      </c>
      <c r="D25" s="48">
        <f>15000*35%</f>
        <v>5250</v>
      </c>
      <c r="E25" s="30"/>
      <c r="F25" s="196">
        <v>0</v>
      </c>
      <c r="G25" s="145"/>
      <c r="H25" s="146"/>
      <c r="I25" s="68">
        <v>0</v>
      </c>
      <c r="J25" s="1">
        <v>4</v>
      </c>
    </row>
    <row r="26" spans="1:10" ht="26.4" customHeight="1" thickBot="1" x14ac:dyDescent="0.35">
      <c r="A26" s="346"/>
      <c r="B26" s="399"/>
      <c r="C26" s="32">
        <v>0</v>
      </c>
      <c r="D26" s="49">
        <f>7000*35%</f>
        <v>2450</v>
      </c>
      <c r="E26" s="32"/>
      <c r="F26" s="199">
        <v>0</v>
      </c>
      <c r="G26" s="147"/>
      <c r="H26" s="148"/>
      <c r="I26" s="68">
        <v>0</v>
      </c>
      <c r="J26" s="3">
        <v>4</v>
      </c>
    </row>
    <row r="27" spans="1:10" ht="26.4" customHeight="1" thickBot="1" x14ac:dyDescent="0.35">
      <c r="A27" s="346"/>
      <c r="B27" s="399"/>
      <c r="C27" s="26">
        <v>0</v>
      </c>
      <c r="D27" s="50">
        <f>1000*35%</f>
        <v>350</v>
      </c>
      <c r="E27" s="26"/>
      <c r="F27" s="201">
        <v>0</v>
      </c>
      <c r="G27" s="149"/>
      <c r="H27" s="150"/>
      <c r="I27" s="68">
        <v>0</v>
      </c>
      <c r="J27" s="6">
        <v>3</v>
      </c>
    </row>
    <row r="28" spans="1:10" ht="17.399999999999999" customHeight="1" thickBot="1" x14ac:dyDescent="0.35">
      <c r="A28" s="346"/>
      <c r="B28" s="390" t="s">
        <v>69</v>
      </c>
      <c r="C28" s="30">
        <v>0</v>
      </c>
      <c r="D28" s="51">
        <f>10000*35%</f>
        <v>3500</v>
      </c>
      <c r="E28" s="30"/>
      <c r="F28" s="196">
        <v>0</v>
      </c>
      <c r="G28" s="145"/>
      <c r="H28" s="146"/>
      <c r="I28" s="68">
        <v>0</v>
      </c>
      <c r="J28" s="7">
        <v>4</v>
      </c>
    </row>
    <row r="29" spans="1:10" ht="16.75" customHeight="1" thickBot="1" x14ac:dyDescent="0.35">
      <c r="A29" s="346"/>
      <c r="B29" s="391"/>
      <c r="C29" s="32">
        <v>0</v>
      </c>
      <c r="D29" s="52">
        <f>2000*35%</f>
        <v>700</v>
      </c>
      <c r="E29" s="32"/>
      <c r="F29" s="199">
        <v>0</v>
      </c>
      <c r="G29" s="147"/>
      <c r="H29" s="148"/>
      <c r="I29" s="68">
        <v>0</v>
      </c>
      <c r="J29" s="8">
        <v>7</v>
      </c>
    </row>
    <row r="30" spans="1:10" ht="16.75" customHeight="1" thickBot="1" x14ac:dyDescent="0.35">
      <c r="A30" s="346"/>
      <c r="B30" s="391"/>
      <c r="C30" s="32">
        <v>0</v>
      </c>
      <c r="D30" s="52">
        <f>20000*35%</f>
        <v>7000</v>
      </c>
      <c r="E30" s="32"/>
      <c r="F30" s="199">
        <v>0</v>
      </c>
      <c r="G30" s="147"/>
      <c r="H30" s="148"/>
      <c r="I30" s="68">
        <v>0</v>
      </c>
      <c r="J30" s="8">
        <v>4</v>
      </c>
    </row>
    <row r="31" spans="1:10" ht="16.75" customHeight="1" thickBot="1" x14ac:dyDescent="0.35">
      <c r="A31" s="346"/>
      <c r="B31" s="391"/>
      <c r="C31" s="32">
        <v>0</v>
      </c>
      <c r="D31" s="52">
        <f>10000*35%</f>
        <v>3500</v>
      </c>
      <c r="E31" s="32"/>
      <c r="F31" s="199">
        <v>0</v>
      </c>
      <c r="G31" s="147"/>
      <c r="H31" s="148"/>
      <c r="I31" s="68">
        <v>0</v>
      </c>
      <c r="J31" s="9">
        <v>5</v>
      </c>
    </row>
    <row r="32" spans="1:10" ht="19.25" customHeight="1" thickBot="1" x14ac:dyDescent="0.35">
      <c r="A32" s="347"/>
      <c r="B32" s="392"/>
      <c r="C32" s="34">
        <v>0</v>
      </c>
      <c r="D32" s="53">
        <f>3000*35%</f>
        <v>1050</v>
      </c>
      <c r="E32" s="34"/>
      <c r="F32" s="200">
        <v>0</v>
      </c>
      <c r="G32" s="151"/>
      <c r="H32" s="152"/>
      <c r="I32" s="68">
        <v>0</v>
      </c>
      <c r="J32" s="10">
        <v>7</v>
      </c>
    </row>
    <row r="33" spans="1:10" ht="15" customHeight="1" thickBot="1" x14ac:dyDescent="0.35">
      <c r="A33" s="394" t="s">
        <v>98</v>
      </c>
      <c r="B33" s="333"/>
      <c r="C33" s="108">
        <f t="shared" ref="C33:H33" si="4">SUM(C25:C32)</f>
        <v>0</v>
      </c>
      <c r="D33" s="108">
        <f t="shared" si="4"/>
        <v>23800</v>
      </c>
      <c r="E33" s="108">
        <f t="shared" si="4"/>
        <v>0</v>
      </c>
      <c r="F33" s="122">
        <f t="shared" si="4"/>
        <v>0</v>
      </c>
      <c r="G33" s="122">
        <f t="shared" si="4"/>
        <v>0</v>
      </c>
      <c r="H33" s="122">
        <f t="shared" si="4"/>
        <v>0</v>
      </c>
      <c r="I33" s="222">
        <f t="shared" ref="I33" si="5">(G33+F33)/(C33+D33)</f>
        <v>0</v>
      </c>
      <c r="J33" s="109"/>
    </row>
    <row r="34" spans="1:10" ht="22.25" customHeight="1" thickBot="1" x14ac:dyDescent="0.35">
      <c r="A34" s="387" t="s">
        <v>95</v>
      </c>
      <c r="B34" s="390" t="s">
        <v>61</v>
      </c>
      <c r="C34" s="30">
        <v>0</v>
      </c>
      <c r="D34" s="51">
        <f>25000*35%</f>
        <v>8750</v>
      </c>
      <c r="E34" s="30"/>
      <c r="F34" s="196">
        <v>0</v>
      </c>
      <c r="G34" s="153"/>
      <c r="H34" s="154"/>
      <c r="I34" s="68">
        <v>0</v>
      </c>
      <c r="J34" s="1">
        <v>4</v>
      </c>
    </row>
    <row r="35" spans="1:10" ht="34.25" customHeight="1" thickBot="1" x14ac:dyDescent="0.35">
      <c r="A35" s="388"/>
      <c r="B35" s="392"/>
      <c r="C35" s="34">
        <v>0</v>
      </c>
      <c r="D35" s="53">
        <f>2000*35%</f>
        <v>700</v>
      </c>
      <c r="E35" s="34"/>
      <c r="F35" s="200">
        <v>0</v>
      </c>
      <c r="G35" s="155"/>
      <c r="H35" s="220"/>
      <c r="I35" s="68">
        <v>0</v>
      </c>
      <c r="J35" s="5">
        <v>7</v>
      </c>
    </row>
    <row r="36" spans="1:10" ht="15.75" customHeight="1" thickBot="1" x14ac:dyDescent="0.35">
      <c r="A36" s="388"/>
      <c r="B36" s="393" t="s">
        <v>62</v>
      </c>
      <c r="C36" s="40">
        <v>0</v>
      </c>
      <c r="D36" s="55">
        <f>2000*35%</f>
        <v>700</v>
      </c>
      <c r="E36" s="40"/>
      <c r="F36" s="194">
        <v>0</v>
      </c>
      <c r="G36" s="156"/>
      <c r="H36" s="142"/>
      <c r="I36" s="68">
        <v>0</v>
      </c>
      <c r="J36" s="1">
        <v>4</v>
      </c>
    </row>
    <row r="37" spans="1:10" ht="15.75" customHeight="1" thickBot="1" x14ac:dyDescent="0.35">
      <c r="A37" s="388"/>
      <c r="B37" s="393"/>
      <c r="C37" s="40">
        <v>0</v>
      </c>
      <c r="D37" s="55">
        <f>16650*35%</f>
        <v>5827.5</v>
      </c>
      <c r="E37" s="40"/>
      <c r="F37" s="199">
        <v>0</v>
      </c>
      <c r="G37" s="158"/>
      <c r="H37" s="142"/>
      <c r="I37" s="68">
        <v>0</v>
      </c>
      <c r="J37" s="3">
        <v>4</v>
      </c>
    </row>
    <row r="38" spans="1:10" ht="14.4" customHeight="1" thickBot="1" x14ac:dyDescent="0.35">
      <c r="A38" s="388"/>
      <c r="B38" s="391"/>
      <c r="C38" s="32">
        <v>0</v>
      </c>
      <c r="D38" s="52">
        <f>2800*35%</f>
        <v>979.99999999999989</v>
      </c>
      <c r="E38" s="32"/>
      <c r="F38" s="199">
        <v>0</v>
      </c>
      <c r="G38" s="158"/>
      <c r="H38" s="142"/>
      <c r="I38" s="68">
        <v>0</v>
      </c>
      <c r="J38" s="2">
        <v>5</v>
      </c>
    </row>
    <row r="39" spans="1:10" ht="14.4" customHeight="1" thickBot="1" x14ac:dyDescent="0.35">
      <c r="A39" s="388"/>
      <c r="B39" s="391"/>
      <c r="C39" s="32">
        <v>0</v>
      </c>
      <c r="D39" s="52">
        <f>2500*35%</f>
        <v>875</v>
      </c>
      <c r="E39" s="32"/>
      <c r="F39" s="199">
        <v>0</v>
      </c>
      <c r="G39" s="158"/>
      <c r="H39" s="142"/>
      <c r="I39" s="68">
        <v>0</v>
      </c>
      <c r="J39" s="2">
        <v>4</v>
      </c>
    </row>
    <row r="40" spans="1:10" ht="14.4" customHeight="1" thickBot="1" x14ac:dyDescent="0.35">
      <c r="A40" s="388"/>
      <c r="B40" s="391"/>
      <c r="C40" s="32">
        <v>0</v>
      </c>
      <c r="D40" s="52">
        <f>1500*35%</f>
        <v>525</v>
      </c>
      <c r="E40" s="32"/>
      <c r="F40" s="199">
        <v>0</v>
      </c>
      <c r="G40" s="158"/>
      <c r="H40" s="142"/>
      <c r="I40" s="68">
        <v>0</v>
      </c>
      <c r="J40" s="2">
        <v>4</v>
      </c>
    </row>
    <row r="41" spans="1:10" ht="14.4" customHeight="1" thickBot="1" x14ac:dyDescent="0.35">
      <c r="A41" s="388"/>
      <c r="B41" s="391"/>
      <c r="C41" s="32">
        <v>0</v>
      </c>
      <c r="D41" s="52">
        <f>1400*35%</f>
        <v>489.99999999999994</v>
      </c>
      <c r="E41" s="32"/>
      <c r="F41" s="199">
        <v>0</v>
      </c>
      <c r="G41" s="158"/>
      <c r="H41" s="142"/>
      <c r="I41" s="68">
        <v>0</v>
      </c>
      <c r="J41" s="2">
        <v>7</v>
      </c>
    </row>
    <row r="42" spans="1:10" ht="15" customHeight="1" thickBot="1" x14ac:dyDescent="0.35">
      <c r="A42" s="388"/>
      <c r="B42" s="392"/>
      <c r="C42" s="34">
        <v>0</v>
      </c>
      <c r="D42" s="53">
        <f>12000*35%</f>
        <v>4200</v>
      </c>
      <c r="E42" s="34"/>
      <c r="F42" s="200">
        <v>0</v>
      </c>
      <c r="G42" s="160"/>
      <c r="H42" s="142"/>
      <c r="I42" s="68">
        <v>0</v>
      </c>
      <c r="J42" s="5">
        <v>4</v>
      </c>
    </row>
    <row r="43" spans="1:10" ht="15.75" customHeight="1" thickBot="1" x14ac:dyDescent="0.35">
      <c r="A43" s="388"/>
      <c r="B43" s="380" t="s">
        <v>63</v>
      </c>
      <c r="C43" s="30">
        <v>0</v>
      </c>
      <c r="D43" s="56">
        <f>12000*35%</f>
        <v>4200</v>
      </c>
      <c r="E43" s="30"/>
      <c r="F43" s="196">
        <v>0</v>
      </c>
      <c r="G43" s="162"/>
      <c r="H43" s="147"/>
      <c r="I43" s="68">
        <v>0</v>
      </c>
      <c r="J43" s="11">
        <v>4</v>
      </c>
    </row>
    <row r="44" spans="1:10" ht="14.4" customHeight="1" thickBot="1" x14ac:dyDescent="0.35">
      <c r="A44" s="388"/>
      <c r="B44" s="381"/>
      <c r="C44" s="40">
        <v>0</v>
      </c>
      <c r="D44" s="57">
        <f>4500*35%</f>
        <v>1575</v>
      </c>
      <c r="E44" s="40"/>
      <c r="F44" s="199">
        <v>0</v>
      </c>
      <c r="G44" s="149"/>
      <c r="H44" s="147"/>
      <c r="I44" s="68">
        <v>0</v>
      </c>
      <c r="J44" s="9">
        <v>4</v>
      </c>
    </row>
    <row r="45" spans="1:10" ht="14.4" customHeight="1" thickBot="1" x14ac:dyDescent="0.35">
      <c r="A45" s="388"/>
      <c r="B45" s="381"/>
      <c r="C45" s="40">
        <v>0</v>
      </c>
      <c r="D45" s="57">
        <f>4104*35%</f>
        <v>1436.3999999999999</v>
      </c>
      <c r="E45" s="40"/>
      <c r="F45" s="199">
        <v>0</v>
      </c>
      <c r="G45" s="149"/>
      <c r="H45" s="147"/>
      <c r="I45" s="68">
        <v>0</v>
      </c>
      <c r="J45" s="9">
        <v>4</v>
      </c>
    </row>
    <row r="46" spans="1:10" ht="14.4" customHeight="1" thickBot="1" x14ac:dyDescent="0.35">
      <c r="A46" s="388"/>
      <c r="B46" s="381"/>
      <c r="C46" s="40">
        <v>0</v>
      </c>
      <c r="D46" s="57">
        <f>3763*35%</f>
        <v>1317.05</v>
      </c>
      <c r="E46" s="40"/>
      <c r="F46" s="199">
        <v>0</v>
      </c>
      <c r="G46" s="149"/>
      <c r="H46" s="147"/>
      <c r="I46" s="68">
        <v>0</v>
      </c>
      <c r="J46" s="9">
        <v>4</v>
      </c>
    </row>
    <row r="47" spans="1:10" ht="14.4" customHeight="1" thickBot="1" x14ac:dyDescent="0.35">
      <c r="A47" s="388"/>
      <c r="B47" s="381"/>
      <c r="C47" s="40">
        <v>0</v>
      </c>
      <c r="D47" s="57">
        <f>4230*35%</f>
        <v>1480.5</v>
      </c>
      <c r="E47" s="40"/>
      <c r="F47" s="199">
        <v>0</v>
      </c>
      <c r="G47" s="149"/>
      <c r="H47" s="147"/>
      <c r="I47" s="68">
        <v>0</v>
      </c>
      <c r="J47" s="9">
        <v>4</v>
      </c>
    </row>
    <row r="48" spans="1:10" ht="14.4" customHeight="1" thickBot="1" x14ac:dyDescent="0.35">
      <c r="A48" s="388"/>
      <c r="B48" s="381"/>
      <c r="C48" s="40">
        <v>0</v>
      </c>
      <c r="D48" s="57">
        <f>8000*35%</f>
        <v>2800</v>
      </c>
      <c r="E48" s="40"/>
      <c r="F48" s="199">
        <v>0</v>
      </c>
      <c r="G48" s="149"/>
      <c r="H48" s="147"/>
      <c r="I48" s="68">
        <v>0</v>
      </c>
      <c r="J48" s="9">
        <v>4</v>
      </c>
    </row>
    <row r="49" spans="1:10" ht="14.4" customHeight="1" thickBot="1" x14ac:dyDescent="0.35">
      <c r="A49" s="388"/>
      <c r="B49" s="381"/>
      <c r="C49" s="40">
        <v>0</v>
      </c>
      <c r="D49" s="57">
        <f>8000*35%</f>
        <v>2800</v>
      </c>
      <c r="E49" s="40"/>
      <c r="F49" s="199">
        <v>0</v>
      </c>
      <c r="G49" s="149"/>
      <c r="H49" s="147"/>
      <c r="I49" s="68">
        <v>0</v>
      </c>
      <c r="J49" s="9">
        <v>4</v>
      </c>
    </row>
    <row r="50" spans="1:10" ht="15" customHeight="1" thickBot="1" x14ac:dyDescent="0.35">
      <c r="A50" s="389"/>
      <c r="B50" s="382"/>
      <c r="C50" s="36">
        <v>0</v>
      </c>
      <c r="D50" s="58">
        <f>5000*35%</f>
        <v>1750</v>
      </c>
      <c r="E50" s="36"/>
      <c r="F50" s="200">
        <v>0</v>
      </c>
      <c r="G50" s="151"/>
      <c r="H50" s="147"/>
      <c r="I50" s="68">
        <v>0</v>
      </c>
      <c r="J50" s="9">
        <v>4</v>
      </c>
    </row>
    <row r="51" spans="1:10" ht="15" customHeight="1" thickBot="1" x14ac:dyDescent="0.35">
      <c r="A51" s="332" t="s">
        <v>97</v>
      </c>
      <c r="B51" s="335"/>
      <c r="C51" s="111">
        <f t="shared" ref="C51:H51" si="6">SUM(C34:C50)</f>
        <v>0</v>
      </c>
      <c r="D51" s="108">
        <f t="shared" si="6"/>
        <v>40406.449999999997</v>
      </c>
      <c r="E51" s="108">
        <f t="shared" si="6"/>
        <v>0</v>
      </c>
      <c r="F51" s="122">
        <f t="shared" si="6"/>
        <v>0</v>
      </c>
      <c r="G51" s="122">
        <f t="shared" si="6"/>
        <v>0</v>
      </c>
      <c r="H51" s="219">
        <f t="shared" si="6"/>
        <v>0</v>
      </c>
      <c r="I51" s="222">
        <f t="shared" ref="I51" si="7">(G51+F51)/(C51+D51)</f>
        <v>0</v>
      </c>
      <c r="J51" s="109"/>
    </row>
    <row r="52" spans="1:10" hidden="1" x14ac:dyDescent="0.3">
      <c r="A52" s="99" t="s">
        <v>20</v>
      </c>
      <c r="B52" s="386"/>
      <c r="C52" s="386"/>
      <c r="D52" s="386"/>
      <c r="E52" s="386"/>
      <c r="F52" s="386"/>
      <c r="G52" s="386"/>
      <c r="H52" s="386"/>
      <c r="I52" s="386"/>
      <c r="J52" s="24"/>
    </row>
    <row r="53" spans="1:10" hidden="1" x14ac:dyDescent="0.3">
      <c r="A53" s="42" t="s">
        <v>21</v>
      </c>
      <c r="B53" s="43"/>
      <c r="C53" s="32"/>
      <c r="D53" s="32"/>
      <c r="E53" s="32"/>
      <c r="F53" s="185">
        <f>SUM(C53:E53)</f>
        <v>0</v>
      </c>
      <c r="G53" s="142"/>
      <c r="H53" s="142"/>
      <c r="I53" s="27"/>
      <c r="J53" s="28"/>
    </row>
    <row r="54" spans="1:10" hidden="1" x14ac:dyDescent="0.3">
      <c r="A54" s="42" t="s">
        <v>22</v>
      </c>
      <c r="B54" s="43"/>
      <c r="C54" s="32"/>
      <c r="D54" s="32"/>
      <c r="E54" s="32"/>
      <c r="F54" s="185">
        <f t="shared" ref="F54:F60" si="8">SUM(C54:E54)</f>
        <v>0</v>
      </c>
      <c r="G54" s="142"/>
      <c r="H54" s="142"/>
      <c r="I54" s="27"/>
      <c r="J54" s="28"/>
    </row>
    <row r="55" spans="1:10" hidden="1" x14ac:dyDescent="0.3">
      <c r="A55" s="42" t="s">
        <v>23</v>
      </c>
      <c r="B55" s="43"/>
      <c r="C55" s="32"/>
      <c r="D55" s="32"/>
      <c r="E55" s="32"/>
      <c r="F55" s="185">
        <f t="shared" si="8"/>
        <v>0</v>
      </c>
      <c r="G55" s="142"/>
      <c r="H55" s="142"/>
      <c r="I55" s="27"/>
      <c r="J55" s="28"/>
    </row>
    <row r="56" spans="1:10" hidden="1" x14ac:dyDescent="0.3">
      <c r="A56" s="42" t="s">
        <v>24</v>
      </c>
      <c r="B56" s="43"/>
      <c r="C56" s="32"/>
      <c r="D56" s="32"/>
      <c r="E56" s="32"/>
      <c r="F56" s="185">
        <f t="shared" si="8"/>
        <v>0</v>
      </c>
      <c r="G56" s="142"/>
      <c r="H56" s="142"/>
      <c r="I56" s="27"/>
      <c r="J56" s="28"/>
    </row>
    <row r="57" spans="1:10" hidden="1" x14ac:dyDescent="0.3">
      <c r="A57" s="42" t="s">
        <v>25</v>
      </c>
      <c r="B57" s="43"/>
      <c r="C57" s="32"/>
      <c r="D57" s="32"/>
      <c r="E57" s="32"/>
      <c r="F57" s="185">
        <f t="shared" si="8"/>
        <v>0</v>
      </c>
      <c r="G57" s="142"/>
      <c r="H57" s="142"/>
      <c r="I57" s="27"/>
      <c r="J57" s="28"/>
    </row>
    <row r="58" spans="1:10" hidden="1" x14ac:dyDescent="0.3">
      <c r="A58" s="42" t="s">
        <v>26</v>
      </c>
      <c r="B58" s="43"/>
      <c r="C58" s="32"/>
      <c r="D58" s="32"/>
      <c r="E58" s="32"/>
      <c r="F58" s="185">
        <f t="shared" si="8"/>
        <v>0</v>
      </c>
      <c r="G58" s="142"/>
      <c r="H58" s="142"/>
      <c r="I58" s="27"/>
      <c r="J58" s="28"/>
    </row>
    <row r="59" spans="1:10" s="23" customFormat="1" hidden="1" x14ac:dyDescent="0.3">
      <c r="A59" s="42" t="s">
        <v>27</v>
      </c>
      <c r="B59" s="44"/>
      <c r="C59" s="45"/>
      <c r="D59" s="45"/>
      <c r="E59" s="45"/>
      <c r="F59" s="185">
        <f t="shared" si="8"/>
        <v>0</v>
      </c>
      <c r="G59" s="143"/>
      <c r="H59" s="143"/>
      <c r="I59" s="46"/>
      <c r="J59" s="28"/>
    </row>
    <row r="60" spans="1:10" hidden="1" x14ac:dyDescent="0.3">
      <c r="A60" s="42" t="s">
        <v>28</v>
      </c>
      <c r="B60" s="44"/>
      <c r="C60" s="45"/>
      <c r="D60" s="45"/>
      <c r="E60" s="45"/>
      <c r="F60" s="185">
        <f t="shared" si="8"/>
        <v>0</v>
      </c>
      <c r="G60" s="143"/>
      <c r="H60" s="143"/>
      <c r="I60" s="46"/>
      <c r="J60" s="28"/>
    </row>
    <row r="61" spans="1:10" hidden="1" x14ac:dyDescent="0.3">
      <c r="B61" s="110" t="s">
        <v>19</v>
      </c>
      <c r="C61" s="54">
        <f>SUM(C53:C60)</f>
        <v>0</v>
      </c>
      <c r="D61" s="54">
        <f>SUM(D53:D60)</f>
        <v>0</v>
      </c>
      <c r="E61" s="54">
        <f>SUM(E53:E60)</f>
        <v>0</v>
      </c>
      <c r="F61" s="163">
        <f>SUM(F53:F60)</f>
        <v>0</v>
      </c>
      <c r="G61" s="163">
        <f>(G53*F53)+(G54*F54)+(G55*F55)+(G56*F56)+(G57*F57)+(G58*F58)+(G59*F59)+(G60*F60)</f>
        <v>0</v>
      </c>
      <c r="H61" s="163"/>
      <c r="I61" s="107"/>
      <c r="J61" s="47"/>
    </row>
    <row r="62" spans="1:10" s="21" customFormat="1" ht="15" customHeight="1" thickBot="1" x14ac:dyDescent="0.35">
      <c r="A62" s="336" t="s">
        <v>96</v>
      </c>
      <c r="B62" s="337"/>
      <c r="C62" s="115">
        <f>C51+C33+C24</f>
        <v>31640</v>
      </c>
      <c r="D62" s="115">
        <f t="shared" ref="D62:H62" si="9">D51+D33+D24</f>
        <v>64206.45</v>
      </c>
      <c r="E62" s="115">
        <f t="shared" si="9"/>
        <v>0</v>
      </c>
      <c r="F62" s="115">
        <f t="shared" si="9"/>
        <v>0</v>
      </c>
      <c r="G62" s="115">
        <f t="shared" si="9"/>
        <v>0</v>
      </c>
      <c r="H62" s="115">
        <f t="shared" si="9"/>
        <v>0</v>
      </c>
      <c r="I62" s="223">
        <f t="shared" ref="I62" si="10">(G62+F62)/(C62+D62)</f>
        <v>0</v>
      </c>
      <c r="J62" s="116"/>
    </row>
    <row r="63" spans="1:10" ht="13.75" customHeight="1" thickBot="1" x14ac:dyDescent="0.35">
      <c r="A63" s="340" t="s">
        <v>100</v>
      </c>
      <c r="B63" s="341"/>
      <c r="C63" s="341"/>
      <c r="D63" s="341"/>
      <c r="E63" s="341"/>
      <c r="F63" s="341"/>
      <c r="G63" s="341"/>
      <c r="H63" s="341"/>
      <c r="I63" s="341"/>
      <c r="J63" s="341"/>
    </row>
    <row r="64" spans="1:10" ht="15.75" customHeight="1" thickBot="1" x14ac:dyDescent="0.35">
      <c r="A64" s="345" t="s">
        <v>102</v>
      </c>
      <c r="B64" s="380" t="s">
        <v>70</v>
      </c>
      <c r="C64" s="60">
        <f>20000*35%</f>
        <v>7000</v>
      </c>
      <c r="D64" s="30">
        <v>0</v>
      </c>
      <c r="E64" s="30"/>
      <c r="F64" s="196">
        <v>0</v>
      </c>
      <c r="G64" s="145"/>
      <c r="H64" s="146"/>
      <c r="I64" s="68">
        <f t="shared" ref="I64:I71" si="11">(G64+F64)/C64</f>
        <v>0</v>
      </c>
      <c r="J64" s="1">
        <v>4</v>
      </c>
    </row>
    <row r="65" spans="1:10" ht="22.5" customHeight="1" thickBot="1" x14ac:dyDescent="0.35">
      <c r="A65" s="346"/>
      <c r="B65" s="381"/>
      <c r="C65" s="61">
        <f>5000*35%</f>
        <v>1750</v>
      </c>
      <c r="D65" s="32">
        <v>0</v>
      </c>
      <c r="E65" s="32"/>
      <c r="F65" s="199">
        <v>0</v>
      </c>
      <c r="G65" s="147"/>
      <c r="H65" s="148"/>
      <c r="I65" s="68">
        <f t="shared" si="11"/>
        <v>0</v>
      </c>
      <c r="J65" s="2">
        <v>4</v>
      </c>
    </row>
    <row r="66" spans="1:10" ht="22.5" customHeight="1" thickBot="1" x14ac:dyDescent="0.35">
      <c r="A66" s="346"/>
      <c r="B66" s="381"/>
      <c r="C66" s="62">
        <f>5000*35%</f>
        <v>1750</v>
      </c>
      <c r="D66" s="26">
        <v>0</v>
      </c>
      <c r="E66" s="26"/>
      <c r="F66" s="199">
        <v>0</v>
      </c>
      <c r="G66" s="147"/>
      <c r="H66" s="150"/>
      <c r="I66" s="68">
        <f t="shared" si="11"/>
        <v>0</v>
      </c>
      <c r="J66" s="4">
        <v>5</v>
      </c>
    </row>
    <row r="67" spans="1:10" ht="15" customHeight="1" thickBot="1" x14ac:dyDescent="0.35">
      <c r="A67" s="346"/>
      <c r="B67" s="382"/>
      <c r="C67" s="63">
        <f>1000*35%</f>
        <v>350</v>
      </c>
      <c r="D67" s="34">
        <v>0</v>
      </c>
      <c r="E67" s="34"/>
      <c r="F67" s="200">
        <v>0</v>
      </c>
      <c r="G67" s="151"/>
      <c r="H67" s="152"/>
      <c r="I67" s="68">
        <f t="shared" si="11"/>
        <v>0</v>
      </c>
      <c r="J67" s="5">
        <v>7</v>
      </c>
    </row>
    <row r="68" spans="1:10" ht="15.75" customHeight="1" thickBot="1" x14ac:dyDescent="0.35">
      <c r="A68" s="346"/>
      <c r="B68" s="374" t="s">
        <v>71</v>
      </c>
      <c r="C68" s="60">
        <f>25000*35%</f>
        <v>8750</v>
      </c>
      <c r="D68" s="30">
        <v>0</v>
      </c>
      <c r="E68" s="30"/>
      <c r="F68" s="196">
        <v>0</v>
      </c>
      <c r="G68" s="137"/>
      <c r="H68" s="138"/>
      <c r="I68" s="68">
        <f t="shared" si="11"/>
        <v>0</v>
      </c>
      <c r="J68" s="7">
        <v>6</v>
      </c>
    </row>
    <row r="69" spans="1:10" ht="14.4" customHeight="1" thickBot="1" x14ac:dyDescent="0.35">
      <c r="A69" s="346"/>
      <c r="B69" s="375"/>
      <c r="C69" s="61">
        <f>5000*35%</f>
        <v>1750</v>
      </c>
      <c r="D69" s="40">
        <v>0</v>
      </c>
      <c r="E69" s="40"/>
      <c r="F69" s="199">
        <v>0</v>
      </c>
      <c r="G69" s="141"/>
      <c r="H69" s="164"/>
      <c r="I69" s="68">
        <f t="shared" si="11"/>
        <v>0</v>
      </c>
      <c r="J69" s="9">
        <v>5</v>
      </c>
    </row>
    <row r="70" spans="1:10" ht="14.4" customHeight="1" thickBot="1" x14ac:dyDescent="0.35">
      <c r="A70" s="346"/>
      <c r="B70" s="375"/>
      <c r="C70" s="61">
        <f>3000*35%</f>
        <v>1050</v>
      </c>
      <c r="D70" s="40">
        <v>0</v>
      </c>
      <c r="E70" s="40"/>
      <c r="F70" s="199">
        <v>0</v>
      </c>
      <c r="G70" s="141"/>
      <c r="H70" s="164"/>
      <c r="I70" s="68">
        <f t="shared" si="11"/>
        <v>0</v>
      </c>
      <c r="J70" s="8">
        <v>4</v>
      </c>
    </row>
    <row r="71" spans="1:10" ht="13.5" thickBot="1" x14ac:dyDescent="0.35">
      <c r="A71" s="347"/>
      <c r="B71" s="376"/>
      <c r="C71" s="63">
        <f>1000*35%</f>
        <v>350</v>
      </c>
      <c r="D71" s="36">
        <v>0</v>
      </c>
      <c r="E71" s="36"/>
      <c r="F71" s="200">
        <v>0</v>
      </c>
      <c r="G71" s="139"/>
      <c r="H71" s="140"/>
      <c r="I71" s="68">
        <f t="shared" si="11"/>
        <v>0</v>
      </c>
      <c r="J71" s="12">
        <v>7</v>
      </c>
    </row>
    <row r="72" spans="1:10" s="23" customFormat="1" ht="15" customHeight="1" thickBot="1" x14ac:dyDescent="0.35">
      <c r="A72" s="332" t="s">
        <v>103</v>
      </c>
      <c r="B72" s="335"/>
      <c r="C72" s="111">
        <f>SUM(C64:C71)</f>
        <v>22750</v>
      </c>
      <c r="D72" s="108">
        <f>SUM(D64:D71)</f>
        <v>0</v>
      </c>
      <c r="E72" s="108">
        <f>SUM(E64:E71)</f>
        <v>0</v>
      </c>
      <c r="F72" s="122">
        <f>SUM(F64:F71)</f>
        <v>0</v>
      </c>
      <c r="G72" s="122">
        <f t="shared" ref="G72:H72" si="12">SUM(G64:G71)</f>
        <v>0</v>
      </c>
      <c r="H72" s="122">
        <f t="shared" si="12"/>
        <v>0</v>
      </c>
      <c r="I72" s="222">
        <f t="shared" ref="I72" si="13">(G72+F72)/(C72+D72)</f>
        <v>0</v>
      </c>
      <c r="J72" s="109"/>
    </row>
    <row r="73" spans="1:10" ht="19.5" customHeight="1" thickBot="1" x14ac:dyDescent="0.35">
      <c r="A73" s="383" t="s">
        <v>104</v>
      </c>
      <c r="B73" s="374" t="s">
        <v>72</v>
      </c>
      <c r="C73" s="60">
        <f>45000*35%</f>
        <v>15749.999999999998</v>
      </c>
      <c r="D73" s="30">
        <v>0</v>
      </c>
      <c r="E73" s="30"/>
      <c r="F73" s="196">
        <v>0</v>
      </c>
      <c r="G73" s="137"/>
      <c r="H73" s="138"/>
      <c r="I73" s="68">
        <f t="shared" ref="I73:I81" si="14">(G73+F73)/C73</f>
        <v>0</v>
      </c>
      <c r="J73" s="1">
        <v>6</v>
      </c>
    </row>
    <row r="74" spans="1:10" ht="19.5" customHeight="1" thickBot="1" x14ac:dyDescent="0.35">
      <c r="A74" s="384"/>
      <c r="B74" s="375"/>
      <c r="C74" s="61">
        <f>5000*35%</f>
        <v>1750</v>
      </c>
      <c r="D74" s="32">
        <v>0</v>
      </c>
      <c r="E74" s="32"/>
      <c r="F74" s="199">
        <v>0</v>
      </c>
      <c r="G74" s="142"/>
      <c r="H74" s="165"/>
      <c r="I74" s="68">
        <f t="shared" si="14"/>
        <v>0</v>
      </c>
      <c r="J74" s="2">
        <v>4</v>
      </c>
    </row>
    <row r="75" spans="1:10" ht="19.5" customHeight="1" thickBot="1" x14ac:dyDescent="0.35">
      <c r="A75" s="384"/>
      <c r="B75" s="376"/>
      <c r="C75" s="63">
        <f>1000*35%</f>
        <v>350</v>
      </c>
      <c r="D75" s="34">
        <v>0</v>
      </c>
      <c r="E75" s="34"/>
      <c r="F75" s="200">
        <v>0</v>
      </c>
      <c r="G75" s="160"/>
      <c r="H75" s="161"/>
      <c r="I75" s="68">
        <f t="shared" si="14"/>
        <v>0</v>
      </c>
      <c r="J75" s="4">
        <v>7</v>
      </c>
    </row>
    <row r="76" spans="1:10" ht="17.399999999999999" customHeight="1" thickBot="1" x14ac:dyDescent="0.35">
      <c r="A76" s="384"/>
      <c r="B76" s="374" t="s">
        <v>73</v>
      </c>
      <c r="C76" s="60">
        <f>20000*35%</f>
        <v>7000</v>
      </c>
      <c r="D76" s="30">
        <v>0</v>
      </c>
      <c r="E76" s="30"/>
      <c r="F76" s="196">
        <v>0</v>
      </c>
      <c r="G76" s="137"/>
      <c r="H76" s="138"/>
      <c r="I76" s="68">
        <f t="shared" si="14"/>
        <v>0</v>
      </c>
      <c r="J76" s="1">
        <v>4</v>
      </c>
    </row>
    <row r="77" spans="1:10" ht="18" customHeight="1" thickBot="1" x14ac:dyDescent="0.35">
      <c r="A77" s="384"/>
      <c r="B77" s="375"/>
      <c r="C77" s="61">
        <f>2000*35%</f>
        <v>700</v>
      </c>
      <c r="D77" s="40">
        <v>0</v>
      </c>
      <c r="E77" s="40"/>
      <c r="F77" s="199">
        <v>0</v>
      </c>
      <c r="G77" s="141"/>
      <c r="H77" s="164"/>
      <c r="I77" s="68">
        <f t="shared" si="14"/>
        <v>0</v>
      </c>
      <c r="J77" s="2">
        <v>4</v>
      </c>
    </row>
    <row r="78" spans="1:10" ht="22.75" customHeight="1" thickBot="1" x14ac:dyDescent="0.35">
      <c r="A78" s="384"/>
      <c r="B78" s="375"/>
      <c r="C78" s="61">
        <f>1000*35%</f>
        <v>350</v>
      </c>
      <c r="D78" s="40">
        <v>0</v>
      </c>
      <c r="E78" s="40"/>
      <c r="F78" s="199">
        <v>0</v>
      </c>
      <c r="G78" s="141"/>
      <c r="H78" s="164"/>
      <c r="I78" s="68">
        <f t="shared" si="14"/>
        <v>0</v>
      </c>
      <c r="J78" s="2">
        <v>7</v>
      </c>
    </row>
    <row r="79" spans="1:10" ht="16.75" customHeight="1" thickBot="1" x14ac:dyDescent="0.35">
      <c r="A79" s="384"/>
      <c r="B79" s="376"/>
      <c r="C79" s="63">
        <f>3000*35%</f>
        <v>1050</v>
      </c>
      <c r="D79" s="36">
        <v>0</v>
      </c>
      <c r="E79" s="36"/>
      <c r="F79" s="200">
        <v>0</v>
      </c>
      <c r="G79" s="139"/>
      <c r="H79" s="140"/>
      <c r="I79" s="68">
        <f t="shared" si="14"/>
        <v>0</v>
      </c>
      <c r="J79" s="5">
        <v>7</v>
      </c>
    </row>
    <row r="80" spans="1:10" ht="30" customHeight="1" thickBot="1" x14ac:dyDescent="0.35">
      <c r="A80" s="384"/>
      <c r="B80" s="374" t="s">
        <v>74</v>
      </c>
      <c r="C80" s="60">
        <f>12000*35%</f>
        <v>4200</v>
      </c>
      <c r="D80" s="30">
        <v>0</v>
      </c>
      <c r="E80" s="30"/>
      <c r="F80" s="196">
        <v>0</v>
      </c>
      <c r="G80" s="137"/>
      <c r="H80" s="138"/>
      <c r="I80" s="68">
        <f t="shared" si="14"/>
        <v>0</v>
      </c>
      <c r="J80" s="3">
        <v>4</v>
      </c>
    </row>
    <row r="81" spans="1:10" ht="13.5" thickBot="1" x14ac:dyDescent="0.35">
      <c r="A81" s="385"/>
      <c r="B81" s="376"/>
      <c r="C81" s="63">
        <f>2000*35%</f>
        <v>700</v>
      </c>
      <c r="D81" s="36">
        <v>0</v>
      </c>
      <c r="E81" s="36"/>
      <c r="F81" s="200">
        <v>0</v>
      </c>
      <c r="G81" s="139"/>
      <c r="H81" s="140"/>
      <c r="I81" s="68">
        <f t="shared" si="14"/>
        <v>0</v>
      </c>
      <c r="J81" s="5">
        <v>5</v>
      </c>
    </row>
    <row r="82" spans="1:10" ht="15" customHeight="1" thickBot="1" x14ac:dyDescent="0.35">
      <c r="A82" s="332" t="s">
        <v>113</v>
      </c>
      <c r="B82" s="335"/>
      <c r="C82" s="111">
        <f>SUM(C73:C81)</f>
        <v>31850</v>
      </c>
      <c r="D82" s="108">
        <f>SUM(D73:D81)</f>
        <v>0</v>
      </c>
      <c r="E82" s="108">
        <f>SUM(E73:E81)</f>
        <v>0</v>
      </c>
      <c r="F82" s="122">
        <f>SUM(F73:F81)</f>
        <v>0</v>
      </c>
      <c r="G82" s="122">
        <f t="shared" ref="G82:H82" si="15">SUM(G73:G81)</f>
        <v>0</v>
      </c>
      <c r="H82" s="122">
        <f t="shared" si="15"/>
        <v>0</v>
      </c>
      <c r="I82" s="222">
        <f t="shared" ref="I82" si="16">(G82+F82)/(C82+D82)</f>
        <v>0</v>
      </c>
      <c r="J82" s="109"/>
    </row>
    <row r="83" spans="1:10" ht="23.4" customHeight="1" thickBot="1" x14ac:dyDescent="0.35">
      <c r="A83" s="377" t="s">
        <v>105</v>
      </c>
      <c r="B83" s="374" t="s">
        <v>75</v>
      </c>
      <c r="C83" s="60">
        <f>8000*35%</f>
        <v>2800</v>
      </c>
      <c r="D83" s="30">
        <v>0</v>
      </c>
      <c r="E83" s="30"/>
      <c r="F83" s="196">
        <v>0</v>
      </c>
      <c r="G83" s="137"/>
      <c r="H83" s="138"/>
      <c r="I83" s="68">
        <f t="shared" ref="I83:I94" si="17">(G83+F83)/C83</f>
        <v>0</v>
      </c>
      <c r="J83" s="1">
        <v>6</v>
      </c>
    </row>
    <row r="84" spans="1:10" ht="23.4" customHeight="1" thickBot="1" x14ac:dyDescent="0.35">
      <c r="A84" s="378"/>
      <c r="B84" s="376"/>
      <c r="C84" s="63">
        <f>2000*35%</f>
        <v>700</v>
      </c>
      <c r="D84" s="34">
        <v>0</v>
      </c>
      <c r="E84" s="34"/>
      <c r="F84" s="195">
        <v>0</v>
      </c>
      <c r="G84" s="160"/>
      <c r="H84" s="161"/>
      <c r="I84" s="68">
        <f t="shared" si="17"/>
        <v>0</v>
      </c>
      <c r="J84" s="2">
        <v>4</v>
      </c>
    </row>
    <row r="85" spans="1:10" ht="22.25" customHeight="1" thickBot="1" x14ac:dyDescent="0.35">
      <c r="A85" s="378"/>
      <c r="B85" s="374" t="s">
        <v>76</v>
      </c>
      <c r="C85" s="60">
        <f>10000*35%</f>
        <v>3500</v>
      </c>
      <c r="D85" s="30">
        <v>0</v>
      </c>
      <c r="E85" s="30"/>
      <c r="F85" s="196">
        <v>0</v>
      </c>
      <c r="G85" s="137"/>
      <c r="H85" s="138"/>
      <c r="I85" s="68">
        <f t="shared" si="17"/>
        <v>0</v>
      </c>
      <c r="J85" s="1">
        <v>6</v>
      </c>
    </row>
    <row r="86" spans="1:10" ht="22.25" customHeight="1" thickBot="1" x14ac:dyDescent="0.35">
      <c r="A86" s="378"/>
      <c r="B86" s="376"/>
      <c r="C86" s="63">
        <f>5000*35%</f>
        <v>1750</v>
      </c>
      <c r="D86" s="34">
        <v>0</v>
      </c>
      <c r="E86" s="34"/>
      <c r="F86" s="195">
        <v>0</v>
      </c>
      <c r="G86" s="160"/>
      <c r="H86" s="161"/>
      <c r="I86" s="68">
        <f t="shared" si="17"/>
        <v>0</v>
      </c>
      <c r="J86" s="2">
        <v>5</v>
      </c>
    </row>
    <row r="87" spans="1:10" ht="18" customHeight="1" thickBot="1" x14ac:dyDescent="0.35">
      <c r="A87" s="378"/>
      <c r="B87" s="380" t="s">
        <v>77</v>
      </c>
      <c r="C87" s="60">
        <f>10000*35%</f>
        <v>3500</v>
      </c>
      <c r="D87" s="30">
        <v>0</v>
      </c>
      <c r="E87" s="30"/>
      <c r="F87" s="196">
        <v>0</v>
      </c>
      <c r="G87" s="137"/>
      <c r="H87" s="138"/>
      <c r="I87" s="68">
        <f t="shared" si="17"/>
        <v>0</v>
      </c>
      <c r="J87" s="1">
        <v>4</v>
      </c>
    </row>
    <row r="88" spans="1:10" ht="14.4" customHeight="1" thickBot="1" x14ac:dyDescent="0.35">
      <c r="A88" s="378"/>
      <c r="B88" s="381"/>
      <c r="C88" s="61">
        <f>5000*35%</f>
        <v>1750</v>
      </c>
      <c r="D88" s="40">
        <v>0</v>
      </c>
      <c r="E88" s="40"/>
      <c r="F88" s="194">
        <v>0</v>
      </c>
      <c r="G88" s="141"/>
      <c r="H88" s="164"/>
      <c r="I88" s="68">
        <f t="shared" si="17"/>
        <v>0</v>
      </c>
      <c r="J88" s="2">
        <v>4</v>
      </c>
    </row>
    <row r="89" spans="1:10" ht="14.4" customHeight="1" thickBot="1" x14ac:dyDescent="0.35">
      <c r="A89" s="378"/>
      <c r="B89" s="381"/>
      <c r="C89" s="61">
        <f>10000*35%</f>
        <v>3500</v>
      </c>
      <c r="D89" s="40">
        <v>0</v>
      </c>
      <c r="E89" s="40"/>
      <c r="F89" s="194">
        <v>0</v>
      </c>
      <c r="G89" s="141"/>
      <c r="H89" s="164"/>
      <c r="I89" s="68">
        <f t="shared" si="17"/>
        <v>0</v>
      </c>
      <c r="J89" s="2">
        <v>4</v>
      </c>
    </row>
    <row r="90" spans="1:10" ht="15" customHeight="1" thickBot="1" x14ac:dyDescent="0.35">
      <c r="A90" s="378"/>
      <c r="B90" s="382"/>
      <c r="C90" s="63">
        <f>1000*35%</f>
        <v>350</v>
      </c>
      <c r="D90" s="36">
        <v>0</v>
      </c>
      <c r="E90" s="36"/>
      <c r="F90" s="195">
        <v>0</v>
      </c>
      <c r="G90" s="139"/>
      <c r="H90" s="140"/>
      <c r="I90" s="68">
        <f t="shared" si="17"/>
        <v>0</v>
      </c>
      <c r="J90" s="4">
        <v>7</v>
      </c>
    </row>
    <row r="91" spans="1:10" ht="14.4" customHeight="1" thickBot="1" x14ac:dyDescent="0.35">
      <c r="A91" s="378"/>
      <c r="B91" s="374" t="s">
        <v>78</v>
      </c>
      <c r="C91" s="60">
        <f>50000*35%</f>
        <v>17500</v>
      </c>
      <c r="D91" s="30">
        <v>0</v>
      </c>
      <c r="E91" s="30"/>
      <c r="F91" s="196">
        <v>0</v>
      </c>
      <c r="G91" s="137"/>
      <c r="H91" s="138"/>
      <c r="I91" s="68">
        <f t="shared" si="17"/>
        <v>0</v>
      </c>
      <c r="J91" s="1">
        <v>4</v>
      </c>
    </row>
    <row r="92" spans="1:10" ht="14.4" customHeight="1" thickBot="1" x14ac:dyDescent="0.35">
      <c r="A92" s="378"/>
      <c r="B92" s="375"/>
      <c r="C92" s="61">
        <f>200000*35%</f>
        <v>70000</v>
      </c>
      <c r="D92" s="40">
        <v>0</v>
      </c>
      <c r="E92" s="40"/>
      <c r="F92" s="194">
        <v>0</v>
      </c>
      <c r="G92" s="141"/>
      <c r="H92" s="164"/>
      <c r="I92" s="68">
        <f t="shared" si="17"/>
        <v>0</v>
      </c>
      <c r="J92" s="13">
        <v>6</v>
      </c>
    </row>
    <row r="93" spans="1:10" ht="15" customHeight="1" thickBot="1" x14ac:dyDescent="0.35">
      <c r="A93" s="378"/>
      <c r="B93" s="375"/>
      <c r="C93" s="62">
        <f>300000*35%</f>
        <v>105000</v>
      </c>
      <c r="D93" s="64">
        <v>0</v>
      </c>
      <c r="E93" s="64"/>
      <c r="F93" s="197">
        <v>0</v>
      </c>
      <c r="G93" s="156"/>
      <c r="H93" s="157"/>
      <c r="I93" s="68">
        <f t="shared" si="17"/>
        <v>0</v>
      </c>
      <c r="J93" s="5">
        <v>4</v>
      </c>
    </row>
    <row r="94" spans="1:10" s="23" customFormat="1" ht="53" customHeight="1" thickBot="1" x14ac:dyDescent="0.35">
      <c r="A94" s="379"/>
      <c r="B94" s="65" t="s">
        <v>79</v>
      </c>
      <c r="C94" s="66">
        <f>20000*35%</f>
        <v>7000</v>
      </c>
      <c r="D94" s="67">
        <v>0</v>
      </c>
      <c r="E94" s="67"/>
      <c r="F94" s="198">
        <v>0</v>
      </c>
      <c r="G94" s="129"/>
      <c r="H94" s="166"/>
      <c r="I94" s="68">
        <f t="shared" si="17"/>
        <v>0</v>
      </c>
      <c r="J94" s="14">
        <v>4</v>
      </c>
    </row>
    <row r="95" spans="1:10" ht="15" customHeight="1" thickBot="1" x14ac:dyDescent="0.35">
      <c r="A95" s="332" t="s">
        <v>106</v>
      </c>
      <c r="B95" s="335"/>
      <c r="C95" s="111">
        <f>SUM(C83:C94)</f>
        <v>217350</v>
      </c>
      <c r="D95" s="108">
        <f>SUM(D83:D94)</f>
        <v>0</v>
      </c>
      <c r="E95" s="108">
        <f>SUM(E83:E94)</f>
        <v>0</v>
      </c>
      <c r="F95" s="122">
        <f>SUM(F83:F94)</f>
        <v>0</v>
      </c>
      <c r="G95" s="122">
        <f t="shared" ref="G95:H95" si="18">SUM(G83:G94)</f>
        <v>0</v>
      </c>
      <c r="H95" s="122">
        <f t="shared" si="18"/>
        <v>0</v>
      </c>
      <c r="I95" s="222">
        <f t="shared" ref="I95" si="19">(G95+F95)/(C95+D95)</f>
        <v>0</v>
      </c>
      <c r="J95" s="109"/>
    </row>
    <row r="96" spans="1:10" s="21" customFormat="1" ht="15" customHeight="1" thickBot="1" x14ac:dyDescent="0.35">
      <c r="A96" s="336" t="s">
        <v>107</v>
      </c>
      <c r="B96" s="337"/>
      <c r="C96" s="115">
        <f t="shared" ref="C96:I96" si="20">C95+C82+C72</f>
        <v>271950</v>
      </c>
      <c r="D96" s="115">
        <f t="shared" si="20"/>
        <v>0</v>
      </c>
      <c r="E96" s="115">
        <f t="shared" si="20"/>
        <v>0</v>
      </c>
      <c r="F96" s="167">
        <f t="shared" si="20"/>
        <v>0</v>
      </c>
      <c r="G96" s="167">
        <f t="shared" si="20"/>
        <v>0</v>
      </c>
      <c r="H96" s="167">
        <f t="shared" si="20"/>
        <v>0</v>
      </c>
      <c r="I96" s="216">
        <f t="shared" si="20"/>
        <v>0</v>
      </c>
      <c r="J96" s="116"/>
    </row>
    <row r="97" spans="1:10" ht="13.75" customHeight="1" thickBot="1" x14ac:dyDescent="0.35">
      <c r="A97" s="340" t="s">
        <v>108</v>
      </c>
      <c r="B97" s="341"/>
      <c r="C97" s="341"/>
      <c r="D97" s="341"/>
      <c r="E97" s="341"/>
      <c r="F97" s="341"/>
      <c r="G97" s="341"/>
      <c r="H97" s="341"/>
      <c r="I97" s="341"/>
      <c r="J97" s="341"/>
    </row>
    <row r="98" spans="1:10" ht="16.75" customHeight="1" thickBot="1" x14ac:dyDescent="0.35">
      <c r="A98" s="377" t="s">
        <v>109</v>
      </c>
      <c r="B98" s="374" t="s">
        <v>80</v>
      </c>
      <c r="C98" s="60">
        <f>10000*35%</f>
        <v>3500</v>
      </c>
      <c r="D98" s="30">
        <v>0</v>
      </c>
      <c r="E98" s="30"/>
      <c r="F98" s="196">
        <v>0</v>
      </c>
      <c r="G98" s="137"/>
      <c r="H98" s="138"/>
      <c r="I98" s="68">
        <f t="shared" ref="I98:I103" si="21">(G98+F98)/C98</f>
        <v>0</v>
      </c>
      <c r="J98" s="7">
        <v>4</v>
      </c>
    </row>
    <row r="99" spans="1:10" ht="16.75" customHeight="1" thickBot="1" x14ac:dyDescent="0.35">
      <c r="A99" s="378"/>
      <c r="B99" s="375"/>
      <c r="C99" s="61">
        <f>12000*35%</f>
        <v>4200</v>
      </c>
      <c r="D99" s="32">
        <v>0</v>
      </c>
      <c r="E99" s="32"/>
      <c r="F99" s="199">
        <v>0</v>
      </c>
      <c r="G99" s="142"/>
      <c r="H99" s="165"/>
      <c r="I99" s="68">
        <f t="shared" si="21"/>
        <v>0</v>
      </c>
      <c r="J99" s="8">
        <v>5</v>
      </c>
    </row>
    <row r="100" spans="1:10" ht="16.75" customHeight="1" thickBot="1" x14ac:dyDescent="0.35">
      <c r="A100" s="378"/>
      <c r="B100" s="376" t="s">
        <v>29</v>
      </c>
      <c r="C100" s="63">
        <f>20000*35%</f>
        <v>7000</v>
      </c>
      <c r="D100" s="34">
        <v>0</v>
      </c>
      <c r="E100" s="34"/>
      <c r="F100" s="200">
        <v>0</v>
      </c>
      <c r="G100" s="160"/>
      <c r="H100" s="161"/>
      <c r="I100" s="68">
        <f t="shared" si="21"/>
        <v>0</v>
      </c>
      <c r="J100" s="9">
        <v>4</v>
      </c>
    </row>
    <row r="101" spans="1:10" ht="16.75" customHeight="1" thickBot="1" x14ac:dyDescent="0.35">
      <c r="A101" s="378"/>
      <c r="B101" s="374" t="s">
        <v>81</v>
      </c>
      <c r="C101" s="60">
        <f>20000*35%</f>
        <v>7000</v>
      </c>
      <c r="D101" s="30">
        <v>0</v>
      </c>
      <c r="E101" s="30"/>
      <c r="F101" s="196">
        <v>0</v>
      </c>
      <c r="G101" s="137"/>
      <c r="H101" s="138"/>
      <c r="I101" s="68">
        <f t="shared" si="21"/>
        <v>0</v>
      </c>
      <c r="J101" s="9">
        <v>4</v>
      </c>
    </row>
    <row r="102" spans="1:10" ht="16.75" customHeight="1" thickBot="1" x14ac:dyDescent="0.35">
      <c r="A102" s="378"/>
      <c r="B102" s="375" t="s">
        <v>30</v>
      </c>
      <c r="C102" s="71">
        <f>5000*35%</f>
        <v>1750</v>
      </c>
      <c r="D102" s="32">
        <v>0</v>
      </c>
      <c r="E102" s="32"/>
      <c r="F102" s="199">
        <v>0</v>
      </c>
      <c r="G102" s="142"/>
      <c r="H102" s="165"/>
      <c r="I102" s="68">
        <f t="shared" si="21"/>
        <v>0</v>
      </c>
      <c r="J102" s="9">
        <v>4</v>
      </c>
    </row>
    <row r="103" spans="1:10" ht="16.75" customHeight="1" thickBot="1" x14ac:dyDescent="0.35">
      <c r="A103" s="379"/>
      <c r="B103" s="376"/>
      <c r="C103" s="63">
        <f>5000*35%</f>
        <v>1750</v>
      </c>
      <c r="D103" s="34">
        <v>0</v>
      </c>
      <c r="E103" s="34"/>
      <c r="F103" s="200">
        <v>0</v>
      </c>
      <c r="G103" s="160"/>
      <c r="H103" s="161"/>
      <c r="I103" s="68">
        <f t="shared" si="21"/>
        <v>0</v>
      </c>
      <c r="J103" s="9">
        <v>3</v>
      </c>
    </row>
    <row r="104" spans="1:10" ht="15" customHeight="1" thickBot="1" x14ac:dyDescent="0.35">
      <c r="A104" s="332" t="s">
        <v>111</v>
      </c>
      <c r="B104" s="335"/>
      <c r="C104" s="111">
        <f>SUM(C98:C103)</f>
        <v>25200</v>
      </c>
      <c r="D104" s="108">
        <f>SUM(D98:D103)</f>
        <v>0</v>
      </c>
      <c r="E104" s="108">
        <f>SUM(E98:E103)</f>
        <v>0</v>
      </c>
      <c r="F104" s="122">
        <f>SUM(F98:F103)</f>
        <v>0</v>
      </c>
      <c r="G104" s="122">
        <f t="shared" ref="G104:H104" si="22">SUM(G98:G103)</f>
        <v>0</v>
      </c>
      <c r="H104" s="122">
        <f t="shared" si="22"/>
        <v>0</v>
      </c>
      <c r="I104" s="222">
        <f t="shared" ref="I104" si="23">(G104+F104)/(C104+D104)</f>
        <v>0</v>
      </c>
      <c r="J104" s="109"/>
    </row>
    <row r="105" spans="1:10" ht="15.75" customHeight="1" thickBot="1" x14ac:dyDescent="0.35">
      <c r="A105" s="372" t="s">
        <v>110</v>
      </c>
      <c r="B105" s="369" t="s">
        <v>82</v>
      </c>
      <c r="C105" s="40">
        <v>0</v>
      </c>
      <c r="D105" s="72">
        <f>5000*35%</f>
        <v>1750</v>
      </c>
      <c r="E105" s="40"/>
      <c r="F105" s="194">
        <v>0</v>
      </c>
      <c r="G105" s="168"/>
      <c r="H105" s="169"/>
      <c r="I105" s="68">
        <v>0</v>
      </c>
      <c r="J105" s="7">
        <v>4</v>
      </c>
    </row>
    <row r="106" spans="1:10" ht="15" customHeight="1" thickBot="1" x14ac:dyDescent="0.35">
      <c r="A106" s="372"/>
      <c r="B106" s="370"/>
      <c r="C106" s="34">
        <v>0</v>
      </c>
      <c r="D106" s="58">
        <f>15000*35%</f>
        <v>5250</v>
      </c>
      <c r="E106" s="34"/>
      <c r="F106" s="195">
        <v>0</v>
      </c>
      <c r="G106" s="151"/>
      <c r="H106" s="152"/>
      <c r="I106" s="68">
        <v>0</v>
      </c>
      <c r="J106" s="10">
        <v>7</v>
      </c>
    </row>
    <row r="107" spans="1:10" ht="14.4" customHeight="1" thickBot="1" x14ac:dyDescent="0.35">
      <c r="A107" s="372"/>
      <c r="B107" s="370" t="s">
        <v>83</v>
      </c>
      <c r="C107" s="30">
        <v>0</v>
      </c>
      <c r="D107" s="56">
        <f>10000*35%</f>
        <v>3500</v>
      </c>
      <c r="E107" s="30"/>
      <c r="F107" s="196">
        <v>0</v>
      </c>
      <c r="G107" s="137"/>
      <c r="H107" s="138"/>
      <c r="I107" s="68">
        <v>0</v>
      </c>
      <c r="J107" s="3">
        <v>4</v>
      </c>
    </row>
    <row r="108" spans="1:10" ht="14.4" customHeight="1" thickBot="1" x14ac:dyDescent="0.35">
      <c r="A108" s="372"/>
      <c r="B108" s="370"/>
      <c r="C108" s="40">
        <v>0</v>
      </c>
      <c r="D108" s="72">
        <f>36000*35%</f>
        <v>12600</v>
      </c>
      <c r="E108" s="40"/>
      <c r="F108" s="194">
        <v>0</v>
      </c>
      <c r="G108" s="141"/>
      <c r="H108" s="164"/>
      <c r="I108" s="68">
        <v>0</v>
      </c>
      <c r="J108" s="3">
        <v>4</v>
      </c>
    </row>
    <row r="109" spans="1:10" ht="14.4" customHeight="1" thickBot="1" x14ac:dyDescent="0.35">
      <c r="A109" s="372"/>
      <c r="B109" s="370"/>
      <c r="C109" s="32">
        <v>0</v>
      </c>
      <c r="D109" s="57">
        <f>6000*35%</f>
        <v>2100</v>
      </c>
      <c r="E109" s="32"/>
      <c r="F109" s="194">
        <v>0</v>
      </c>
      <c r="G109" s="142"/>
      <c r="H109" s="165"/>
      <c r="I109" s="68">
        <v>0</v>
      </c>
      <c r="J109" s="2">
        <v>4</v>
      </c>
    </row>
    <row r="110" spans="1:10" ht="15" customHeight="1" thickBot="1" x14ac:dyDescent="0.35">
      <c r="A110" s="372"/>
      <c r="B110" s="370"/>
      <c r="C110" s="34">
        <v>0</v>
      </c>
      <c r="D110" s="58">
        <f>7000*35%</f>
        <v>2450</v>
      </c>
      <c r="E110" s="34"/>
      <c r="F110" s="195">
        <v>0</v>
      </c>
      <c r="G110" s="160"/>
      <c r="H110" s="161"/>
      <c r="I110" s="68">
        <v>0</v>
      </c>
      <c r="J110" s="4">
        <v>4</v>
      </c>
    </row>
    <row r="111" spans="1:10" ht="15.75" customHeight="1" thickBot="1" x14ac:dyDescent="0.35">
      <c r="A111" s="372"/>
      <c r="B111" s="370" t="s">
        <v>84</v>
      </c>
      <c r="C111" s="30">
        <v>0</v>
      </c>
      <c r="D111" s="56">
        <f>5000*35%</f>
        <v>1750</v>
      </c>
      <c r="E111" s="30"/>
      <c r="F111" s="196">
        <v>0</v>
      </c>
      <c r="G111" s="137"/>
      <c r="H111" s="138"/>
      <c r="I111" s="68">
        <v>0</v>
      </c>
      <c r="J111" s="1">
        <v>4</v>
      </c>
    </row>
    <row r="112" spans="1:10" ht="14.4" customHeight="1" thickBot="1" x14ac:dyDescent="0.35">
      <c r="A112" s="372"/>
      <c r="B112" s="370"/>
      <c r="C112" s="32">
        <v>0</v>
      </c>
      <c r="D112" s="57">
        <f>12000*35%</f>
        <v>4200</v>
      </c>
      <c r="E112" s="32"/>
      <c r="F112" s="194">
        <v>0</v>
      </c>
      <c r="G112" s="142"/>
      <c r="H112" s="165"/>
      <c r="I112" s="68">
        <v>0</v>
      </c>
      <c r="J112" s="15">
        <v>1</v>
      </c>
    </row>
    <row r="113" spans="1:10" ht="14.4" customHeight="1" thickBot="1" x14ac:dyDescent="0.35">
      <c r="A113" s="372"/>
      <c r="B113" s="370"/>
      <c r="C113" s="32">
        <v>0</v>
      </c>
      <c r="D113" s="72">
        <f>4700*35%</f>
        <v>1645</v>
      </c>
      <c r="E113" s="32"/>
      <c r="F113" s="194">
        <v>0</v>
      </c>
      <c r="G113" s="142"/>
      <c r="H113" s="165"/>
      <c r="I113" s="68">
        <v>0</v>
      </c>
      <c r="J113" s="3">
        <v>1</v>
      </c>
    </row>
    <row r="114" spans="1:10" ht="14.4" customHeight="1" thickBot="1" x14ac:dyDescent="0.35">
      <c r="A114" s="372"/>
      <c r="B114" s="370"/>
      <c r="C114" s="32">
        <v>0</v>
      </c>
      <c r="D114" s="57">
        <f>8000*35%</f>
        <v>2800</v>
      </c>
      <c r="E114" s="32"/>
      <c r="F114" s="194">
        <v>0</v>
      </c>
      <c r="G114" s="142"/>
      <c r="H114" s="165"/>
      <c r="I114" s="68">
        <v>0</v>
      </c>
      <c r="J114" s="2">
        <v>4</v>
      </c>
    </row>
    <row r="115" spans="1:10" ht="13.5" thickBot="1" x14ac:dyDescent="0.35">
      <c r="A115" s="373"/>
      <c r="B115" s="371"/>
      <c r="C115" s="34">
        <v>0</v>
      </c>
      <c r="D115" s="58">
        <f>10000*35%</f>
        <v>3500</v>
      </c>
      <c r="E115" s="34"/>
      <c r="F115" s="195">
        <v>0</v>
      </c>
      <c r="G115" s="160"/>
      <c r="H115" s="161"/>
      <c r="I115" s="68">
        <v>0</v>
      </c>
      <c r="J115" s="5">
        <v>7</v>
      </c>
    </row>
    <row r="116" spans="1:10" ht="14.4" customHeight="1" thickBot="1" x14ac:dyDescent="0.35">
      <c r="A116" s="332" t="s">
        <v>112</v>
      </c>
      <c r="B116" s="333"/>
      <c r="C116" s="108">
        <f t="shared" ref="C116:H116" si="24">SUM(C105:C115)</f>
        <v>0</v>
      </c>
      <c r="D116" s="108">
        <f t="shared" si="24"/>
        <v>41545</v>
      </c>
      <c r="E116" s="108">
        <f t="shared" si="24"/>
        <v>0</v>
      </c>
      <c r="F116" s="122">
        <f t="shared" si="24"/>
        <v>0</v>
      </c>
      <c r="G116" s="122">
        <f t="shared" si="24"/>
        <v>0</v>
      </c>
      <c r="H116" s="122">
        <f t="shared" si="24"/>
        <v>0</v>
      </c>
      <c r="I116" s="222">
        <f t="shared" ref="I116:I152" si="25">(G116+F116)/(C116+D116)</f>
        <v>0</v>
      </c>
      <c r="J116" s="109"/>
    </row>
    <row r="117" spans="1:10" s="21" customFormat="1" ht="15" customHeight="1" thickBot="1" x14ac:dyDescent="0.35">
      <c r="A117" s="336" t="s">
        <v>118</v>
      </c>
      <c r="B117" s="337"/>
      <c r="C117" s="115">
        <f>C116+C104</f>
        <v>25200</v>
      </c>
      <c r="D117" s="115">
        <f t="shared" ref="D117:H117" si="26">D116+D104</f>
        <v>41545</v>
      </c>
      <c r="E117" s="115">
        <f t="shared" si="26"/>
        <v>0</v>
      </c>
      <c r="F117" s="115">
        <f t="shared" si="26"/>
        <v>0</v>
      </c>
      <c r="G117" s="115">
        <f t="shared" si="26"/>
        <v>0</v>
      </c>
      <c r="H117" s="115">
        <f t="shared" si="26"/>
        <v>0</v>
      </c>
      <c r="I117" s="223">
        <f t="shared" si="25"/>
        <v>0</v>
      </c>
      <c r="J117" s="116"/>
    </row>
    <row r="118" spans="1:10" ht="15.75" customHeight="1" thickBot="1" x14ac:dyDescent="0.35">
      <c r="A118" s="112"/>
      <c r="B118" s="334" t="s">
        <v>114</v>
      </c>
      <c r="C118" s="334"/>
      <c r="D118" s="334"/>
      <c r="E118" s="334"/>
      <c r="F118" s="334"/>
      <c r="G118" s="334"/>
      <c r="H118" s="334"/>
      <c r="I118" s="334"/>
      <c r="J118" s="334"/>
    </row>
    <row r="119" spans="1:10" ht="17.399999999999999" customHeight="1" thickBot="1" x14ac:dyDescent="0.35">
      <c r="A119" s="354" t="s">
        <v>31</v>
      </c>
      <c r="B119" s="73" t="s">
        <v>32</v>
      </c>
      <c r="C119" s="29">
        <f>(3000*24)*35%</f>
        <v>25200</v>
      </c>
      <c r="D119" s="48">
        <v>0</v>
      </c>
      <c r="E119" s="74"/>
      <c r="F119" s="189">
        <v>0</v>
      </c>
      <c r="G119" s="137"/>
      <c r="H119" s="138"/>
      <c r="I119" s="226">
        <f t="shared" si="25"/>
        <v>0</v>
      </c>
      <c r="J119" s="2">
        <v>4</v>
      </c>
    </row>
    <row r="120" spans="1:10" ht="17.399999999999999" customHeight="1" thickBot="1" x14ac:dyDescent="0.35">
      <c r="A120" s="355"/>
      <c r="B120" s="75" t="s">
        <v>33</v>
      </c>
      <c r="C120" s="31">
        <f>(2000*18)*35%</f>
        <v>12600</v>
      </c>
      <c r="D120" s="49">
        <v>0</v>
      </c>
      <c r="E120" s="76"/>
      <c r="F120" s="190">
        <v>0</v>
      </c>
      <c r="G120" s="142">
        <v>0</v>
      </c>
      <c r="H120" s="165"/>
      <c r="I120" s="226">
        <f t="shared" si="25"/>
        <v>0</v>
      </c>
      <c r="J120" s="2">
        <v>4</v>
      </c>
    </row>
    <row r="121" spans="1:10" ht="17.399999999999999" customHeight="1" thickBot="1" x14ac:dyDescent="0.35">
      <c r="A121" s="355"/>
      <c r="B121" s="178" t="s">
        <v>34</v>
      </c>
      <c r="C121" s="179">
        <f>(1500*24)*35%</f>
        <v>12600</v>
      </c>
      <c r="D121" s="179">
        <v>0</v>
      </c>
      <c r="E121" s="180"/>
      <c r="F121" s="188">
        <v>2053.8000000000002</v>
      </c>
      <c r="G121" s="142">
        <v>0</v>
      </c>
      <c r="H121" s="165"/>
      <c r="I121" s="226">
        <f t="shared" si="25"/>
        <v>0.16300000000000001</v>
      </c>
      <c r="J121" s="2">
        <v>4</v>
      </c>
    </row>
    <row r="122" spans="1:10" ht="20.399999999999999" customHeight="1" thickBot="1" x14ac:dyDescent="0.35">
      <c r="A122" s="355"/>
      <c r="B122" s="113" t="s">
        <v>35</v>
      </c>
      <c r="C122" s="31">
        <f>(2000*12)*35%</f>
        <v>8400</v>
      </c>
      <c r="D122" s="49">
        <f>13000*35%</f>
        <v>4550</v>
      </c>
      <c r="E122" s="76"/>
      <c r="F122" s="171">
        <v>549.89</v>
      </c>
      <c r="G122" s="123">
        <v>0</v>
      </c>
      <c r="H122" s="165"/>
      <c r="I122" s="226">
        <f t="shared" si="25"/>
        <v>4.2462548262548264E-2</v>
      </c>
      <c r="J122" s="2">
        <v>4</v>
      </c>
    </row>
    <row r="123" spans="1:10" ht="17.399999999999999" customHeight="1" thickBot="1" x14ac:dyDescent="0.35">
      <c r="A123" s="355"/>
      <c r="B123" s="77" t="s">
        <v>36</v>
      </c>
      <c r="C123" s="25">
        <f>(600*24*2)*35%</f>
        <v>10080</v>
      </c>
      <c r="D123" s="50">
        <f>5760*35%</f>
        <v>2015.9999999999998</v>
      </c>
      <c r="E123" s="76"/>
      <c r="F123" s="191"/>
      <c r="G123" s="142"/>
      <c r="H123" s="159"/>
      <c r="I123" s="226">
        <f t="shared" si="25"/>
        <v>0</v>
      </c>
      <c r="J123" s="2">
        <v>4</v>
      </c>
    </row>
    <row r="124" spans="1:10" ht="17.399999999999999" customHeight="1" thickBot="1" x14ac:dyDescent="0.35">
      <c r="A124" s="355"/>
      <c r="B124" s="77" t="s">
        <v>37</v>
      </c>
      <c r="C124" s="25">
        <v>0</v>
      </c>
      <c r="D124" s="50">
        <f>5400*35%</f>
        <v>1889.9999999999998</v>
      </c>
      <c r="E124" s="76"/>
      <c r="F124" s="171">
        <v>984.53</v>
      </c>
      <c r="G124" s="188">
        <v>0</v>
      </c>
      <c r="H124" s="165"/>
      <c r="I124" s="226">
        <f t="shared" si="25"/>
        <v>0.520915343915344</v>
      </c>
      <c r="J124" s="2">
        <v>1</v>
      </c>
    </row>
    <row r="125" spans="1:10" ht="17.399999999999999" customHeight="1" thickBot="1" x14ac:dyDescent="0.35">
      <c r="A125" s="355"/>
      <c r="B125" s="77" t="s">
        <v>38</v>
      </c>
      <c r="C125" s="25">
        <f>(1200*12)*35%</f>
        <v>5040</v>
      </c>
      <c r="D125" s="50">
        <f>8800*35%</f>
        <v>3080</v>
      </c>
      <c r="E125" s="76"/>
      <c r="F125" s="171">
        <v>608.74</v>
      </c>
      <c r="G125" s="188">
        <v>0</v>
      </c>
      <c r="H125" s="165"/>
      <c r="I125" s="226">
        <f t="shared" si="25"/>
        <v>7.4967980295566505E-2</v>
      </c>
      <c r="J125" s="2">
        <v>1</v>
      </c>
    </row>
    <row r="126" spans="1:10" ht="17.399999999999999" customHeight="1" thickBot="1" x14ac:dyDescent="0.35">
      <c r="A126" s="355"/>
      <c r="B126" s="77" t="s">
        <v>39</v>
      </c>
      <c r="C126" s="25">
        <v>0</v>
      </c>
      <c r="D126" s="50">
        <f>24000*35%</f>
        <v>8400</v>
      </c>
      <c r="E126" s="76"/>
      <c r="F126" s="192">
        <v>5114.2299999999996</v>
      </c>
      <c r="G126" s="123">
        <v>0</v>
      </c>
      <c r="H126" s="165"/>
      <c r="I126" s="226">
        <f t="shared" si="25"/>
        <v>0.60883690476190466</v>
      </c>
      <c r="J126" s="2">
        <v>1</v>
      </c>
    </row>
    <row r="127" spans="1:10" ht="17.399999999999999" customHeight="1" thickBot="1" x14ac:dyDescent="0.35">
      <c r="A127" s="355"/>
      <c r="B127" s="77" t="s">
        <v>40</v>
      </c>
      <c r="C127" s="25">
        <v>0</v>
      </c>
      <c r="D127" s="50">
        <f>20160*35%</f>
        <v>7056</v>
      </c>
      <c r="E127" s="76"/>
      <c r="F127" s="192">
        <v>1551.46</v>
      </c>
      <c r="G127" s="123">
        <v>0</v>
      </c>
      <c r="H127" s="165"/>
      <c r="I127" s="226">
        <f t="shared" si="25"/>
        <v>0.21987811791383222</v>
      </c>
      <c r="J127" s="2">
        <v>1</v>
      </c>
    </row>
    <row r="128" spans="1:10" ht="17.399999999999999" customHeight="1" thickBot="1" x14ac:dyDescent="0.35">
      <c r="A128" s="355"/>
      <c r="B128" s="77" t="s">
        <v>41</v>
      </c>
      <c r="C128" s="25">
        <v>0</v>
      </c>
      <c r="D128" s="50">
        <f>20222.72*35%</f>
        <v>7077.9520000000002</v>
      </c>
      <c r="E128" s="76"/>
      <c r="F128" s="188">
        <v>637.84</v>
      </c>
      <c r="G128" s="123">
        <v>0</v>
      </c>
      <c r="H128" s="165"/>
      <c r="I128" s="226">
        <f t="shared" si="25"/>
        <v>9.0116463067282743E-2</v>
      </c>
      <c r="J128" s="2">
        <v>1</v>
      </c>
    </row>
    <row r="129" spans="1:12" ht="17.399999999999999" customHeight="1" thickBot="1" x14ac:dyDescent="0.35">
      <c r="A129" s="355"/>
      <c r="B129" s="77" t="s">
        <v>42</v>
      </c>
      <c r="C129" s="33">
        <f>50000*35%</f>
        <v>17500</v>
      </c>
      <c r="D129" s="79">
        <v>0</v>
      </c>
      <c r="E129" s="86"/>
      <c r="F129" s="193">
        <v>0</v>
      </c>
      <c r="G129" s="158"/>
      <c r="H129" s="159"/>
      <c r="I129" s="226">
        <f t="shared" si="25"/>
        <v>0</v>
      </c>
      <c r="J129" s="4">
        <v>1</v>
      </c>
      <c r="L129" s="81"/>
    </row>
    <row r="130" spans="1:12" ht="17.399999999999999" customHeight="1" thickBot="1" x14ac:dyDescent="0.35">
      <c r="A130" s="332" t="s">
        <v>19</v>
      </c>
      <c r="B130" s="335"/>
      <c r="C130" s="111">
        <f>SUM(C119:C129)</f>
        <v>91420</v>
      </c>
      <c r="D130" s="111">
        <f>SUM(D119:D129)</f>
        <v>34069.951999999997</v>
      </c>
      <c r="E130" s="111">
        <f t="shared" ref="E130:F130" si="27">SUM(E119:E129)</f>
        <v>0</v>
      </c>
      <c r="F130" s="187">
        <f t="shared" si="27"/>
        <v>11500.489999999998</v>
      </c>
      <c r="G130" s="122">
        <f t="shared" ref="G130:H130" si="28">SUM(G119:G129)</f>
        <v>0</v>
      </c>
      <c r="H130" s="122">
        <f t="shared" si="28"/>
        <v>0</v>
      </c>
      <c r="I130" s="222">
        <f t="shared" si="25"/>
        <v>9.1644707936456932E-2</v>
      </c>
      <c r="J130" s="114"/>
    </row>
    <row r="131" spans="1:12" ht="18.649999999999999" customHeight="1" thickBot="1" x14ac:dyDescent="0.35">
      <c r="A131" s="354" t="s">
        <v>43</v>
      </c>
      <c r="B131" s="73" t="s">
        <v>44</v>
      </c>
      <c r="C131" s="29">
        <f>45000*35%</f>
        <v>15749.999999999998</v>
      </c>
      <c r="D131" s="48">
        <v>0</v>
      </c>
      <c r="E131" s="74"/>
      <c r="F131" s="172">
        <v>0</v>
      </c>
      <c r="G131" s="172">
        <v>0</v>
      </c>
      <c r="H131" s="173"/>
      <c r="I131" s="226">
        <f t="shared" si="25"/>
        <v>0</v>
      </c>
      <c r="J131" s="16">
        <v>3</v>
      </c>
    </row>
    <row r="132" spans="1:12" ht="18.649999999999999" customHeight="1" thickBot="1" x14ac:dyDescent="0.35">
      <c r="A132" s="355"/>
      <c r="B132" s="75" t="s">
        <v>45</v>
      </c>
      <c r="C132" s="31">
        <f>(550*24*2)*35%</f>
        <v>9240</v>
      </c>
      <c r="D132" s="49">
        <f>9000*35%</f>
        <v>3150</v>
      </c>
      <c r="E132" s="76"/>
      <c r="F132" s="123">
        <v>1063.82</v>
      </c>
      <c r="G132" s="123">
        <v>0</v>
      </c>
      <c r="H132" s="174"/>
      <c r="I132" s="226">
        <f t="shared" si="25"/>
        <v>8.5861178369652943E-2</v>
      </c>
      <c r="J132" s="17">
        <v>7</v>
      </c>
    </row>
    <row r="133" spans="1:12" ht="18.649999999999999" customHeight="1" thickBot="1" x14ac:dyDescent="0.35">
      <c r="A133" s="355"/>
      <c r="B133" s="75" t="s">
        <v>46</v>
      </c>
      <c r="C133" s="31">
        <f>10000*35%</f>
        <v>3500</v>
      </c>
      <c r="D133" s="49">
        <f>12000*35%</f>
        <v>4200</v>
      </c>
      <c r="E133" s="76"/>
      <c r="F133" s="123">
        <v>2862.28</v>
      </c>
      <c r="G133" s="123">
        <v>0</v>
      </c>
      <c r="H133" s="174"/>
      <c r="I133" s="226">
        <f t="shared" si="25"/>
        <v>0.37172467532467535</v>
      </c>
      <c r="J133" s="17">
        <v>4</v>
      </c>
    </row>
    <row r="134" spans="1:12" ht="18.649999999999999" customHeight="1" thickBot="1" x14ac:dyDescent="0.35">
      <c r="A134" s="355"/>
      <c r="B134" s="75" t="s">
        <v>47</v>
      </c>
      <c r="C134" s="31">
        <f>10000*35%</f>
        <v>3500</v>
      </c>
      <c r="D134" s="49">
        <f>7200*35%</f>
        <v>2520</v>
      </c>
      <c r="E134" s="76"/>
      <c r="F134" s="123">
        <v>666.72</v>
      </c>
      <c r="G134" s="123">
        <v>0</v>
      </c>
      <c r="H134" s="174"/>
      <c r="I134" s="226">
        <f t="shared" si="25"/>
        <v>0.11075083056478406</v>
      </c>
      <c r="J134" s="17">
        <v>7</v>
      </c>
    </row>
    <row r="135" spans="1:12" ht="18.649999999999999" customHeight="1" thickBot="1" x14ac:dyDescent="0.35">
      <c r="A135" s="355"/>
      <c r="B135" s="75" t="s">
        <v>48</v>
      </c>
      <c r="C135" s="31">
        <v>0</v>
      </c>
      <c r="D135" s="49">
        <f>1400*35%</f>
        <v>489.99999999999994</v>
      </c>
      <c r="E135" s="76"/>
      <c r="F135" s="170">
        <v>0</v>
      </c>
      <c r="G135" s="170">
        <v>0</v>
      </c>
      <c r="H135" s="174"/>
      <c r="I135" s="226">
        <f t="shared" si="25"/>
        <v>0</v>
      </c>
      <c r="J135" s="17">
        <v>4</v>
      </c>
    </row>
    <row r="136" spans="1:12" ht="18.649999999999999" customHeight="1" thickBot="1" x14ac:dyDescent="0.35">
      <c r="A136" s="355"/>
      <c r="B136" s="75" t="s">
        <v>49</v>
      </c>
      <c r="C136" s="31">
        <f>5000*35%</f>
        <v>1750</v>
      </c>
      <c r="D136" s="49">
        <f>1200*35%</f>
        <v>420</v>
      </c>
      <c r="E136" s="76"/>
      <c r="F136" s="123">
        <v>920.16</v>
      </c>
      <c r="G136" s="123">
        <v>0</v>
      </c>
      <c r="H136" s="174"/>
      <c r="I136" s="226">
        <f t="shared" si="25"/>
        <v>0.42403686635944698</v>
      </c>
      <c r="J136" s="17">
        <v>2</v>
      </c>
    </row>
    <row r="137" spans="1:12" ht="18.649999999999999" customHeight="1" thickBot="1" x14ac:dyDescent="0.35">
      <c r="A137" s="356"/>
      <c r="B137" s="78" t="s">
        <v>50</v>
      </c>
      <c r="C137" s="33">
        <f>8000*35%</f>
        <v>2800</v>
      </c>
      <c r="D137" s="79">
        <f>1900*35%</f>
        <v>665</v>
      </c>
      <c r="E137" s="80"/>
      <c r="F137" s="123">
        <v>68.8</v>
      </c>
      <c r="G137" s="123">
        <v>0</v>
      </c>
      <c r="H137" s="124"/>
      <c r="I137" s="226">
        <f t="shared" si="25"/>
        <v>1.9855699855699856E-2</v>
      </c>
      <c r="J137" s="18">
        <v>3</v>
      </c>
    </row>
    <row r="138" spans="1:12" ht="17.399999999999999" customHeight="1" thickBot="1" x14ac:dyDescent="0.35">
      <c r="A138" s="332" t="s">
        <v>19</v>
      </c>
      <c r="B138" s="335"/>
      <c r="C138" s="111">
        <f>SUM(C131:C137)</f>
        <v>36540</v>
      </c>
      <c r="D138" s="108">
        <f>SUM(D131:D137)</f>
        <v>11445</v>
      </c>
      <c r="E138" s="108">
        <f t="shared" ref="E138:H138" si="29">SUM(E131:E137)</f>
        <v>0</v>
      </c>
      <c r="F138" s="122">
        <f t="shared" si="29"/>
        <v>5581.7800000000007</v>
      </c>
      <c r="G138" s="122">
        <f>SUM(G131:G137)</f>
        <v>0</v>
      </c>
      <c r="H138" s="122">
        <f t="shared" si="29"/>
        <v>0</v>
      </c>
      <c r="I138" s="222">
        <f t="shared" si="25"/>
        <v>0.11632343440658541</v>
      </c>
      <c r="J138" s="114"/>
    </row>
    <row r="139" spans="1:12" ht="21.65" customHeight="1" thickBot="1" x14ac:dyDescent="0.35">
      <c r="A139" s="357" t="s">
        <v>51</v>
      </c>
      <c r="B139" s="82" t="s">
        <v>52</v>
      </c>
      <c r="C139" s="29">
        <f>(2000*6)*35%</f>
        <v>4200</v>
      </c>
      <c r="D139" s="48">
        <v>0</v>
      </c>
      <c r="E139" s="74"/>
      <c r="F139" s="172">
        <v>0</v>
      </c>
      <c r="G139" s="172"/>
      <c r="H139" s="173"/>
      <c r="I139" s="226">
        <f t="shared" si="25"/>
        <v>0</v>
      </c>
      <c r="J139" s="19">
        <v>4</v>
      </c>
    </row>
    <row r="140" spans="1:12" ht="21.65" customHeight="1" thickBot="1" x14ac:dyDescent="0.35">
      <c r="A140" s="358"/>
      <c r="B140" s="83" t="s">
        <v>53</v>
      </c>
      <c r="C140" s="84">
        <f>(4*5000)*35%</f>
        <v>7000</v>
      </c>
      <c r="D140" s="49">
        <v>0</v>
      </c>
      <c r="E140" s="76"/>
      <c r="F140" s="175">
        <v>0</v>
      </c>
      <c r="G140" s="175"/>
      <c r="H140" s="176"/>
      <c r="I140" s="226">
        <f t="shared" si="25"/>
        <v>0</v>
      </c>
      <c r="J140" s="9">
        <v>4</v>
      </c>
    </row>
    <row r="141" spans="1:12" ht="21.65" customHeight="1" thickBot="1" x14ac:dyDescent="0.35">
      <c r="A141" s="358"/>
      <c r="B141" s="83" t="s">
        <v>54</v>
      </c>
      <c r="C141" s="39">
        <f>12000*35%</f>
        <v>4200</v>
      </c>
      <c r="D141" s="52">
        <f>12000*35%</f>
        <v>4200</v>
      </c>
      <c r="E141" s="76"/>
      <c r="F141" s="123">
        <v>83.57</v>
      </c>
      <c r="G141" s="123">
        <v>0</v>
      </c>
      <c r="H141" s="174"/>
      <c r="I141" s="226">
        <f t="shared" si="25"/>
        <v>9.948809523809523E-3</v>
      </c>
      <c r="J141" s="9">
        <v>5</v>
      </c>
    </row>
    <row r="142" spans="1:12" ht="21.65" customHeight="1" thickBot="1" x14ac:dyDescent="0.35">
      <c r="A142" s="358"/>
      <c r="B142" s="83" t="s">
        <v>55</v>
      </c>
      <c r="C142" s="84">
        <f>(2000*24)*35%</f>
        <v>16800</v>
      </c>
      <c r="D142" s="49">
        <v>0</v>
      </c>
      <c r="E142" s="76"/>
      <c r="F142" s="175">
        <v>0</v>
      </c>
      <c r="G142" s="175">
        <v>0</v>
      </c>
      <c r="H142" s="174"/>
      <c r="I142" s="226">
        <f t="shared" si="25"/>
        <v>0</v>
      </c>
      <c r="J142" s="10">
        <v>4</v>
      </c>
    </row>
    <row r="143" spans="1:12" ht="21.65" customHeight="1" thickBot="1" x14ac:dyDescent="0.35">
      <c r="A143" s="359"/>
      <c r="B143" s="85" t="s">
        <v>56</v>
      </c>
      <c r="C143" s="25">
        <v>0</v>
      </c>
      <c r="D143" s="50">
        <f>4700*35%</f>
        <v>1645</v>
      </c>
      <c r="E143" s="86"/>
      <c r="F143" s="123">
        <v>2301.8000000000002</v>
      </c>
      <c r="G143" s="123">
        <v>0</v>
      </c>
      <c r="H143" s="177"/>
      <c r="I143" s="226">
        <f t="shared" si="25"/>
        <v>1.3992705167173254</v>
      </c>
      <c r="J143" s="10">
        <v>4</v>
      </c>
    </row>
    <row r="144" spans="1:12" ht="26.4" customHeight="1" thickBot="1" x14ac:dyDescent="0.35">
      <c r="A144" s="360"/>
      <c r="B144" s="87" t="s">
        <v>57</v>
      </c>
      <c r="C144" s="33">
        <v>0</v>
      </c>
      <c r="D144" s="79">
        <f>8400*35%</f>
        <v>2940</v>
      </c>
      <c r="E144" s="80"/>
      <c r="F144" s="170">
        <v>299.52999999999997</v>
      </c>
      <c r="G144" s="170">
        <v>0</v>
      </c>
      <c r="H144" s="124"/>
      <c r="I144" s="226">
        <f t="shared" si="25"/>
        <v>0.10188095238095238</v>
      </c>
      <c r="J144" s="10">
        <v>4</v>
      </c>
    </row>
    <row r="145" spans="1:11" ht="18" customHeight="1" thickBot="1" x14ac:dyDescent="0.35">
      <c r="A145" s="332" t="s">
        <v>19</v>
      </c>
      <c r="B145" s="333"/>
      <c r="C145" s="108">
        <f>SUM(C139:C144)</f>
        <v>32200</v>
      </c>
      <c r="D145" s="108">
        <f>SUM(D139:D144)</f>
        <v>8785</v>
      </c>
      <c r="E145" s="108">
        <f t="shared" ref="E145" si="30">SUM(E139:E144)</f>
        <v>0</v>
      </c>
      <c r="F145" s="122">
        <f>SUM(F139:F144)</f>
        <v>2684.9000000000005</v>
      </c>
      <c r="G145" s="122">
        <f t="shared" ref="G145:H145" si="31">SUM(G139:G144)</f>
        <v>0</v>
      </c>
      <c r="H145" s="122">
        <f t="shared" si="31"/>
        <v>0</v>
      </c>
      <c r="I145" s="222">
        <f t="shared" si="25"/>
        <v>6.5509332682688798E-2</v>
      </c>
      <c r="J145" s="118"/>
    </row>
    <row r="146" spans="1:11" ht="41.25" customHeight="1" thickBot="1" x14ac:dyDescent="0.35">
      <c r="A146" s="214" t="s">
        <v>58</v>
      </c>
      <c r="B146" s="88" t="s">
        <v>59</v>
      </c>
      <c r="C146" s="89">
        <f>30000*35%</f>
        <v>10500</v>
      </c>
      <c r="D146" s="90">
        <f>10000*35%</f>
        <v>3500</v>
      </c>
      <c r="E146" s="91"/>
      <c r="F146" s="213"/>
      <c r="G146" s="129"/>
      <c r="H146" s="166"/>
      <c r="I146" s="226">
        <f t="shared" si="25"/>
        <v>0</v>
      </c>
      <c r="J146" s="20">
        <v>4</v>
      </c>
    </row>
    <row r="147" spans="1:11" ht="16.25" customHeight="1" thickBot="1" x14ac:dyDescent="0.35">
      <c r="A147" s="332" t="s">
        <v>19</v>
      </c>
      <c r="B147" s="335"/>
      <c r="C147" s="111">
        <f>SUM(C146)</f>
        <v>10500</v>
      </c>
      <c r="D147" s="108">
        <f>SUM(D146)</f>
        <v>3500</v>
      </c>
      <c r="E147" s="108">
        <f t="shared" ref="E147:H147" si="32">SUM(E146)</f>
        <v>0</v>
      </c>
      <c r="F147" s="122">
        <f t="shared" si="32"/>
        <v>0</v>
      </c>
      <c r="G147" s="122">
        <f t="shared" si="32"/>
        <v>0</v>
      </c>
      <c r="H147" s="122">
        <f t="shared" si="32"/>
        <v>0</v>
      </c>
      <c r="I147" s="222">
        <f t="shared" si="25"/>
        <v>0</v>
      </c>
      <c r="J147" s="119"/>
    </row>
    <row r="148" spans="1:11" ht="19.75" customHeight="1" thickBot="1" x14ac:dyDescent="0.35">
      <c r="A148" s="361" t="s">
        <v>133</v>
      </c>
      <c r="B148" s="362"/>
      <c r="C148" s="120">
        <f>C130+C138+C145+C147</f>
        <v>170660</v>
      </c>
      <c r="D148" s="120">
        <f>D130+D138+D145+D147</f>
        <v>57799.951999999997</v>
      </c>
      <c r="E148" s="120">
        <f t="shared" ref="E148:H148" si="33">E130+E138+E145+E147</f>
        <v>0</v>
      </c>
      <c r="F148" s="120">
        <f t="shared" si="33"/>
        <v>19767.169999999998</v>
      </c>
      <c r="G148" s="120">
        <f t="shared" si="33"/>
        <v>0</v>
      </c>
      <c r="H148" s="120">
        <f t="shared" si="33"/>
        <v>0</v>
      </c>
      <c r="I148" s="223">
        <f>(G148+F148)/(C148+D148)</f>
        <v>8.652356715893908E-2</v>
      </c>
      <c r="J148" s="117"/>
    </row>
    <row r="149" spans="1:11" ht="9" customHeight="1" thickBot="1" x14ac:dyDescent="0.35">
      <c r="A149" s="69"/>
      <c r="B149" s="59"/>
      <c r="C149" s="70"/>
      <c r="D149" s="70"/>
      <c r="E149" s="70"/>
      <c r="F149" s="125"/>
      <c r="G149" s="125"/>
      <c r="H149" s="125"/>
      <c r="I149" s="217"/>
      <c r="J149" s="92"/>
    </row>
    <row r="150" spans="1:11" s="93" customFormat="1" ht="22.25" customHeight="1" thickBot="1" x14ac:dyDescent="0.4">
      <c r="A150" s="348" t="s">
        <v>117</v>
      </c>
      <c r="B150" s="349"/>
      <c r="C150" s="207">
        <f>C148+C117+C96+C62</f>
        <v>499450</v>
      </c>
      <c r="D150" s="208">
        <f t="shared" ref="D150:H150" si="34">D148+D117+D96+D62</f>
        <v>163551.402</v>
      </c>
      <c r="E150" s="208">
        <f t="shared" si="34"/>
        <v>0</v>
      </c>
      <c r="F150" s="208">
        <f t="shared" si="34"/>
        <v>19767.169999999998</v>
      </c>
      <c r="G150" s="208">
        <f t="shared" si="34"/>
        <v>0</v>
      </c>
      <c r="H150" s="208">
        <f t="shared" si="34"/>
        <v>0</v>
      </c>
      <c r="I150" s="224">
        <f>(G150+F150)/(C150+D150)</f>
        <v>2.9814673001249549E-2</v>
      </c>
      <c r="J150" s="209"/>
    </row>
    <row r="151" spans="1:11" s="212" customFormat="1" ht="20.399999999999999" customHeight="1" thickBot="1" x14ac:dyDescent="0.4">
      <c r="A151" s="350" t="s">
        <v>120</v>
      </c>
      <c r="B151" s="351"/>
      <c r="C151" s="210">
        <f>C150*0.07</f>
        <v>34961.5</v>
      </c>
      <c r="D151" s="210">
        <f>D150*0.07</f>
        <v>11448.598140000002</v>
      </c>
      <c r="E151" s="210">
        <f t="shared" ref="E151:H151" si="35">E150*0.07</f>
        <v>0</v>
      </c>
      <c r="F151" s="210">
        <f t="shared" si="35"/>
        <v>1383.7019</v>
      </c>
      <c r="G151" s="210">
        <f t="shared" si="35"/>
        <v>0</v>
      </c>
      <c r="H151" s="210">
        <f t="shared" si="35"/>
        <v>0</v>
      </c>
      <c r="I151" s="225">
        <f t="shared" si="25"/>
        <v>2.9814673001249549E-2</v>
      </c>
      <c r="J151" s="211"/>
    </row>
    <row r="152" spans="1:11" s="93" customFormat="1" ht="19.75" customHeight="1" thickBot="1" x14ac:dyDescent="0.4">
      <c r="A152" s="352" t="s">
        <v>119</v>
      </c>
      <c r="B152" s="353"/>
      <c r="C152" s="205">
        <f>SUM(C150:C151)</f>
        <v>534411.5</v>
      </c>
      <c r="D152" s="205">
        <f t="shared" ref="D152:F152" si="36">SUM(D150:D151)</f>
        <v>175000.00014000002</v>
      </c>
      <c r="E152" s="205">
        <f t="shared" si="36"/>
        <v>0</v>
      </c>
      <c r="F152" s="205">
        <f t="shared" si="36"/>
        <v>21150.871899999998</v>
      </c>
      <c r="G152" s="205">
        <f t="shared" ref="G152" si="37">SUM(G150:G151)</f>
        <v>0</v>
      </c>
      <c r="H152" s="205">
        <f t="shared" ref="H152" si="38">SUM(H150:H151)</f>
        <v>0</v>
      </c>
      <c r="I152" s="224">
        <f t="shared" si="25"/>
        <v>2.9814673001249549E-2</v>
      </c>
      <c r="J152" s="206"/>
    </row>
    <row r="153" spans="1:11" s="212" customFormat="1" ht="19.75" customHeight="1" x14ac:dyDescent="0.35">
      <c r="A153" s="300"/>
      <c r="B153" s="300"/>
      <c r="C153" s="301"/>
      <c r="D153" s="301"/>
      <c r="E153" s="301"/>
      <c r="F153" s="301"/>
      <c r="G153" s="301"/>
      <c r="H153" s="301"/>
      <c r="I153" s="302"/>
      <c r="J153" s="303"/>
    </row>
    <row r="154" spans="1:11" s="21" customFormat="1" ht="16.75" customHeight="1" thickBot="1" x14ac:dyDescent="0.35">
      <c r="A154" s="94"/>
      <c r="B154" s="331" t="s">
        <v>145</v>
      </c>
      <c r="C154" s="331"/>
      <c r="D154" s="331"/>
      <c r="E154" s="331"/>
      <c r="F154" s="331"/>
      <c r="G154" s="331"/>
      <c r="H154" s="331"/>
      <c r="I154" s="304"/>
    </row>
    <row r="155" spans="1:11" customFormat="1" ht="29.4" customHeight="1" thickBot="1" x14ac:dyDescent="0.4">
      <c r="A155" s="267" t="s">
        <v>134</v>
      </c>
      <c r="B155" s="268" t="s">
        <v>135</v>
      </c>
      <c r="C155" s="269" t="s">
        <v>136</v>
      </c>
      <c r="D155" s="270" t="s">
        <v>137</v>
      </c>
      <c r="E155" s="271" t="s">
        <v>138</v>
      </c>
      <c r="F155" s="269" t="s">
        <v>139</v>
      </c>
      <c r="G155" s="272" t="s">
        <v>140</v>
      </c>
      <c r="H155" s="273" t="s">
        <v>141</v>
      </c>
      <c r="I155" s="328" t="s">
        <v>142</v>
      </c>
      <c r="J155" s="329"/>
      <c r="K155" s="330"/>
    </row>
    <row r="156" spans="1:11" customFormat="1" ht="18.649999999999999" customHeight="1" thickBot="1" x14ac:dyDescent="0.4">
      <c r="A156" s="274" t="s">
        <v>13</v>
      </c>
      <c r="B156" s="275">
        <f>C152</f>
        <v>534411.5</v>
      </c>
      <c r="C156" s="276">
        <v>0</v>
      </c>
      <c r="D156" s="277">
        <v>0</v>
      </c>
      <c r="E156" s="278">
        <f>C156+D156</f>
        <v>0</v>
      </c>
      <c r="F156" s="298">
        <v>0</v>
      </c>
      <c r="G156" s="279">
        <f>B156-E156</f>
        <v>534411.5</v>
      </c>
      <c r="H156" s="280">
        <f>E156/B156</f>
        <v>0</v>
      </c>
      <c r="I156" s="363"/>
      <c r="J156" s="364"/>
      <c r="K156" s="365"/>
    </row>
    <row r="157" spans="1:11" customFormat="1" ht="20.399999999999999" customHeight="1" thickBot="1" x14ac:dyDescent="0.4">
      <c r="A157" s="281" t="s">
        <v>14</v>
      </c>
      <c r="B157" s="282">
        <f>D152</f>
        <v>175000.00014000002</v>
      </c>
      <c r="C157" s="283">
        <f>F152</f>
        <v>21150.871899999998</v>
      </c>
      <c r="D157" s="277">
        <v>0</v>
      </c>
      <c r="E157" s="278">
        <f>C157+D157</f>
        <v>21150.871899999998</v>
      </c>
      <c r="F157" s="299">
        <v>0</v>
      </c>
      <c r="G157" s="279">
        <f>B157-E157</f>
        <v>153849.12824000002</v>
      </c>
      <c r="H157" s="280">
        <f>E157/B157</f>
        <v>0.12086212504616742</v>
      </c>
      <c r="I157" s="366"/>
      <c r="J157" s="367"/>
      <c r="K157" s="368"/>
    </row>
    <row r="158" spans="1:11" customFormat="1" ht="21" customHeight="1" thickBot="1" x14ac:dyDescent="0.4">
      <c r="A158" s="296" t="s">
        <v>60</v>
      </c>
      <c r="B158" s="284">
        <f>SUM(B156:B157)</f>
        <v>709411.50014000002</v>
      </c>
      <c r="C158" s="285">
        <f>SUM(C156:C157)</f>
        <v>21150.871899999998</v>
      </c>
      <c r="D158" s="297">
        <v>0</v>
      </c>
      <c r="E158" s="287">
        <f>SUM(E156:E157)</f>
        <v>21150.871899999998</v>
      </c>
      <c r="F158" s="286">
        <v>0</v>
      </c>
      <c r="G158" s="288">
        <f>SUM(G156:G157)</f>
        <v>688260.62823999999</v>
      </c>
      <c r="H158" s="289">
        <f>E158/B158</f>
        <v>2.9814673001249549E-2</v>
      </c>
      <c r="I158" s="290"/>
      <c r="J158" s="290"/>
      <c r="K158" s="291"/>
    </row>
    <row r="159" spans="1:11" customFormat="1" ht="14.5" x14ac:dyDescent="0.35"/>
    <row r="160" spans="1:11" customFormat="1" ht="15.5" x14ac:dyDescent="0.35">
      <c r="A160" s="292" t="s">
        <v>143</v>
      </c>
      <c r="B160" s="293"/>
      <c r="C160" s="294"/>
      <c r="D160" s="294"/>
      <c r="E160" s="294"/>
      <c r="F160" s="294"/>
      <c r="G160" s="294"/>
      <c r="H160" s="294"/>
      <c r="I160" s="294"/>
    </row>
    <row r="161" spans="1:9" customFormat="1" ht="16.75" customHeight="1" x14ac:dyDescent="0.35">
      <c r="A161" s="292" t="s">
        <v>144</v>
      </c>
      <c r="B161" s="293"/>
      <c r="C161" s="294"/>
      <c r="D161" s="294"/>
      <c r="E161" s="294"/>
      <c r="F161" s="294"/>
      <c r="G161" s="294"/>
      <c r="H161" s="294"/>
      <c r="I161" s="294"/>
    </row>
    <row r="162" spans="1:9" customFormat="1" ht="28.75" customHeight="1" x14ac:dyDescent="0.35">
      <c r="A162" s="295">
        <v>43984</v>
      </c>
      <c r="B162" s="293"/>
      <c r="C162" s="294"/>
      <c r="D162" s="294"/>
      <c r="E162" s="294"/>
      <c r="F162" s="294"/>
      <c r="G162" s="294"/>
      <c r="H162" s="294"/>
      <c r="I162" s="294"/>
    </row>
  </sheetData>
  <mergeCells count="67">
    <mergeCell ref="B13:B17"/>
    <mergeCell ref="B18:B19"/>
    <mergeCell ref="B25:B27"/>
    <mergeCell ref="A9:A19"/>
    <mergeCell ref="A2:D2"/>
    <mergeCell ref="B10:B12"/>
    <mergeCell ref="A6:A7"/>
    <mergeCell ref="B6:B7"/>
    <mergeCell ref="B28:B32"/>
    <mergeCell ref="B34:B35"/>
    <mergeCell ref="B36:B42"/>
    <mergeCell ref="A25:A32"/>
    <mergeCell ref="A33:B33"/>
    <mergeCell ref="B68:B71"/>
    <mergeCell ref="B73:B75"/>
    <mergeCell ref="B76:B79"/>
    <mergeCell ref="A72:B72"/>
    <mergeCell ref="B43:B50"/>
    <mergeCell ref="B52:I52"/>
    <mergeCell ref="B64:B67"/>
    <mergeCell ref="A34:A50"/>
    <mergeCell ref="A62:B62"/>
    <mergeCell ref="A95:B95"/>
    <mergeCell ref="A96:B96"/>
    <mergeCell ref="A97:J97"/>
    <mergeCell ref="B80:B81"/>
    <mergeCell ref="B83:B84"/>
    <mergeCell ref="B85:B86"/>
    <mergeCell ref="A73:A81"/>
    <mergeCell ref="A82:B82"/>
    <mergeCell ref="I156:K156"/>
    <mergeCell ref="I157:K157"/>
    <mergeCell ref="B105:B106"/>
    <mergeCell ref="B107:B110"/>
    <mergeCell ref="B111:B115"/>
    <mergeCell ref="A64:A71"/>
    <mergeCell ref="A150:B150"/>
    <mergeCell ref="A151:B151"/>
    <mergeCell ref="A152:B152"/>
    <mergeCell ref="A119:A129"/>
    <mergeCell ref="A131:A137"/>
    <mergeCell ref="A139:A144"/>
    <mergeCell ref="A148:B148"/>
    <mergeCell ref="A105:A115"/>
    <mergeCell ref="B98:B100"/>
    <mergeCell ref="B101:B103"/>
    <mergeCell ref="A98:A103"/>
    <mergeCell ref="A104:B104"/>
    <mergeCell ref="B87:B90"/>
    <mergeCell ref="B91:B93"/>
    <mergeCell ref="A83:A94"/>
    <mergeCell ref="A1:G1"/>
    <mergeCell ref="A4:I4"/>
    <mergeCell ref="A3:I3"/>
    <mergeCell ref="I155:K155"/>
    <mergeCell ref="B154:H154"/>
    <mergeCell ref="A116:B116"/>
    <mergeCell ref="B118:J118"/>
    <mergeCell ref="A130:B130"/>
    <mergeCell ref="A138:B138"/>
    <mergeCell ref="A145:B145"/>
    <mergeCell ref="A147:B147"/>
    <mergeCell ref="A117:B117"/>
    <mergeCell ref="A51:B51"/>
    <mergeCell ref="A24:B24"/>
    <mergeCell ref="A63:J63"/>
    <mergeCell ref="A8:J8"/>
  </mergeCells>
  <dataValidations count="4">
    <dataValidation allowBlank="1" showInputMessage="1" showErrorMessage="1" prompt="Insert name of recipient agency here _x000a_" sqref="C7:F7" xr:uid="{70928A52-9A7D-48E6-90A4-98AC72E1CD2E}"/>
    <dataValidation allowBlank="1" showInputMessage="1" showErrorMessage="1" prompt="Insert *text* description of Activity here" sqref="B18:B19 B25 B53 B34 B64 B73 B83 B98:B100 B9:B13 B105" xr:uid="{AAB125D1-2219-470E-8906-EE621366C5BA}"/>
    <dataValidation allowBlank="1" showInputMessage="1" showErrorMessage="1" prompt="Insert *text* description of Output here" sqref="B52 A9" xr:uid="{E42DB1DE-64AB-4FC7-B9D6-32183D01BAE2}"/>
    <dataValidation allowBlank="1" showInputMessage="1" showErrorMessage="1" prompt="Insert *text* description of Outcome here" sqref="A8 A63 A97" xr:uid="{1DDDBFA2-7E5F-4DAB-B718-62AA389FBCC5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 ISP PAR CATEGORIE BUDGET</vt:lpstr>
      <vt:lpstr>RAP ISP PAR RESULTAT 1JUIN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Search_Finance</dc:creator>
  <cp:lastModifiedBy>HP</cp:lastModifiedBy>
  <cp:lastPrinted>2020-06-01T20:14:43Z</cp:lastPrinted>
  <dcterms:created xsi:type="dcterms:W3CDTF">2020-04-27T17:49:14Z</dcterms:created>
  <dcterms:modified xsi:type="dcterms:W3CDTF">2020-06-03T16:27:00Z</dcterms:modified>
</cp:coreProperties>
</file>