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updateLinks="never" codeName="ThisWorkbook"/>
  <mc:AlternateContent xmlns:mc="http://schemas.openxmlformats.org/markup-compatibility/2006">
    <mc:Choice Requires="x15">
      <x15ac:absPath xmlns:x15ac="http://schemas.microsoft.com/office/spreadsheetml/2010/11/ac" url="https://undp-my.sharepoint.com/personal/carlos_paredes_one_un_org/Documents/M&amp;E/2021/INFORMES/Finales/Transformando Relaciones/Final PBSO/"/>
    </mc:Choice>
  </mc:AlternateContent>
  <xr:revisionPtr revIDLastSave="18" documentId="13_ncr:1_{8DA9638C-54FB-4B73-920E-9924A0E91BA8}" xr6:coauthVersionLast="45" xr6:coauthVersionMax="45" xr10:uidLastSave="{0EBA52F3-4B3F-4AB3-8D41-A0D70A876D32}"/>
  <bookViews>
    <workbookView xWindow="-120" yWindow="-120" windowWidth="20730" windowHeight="11310" tabRatio="749" firstSheet="2" activeTab="2" xr2:uid="{00000000-000D-0000-FFFF-FFFF00000000}"/>
  </bookViews>
  <sheets>
    <sheet name="TablasFormulas " sheetId="17" state="hidden" r:id="rId1"/>
    <sheet name="2. PRODUCTOS" sheetId="40" state="hidden" r:id="rId2"/>
    <sheet name="1) Budget Table" sheetId="44" r:id="rId3"/>
    <sheet name="2) By Category" sheetId="45" r:id="rId4"/>
    <sheet name="3) Explanatory Notes " sheetId="46" r:id="rId5"/>
    <sheet name="4) -For PBSO Use-" sheetId="47" r:id="rId6"/>
    <sheet name="5) -For MPTF Use" sheetId="48" r:id="rId7"/>
  </sheets>
  <externalReferences>
    <externalReference r:id="rId8"/>
    <externalReference r:id="rId9"/>
    <externalReference r:id="rId10"/>
  </externalReferences>
  <definedNames>
    <definedName name="_xlnm.Print_Area" localSheetId="2">'1) Budget Table'!$A$1:$K$216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4" i="44" l="1"/>
  <c r="I44" i="44"/>
  <c r="I206" i="44"/>
  <c r="H24" i="44" l="1"/>
  <c r="I16" i="44"/>
  <c r="G193" i="44"/>
  <c r="BJ182" i="40"/>
  <c r="BD32" i="40"/>
  <c r="BD62" i="40"/>
  <c r="BD128" i="40"/>
  <c r="BD236" i="40"/>
  <c r="AW278" i="40"/>
  <c r="AW302" i="40"/>
  <c r="AW314" i="40"/>
  <c r="AW290" i="40"/>
  <c r="AQ62" i="40"/>
  <c r="AD8" i="40"/>
  <c r="AD290" i="40"/>
  <c r="W260" i="40"/>
  <c r="W236" i="40"/>
  <c r="Q212" i="40"/>
  <c r="Q260" i="40"/>
  <c r="Q236" i="40"/>
  <c r="Q224" i="40"/>
  <c r="Q182" i="40"/>
  <c r="Q170" i="40"/>
  <c r="Q152" i="40"/>
  <c r="Q128" i="40"/>
  <c r="Q116" i="40"/>
  <c r="Q98" i="40"/>
  <c r="Q86" i="40"/>
  <c r="Q62" i="40"/>
  <c r="Q44" i="40"/>
  <c r="Q32" i="40"/>
  <c r="Q20" i="40"/>
  <c r="Q8" i="40"/>
  <c r="BJ248" i="40"/>
  <c r="AW248" i="40"/>
  <c r="F46" i="44"/>
  <c r="E38" i="44"/>
  <c r="D37" i="44"/>
  <c r="D36" i="44"/>
  <c r="E28" i="44"/>
  <c r="D27" i="44"/>
  <c r="D26" i="44"/>
  <c r="D19" i="44"/>
  <c r="D18" i="44"/>
  <c r="D17" i="44"/>
  <c r="D16" i="44"/>
  <c r="CD20" i="17"/>
  <c r="BJ91" i="17"/>
  <c r="BF91" i="17"/>
  <c r="BI92" i="17"/>
  <c r="BI91" i="17"/>
  <c r="BE92" i="17"/>
  <c r="BE91" i="17"/>
  <c r="BA92" i="17"/>
  <c r="BA91" i="17"/>
  <c r="AW92" i="17"/>
  <c r="AW91" i="17"/>
  <c r="BI90" i="17"/>
  <c r="BE90" i="17"/>
  <c r="BA90" i="17"/>
  <c r="AW90" i="17"/>
  <c r="BI89" i="17"/>
  <c r="BE89" i="17"/>
  <c r="BA89" i="17"/>
  <c r="AW89" i="17"/>
  <c r="BI88" i="17"/>
  <c r="BE88" i="17"/>
  <c r="BA88" i="17"/>
  <c r="AW88" i="17"/>
  <c r="BI75" i="17"/>
  <c r="BE75" i="17"/>
  <c r="BA75" i="17"/>
  <c r="AW75" i="17"/>
  <c r="BI74" i="17"/>
  <c r="BE74" i="17"/>
  <c r="BA74" i="17"/>
  <c r="AW74" i="17"/>
  <c r="BI73" i="17"/>
  <c r="BE73" i="17"/>
  <c r="BA73" i="17"/>
  <c r="AW73" i="17"/>
  <c r="BI58" i="17"/>
  <c r="BE58" i="17"/>
  <c r="BA58" i="17"/>
  <c r="AW58" i="17"/>
  <c r="BI57" i="17"/>
  <c r="BE57" i="17"/>
  <c r="BA57" i="17"/>
  <c r="AW57" i="17"/>
  <c r="AW56" i="17"/>
  <c r="BA56" i="17"/>
  <c r="BE56" i="17"/>
  <c r="BI56" i="17"/>
  <c r="BI55" i="17"/>
  <c r="BE55" i="17"/>
  <c r="BA55" i="17"/>
  <c r="AW55" i="17"/>
  <c r="BI43" i="17"/>
  <c r="BE43" i="17"/>
  <c r="BA43" i="17"/>
  <c r="AW43" i="17"/>
  <c r="BI42" i="17"/>
  <c r="BE42" i="17"/>
  <c r="BA42" i="17"/>
  <c r="AW42" i="17"/>
  <c r="BI41" i="17"/>
  <c r="BE41" i="17"/>
  <c r="BA41" i="17"/>
  <c r="AW41" i="17"/>
  <c r="BI40" i="17"/>
  <c r="BE40" i="17"/>
  <c r="BA40" i="17"/>
  <c r="AW40" i="17"/>
  <c r="BI29" i="17"/>
  <c r="BI28" i="17"/>
  <c r="BE29" i="17"/>
  <c r="BE28" i="17"/>
  <c r="BA29" i="17"/>
  <c r="BA28" i="17"/>
  <c r="AW29" i="17"/>
  <c r="AW28" i="17"/>
  <c r="AN56" i="17"/>
  <c r="AN55" i="17"/>
  <c r="AN54" i="17"/>
  <c r="AN53" i="17"/>
  <c r="AN52" i="17"/>
  <c r="AN47" i="17"/>
  <c r="AN46" i="17"/>
  <c r="AN45" i="17"/>
  <c r="AN41" i="17"/>
  <c r="AN40" i="17"/>
  <c r="AN39" i="17"/>
  <c r="AN38" i="17"/>
  <c r="AN35" i="17"/>
  <c r="AN34" i="17"/>
  <c r="AN33" i="17"/>
  <c r="AN32" i="17"/>
  <c r="AN29" i="17"/>
  <c r="AN28" i="17"/>
  <c r="R116" i="17"/>
  <c r="R117" i="17"/>
  <c r="R118" i="17"/>
  <c r="R119" i="17"/>
  <c r="R120" i="17"/>
  <c r="R132" i="17"/>
  <c r="R133" i="17"/>
  <c r="R134" i="17"/>
  <c r="R135" i="17"/>
  <c r="R136" i="17"/>
  <c r="R146" i="17"/>
  <c r="R147" i="17"/>
  <c r="R148" i="17"/>
  <c r="R149" i="17"/>
  <c r="R150" i="17"/>
  <c r="R159" i="17"/>
  <c r="R160" i="17"/>
  <c r="R161" i="17"/>
  <c r="R162" i="17"/>
  <c r="R163" i="17"/>
  <c r="R174" i="17"/>
  <c r="R175" i="17"/>
  <c r="R176" i="17"/>
  <c r="R177" i="17"/>
  <c r="R178" i="17"/>
  <c r="R186" i="17"/>
  <c r="R187" i="17"/>
  <c r="R188" i="17"/>
  <c r="R189" i="17"/>
  <c r="R190" i="17"/>
  <c r="R198" i="17"/>
  <c r="R199" i="17"/>
  <c r="R200" i="17"/>
  <c r="R201" i="17"/>
  <c r="R202" i="17"/>
  <c r="BE99" i="17"/>
  <c r="BI99" i="17"/>
  <c r="R359" i="17"/>
  <c r="R358" i="17"/>
  <c r="R357" i="17"/>
  <c r="R356" i="17"/>
  <c r="R360" i="17"/>
  <c r="F360" i="17"/>
  <c r="F342" i="17"/>
  <c r="S342" i="17"/>
  <c r="S341" i="17"/>
  <c r="F341" i="17"/>
  <c r="AJ248" i="40"/>
  <c r="AJ236" i="40"/>
  <c r="AJ224" i="40"/>
  <c r="R342" i="17"/>
  <c r="R341" i="17"/>
  <c r="R340" i="17"/>
  <c r="R339" i="17"/>
  <c r="R343" i="17"/>
  <c r="F343" i="17"/>
  <c r="R323" i="17"/>
  <c r="R322" i="17"/>
  <c r="R321" i="17"/>
  <c r="R320" i="17"/>
  <c r="R324" i="17"/>
  <c r="F324" i="17"/>
  <c r="R306" i="17"/>
  <c r="R305" i="17"/>
  <c r="R304" i="17"/>
  <c r="R303" i="17"/>
  <c r="R307" i="17"/>
  <c r="F307" i="17"/>
  <c r="R287" i="17"/>
  <c r="R286" i="17"/>
  <c r="R285" i="17"/>
  <c r="R284" i="17"/>
  <c r="R288" i="17"/>
  <c r="F288" i="17"/>
  <c r="R268" i="17"/>
  <c r="R267" i="17"/>
  <c r="R266" i="17"/>
  <c r="R265" i="17"/>
  <c r="R269" i="17"/>
  <c r="F269" i="17"/>
  <c r="R252" i="17"/>
  <c r="R251" i="17"/>
  <c r="R250" i="17"/>
  <c r="R249" i="17"/>
  <c r="K170" i="40"/>
  <c r="R253" i="17"/>
  <c r="F253" i="17"/>
  <c r="R237" i="17"/>
  <c r="R236" i="17"/>
  <c r="R235" i="17"/>
  <c r="R234" i="17"/>
  <c r="R238" i="17"/>
  <c r="F237" i="17"/>
  <c r="AD82" i="17"/>
  <c r="AD104" i="17"/>
  <c r="AD56" i="17"/>
  <c r="AD115" i="17"/>
  <c r="AD93" i="17"/>
  <c r="F340" i="17"/>
  <c r="BB91" i="17"/>
  <c r="BA99" i="17"/>
  <c r="S304" i="17"/>
  <c r="BB89" i="17"/>
  <c r="BA97" i="17"/>
  <c r="F321" i="17"/>
  <c r="BB90" i="17"/>
  <c r="BA98" i="17"/>
  <c r="F349" i="17"/>
  <c r="S349" i="17"/>
  <c r="F304" i="17"/>
  <c r="S321" i="17"/>
  <c r="S340" i="17"/>
  <c r="R213" i="17"/>
  <c r="F213" i="17"/>
  <c r="R212" i="17"/>
  <c r="R211" i="17"/>
  <c r="R210" i="17"/>
  <c r="R214" i="17"/>
  <c r="F214" i="17"/>
  <c r="F201" i="17"/>
  <c r="F189" i="17"/>
  <c r="F177" i="17"/>
  <c r="F162" i="17"/>
  <c r="BJ98" i="40"/>
  <c r="BJ86" i="40"/>
  <c r="F149" i="17"/>
  <c r="BJ43" i="17"/>
  <c r="BI49" i="17"/>
  <c r="S162" i="17"/>
  <c r="S168" i="17"/>
  <c r="F161" i="17"/>
  <c r="F168" i="17"/>
  <c r="BJ42" i="17"/>
  <c r="BI48" i="17"/>
  <c r="S149" i="17"/>
  <c r="S155" i="17"/>
  <c r="V346" i="17"/>
  <c r="W346" i="17"/>
  <c r="U346" i="17"/>
  <c r="X346" i="17"/>
  <c r="F148" i="17"/>
  <c r="F155" i="17"/>
  <c r="R100" i="17"/>
  <c r="R85" i="17"/>
  <c r="R86" i="17"/>
  <c r="R62" i="17"/>
  <c r="S62" i="17"/>
  <c r="R41" i="17"/>
  <c r="R14" i="17"/>
  <c r="F15" i="17"/>
  <c r="F85" i="17"/>
  <c r="BF14" i="17"/>
  <c r="BI16" i="17"/>
  <c r="BE16" i="17"/>
  <c r="BA16" i="17"/>
  <c r="AW16" i="17"/>
  <c r="BI15" i="17"/>
  <c r="BE15" i="17"/>
  <c r="BA15" i="17"/>
  <c r="AW15" i="17"/>
  <c r="BI14" i="17"/>
  <c r="BE14" i="17"/>
  <c r="BA14" i="17"/>
  <c r="AW14" i="17"/>
  <c r="U166" i="17"/>
  <c r="V166" i="17"/>
  <c r="W166" i="17"/>
  <c r="X166" i="17"/>
  <c r="W153" i="17"/>
  <c r="U153" i="17"/>
  <c r="X153" i="17"/>
  <c r="V153" i="17"/>
  <c r="S70" i="17"/>
  <c r="U66" i="17"/>
  <c r="V66" i="17"/>
  <c r="X66" i="17"/>
  <c r="W66" i="17"/>
  <c r="BJ260" i="40"/>
  <c r="BJ236" i="40"/>
  <c r="BJ224" i="40"/>
  <c r="AW212" i="40"/>
  <c r="AW224" i="40"/>
  <c r="AW260" i="40"/>
  <c r="AW236" i="40"/>
  <c r="BJ140" i="40"/>
  <c r="BJ128" i="40"/>
  <c r="BD194" i="40"/>
  <c r="BD182" i="40"/>
  <c r="BD170" i="40"/>
  <c r="BD152" i="40"/>
  <c r="BD116" i="40"/>
  <c r="AE103" i="17"/>
  <c r="BD98" i="40"/>
  <c r="BD86" i="40"/>
  <c r="AE102" i="17"/>
  <c r="BD44" i="40"/>
  <c r="BD20" i="40"/>
  <c r="BD8" i="40"/>
  <c r="AE101" i="17"/>
  <c r="AE104" i="17"/>
  <c r="AG104" i="17"/>
  <c r="AE26" i="17"/>
  <c r="AE27" i="17"/>
  <c r="AE30" i="17"/>
  <c r="AE31" i="17"/>
  <c r="BF92" i="17"/>
  <c r="BE100" i="17"/>
  <c r="F358" i="17"/>
  <c r="S358" i="17"/>
  <c r="BJ56" i="17"/>
  <c r="BI63" i="17"/>
  <c r="S189" i="17"/>
  <c r="S194" i="17"/>
  <c r="F188" i="17"/>
  <c r="F194" i="17"/>
  <c r="BF88" i="17"/>
  <c r="BE96" i="17"/>
  <c r="S286" i="17"/>
  <c r="F286" i="17"/>
  <c r="BF89" i="17"/>
  <c r="BE97" i="17"/>
  <c r="S305" i="17"/>
  <c r="F305" i="17"/>
  <c r="BJ89" i="17"/>
  <c r="BI97" i="17"/>
  <c r="F306" i="17"/>
  <c r="F313" i="17"/>
  <c r="S306" i="17"/>
  <c r="S313" i="17"/>
  <c r="BJ90" i="17"/>
  <c r="BI98" i="17"/>
  <c r="S323" i="17"/>
  <c r="S330" i="17"/>
  <c r="F323" i="17"/>
  <c r="F330" i="17"/>
  <c r="BJ57" i="17"/>
  <c r="BI64" i="17"/>
  <c r="F200" i="17"/>
  <c r="F206" i="17"/>
  <c r="BF90" i="17"/>
  <c r="BE98" i="17"/>
  <c r="F322" i="17"/>
  <c r="S322" i="17"/>
  <c r="BJ92" i="17"/>
  <c r="BI100" i="17"/>
  <c r="S359" i="17"/>
  <c r="S365" i="17"/>
  <c r="F359" i="17"/>
  <c r="F365" i="17"/>
  <c r="AE34" i="17"/>
  <c r="AE35" i="17"/>
  <c r="U193" i="17"/>
  <c r="V193" i="17"/>
  <c r="X193" i="17"/>
  <c r="W193" i="17"/>
  <c r="X327" i="17"/>
  <c r="V327" i="17"/>
  <c r="U327" i="17"/>
  <c r="W327" i="17"/>
  <c r="W363" i="17"/>
  <c r="X363" i="17"/>
  <c r="V363" i="17"/>
  <c r="U363" i="17"/>
  <c r="X310" i="17"/>
  <c r="W310" i="17"/>
  <c r="U310" i="17"/>
  <c r="V310" i="17"/>
  <c r="BF96" i="17"/>
  <c r="BP109" i="17"/>
  <c r="K278" i="40"/>
  <c r="CE314" i="40"/>
  <c r="BY290" i="40"/>
  <c r="BY278" i="40"/>
  <c r="BQ290" i="40"/>
  <c r="BQ302" i="40"/>
  <c r="BQ314" i="40"/>
  <c r="BQ278" i="40"/>
  <c r="BJ290" i="40"/>
  <c r="BJ302" i="40"/>
  <c r="BJ314" i="40"/>
  <c r="BJ278" i="40"/>
  <c r="BD290" i="40"/>
  <c r="CC290" i="40"/>
  <c r="BD302" i="40"/>
  <c r="CC302" i="40"/>
  <c r="BD314" i="40"/>
  <c r="CC314" i="40"/>
  <c r="BD278" i="40"/>
  <c r="AQ290" i="40"/>
  <c r="CA290" i="40"/>
  <c r="AQ302" i="40"/>
  <c r="CA302" i="40"/>
  <c r="AQ314" i="40"/>
  <c r="CA314" i="40"/>
  <c r="AQ278" i="40"/>
  <c r="AJ290" i="40"/>
  <c r="AJ302" i="40"/>
  <c r="AJ314" i="40"/>
  <c r="AJ278" i="40"/>
  <c r="BT278" i="40"/>
  <c r="AD302" i="40"/>
  <c r="BY302" i="40"/>
  <c r="AD314" i="40"/>
  <c r="BU314" i="40"/>
  <c r="I186" i="44"/>
  <c r="AD278" i="40"/>
  <c r="W290" i="40"/>
  <c r="W302" i="40"/>
  <c r="W314" i="40"/>
  <c r="BT314" i="40"/>
  <c r="W278" i="40"/>
  <c r="BT302" i="40"/>
  <c r="BT290" i="40"/>
  <c r="AE95" i="17"/>
  <c r="CA278" i="40"/>
  <c r="BV278" i="40"/>
  <c r="AE84" i="17"/>
  <c r="BY314" i="40"/>
  <c r="AD106" i="17"/>
  <c r="AD58" i="17"/>
  <c r="AD84" i="17"/>
  <c r="AD117" i="17"/>
  <c r="AD95" i="17"/>
  <c r="AG95" i="17"/>
  <c r="CC278" i="40"/>
  <c r="AE106" i="17"/>
  <c r="BU302" i="40"/>
  <c r="I185" i="44"/>
  <c r="BU290" i="40"/>
  <c r="I184" i="44"/>
  <c r="BU278" i="40"/>
  <c r="I183" i="44"/>
  <c r="AE117" i="17"/>
  <c r="CE278" i="40"/>
  <c r="CE302" i="40"/>
  <c r="CE290" i="40"/>
  <c r="BU112" i="17"/>
  <c r="BR112" i="17"/>
  <c r="BS112" i="17"/>
  <c r="CT20" i="17"/>
  <c r="BT112" i="17"/>
  <c r="AE58" i="17"/>
  <c r="AG58" i="17"/>
  <c r="AI57" i="17"/>
  <c r="AD131" i="17"/>
  <c r="AI134" i="17"/>
  <c r="CG278" i="40"/>
  <c r="AG117" i="17"/>
  <c r="AG84" i="17"/>
  <c r="AG106" i="17"/>
  <c r="C7" i="48"/>
  <c r="D7" i="48"/>
  <c r="E7" i="48"/>
  <c r="C8" i="48"/>
  <c r="D8" i="48"/>
  <c r="E8" i="48"/>
  <c r="C9" i="48"/>
  <c r="D9" i="48"/>
  <c r="E9" i="48"/>
  <c r="C10" i="48"/>
  <c r="D10" i="48"/>
  <c r="E10" i="48"/>
  <c r="C11" i="48"/>
  <c r="D11" i="48"/>
  <c r="E11" i="48"/>
  <c r="C12" i="48"/>
  <c r="D12" i="48"/>
  <c r="E12" i="48"/>
  <c r="C13" i="48"/>
  <c r="D13" i="48"/>
  <c r="E13" i="48"/>
  <c r="C14" i="48"/>
  <c r="D14" i="48"/>
  <c r="E14" i="48"/>
  <c r="C21" i="48"/>
  <c r="D21" i="48"/>
  <c r="E21" i="48"/>
  <c r="C22" i="48"/>
  <c r="D22" i="48"/>
  <c r="E22" i="48"/>
  <c r="F22" i="48"/>
  <c r="C23" i="48"/>
  <c r="D23" i="48"/>
  <c r="E23" i="48"/>
  <c r="F23" i="48"/>
  <c r="C24" i="48"/>
  <c r="D24" i="48"/>
  <c r="E24" i="48"/>
  <c r="F24" i="48"/>
  <c r="C7" i="47"/>
  <c r="D13" i="47"/>
  <c r="C18" i="47"/>
  <c r="D24" i="47"/>
  <c r="C29" i="47"/>
  <c r="D33" i="47"/>
  <c r="C40" i="47"/>
  <c r="D45" i="47"/>
  <c r="D13" i="45"/>
  <c r="E13" i="45"/>
  <c r="F13" i="45"/>
  <c r="D16" i="45"/>
  <c r="E16" i="45"/>
  <c r="F16" i="45"/>
  <c r="D17" i="45"/>
  <c r="G17" i="45"/>
  <c r="D18" i="45"/>
  <c r="G18" i="45"/>
  <c r="G19" i="45"/>
  <c r="D20" i="45"/>
  <c r="G20" i="45"/>
  <c r="D21" i="45"/>
  <c r="G21" i="45"/>
  <c r="G22" i="45"/>
  <c r="D23" i="45"/>
  <c r="G23" i="45"/>
  <c r="E24" i="45"/>
  <c r="F24" i="45"/>
  <c r="D27" i="45"/>
  <c r="E27" i="45"/>
  <c r="F27" i="45"/>
  <c r="D28" i="45"/>
  <c r="D207" i="45"/>
  <c r="E28" i="45"/>
  <c r="D29" i="45"/>
  <c r="E29" i="45"/>
  <c r="G29" i="45"/>
  <c r="G30" i="45"/>
  <c r="D31" i="45"/>
  <c r="E31" i="45"/>
  <c r="G31" i="45"/>
  <c r="D32" i="45"/>
  <c r="G32" i="45"/>
  <c r="G33" i="45"/>
  <c r="D34" i="45"/>
  <c r="E34" i="45"/>
  <c r="G34" i="45"/>
  <c r="D35" i="45"/>
  <c r="F35" i="45"/>
  <c r="D38" i="45"/>
  <c r="E38" i="45"/>
  <c r="F38" i="45"/>
  <c r="E39" i="45"/>
  <c r="G39" i="45"/>
  <c r="D40" i="45"/>
  <c r="E40" i="45"/>
  <c r="G40" i="45"/>
  <c r="G41" i="45"/>
  <c r="D42" i="45"/>
  <c r="E42" i="45"/>
  <c r="G42" i="45"/>
  <c r="D43" i="45"/>
  <c r="G43" i="45"/>
  <c r="E43" i="45"/>
  <c r="E44" i="45"/>
  <c r="G44" i="45"/>
  <c r="E45" i="45"/>
  <c r="G45" i="45"/>
  <c r="D46" i="45"/>
  <c r="F46" i="45"/>
  <c r="D49" i="45"/>
  <c r="E49" i="45"/>
  <c r="F49" i="45"/>
  <c r="F50" i="45"/>
  <c r="G50" i="45"/>
  <c r="E51" i="45"/>
  <c r="F51" i="45"/>
  <c r="E52" i="45"/>
  <c r="G52" i="45"/>
  <c r="E53" i="45"/>
  <c r="F53" i="45"/>
  <c r="E54" i="45"/>
  <c r="E211" i="45"/>
  <c r="F54" i="45"/>
  <c r="G55" i="45"/>
  <c r="F56" i="45"/>
  <c r="G56" i="45"/>
  <c r="D57" i="45"/>
  <c r="D60" i="45"/>
  <c r="E60" i="45"/>
  <c r="F60" i="45"/>
  <c r="G61" i="45"/>
  <c r="D62" i="45"/>
  <c r="G62" i="45"/>
  <c r="G63" i="45"/>
  <c r="D64" i="45"/>
  <c r="G64" i="45"/>
  <c r="G65" i="45"/>
  <c r="G66" i="45"/>
  <c r="D67" i="45"/>
  <c r="G67" i="45"/>
  <c r="E68" i="45"/>
  <c r="F68" i="45"/>
  <c r="D71" i="45"/>
  <c r="E71" i="45"/>
  <c r="F71" i="45"/>
  <c r="G72" i="45"/>
  <c r="G73" i="45"/>
  <c r="G74" i="45"/>
  <c r="G75" i="45"/>
  <c r="G76" i="45"/>
  <c r="G77" i="45"/>
  <c r="G78" i="45"/>
  <c r="D79" i="45"/>
  <c r="E79" i="45"/>
  <c r="F79" i="45"/>
  <c r="D82" i="45"/>
  <c r="E82" i="45"/>
  <c r="F82" i="45"/>
  <c r="G83" i="45"/>
  <c r="G84" i="45"/>
  <c r="G85" i="45"/>
  <c r="G86" i="45"/>
  <c r="G87" i="45"/>
  <c r="G88" i="45"/>
  <c r="G89" i="45"/>
  <c r="D90" i="45"/>
  <c r="E90" i="45"/>
  <c r="F90" i="45"/>
  <c r="D93" i="45"/>
  <c r="E93" i="45"/>
  <c r="F93" i="45"/>
  <c r="G94" i="45"/>
  <c r="G95" i="45"/>
  <c r="G96" i="45"/>
  <c r="G97" i="45"/>
  <c r="G98" i="45"/>
  <c r="G99" i="45"/>
  <c r="G100" i="45"/>
  <c r="D101" i="45"/>
  <c r="E101" i="45"/>
  <c r="G101" i="45"/>
  <c r="F101" i="45"/>
  <c r="D105" i="45"/>
  <c r="E105" i="45"/>
  <c r="F105" i="45"/>
  <c r="G106" i="45"/>
  <c r="G107" i="45"/>
  <c r="G108" i="45"/>
  <c r="G109" i="45"/>
  <c r="G110" i="45"/>
  <c r="G111" i="45"/>
  <c r="G112" i="45"/>
  <c r="D113" i="45"/>
  <c r="E113" i="45"/>
  <c r="F113" i="45"/>
  <c r="D116" i="45"/>
  <c r="E116" i="45"/>
  <c r="F116" i="45"/>
  <c r="G117" i="45"/>
  <c r="G118" i="45"/>
  <c r="G119" i="45"/>
  <c r="G120" i="45"/>
  <c r="G121" i="45"/>
  <c r="G122" i="45"/>
  <c r="G123" i="45"/>
  <c r="D124" i="45"/>
  <c r="E124" i="45"/>
  <c r="F124" i="45"/>
  <c r="G124" i="45"/>
  <c r="D127" i="45"/>
  <c r="E127" i="45"/>
  <c r="F127" i="45"/>
  <c r="G128" i="45"/>
  <c r="G129" i="45"/>
  <c r="G130" i="45"/>
  <c r="G131" i="45"/>
  <c r="G132" i="45"/>
  <c r="G133" i="45"/>
  <c r="G134" i="45"/>
  <c r="D135" i="45"/>
  <c r="E135" i="45"/>
  <c r="F135" i="45"/>
  <c r="D138" i="45"/>
  <c r="E138" i="45"/>
  <c r="F138" i="45"/>
  <c r="G139" i="45"/>
  <c r="G140" i="45"/>
  <c r="G141" i="45"/>
  <c r="G142" i="45"/>
  <c r="G143" i="45"/>
  <c r="G144" i="45"/>
  <c r="G145" i="45"/>
  <c r="D146" i="45"/>
  <c r="E146" i="45"/>
  <c r="F146" i="45"/>
  <c r="D150" i="45"/>
  <c r="E150" i="45"/>
  <c r="F150" i="45"/>
  <c r="G151" i="45"/>
  <c r="G152" i="45"/>
  <c r="G153" i="45"/>
  <c r="G154" i="45"/>
  <c r="G155" i="45"/>
  <c r="G156" i="45"/>
  <c r="G157" i="45"/>
  <c r="D158" i="45"/>
  <c r="E158" i="45"/>
  <c r="F158" i="45"/>
  <c r="G158" i="45"/>
  <c r="D161" i="45"/>
  <c r="E161" i="45"/>
  <c r="F161" i="45"/>
  <c r="G162" i="45"/>
  <c r="G163" i="45"/>
  <c r="G164" i="45"/>
  <c r="G165" i="45"/>
  <c r="G166" i="45"/>
  <c r="G167" i="45"/>
  <c r="G168" i="45"/>
  <c r="D169" i="45"/>
  <c r="E169" i="45"/>
  <c r="F169" i="45"/>
  <c r="D172" i="45"/>
  <c r="E172" i="45"/>
  <c r="F172" i="45"/>
  <c r="G173" i="45"/>
  <c r="G174" i="45"/>
  <c r="G175" i="45"/>
  <c r="G176" i="45"/>
  <c r="G177" i="45"/>
  <c r="G178" i="45"/>
  <c r="G179" i="45"/>
  <c r="D180" i="45"/>
  <c r="E180" i="45"/>
  <c r="F180" i="45"/>
  <c r="D183" i="45"/>
  <c r="E183" i="45"/>
  <c r="F183" i="45"/>
  <c r="G184" i="45"/>
  <c r="G185" i="45"/>
  <c r="G186" i="45"/>
  <c r="G187" i="45"/>
  <c r="G188" i="45"/>
  <c r="G189" i="45"/>
  <c r="G190" i="45"/>
  <c r="D191" i="45"/>
  <c r="E191" i="45"/>
  <c r="F191" i="45"/>
  <c r="D194" i="45"/>
  <c r="E194" i="45"/>
  <c r="F194" i="45"/>
  <c r="G195" i="45"/>
  <c r="G196" i="45"/>
  <c r="G197" i="45"/>
  <c r="G198" i="45"/>
  <c r="G199" i="45"/>
  <c r="G200" i="45"/>
  <c r="G201" i="45"/>
  <c r="D202" i="45"/>
  <c r="E202" i="45"/>
  <c r="F202" i="45"/>
  <c r="G202" i="45"/>
  <c r="D206" i="45"/>
  <c r="E206" i="45"/>
  <c r="F206" i="45"/>
  <c r="D208" i="45"/>
  <c r="F208" i="45"/>
  <c r="D209" i="45"/>
  <c r="E209" i="45"/>
  <c r="F209" i="45"/>
  <c r="D211" i="45"/>
  <c r="F211" i="45"/>
  <c r="D212" i="45"/>
  <c r="F212" i="45"/>
  <c r="G16" i="44"/>
  <c r="G17" i="44"/>
  <c r="G18" i="44"/>
  <c r="G19" i="44"/>
  <c r="G20" i="44"/>
  <c r="G21" i="44"/>
  <c r="G22" i="44"/>
  <c r="G23" i="44"/>
  <c r="E24" i="44"/>
  <c r="F24" i="44"/>
  <c r="G26" i="44"/>
  <c r="G27" i="44"/>
  <c r="G28" i="44"/>
  <c r="G29" i="44"/>
  <c r="G30" i="44"/>
  <c r="G31" i="44"/>
  <c r="G32" i="44"/>
  <c r="G33" i="44"/>
  <c r="E34" i="44"/>
  <c r="F34" i="44"/>
  <c r="G36" i="44"/>
  <c r="G37" i="44"/>
  <c r="G38" i="44"/>
  <c r="G39" i="44"/>
  <c r="G40" i="44"/>
  <c r="G41" i="44"/>
  <c r="G42" i="44"/>
  <c r="G43" i="44"/>
  <c r="E44" i="44"/>
  <c r="F44" i="44"/>
  <c r="G46" i="44"/>
  <c r="G47" i="44"/>
  <c r="G48" i="44"/>
  <c r="G49" i="44"/>
  <c r="G50" i="44"/>
  <c r="G51" i="44"/>
  <c r="G52" i="44"/>
  <c r="G53" i="44"/>
  <c r="D54" i="44"/>
  <c r="E54" i="44"/>
  <c r="F54" i="44"/>
  <c r="G58" i="44"/>
  <c r="G59" i="44"/>
  <c r="G60" i="44"/>
  <c r="G61" i="44"/>
  <c r="G62" i="44"/>
  <c r="G63" i="44"/>
  <c r="G64" i="44"/>
  <c r="G65" i="44"/>
  <c r="D66" i="44"/>
  <c r="E66" i="44"/>
  <c r="F66" i="44"/>
  <c r="G68" i="44"/>
  <c r="G69" i="44"/>
  <c r="G70" i="44"/>
  <c r="G71" i="44"/>
  <c r="G72" i="44"/>
  <c r="G73" i="44"/>
  <c r="G74" i="44"/>
  <c r="G75" i="44"/>
  <c r="D76" i="44"/>
  <c r="E76" i="44"/>
  <c r="F76" i="44"/>
  <c r="I76" i="44"/>
  <c r="G78" i="44"/>
  <c r="G79" i="44"/>
  <c r="G80" i="44"/>
  <c r="G81" i="44"/>
  <c r="G82" i="44"/>
  <c r="G83" i="44"/>
  <c r="G84" i="44"/>
  <c r="G85" i="44"/>
  <c r="D86" i="44"/>
  <c r="E86" i="44"/>
  <c r="F86" i="44"/>
  <c r="I86" i="44"/>
  <c r="G88" i="44"/>
  <c r="G89" i="44"/>
  <c r="G90" i="44"/>
  <c r="G91" i="44"/>
  <c r="G92" i="44"/>
  <c r="G93" i="44"/>
  <c r="G94" i="44"/>
  <c r="G95" i="44"/>
  <c r="D96" i="44"/>
  <c r="E96" i="44"/>
  <c r="F96" i="44"/>
  <c r="I96" i="44"/>
  <c r="G100" i="44"/>
  <c r="G101" i="44"/>
  <c r="G102" i="44"/>
  <c r="G103" i="44"/>
  <c r="G104" i="44"/>
  <c r="G105" i="44"/>
  <c r="G106" i="44"/>
  <c r="G107" i="44"/>
  <c r="D108" i="44"/>
  <c r="E108" i="44"/>
  <c r="F108" i="44"/>
  <c r="I108" i="44"/>
  <c r="G110" i="44"/>
  <c r="G111" i="44"/>
  <c r="G112" i="44"/>
  <c r="G113" i="44"/>
  <c r="G114" i="44"/>
  <c r="G115" i="44"/>
  <c r="G116" i="44"/>
  <c r="G117" i="44"/>
  <c r="D118" i="44"/>
  <c r="E118" i="44"/>
  <c r="F118" i="44"/>
  <c r="I118" i="44"/>
  <c r="G120" i="44"/>
  <c r="H128" i="44"/>
  <c r="G121" i="44"/>
  <c r="G122" i="44"/>
  <c r="G123" i="44"/>
  <c r="G124" i="44"/>
  <c r="G125" i="44"/>
  <c r="G126" i="44"/>
  <c r="G127" i="44"/>
  <c r="D128" i="44"/>
  <c r="E128" i="44"/>
  <c r="F128" i="44"/>
  <c r="I128" i="44"/>
  <c r="G130" i="44"/>
  <c r="G131" i="44"/>
  <c r="G132" i="44"/>
  <c r="G133" i="44"/>
  <c r="G134" i="44"/>
  <c r="G135" i="44"/>
  <c r="G136" i="44"/>
  <c r="G137" i="44"/>
  <c r="D138" i="44"/>
  <c r="E138" i="44"/>
  <c r="F138" i="44"/>
  <c r="I138" i="44"/>
  <c r="G142" i="44"/>
  <c r="G143" i="44"/>
  <c r="G144" i="44"/>
  <c r="G145" i="44"/>
  <c r="G146" i="44"/>
  <c r="G147" i="44"/>
  <c r="G148" i="44"/>
  <c r="G149" i="44"/>
  <c r="D150" i="44"/>
  <c r="E150" i="44"/>
  <c r="F150" i="44"/>
  <c r="I150" i="44"/>
  <c r="G152" i="44"/>
  <c r="G153" i="44"/>
  <c r="G154" i="44"/>
  <c r="G155" i="44"/>
  <c r="G156" i="44"/>
  <c r="G157" i="44"/>
  <c r="G158" i="44"/>
  <c r="G159" i="44"/>
  <c r="D160" i="44"/>
  <c r="E160" i="44"/>
  <c r="F160" i="44"/>
  <c r="I160" i="44"/>
  <c r="G162" i="44"/>
  <c r="H170" i="44"/>
  <c r="G163" i="44"/>
  <c r="G164" i="44"/>
  <c r="G165" i="44"/>
  <c r="G166" i="44"/>
  <c r="G167" i="44"/>
  <c r="G168" i="44"/>
  <c r="G169" i="44"/>
  <c r="D170" i="44"/>
  <c r="E170" i="44"/>
  <c r="F170" i="44"/>
  <c r="I170" i="44"/>
  <c r="G172" i="44"/>
  <c r="G173" i="44"/>
  <c r="G174" i="44"/>
  <c r="G175" i="44"/>
  <c r="G176" i="44"/>
  <c r="G177" i="44"/>
  <c r="G178" i="44"/>
  <c r="G179" i="44"/>
  <c r="D180" i="44"/>
  <c r="E180" i="44"/>
  <c r="F180" i="44"/>
  <c r="I180" i="44"/>
  <c r="D183" i="44"/>
  <c r="G183" i="44"/>
  <c r="D184" i="44"/>
  <c r="G184" i="44"/>
  <c r="D185" i="44"/>
  <c r="D209" i="44"/>
  <c r="G185" i="44"/>
  <c r="I187" i="44"/>
  <c r="G186" i="44"/>
  <c r="E187" i="44"/>
  <c r="F187" i="44"/>
  <c r="D192" i="44"/>
  <c r="E192" i="44"/>
  <c r="F192" i="44"/>
  <c r="D200" i="44"/>
  <c r="E200" i="44"/>
  <c r="F200" i="44"/>
  <c r="D204" i="44"/>
  <c r="H204" i="44"/>
  <c r="G211" i="45"/>
  <c r="G108" i="44"/>
  <c r="G180" i="45"/>
  <c r="G169" i="45"/>
  <c r="E57" i="45"/>
  <c r="AH134" i="17"/>
  <c r="AG134" i="17"/>
  <c r="F213" i="45"/>
  <c r="G209" i="45"/>
  <c r="G54" i="45"/>
  <c r="AF134" i="17"/>
  <c r="G160" i="44"/>
  <c r="H150" i="44"/>
  <c r="G54" i="44"/>
  <c r="E213" i="45"/>
  <c r="G79" i="45"/>
  <c r="G138" i="44"/>
  <c r="H108" i="44"/>
  <c r="G86" i="44"/>
  <c r="G66" i="44"/>
  <c r="F193" i="44"/>
  <c r="G135" i="45"/>
  <c r="G150" i="44"/>
  <c r="G118" i="44"/>
  <c r="H86" i="44"/>
  <c r="H66" i="44"/>
  <c r="G191" i="45"/>
  <c r="G113" i="45"/>
  <c r="G90" i="45"/>
  <c r="G51" i="45"/>
  <c r="D24" i="45"/>
  <c r="G24" i="45"/>
  <c r="F12" i="48"/>
  <c r="D15" i="48"/>
  <c r="F8" i="48"/>
  <c r="G76" i="44"/>
  <c r="G170" i="44"/>
  <c r="G180" i="44"/>
  <c r="G128" i="44"/>
  <c r="G96" i="44"/>
  <c r="G146" i="45"/>
  <c r="G127" i="45"/>
  <c r="G93" i="45"/>
  <c r="G53" i="45"/>
  <c r="E193" i="44"/>
  <c r="E194" i="44"/>
  <c r="G82" i="45"/>
  <c r="G27" i="45"/>
  <c r="G16" i="45"/>
  <c r="D43" i="47"/>
  <c r="D36" i="47"/>
  <c r="D44" i="47"/>
  <c r="G183" i="45"/>
  <c r="G60" i="45"/>
  <c r="D34" i="47"/>
  <c r="E15" i="48"/>
  <c r="E16" i="48"/>
  <c r="E17" i="48"/>
  <c r="D47" i="47"/>
  <c r="D46" i="47"/>
  <c r="G172" i="45"/>
  <c r="D12" i="47"/>
  <c r="F194" i="44"/>
  <c r="F195" i="44"/>
  <c r="F201" i="44"/>
  <c r="D16" i="48"/>
  <c r="D17" i="48"/>
  <c r="G194" i="45"/>
  <c r="G161" i="45"/>
  <c r="G138" i="45"/>
  <c r="G71" i="45"/>
  <c r="G49" i="45"/>
  <c r="D32" i="47"/>
  <c r="D11" i="47"/>
  <c r="F13" i="48"/>
  <c r="F9" i="48"/>
  <c r="G105" i="45"/>
  <c r="C30" i="47"/>
  <c r="F14" i="48"/>
  <c r="C15" i="48"/>
  <c r="C16" i="48"/>
  <c r="C17" i="48"/>
  <c r="G150" i="45"/>
  <c r="G116" i="45"/>
  <c r="G38" i="45"/>
  <c r="D35" i="47"/>
  <c r="F11" i="48"/>
  <c r="F15" i="48"/>
  <c r="F10" i="48"/>
  <c r="D22" i="47"/>
  <c r="D14" i="47"/>
  <c r="D10" i="47"/>
  <c r="D25" i="47"/>
  <c r="D21" i="47"/>
  <c r="D23" i="47"/>
  <c r="F210" i="45"/>
  <c r="F207" i="45"/>
  <c r="E212" i="45"/>
  <c r="G212" i="45"/>
  <c r="E210" i="45"/>
  <c r="E208" i="45"/>
  <c r="G208" i="45"/>
  <c r="E207" i="45"/>
  <c r="G207" i="45"/>
  <c r="D68" i="45"/>
  <c r="G68" i="45"/>
  <c r="F57" i="45"/>
  <c r="G57" i="45"/>
  <c r="G28" i="45"/>
  <c r="D213" i="45"/>
  <c r="D210" i="45"/>
  <c r="E46" i="45"/>
  <c r="G46" i="45"/>
  <c r="E35" i="45"/>
  <c r="G35" i="45"/>
  <c r="G187" i="44"/>
  <c r="H187" i="44"/>
  <c r="H44" i="44"/>
  <c r="G44" i="44"/>
  <c r="G34" i="44"/>
  <c r="H34" i="44"/>
  <c r="G24" i="44"/>
  <c r="D187" i="44"/>
  <c r="H180" i="44"/>
  <c r="H160" i="44"/>
  <c r="H138" i="44"/>
  <c r="H118" i="44"/>
  <c r="H96" i="44"/>
  <c r="H76" i="44"/>
  <c r="H54" i="44"/>
  <c r="D34" i="44"/>
  <c r="D24" i="44"/>
  <c r="D44" i="44"/>
  <c r="CD260" i="40"/>
  <c r="CD224" i="40"/>
  <c r="CD236" i="40"/>
  <c r="CD248" i="40"/>
  <c r="CA231" i="40"/>
  <c r="CA233" i="40"/>
  <c r="CA234" i="40"/>
  <c r="BZ224" i="40"/>
  <c r="BZ236" i="40"/>
  <c r="BZ248" i="40"/>
  <c r="CC183" i="40"/>
  <c r="CC189" i="40"/>
  <c r="CC190" i="40"/>
  <c r="CC191" i="40"/>
  <c r="CC192" i="40"/>
  <c r="CC193" i="40"/>
  <c r="CC195" i="40"/>
  <c r="CC201" i="40"/>
  <c r="CC202" i="40"/>
  <c r="CC203" i="40"/>
  <c r="CC204" i="40"/>
  <c r="CC205" i="40"/>
  <c r="CA183" i="40"/>
  <c r="CA189" i="40"/>
  <c r="CA190" i="40"/>
  <c r="CA191" i="40"/>
  <c r="CA192" i="40"/>
  <c r="CA193" i="40"/>
  <c r="CA195" i="40"/>
  <c r="CA201" i="40"/>
  <c r="CA202" i="40"/>
  <c r="CA203" i="40"/>
  <c r="CA204" i="40"/>
  <c r="CA205" i="40"/>
  <c r="K116" i="40"/>
  <c r="CD86" i="40"/>
  <c r="CD98" i="40"/>
  <c r="CC105" i="40"/>
  <c r="CC106" i="40"/>
  <c r="CC107" i="40"/>
  <c r="CC109" i="40"/>
  <c r="BY105" i="40"/>
  <c r="BY106" i="40"/>
  <c r="BY107" i="40"/>
  <c r="BY109" i="40"/>
  <c r="G213" i="45"/>
  <c r="F214" i="45"/>
  <c r="F215" i="45"/>
  <c r="F216" i="45"/>
  <c r="E195" i="44"/>
  <c r="E201" i="44"/>
  <c r="G201" i="44"/>
  <c r="G210" i="45"/>
  <c r="AD114" i="17"/>
  <c r="AD92" i="17"/>
  <c r="AD103" i="17"/>
  <c r="AG103" i="17"/>
  <c r="AD81" i="17"/>
  <c r="AD55" i="17"/>
  <c r="D193" i="44"/>
  <c r="C41" i="47"/>
  <c r="F16" i="48"/>
  <c r="F17" i="48"/>
  <c r="C8" i="47"/>
  <c r="C19" i="47"/>
  <c r="D214" i="45"/>
  <c r="E214" i="45"/>
  <c r="F203" i="44"/>
  <c r="F202" i="44"/>
  <c r="E202" i="44"/>
  <c r="E203" i="44"/>
  <c r="D206" i="44"/>
  <c r="CC27" i="40"/>
  <c r="CC28" i="40"/>
  <c r="CC29" i="40"/>
  <c r="CC31" i="40"/>
  <c r="CC39" i="40"/>
  <c r="CC40" i="40"/>
  <c r="CC41" i="40"/>
  <c r="CC43" i="40"/>
  <c r="CA27" i="40"/>
  <c r="CA28" i="40"/>
  <c r="CA29" i="40"/>
  <c r="CA31" i="40"/>
  <c r="CA39" i="40"/>
  <c r="CA40" i="40"/>
  <c r="CA41" i="40"/>
  <c r="CA43" i="40"/>
  <c r="BY27" i="40"/>
  <c r="BY28" i="40"/>
  <c r="BY29" i="40"/>
  <c r="BY31" i="40"/>
  <c r="BY39" i="40"/>
  <c r="BY40" i="40"/>
  <c r="BY41" i="40"/>
  <c r="BY43" i="40"/>
  <c r="G203" i="44"/>
  <c r="E215" i="45"/>
  <c r="E216" i="45"/>
  <c r="D215" i="45"/>
  <c r="D216" i="45"/>
  <c r="G214" i="45"/>
  <c r="E204" i="44"/>
  <c r="F204" i="44"/>
  <c r="G202" i="44"/>
  <c r="D194" i="44"/>
  <c r="D195" i="44"/>
  <c r="CC231" i="40"/>
  <c r="CC233" i="40"/>
  <c r="CC234" i="40"/>
  <c r="CB260" i="40"/>
  <c r="BQ260" i="40"/>
  <c r="BQ236" i="40"/>
  <c r="CE236" i="40"/>
  <c r="BQ224" i="40"/>
  <c r="CE224" i="40"/>
  <c r="BQ212" i="40"/>
  <c r="BJ212" i="40"/>
  <c r="BD260" i="40"/>
  <c r="CC260" i="40"/>
  <c r="CC236" i="40"/>
  <c r="CB236" i="40"/>
  <c r="BD224" i="40"/>
  <c r="CB224" i="40"/>
  <c r="BD212" i="40"/>
  <c r="CB212" i="40"/>
  <c r="AQ260" i="40"/>
  <c r="CA260" i="40"/>
  <c r="AJ260" i="40"/>
  <c r="AQ236" i="40"/>
  <c r="CA236" i="40"/>
  <c r="AQ224" i="40"/>
  <c r="CA224" i="40"/>
  <c r="AQ212" i="40"/>
  <c r="AJ212" i="40"/>
  <c r="AD236" i="40"/>
  <c r="BY236" i="40"/>
  <c r="AD224" i="40"/>
  <c r="BY224" i="40"/>
  <c r="AD260" i="40"/>
  <c r="BY260" i="40"/>
  <c r="AD212" i="40"/>
  <c r="W248" i="40"/>
  <c r="AW182" i="40"/>
  <c r="BQ182" i="40"/>
  <c r="BQ170" i="40"/>
  <c r="BQ194" i="40"/>
  <c r="CE194" i="40"/>
  <c r="BJ194" i="40"/>
  <c r="BJ170" i="40"/>
  <c r="CC194" i="40"/>
  <c r="AW194" i="40"/>
  <c r="CC182" i="40"/>
  <c r="CC170" i="40"/>
  <c r="AW170" i="40"/>
  <c r="AQ194" i="40"/>
  <c r="CA194" i="40"/>
  <c r="AJ194" i="40"/>
  <c r="AQ182" i="40"/>
  <c r="CA182" i="40"/>
  <c r="AJ182" i="40"/>
  <c r="BT182" i="40"/>
  <c r="AQ170" i="40"/>
  <c r="AJ170" i="40"/>
  <c r="AD194" i="40"/>
  <c r="AD182" i="40"/>
  <c r="BY182" i="40"/>
  <c r="AD170" i="40"/>
  <c r="K8" i="40"/>
  <c r="BQ128" i="40"/>
  <c r="CC128" i="40"/>
  <c r="AQ128" i="40"/>
  <c r="CA128" i="40"/>
  <c r="AD128" i="40"/>
  <c r="BY128" i="40"/>
  <c r="W116" i="40"/>
  <c r="BQ152" i="40"/>
  <c r="BJ152" i="40"/>
  <c r="CD140" i="40"/>
  <c r="CD128" i="40"/>
  <c r="BQ116" i="40"/>
  <c r="BJ116" i="40"/>
  <c r="CC152" i="40"/>
  <c r="AW152" i="40"/>
  <c r="AW140" i="40"/>
  <c r="AW128" i="40"/>
  <c r="CC116" i="40"/>
  <c r="AW116" i="40"/>
  <c r="AQ152" i="40"/>
  <c r="CA152" i="40"/>
  <c r="AJ152" i="40"/>
  <c r="AJ140" i="40"/>
  <c r="AJ128" i="40"/>
  <c r="AQ116" i="40"/>
  <c r="AJ116" i="40"/>
  <c r="AD152" i="40"/>
  <c r="BY152" i="40"/>
  <c r="AD116" i="40"/>
  <c r="BY170" i="40"/>
  <c r="AE82" i="17"/>
  <c r="AG82" i="17"/>
  <c r="AX91" i="17"/>
  <c r="AW99" i="17"/>
  <c r="S339" i="17"/>
  <c r="F339" i="17"/>
  <c r="BX248" i="40"/>
  <c r="CA116" i="40"/>
  <c r="AE92" i="17"/>
  <c r="AG92" i="17"/>
  <c r="BY212" i="40"/>
  <c r="AE83" i="17"/>
  <c r="BY116" i="40"/>
  <c r="AE81" i="17"/>
  <c r="BY194" i="40"/>
  <c r="BU194" i="40"/>
  <c r="I48" i="44"/>
  <c r="CA212" i="40"/>
  <c r="AE94" i="17"/>
  <c r="BT116" i="40"/>
  <c r="CA170" i="40"/>
  <c r="AE93" i="17"/>
  <c r="AG93" i="17"/>
  <c r="BU236" i="40"/>
  <c r="I60" i="44"/>
  <c r="BT248" i="40"/>
  <c r="CF248" i="40"/>
  <c r="AE116" i="17"/>
  <c r="CE260" i="40"/>
  <c r="BU260" i="40"/>
  <c r="I61" i="44"/>
  <c r="CE152" i="40"/>
  <c r="BU152" i="40"/>
  <c r="I38" i="44"/>
  <c r="BU182" i="40"/>
  <c r="I47" i="44"/>
  <c r="CE182" i="40"/>
  <c r="CC224" i="40"/>
  <c r="BU224" i="40"/>
  <c r="I59" i="44"/>
  <c r="BU116" i="40"/>
  <c r="I36" i="44"/>
  <c r="CE116" i="40"/>
  <c r="CC212" i="40"/>
  <c r="BU212" i="40"/>
  <c r="I58" i="44"/>
  <c r="AE105" i="17"/>
  <c r="CE212" i="40"/>
  <c r="BU170" i="40"/>
  <c r="I46" i="44"/>
  <c r="AE115" i="17"/>
  <c r="AG115" i="17"/>
  <c r="BV170" i="40"/>
  <c r="CE170" i="40"/>
  <c r="BU128" i="40"/>
  <c r="I37" i="44"/>
  <c r="AE114" i="17"/>
  <c r="AG114" i="17"/>
  <c r="CE128" i="40"/>
  <c r="AD101" i="17"/>
  <c r="AD79" i="17"/>
  <c r="AD112" i="17"/>
  <c r="AD53" i="17"/>
  <c r="AD90" i="17"/>
  <c r="CD152" i="40"/>
  <c r="S201" i="17"/>
  <c r="S206" i="17"/>
  <c r="BJ58" i="17"/>
  <c r="BI65" i="17"/>
  <c r="BJ75" i="17"/>
  <c r="BI81" i="17"/>
  <c r="S268" i="17"/>
  <c r="S275" i="17"/>
  <c r="F268" i="17"/>
  <c r="F275" i="17"/>
  <c r="CD194" i="40"/>
  <c r="BJ88" i="17"/>
  <c r="BI96" i="17"/>
  <c r="BJ96" i="17"/>
  <c r="BP122" i="17"/>
  <c r="S287" i="17"/>
  <c r="S294" i="17"/>
  <c r="F287" i="17"/>
  <c r="F294" i="17"/>
  <c r="CD212" i="40"/>
  <c r="CB170" i="40"/>
  <c r="BF73" i="17"/>
  <c r="BE79" i="17"/>
  <c r="S236" i="17"/>
  <c r="F235" i="17"/>
  <c r="CB152" i="40"/>
  <c r="BF58" i="17"/>
  <c r="BE65" i="17"/>
  <c r="S213" i="17"/>
  <c r="S219" i="17"/>
  <c r="S212" i="17"/>
  <c r="F212" i="17"/>
  <c r="BX116" i="40"/>
  <c r="AX55" i="17"/>
  <c r="AW62" i="17"/>
  <c r="S174" i="17"/>
  <c r="S179" i="17"/>
  <c r="F173" i="17"/>
  <c r="AO38" i="17"/>
  <c r="CB128" i="40"/>
  <c r="BF56" i="17"/>
  <c r="BE63" i="17"/>
  <c r="S188" i="17"/>
  <c r="S193" i="17"/>
  <c r="F187" i="17"/>
  <c r="BZ140" i="40"/>
  <c r="S199" i="17"/>
  <c r="BB57" i="17"/>
  <c r="BA64" i="17"/>
  <c r="F198" i="17"/>
  <c r="BB73" i="17"/>
  <c r="BA79" i="17"/>
  <c r="S235" i="17"/>
  <c r="F234" i="17"/>
  <c r="BZ170" i="40"/>
  <c r="BB88" i="17"/>
  <c r="BA96" i="17"/>
  <c r="F285" i="17"/>
  <c r="S285" i="17"/>
  <c r="BZ212" i="40"/>
  <c r="BZ116" i="40"/>
  <c r="S175" i="17"/>
  <c r="S180" i="17"/>
  <c r="BB55" i="17"/>
  <c r="BA62" i="17"/>
  <c r="F174" i="17"/>
  <c r="BZ152" i="40"/>
  <c r="BB58" i="17"/>
  <c r="BA65" i="17"/>
  <c r="S211" i="17"/>
  <c r="F211" i="17"/>
  <c r="CD116" i="40"/>
  <c r="S177" i="17"/>
  <c r="S182" i="17"/>
  <c r="S178" i="17"/>
  <c r="S183" i="17"/>
  <c r="BJ55" i="17"/>
  <c r="BI62" i="17"/>
  <c r="F176" i="17"/>
  <c r="F182" i="17"/>
  <c r="CB194" i="40"/>
  <c r="BF75" i="17"/>
  <c r="BE81" i="17"/>
  <c r="F267" i="17"/>
  <c r="S267" i="17"/>
  <c r="CB182" i="40"/>
  <c r="BF74" i="17"/>
  <c r="BE80" i="17"/>
  <c r="S251" i="17"/>
  <c r="F251" i="17"/>
  <c r="BZ194" i="40"/>
  <c r="BB75" i="17"/>
  <c r="BA81" i="17"/>
  <c r="F266" i="17"/>
  <c r="S266" i="17"/>
  <c r="CB140" i="40"/>
  <c r="BF57" i="17"/>
  <c r="BE64" i="17"/>
  <c r="S200" i="17"/>
  <c r="F199" i="17"/>
  <c r="AX90" i="17"/>
  <c r="AW98" i="17"/>
  <c r="F320" i="17"/>
  <c r="S320" i="17"/>
  <c r="BX236" i="40"/>
  <c r="BZ128" i="40"/>
  <c r="S187" i="17"/>
  <c r="S192" i="17"/>
  <c r="BB56" i="17"/>
  <c r="BA63" i="17"/>
  <c r="F186" i="17"/>
  <c r="BZ182" i="40"/>
  <c r="BB74" i="17"/>
  <c r="BA80" i="17"/>
  <c r="S250" i="17"/>
  <c r="F250" i="17"/>
  <c r="CB116" i="40"/>
  <c r="BF55" i="17"/>
  <c r="BE62" i="17"/>
  <c r="S176" i="17"/>
  <c r="S181" i="17"/>
  <c r="F175" i="17"/>
  <c r="CD170" i="40"/>
  <c r="BJ73" i="17"/>
  <c r="BI79" i="17"/>
  <c r="S237" i="17"/>
  <c r="S243" i="17"/>
  <c r="F236" i="17"/>
  <c r="F243" i="17"/>
  <c r="CD182" i="40"/>
  <c r="BJ74" i="17"/>
  <c r="BI80" i="17"/>
  <c r="S252" i="17"/>
  <c r="S259" i="17"/>
  <c r="F252" i="17"/>
  <c r="F259" i="17"/>
  <c r="BB92" i="17"/>
  <c r="BA100" i="17"/>
  <c r="S357" i="17"/>
  <c r="F357" i="17"/>
  <c r="BZ260" i="40"/>
  <c r="CB248" i="40"/>
  <c r="BV212" i="40"/>
  <c r="G215" i="45"/>
  <c r="G216" i="45"/>
  <c r="G194" i="44"/>
  <c r="G195" i="44"/>
  <c r="G204" i="44"/>
  <c r="BT236" i="40"/>
  <c r="BV116" i="40"/>
  <c r="CF116" i="40"/>
  <c r="BQ86" i="40"/>
  <c r="BQ62" i="40"/>
  <c r="BQ98" i="40"/>
  <c r="BJ74" i="40"/>
  <c r="BJ62" i="40"/>
  <c r="CC98" i="40"/>
  <c r="CC62" i="40"/>
  <c r="AW98" i="40"/>
  <c r="AW86" i="40"/>
  <c r="AW74" i="40"/>
  <c r="AW62" i="40"/>
  <c r="CA62" i="40"/>
  <c r="AD98" i="40"/>
  <c r="BY98" i="40"/>
  <c r="AD86" i="40"/>
  <c r="BY86" i="40"/>
  <c r="AD62" i="40"/>
  <c r="AE80" i="17"/>
  <c r="CA51" i="40"/>
  <c r="CA52" i="40"/>
  <c r="CA53" i="40"/>
  <c r="CA55" i="40"/>
  <c r="BZ20" i="40"/>
  <c r="BZ32" i="40"/>
  <c r="BY51" i="40"/>
  <c r="BY52" i="40"/>
  <c r="BY53" i="40"/>
  <c r="BY55" i="40"/>
  <c r="I66" i="44"/>
  <c r="S343" i="17"/>
  <c r="BJ41" i="17"/>
  <c r="BI47" i="17"/>
  <c r="S135" i="17"/>
  <c r="S141" i="17"/>
  <c r="F135" i="17"/>
  <c r="CD74" i="40"/>
  <c r="CB62" i="40"/>
  <c r="S118" i="17"/>
  <c r="S125" i="17"/>
  <c r="BF40" i="17"/>
  <c r="BE46" i="17"/>
  <c r="F118" i="17"/>
  <c r="AO55" i="17"/>
  <c r="CB98" i="40"/>
  <c r="BF43" i="17"/>
  <c r="BE49" i="17"/>
  <c r="S161" i="17"/>
  <c r="S167" i="17"/>
  <c r="F160" i="17"/>
  <c r="CB74" i="40"/>
  <c r="BT74" i="40"/>
  <c r="S134" i="17"/>
  <c r="S140" i="17"/>
  <c r="BF41" i="17"/>
  <c r="BE47" i="17"/>
  <c r="F134" i="17"/>
  <c r="CE98" i="40"/>
  <c r="I54" i="44"/>
  <c r="BJ62" i="17"/>
  <c r="BP120" i="17"/>
  <c r="BT123" i="17"/>
  <c r="CD62" i="40"/>
  <c r="S119" i="17"/>
  <c r="S126" i="17"/>
  <c r="BJ40" i="17"/>
  <c r="BI46" i="17"/>
  <c r="F119" i="17"/>
  <c r="CE86" i="40"/>
  <c r="AE56" i="17"/>
  <c r="AE107" i="17"/>
  <c r="CG170" i="40"/>
  <c r="CB86" i="40"/>
  <c r="BF42" i="17"/>
  <c r="BE48" i="17"/>
  <c r="S148" i="17"/>
  <c r="S154" i="17"/>
  <c r="F147" i="17"/>
  <c r="AE55" i="17"/>
  <c r="AE57" i="17"/>
  <c r="AO54" i="17"/>
  <c r="AG101" i="17"/>
  <c r="CE62" i="40"/>
  <c r="BU62" i="40"/>
  <c r="I26" i="44"/>
  <c r="AE113" i="17"/>
  <c r="BF62" i="17"/>
  <c r="BP107" i="17"/>
  <c r="BT110" i="17"/>
  <c r="BB96" i="17"/>
  <c r="BP97" i="17"/>
  <c r="BR100" i="17"/>
  <c r="W191" i="17"/>
  <c r="U191" i="17"/>
  <c r="X191" i="17"/>
  <c r="V191" i="17"/>
  <c r="W178" i="17"/>
  <c r="U178" i="17"/>
  <c r="X178" i="17"/>
  <c r="V178" i="17"/>
  <c r="BR125" i="17"/>
  <c r="BT125" i="17"/>
  <c r="BU125" i="17"/>
  <c r="BS125" i="17"/>
  <c r="CN20" i="17"/>
  <c r="U241" i="17"/>
  <c r="V241" i="17"/>
  <c r="X241" i="17"/>
  <c r="W241" i="17"/>
  <c r="U181" i="17"/>
  <c r="X181" i="17"/>
  <c r="W181" i="17"/>
  <c r="V181" i="17"/>
  <c r="BB62" i="17"/>
  <c r="BP95" i="17"/>
  <c r="V192" i="17"/>
  <c r="X192" i="17"/>
  <c r="U192" i="17"/>
  <c r="W192" i="17"/>
  <c r="BF79" i="17"/>
  <c r="BP108" i="17"/>
  <c r="W272" i="17"/>
  <c r="X272" i="17"/>
  <c r="U272" i="17"/>
  <c r="V272" i="17"/>
  <c r="BJ79" i="17"/>
  <c r="BP121" i="17"/>
  <c r="V179" i="17"/>
  <c r="W179" i="17"/>
  <c r="X179" i="17"/>
  <c r="U179" i="17"/>
  <c r="BB79" i="17"/>
  <c r="BP96" i="17"/>
  <c r="V217" i="17"/>
  <c r="W217" i="17"/>
  <c r="X217" i="17"/>
  <c r="U217" i="17"/>
  <c r="V205" i="17"/>
  <c r="X205" i="17"/>
  <c r="W205" i="17"/>
  <c r="U205" i="17"/>
  <c r="U180" i="17"/>
  <c r="V180" i="17"/>
  <c r="W180" i="17"/>
  <c r="X180" i="17"/>
  <c r="V291" i="17"/>
  <c r="U291" i="17"/>
  <c r="X291" i="17"/>
  <c r="W291" i="17"/>
  <c r="CF236" i="40"/>
  <c r="S324" i="17"/>
  <c r="D210" i="44"/>
  <c r="D207" i="44"/>
  <c r="BY62" i="40"/>
  <c r="CC19" i="40"/>
  <c r="CA19" i="40"/>
  <c r="BY19" i="40"/>
  <c r="CC17" i="40"/>
  <c r="CA17" i="40"/>
  <c r="BY17" i="40"/>
  <c r="CC16" i="40"/>
  <c r="CA16" i="40"/>
  <c r="BY16" i="40"/>
  <c r="CC15" i="40"/>
  <c r="CA15" i="40"/>
  <c r="BY15" i="40"/>
  <c r="BQ20" i="40"/>
  <c r="BQ32" i="40"/>
  <c r="BQ8" i="40"/>
  <c r="BQ44" i="40"/>
  <c r="BJ44" i="40"/>
  <c r="AW44" i="40"/>
  <c r="AW8" i="40"/>
  <c r="AQ44" i="40"/>
  <c r="AQ32" i="40"/>
  <c r="CA32" i="40"/>
  <c r="AJ44" i="40"/>
  <c r="AJ8" i="40"/>
  <c r="AD44" i="40"/>
  <c r="BY44" i="40"/>
  <c r="AD32" i="40"/>
  <c r="BY32" i="40"/>
  <c r="W44" i="40"/>
  <c r="W8" i="40"/>
  <c r="CC32" i="40"/>
  <c r="CC20" i="40"/>
  <c r="BJ8" i="40"/>
  <c r="AQ20" i="40"/>
  <c r="CA20" i="40"/>
  <c r="AD20" i="40"/>
  <c r="BY20" i="40"/>
  <c r="BT44" i="40"/>
  <c r="BS123" i="17"/>
  <c r="BU123" i="17"/>
  <c r="BJ46" i="17"/>
  <c r="BP119" i="17"/>
  <c r="BU122" i="17"/>
  <c r="BT8" i="40"/>
  <c r="CF8" i="40"/>
  <c r="CB44" i="40"/>
  <c r="BF29" i="17"/>
  <c r="BE33" i="17"/>
  <c r="AQ54" i="17"/>
  <c r="W122" i="17"/>
  <c r="X122" i="17"/>
  <c r="V122" i="17"/>
  <c r="U122" i="17"/>
  <c r="BB29" i="17"/>
  <c r="BA33" i="17"/>
  <c r="BZ44" i="40"/>
  <c r="AQ55" i="17"/>
  <c r="X139" i="17"/>
  <c r="W139" i="17"/>
  <c r="V139" i="17"/>
  <c r="U139" i="17"/>
  <c r="BJ29" i="17"/>
  <c r="BI33" i="17"/>
  <c r="S100" i="17"/>
  <c r="S107" i="17"/>
  <c r="F100" i="17"/>
  <c r="CD44" i="40"/>
  <c r="BT100" i="17"/>
  <c r="BF46" i="17"/>
  <c r="BP106" i="17"/>
  <c r="BU109" i="17"/>
  <c r="U165" i="17"/>
  <c r="V165" i="17"/>
  <c r="W165" i="17"/>
  <c r="X165" i="17"/>
  <c r="W138" i="17"/>
  <c r="V138" i="17"/>
  <c r="X138" i="17"/>
  <c r="U138" i="17"/>
  <c r="BR123" i="17"/>
  <c r="BS110" i="17"/>
  <c r="BR110" i="17"/>
  <c r="BS100" i="17"/>
  <c r="BU100" i="17"/>
  <c r="BU110" i="17"/>
  <c r="CE44" i="40"/>
  <c r="BU44" i="40"/>
  <c r="I19" i="44"/>
  <c r="BU32" i="40"/>
  <c r="I18" i="44"/>
  <c r="CE32" i="40"/>
  <c r="BS122" i="17"/>
  <c r="BU20" i="40"/>
  <c r="I17" i="44"/>
  <c r="CE20" i="40"/>
  <c r="W123" i="17"/>
  <c r="U123" i="17"/>
  <c r="X123" i="17"/>
  <c r="V123" i="17"/>
  <c r="X152" i="17"/>
  <c r="W152" i="17"/>
  <c r="U152" i="17"/>
  <c r="V152" i="17"/>
  <c r="BT109" i="17"/>
  <c r="CD8" i="40"/>
  <c r="BJ28" i="17"/>
  <c r="BI32" i="17"/>
  <c r="S85" i="17"/>
  <c r="S92" i="17"/>
  <c r="F84" i="17"/>
  <c r="F91" i="17"/>
  <c r="AE112" i="17"/>
  <c r="CE8" i="40"/>
  <c r="BS111" i="17"/>
  <c r="BT111" i="17"/>
  <c r="BU111" i="17"/>
  <c r="BR111" i="17"/>
  <c r="BX44" i="40"/>
  <c r="AX29" i="17"/>
  <c r="AW33" i="17"/>
  <c r="BZ8" i="40"/>
  <c r="BB28" i="17"/>
  <c r="BA32" i="17"/>
  <c r="BB32" i="17"/>
  <c r="BR124" i="17"/>
  <c r="BS124" i="17"/>
  <c r="BT124" i="17"/>
  <c r="BU124" i="17"/>
  <c r="BR98" i="17"/>
  <c r="BU98" i="17"/>
  <c r="BS98" i="17"/>
  <c r="BT98" i="17"/>
  <c r="BX8" i="40"/>
  <c r="AX28" i="17"/>
  <c r="AW32" i="17"/>
  <c r="CB8" i="40"/>
  <c r="BF28" i="17"/>
  <c r="BE32" i="17"/>
  <c r="BT99" i="17"/>
  <c r="BU99" i="17"/>
  <c r="BR99" i="17"/>
  <c r="BS99" i="17"/>
  <c r="AQ8" i="40"/>
  <c r="BU8" i="40"/>
  <c r="CC8" i="40"/>
  <c r="CA44" i="40"/>
  <c r="BB16" i="17"/>
  <c r="AX16" i="17"/>
  <c r="AX15" i="17"/>
  <c r="BR122" i="17"/>
  <c r="BT122" i="17"/>
  <c r="BR109" i="17"/>
  <c r="BJ16" i="17"/>
  <c r="BI21" i="17"/>
  <c r="BJ15" i="17"/>
  <c r="BI20" i="17"/>
  <c r="BS109" i="17"/>
  <c r="BB15" i="17"/>
  <c r="U104" i="17"/>
  <c r="V104" i="17"/>
  <c r="W104" i="17"/>
  <c r="X104" i="17"/>
  <c r="I24" i="44"/>
  <c r="BJ14" i="17"/>
  <c r="BI19" i="17"/>
  <c r="V89" i="17"/>
  <c r="W89" i="17"/>
  <c r="U89" i="17"/>
  <c r="X89" i="17"/>
  <c r="BB14" i="17"/>
  <c r="AE118" i="17"/>
  <c r="AG112" i="17"/>
  <c r="AE38" i="17"/>
  <c r="BF32" i="17"/>
  <c r="BP93" i="17"/>
  <c r="CF44" i="40"/>
  <c r="AO29" i="17"/>
  <c r="S101" i="17"/>
  <c r="AO28" i="17"/>
  <c r="S86" i="17"/>
  <c r="AE79" i="17"/>
  <c r="AE85" i="17"/>
  <c r="BV8" i="40"/>
  <c r="BY8" i="40"/>
  <c r="CA8" i="40"/>
  <c r="AE90" i="17"/>
  <c r="AX32" i="17"/>
  <c r="BP81" i="17"/>
  <c r="AX14" i="17"/>
  <c r="BJ19" i="17"/>
  <c r="BP56" i="17"/>
  <c r="BT59" i="17"/>
  <c r="AE53" i="17"/>
  <c r="AE39" i="17"/>
  <c r="AG90" i="17"/>
  <c r="CG8" i="40"/>
  <c r="BU96" i="17"/>
  <c r="BS96" i="17"/>
  <c r="BT96" i="17"/>
  <c r="BJ32" i="17"/>
  <c r="BP118" i="17"/>
  <c r="BP105" i="17"/>
  <c r="BU59" i="17"/>
  <c r="BP57" i="17"/>
  <c r="BT60" i="17"/>
  <c r="BR59" i="17"/>
  <c r="BS59" i="17"/>
  <c r="BP110" i="17"/>
  <c r="BT108" i="17"/>
  <c r="BS108" i="17"/>
  <c r="BU108" i="17"/>
  <c r="BP123" i="17"/>
  <c r="BT121" i="17"/>
  <c r="BS121" i="17"/>
  <c r="BU121" i="17"/>
  <c r="BR121" i="17"/>
  <c r="BR60" i="17"/>
  <c r="BS60" i="17"/>
  <c r="BU60" i="17"/>
  <c r="CG116" i="40"/>
  <c r="K212" i="40"/>
  <c r="W194" i="40"/>
  <c r="BT194" i="40"/>
  <c r="CG212" i="40"/>
  <c r="AD116" i="17"/>
  <c r="AG116" i="17"/>
  <c r="AD94" i="17"/>
  <c r="AG94" i="17"/>
  <c r="AD105" i="17"/>
  <c r="AG105" i="17"/>
  <c r="AD57" i="17"/>
  <c r="AG57" i="17"/>
  <c r="AH57" i="17"/>
  <c r="AD130" i="17"/>
  <c r="AD83" i="17"/>
  <c r="AG83" i="17"/>
  <c r="AX75" i="17"/>
  <c r="AW81" i="17"/>
  <c r="F265" i="17"/>
  <c r="S265" i="17"/>
  <c r="BX194" i="40"/>
  <c r="CA248" i="40"/>
  <c r="CC248" i="40"/>
  <c r="AI133" i="17"/>
  <c r="AF133" i="17"/>
  <c r="AH133" i="17"/>
  <c r="AG133" i="17"/>
  <c r="CF194" i="40"/>
  <c r="AO47" i="17"/>
  <c r="S269" i="17"/>
  <c r="CC222" i="40"/>
  <c r="CA222" i="40"/>
  <c r="CC261" i="40"/>
  <c r="CC263" i="40"/>
  <c r="CC268" i="40"/>
  <c r="CC269" i="40"/>
  <c r="CC270" i="40"/>
  <c r="CC271" i="40"/>
  <c r="CA261" i="40"/>
  <c r="CA263" i="40"/>
  <c r="CA268" i="40"/>
  <c r="CA269" i="40"/>
  <c r="CA270" i="40"/>
  <c r="CA271" i="40"/>
  <c r="CC259" i="40"/>
  <c r="CA259" i="40"/>
  <c r="CC258" i="40"/>
  <c r="CA258" i="40"/>
  <c r="CC257" i="40"/>
  <c r="CA257" i="40"/>
  <c r="CC256" i="40"/>
  <c r="CA256" i="40"/>
  <c r="CC246" i="40"/>
  <c r="CA246" i="40"/>
  <c r="CC244" i="40"/>
  <c r="CA244" i="40"/>
  <c r="W224" i="40"/>
  <c r="CC221" i="40"/>
  <c r="CA221" i="40"/>
  <c r="CC219" i="40"/>
  <c r="CA219" i="40"/>
  <c r="W212" i="40"/>
  <c r="AX88" i="17"/>
  <c r="AW96" i="17"/>
  <c r="S284" i="17"/>
  <c r="F284" i="17"/>
  <c r="BX212" i="40"/>
  <c r="AX89" i="17"/>
  <c r="AW97" i="17"/>
  <c r="F303" i="17"/>
  <c r="S303" i="17"/>
  <c r="BX224" i="40"/>
  <c r="AX92" i="17"/>
  <c r="AW100" i="17"/>
  <c r="F356" i="17"/>
  <c r="S356" i="17"/>
  <c r="BX260" i="40"/>
  <c r="BT212" i="40"/>
  <c r="BT224" i="40"/>
  <c r="BT260" i="40"/>
  <c r="AO53" i="17"/>
  <c r="AX96" i="17"/>
  <c r="BP85" i="17"/>
  <c r="CH20" i="17"/>
  <c r="CF260" i="40"/>
  <c r="AO56" i="17"/>
  <c r="S360" i="17"/>
  <c r="S366" i="17"/>
  <c r="CF212" i="40"/>
  <c r="AO52" i="17"/>
  <c r="S288" i="17"/>
  <c r="S295" i="17"/>
  <c r="CF224" i="40"/>
  <c r="S307" i="17"/>
  <c r="S314" i="17"/>
  <c r="CC44" i="40"/>
  <c r="S84" i="17"/>
  <c r="F83" i="17"/>
  <c r="F82" i="17"/>
  <c r="S83" i="17"/>
  <c r="R84" i="17"/>
  <c r="R83" i="17"/>
  <c r="R82" i="17"/>
  <c r="F81" i="17"/>
  <c r="W62" i="40"/>
  <c r="AJ62" i="40"/>
  <c r="BT62" i="40"/>
  <c r="W74" i="40"/>
  <c r="AJ74" i="40"/>
  <c r="W86" i="40"/>
  <c r="AJ86" i="40"/>
  <c r="AQ86" i="40"/>
  <c r="W98" i="40"/>
  <c r="AJ98" i="40"/>
  <c r="AQ98" i="40"/>
  <c r="CA121" i="40"/>
  <c r="CA125" i="40"/>
  <c r="CC125" i="40"/>
  <c r="CC126" i="40"/>
  <c r="W128" i="40"/>
  <c r="BT128" i="40"/>
  <c r="W140" i="40"/>
  <c r="BT140" i="40"/>
  <c r="W152" i="40"/>
  <c r="BT152" i="40"/>
  <c r="W170" i="40"/>
  <c r="W182" i="40"/>
  <c r="F61" i="17"/>
  <c r="F362" i="17"/>
  <c r="F363" i="17"/>
  <c r="F364" i="17"/>
  <c r="S364" i="17"/>
  <c r="S363" i="17"/>
  <c r="S362" i="17"/>
  <c r="U360" i="17"/>
  <c r="S350" i="17"/>
  <c r="F346" i="17"/>
  <c r="F347" i="17"/>
  <c r="F348" i="17"/>
  <c r="S348" i="17"/>
  <c r="S347" i="17"/>
  <c r="S346" i="17"/>
  <c r="S331" i="17"/>
  <c r="F327" i="17"/>
  <c r="F328" i="17"/>
  <c r="F329" i="17"/>
  <c r="S329" i="17"/>
  <c r="S328" i="17"/>
  <c r="S327" i="17"/>
  <c r="F310" i="17"/>
  <c r="F311" i="17"/>
  <c r="F312" i="17"/>
  <c r="S312" i="17"/>
  <c r="S311" i="17"/>
  <c r="S310" i="17"/>
  <c r="F291" i="17"/>
  <c r="F292" i="17"/>
  <c r="F293" i="17"/>
  <c r="S293" i="17"/>
  <c r="S292" i="17"/>
  <c r="S291" i="17"/>
  <c r="F136" i="17"/>
  <c r="F141" i="17"/>
  <c r="F120" i="17"/>
  <c r="F126" i="17"/>
  <c r="R101" i="17"/>
  <c r="F101" i="17"/>
  <c r="F107" i="17"/>
  <c r="R99" i="17"/>
  <c r="R98" i="17"/>
  <c r="R97" i="17"/>
  <c r="R61" i="17"/>
  <c r="F63" i="17"/>
  <c r="F59" i="17"/>
  <c r="R63" i="17"/>
  <c r="R60" i="17"/>
  <c r="S59" i="17"/>
  <c r="R59" i="17"/>
  <c r="R40" i="17"/>
  <c r="F42" i="17"/>
  <c r="R42" i="17"/>
  <c r="R39" i="17"/>
  <c r="R38" i="17"/>
  <c r="R15" i="17"/>
  <c r="R13" i="17"/>
  <c r="CD19" i="17"/>
  <c r="CD18" i="17"/>
  <c r="CD17" i="17"/>
  <c r="AQ17" i="17"/>
  <c r="CD16" i="17"/>
  <c r="AN16" i="17"/>
  <c r="AN15" i="17"/>
  <c r="AH15" i="17"/>
  <c r="AN14" i="17"/>
  <c r="R12" i="17"/>
  <c r="R11" i="17"/>
  <c r="S99" i="17"/>
  <c r="F99" i="17"/>
  <c r="S97" i="17"/>
  <c r="F98" i="17"/>
  <c r="S98" i="17"/>
  <c r="F97" i="17"/>
  <c r="AE91" i="17"/>
  <c r="BU86" i="40"/>
  <c r="I27" i="44"/>
  <c r="CA98" i="40"/>
  <c r="BU98" i="40"/>
  <c r="I28" i="44"/>
  <c r="S147" i="17"/>
  <c r="S153" i="17"/>
  <c r="BB42" i="17"/>
  <c r="BA48" i="17"/>
  <c r="F146" i="17"/>
  <c r="BZ86" i="40"/>
  <c r="AX43" i="17"/>
  <c r="AW49" i="17"/>
  <c r="S159" i="17"/>
  <c r="S165" i="17"/>
  <c r="F158" i="17"/>
  <c r="BX98" i="40"/>
  <c r="BF15" i="17"/>
  <c r="BE20" i="17"/>
  <c r="BF16" i="17"/>
  <c r="AX42" i="17"/>
  <c r="AW48" i="17"/>
  <c r="S146" i="17"/>
  <c r="S152" i="17"/>
  <c r="F145" i="17"/>
  <c r="BX86" i="40"/>
  <c r="BT86" i="40"/>
  <c r="AQ52" i="17"/>
  <c r="AQ53" i="17"/>
  <c r="AQ56" i="17"/>
  <c r="BT98" i="40"/>
  <c r="BB43" i="17"/>
  <c r="BA49" i="17"/>
  <c r="S160" i="17"/>
  <c r="S166" i="17"/>
  <c r="F159" i="17"/>
  <c r="BZ98" i="40"/>
  <c r="F62" i="17"/>
  <c r="F69" i="17"/>
  <c r="BX140" i="40"/>
  <c r="AX57" i="17"/>
  <c r="AW64" i="17"/>
  <c r="S198" i="17"/>
  <c r="S203" i="17"/>
  <c r="F197" i="17"/>
  <c r="F203" i="17"/>
  <c r="BX74" i="40"/>
  <c r="AX41" i="17"/>
  <c r="AW47" i="17"/>
  <c r="S132" i="17"/>
  <c r="S138" i="17"/>
  <c r="F132" i="17"/>
  <c r="F138" i="17"/>
  <c r="BZ62" i="40"/>
  <c r="S117" i="17"/>
  <c r="S124" i="17"/>
  <c r="BB40" i="17"/>
  <c r="BA46" i="17"/>
  <c r="F117" i="17"/>
  <c r="F124" i="17"/>
  <c r="AX74" i="17"/>
  <c r="AW80" i="17"/>
  <c r="F249" i="17"/>
  <c r="F256" i="17"/>
  <c r="S249" i="17"/>
  <c r="S256" i="17"/>
  <c r="BX182" i="40"/>
  <c r="BX128" i="40"/>
  <c r="S186" i="17"/>
  <c r="S191" i="17"/>
  <c r="AX56" i="17"/>
  <c r="AW63" i="17"/>
  <c r="F185" i="17"/>
  <c r="F191" i="17"/>
  <c r="S116" i="17"/>
  <c r="S123" i="17"/>
  <c r="AX40" i="17"/>
  <c r="AW46" i="17"/>
  <c r="AX46" i="17"/>
  <c r="BP82" i="17"/>
  <c r="F116" i="17"/>
  <c r="AX73" i="17"/>
  <c r="AW79" i="17"/>
  <c r="F233" i="17"/>
  <c r="S234" i="17"/>
  <c r="S240" i="17"/>
  <c r="BX170" i="40"/>
  <c r="BX152" i="40"/>
  <c r="AX58" i="17"/>
  <c r="AW65" i="17"/>
  <c r="S210" i="17"/>
  <c r="S216" i="17"/>
  <c r="U214" i="17"/>
  <c r="F210" i="17"/>
  <c r="F216" i="17"/>
  <c r="BZ74" i="40"/>
  <c r="S133" i="17"/>
  <c r="S139" i="17"/>
  <c r="BB41" i="17"/>
  <c r="BA47" i="17"/>
  <c r="F133" i="17"/>
  <c r="F139" i="17"/>
  <c r="V288" i="17"/>
  <c r="W288" i="17"/>
  <c r="X288" i="17"/>
  <c r="U288" i="17"/>
  <c r="V343" i="17"/>
  <c r="W343" i="17"/>
  <c r="U343" i="17"/>
  <c r="X343" i="17"/>
  <c r="V289" i="17"/>
  <c r="W289" i="17"/>
  <c r="U289" i="17"/>
  <c r="X289" i="17"/>
  <c r="V344" i="17"/>
  <c r="U344" i="17"/>
  <c r="W344" i="17"/>
  <c r="X344" i="17"/>
  <c r="V290" i="17"/>
  <c r="W290" i="17"/>
  <c r="X290" i="17"/>
  <c r="U290" i="17"/>
  <c r="V345" i="17"/>
  <c r="W345" i="17"/>
  <c r="X345" i="17"/>
  <c r="U345" i="17"/>
  <c r="X362" i="17"/>
  <c r="V362" i="17"/>
  <c r="U362" i="17"/>
  <c r="W362" i="17"/>
  <c r="V361" i="17"/>
  <c r="W361" i="17"/>
  <c r="U361" i="17"/>
  <c r="X361" i="17"/>
  <c r="X360" i="17"/>
  <c r="W360" i="17"/>
  <c r="V360" i="17"/>
  <c r="U326" i="17"/>
  <c r="V326" i="17"/>
  <c r="X326" i="17"/>
  <c r="W326" i="17"/>
  <c r="U325" i="17"/>
  <c r="V325" i="17"/>
  <c r="W325" i="17"/>
  <c r="X325" i="17"/>
  <c r="X324" i="17"/>
  <c r="U324" i="17"/>
  <c r="V324" i="17"/>
  <c r="W324" i="17"/>
  <c r="X309" i="17"/>
  <c r="U309" i="17"/>
  <c r="W309" i="17"/>
  <c r="V309" i="17"/>
  <c r="W308" i="17"/>
  <c r="V308" i="17"/>
  <c r="U308" i="17"/>
  <c r="X308" i="17"/>
  <c r="W307" i="17"/>
  <c r="X307" i="17"/>
  <c r="V307" i="17"/>
  <c r="U307" i="17"/>
  <c r="F314" i="17"/>
  <c r="K307" i="17"/>
  <c r="F350" i="17"/>
  <c r="K343" i="17"/>
  <c r="AO16" i="17"/>
  <c r="S63" i="17"/>
  <c r="F366" i="17"/>
  <c r="J360" i="17"/>
  <c r="F295" i="17"/>
  <c r="J288" i="17"/>
  <c r="F331" i="17"/>
  <c r="BT170" i="40"/>
  <c r="CF98" i="40"/>
  <c r="CA86" i="40"/>
  <c r="BX62" i="40"/>
  <c r="BE19" i="17"/>
  <c r="F60" i="17"/>
  <c r="F67" i="17"/>
  <c r="S11" i="17"/>
  <c r="S22" i="17"/>
  <c r="W15" i="17"/>
  <c r="S38" i="17"/>
  <c r="S49" i="17"/>
  <c r="W42" i="17"/>
  <c r="F66" i="17"/>
  <c r="AQ18" i="17"/>
  <c r="S12" i="17"/>
  <c r="S23" i="17"/>
  <c r="X16" i="17"/>
  <c r="AW19" i="17"/>
  <c r="F68" i="17"/>
  <c r="F11" i="17"/>
  <c r="F18" i="17"/>
  <c r="F40" i="17"/>
  <c r="F47" i="17"/>
  <c r="F38" i="17"/>
  <c r="F45" i="17"/>
  <c r="AW20" i="17"/>
  <c r="AW21" i="17"/>
  <c r="BA21" i="17"/>
  <c r="S60" i="17"/>
  <c r="S68" i="17"/>
  <c r="W64" i="17"/>
  <c r="S39" i="17"/>
  <c r="S50" i="17"/>
  <c r="F39" i="17"/>
  <c r="F46" i="17"/>
  <c r="BA20" i="17"/>
  <c r="F12" i="17"/>
  <c r="F19" i="17"/>
  <c r="BA19" i="17"/>
  <c r="S67" i="17"/>
  <c r="W63" i="17"/>
  <c r="S90" i="17"/>
  <c r="F165" i="17"/>
  <c r="F152" i="17"/>
  <c r="F154" i="17"/>
  <c r="F192" i="17"/>
  <c r="S241" i="17"/>
  <c r="F90" i="17"/>
  <c r="F272" i="17"/>
  <c r="CC93" i="40"/>
  <c r="CC150" i="40"/>
  <c r="CC95" i="40"/>
  <c r="F153" i="17"/>
  <c r="F125" i="17"/>
  <c r="F257" i="17"/>
  <c r="S274" i="17"/>
  <c r="F167" i="17"/>
  <c r="S257" i="17"/>
  <c r="V254" i="17"/>
  <c r="F205" i="17"/>
  <c r="F274" i="17"/>
  <c r="F273" i="17"/>
  <c r="CC159" i="40"/>
  <c r="S105" i="17"/>
  <c r="CC137" i="40"/>
  <c r="S272" i="17"/>
  <c r="CC153" i="40"/>
  <c r="CA171" i="40"/>
  <c r="S273" i="17"/>
  <c r="CC180" i="40"/>
  <c r="CC178" i="40"/>
  <c r="S104" i="17"/>
  <c r="CC181" i="40"/>
  <c r="CC179" i="40"/>
  <c r="CA99" i="40"/>
  <c r="BY95" i="40"/>
  <c r="CA100" i="40"/>
  <c r="CC97" i="40"/>
  <c r="CC94" i="40"/>
  <c r="CA101" i="40"/>
  <c r="F258" i="17"/>
  <c r="S258" i="17"/>
  <c r="U255" i="17"/>
  <c r="F181" i="17"/>
  <c r="S106" i="17"/>
  <c r="S205" i="17"/>
  <c r="CC148" i="40"/>
  <c r="F204" i="17"/>
  <c r="F180" i="17"/>
  <c r="S204" i="17"/>
  <c r="CA150" i="40"/>
  <c r="CA137" i="40"/>
  <c r="S91" i="17"/>
  <c r="F179" i="17"/>
  <c r="S108" i="17"/>
  <c r="CA148" i="40"/>
  <c r="F218" i="17"/>
  <c r="CA109" i="40"/>
  <c r="F240" i="17"/>
  <c r="S218" i="17"/>
  <c r="U216" i="17"/>
  <c r="CA177" i="40"/>
  <c r="F88" i="17"/>
  <c r="CA159" i="40"/>
  <c r="CA94" i="40"/>
  <c r="F140" i="17"/>
  <c r="CA180" i="40"/>
  <c r="CA178" i="40"/>
  <c r="CC171" i="40"/>
  <c r="CC139" i="40"/>
  <c r="CC121" i="40"/>
  <c r="S82" i="17"/>
  <c r="S89" i="17"/>
  <c r="BY97" i="40"/>
  <c r="CA106" i="40"/>
  <c r="CA153" i="40"/>
  <c r="CA95" i="40"/>
  <c r="CA93" i="40"/>
  <c r="CA108" i="40"/>
  <c r="CA181" i="40"/>
  <c r="CA179" i="40"/>
  <c r="BY93" i="40"/>
  <c r="AQ29" i="17"/>
  <c r="F217" i="17"/>
  <c r="F241" i="17"/>
  <c r="S217" i="17"/>
  <c r="U215" i="17"/>
  <c r="F89" i="17"/>
  <c r="CA126" i="40"/>
  <c r="F242" i="17"/>
  <c r="CC163" i="40"/>
  <c r="CA163" i="40"/>
  <c r="CC161" i="40"/>
  <c r="CA161" i="40"/>
  <c r="BY161" i="40"/>
  <c r="F193" i="17"/>
  <c r="F166" i="17"/>
  <c r="CA97" i="40"/>
  <c r="CA73" i="40"/>
  <c r="CC73" i="40"/>
  <c r="S242" i="17"/>
  <c r="F123" i="17"/>
  <c r="BE21" i="17"/>
  <c r="CC162" i="40"/>
  <c r="CA162" i="40"/>
  <c r="CA160" i="40"/>
  <c r="CC160" i="40"/>
  <c r="BY160" i="40"/>
  <c r="CA84" i="40"/>
  <c r="CA82" i="40"/>
  <c r="CC82" i="40"/>
  <c r="CA71" i="40"/>
  <c r="CC71" i="40"/>
  <c r="K62" i="40"/>
  <c r="F106" i="17"/>
  <c r="F105" i="17"/>
  <c r="F104" i="17"/>
  <c r="I288" i="17"/>
  <c r="S40" i="17"/>
  <c r="S51" i="17"/>
  <c r="CC177" i="40"/>
  <c r="F13" i="17"/>
  <c r="F20" i="17"/>
  <c r="S13" i="17"/>
  <c r="S61" i="17"/>
  <c r="S69" i="17"/>
  <c r="CA139" i="40"/>
  <c r="BY94" i="40"/>
  <c r="CC84" i="40"/>
  <c r="BY163" i="40"/>
  <c r="BY162" i="40"/>
  <c r="BY159" i="40"/>
  <c r="BY153" i="40"/>
  <c r="CA107" i="40"/>
  <c r="AR52" i="17"/>
  <c r="BP70" i="17"/>
  <c r="BU73" i="17"/>
  <c r="I207" i="44"/>
  <c r="AE96" i="17"/>
  <c r="V150" i="17"/>
  <c r="U150" i="17"/>
  <c r="X150" i="17"/>
  <c r="W150" i="17"/>
  <c r="V163" i="17"/>
  <c r="X163" i="17"/>
  <c r="U163" i="17"/>
  <c r="W163" i="17"/>
  <c r="S150" i="17"/>
  <c r="S156" i="17"/>
  <c r="AO34" i="17"/>
  <c r="U151" i="17"/>
  <c r="V151" i="17"/>
  <c r="X151" i="17"/>
  <c r="W151" i="17"/>
  <c r="AD102" i="17"/>
  <c r="AD54" i="17"/>
  <c r="AD59" i="17"/>
  <c r="AD80" i="17"/>
  <c r="AD85" i="17"/>
  <c r="AG85" i="17"/>
  <c r="AD91" i="17"/>
  <c r="AD96" i="17"/>
  <c r="AD113" i="17"/>
  <c r="K326" i="40"/>
  <c r="CF86" i="40"/>
  <c r="V164" i="17"/>
  <c r="U164" i="17"/>
  <c r="W164" i="17"/>
  <c r="X164" i="17"/>
  <c r="S163" i="17"/>
  <c r="S169" i="17"/>
  <c r="AO35" i="17"/>
  <c r="AQ35" i="17"/>
  <c r="AX79" i="17"/>
  <c r="BP84" i="17"/>
  <c r="CE20" i="17"/>
  <c r="BR73" i="17"/>
  <c r="BT73" i="17"/>
  <c r="BS73" i="17"/>
  <c r="H307" i="17"/>
  <c r="I307" i="17"/>
  <c r="F41" i="17"/>
  <c r="F48" i="17"/>
  <c r="S41" i="17"/>
  <c r="S52" i="17"/>
  <c r="F14" i="17"/>
  <c r="F21" i="17"/>
  <c r="F22" i="17"/>
  <c r="I15" i="17"/>
  <c r="S14" i="17"/>
  <c r="S25" i="17"/>
  <c r="CF62" i="40"/>
  <c r="S120" i="17"/>
  <c r="S127" i="17"/>
  <c r="AO32" i="17"/>
  <c r="CF170" i="40"/>
  <c r="AO45" i="17"/>
  <c r="S238" i="17"/>
  <c r="X136" i="17"/>
  <c r="W136" i="17"/>
  <c r="V136" i="17"/>
  <c r="U136" i="17"/>
  <c r="CF182" i="40"/>
  <c r="AO46" i="17"/>
  <c r="S253" i="17"/>
  <c r="S260" i="17"/>
  <c r="W120" i="17"/>
  <c r="U120" i="17"/>
  <c r="V120" i="17"/>
  <c r="X120" i="17"/>
  <c r="CF74" i="40"/>
  <c r="AO33" i="17"/>
  <c r="S136" i="17"/>
  <c r="S142" i="17"/>
  <c r="CF152" i="40"/>
  <c r="AO41" i="17"/>
  <c r="S214" i="17"/>
  <c r="S220" i="17"/>
  <c r="AX62" i="17"/>
  <c r="BP83" i="17"/>
  <c r="BB46" i="17"/>
  <c r="BP94" i="17"/>
  <c r="W190" i="17"/>
  <c r="U190" i="17"/>
  <c r="X190" i="17"/>
  <c r="V190" i="17"/>
  <c r="W121" i="17"/>
  <c r="X121" i="17"/>
  <c r="U121" i="17"/>
  <c r="V121" i="17"/>
  <c r="CF128" i="40"/>
  <c r="S190" i="17"/>
  <c r="S195" i="17"/>
  <c r="AO39" i="17"/>
  <c r="CF140" i="40"/>
  <c r="S202" i="17"/>
  <c r="S207" i="17"/>
  <c r="AO40" i="17"/>
  <c r="U137" i="17"/>
  <c r="X137" i="17"/>
  <c r="W137" i="17"/>
  <c r="V137" i="17"/>
  <c r="U202" i="17"/>
  <c r="V202" i="17"/>
  <c r="W202" i="17"/>
  <c r="X202" i="17"/>
  <c r="K360" i="17"/>
  <c r="J307" i="17"/>
  <c r="V102" i="17"/>
  <c r="W102" i="17"/>
  <c r="X102" i="17"/>
  <c r="U102" i="17"/>
  <c r="U270" i="17"/>
  <c r="V270" i="17"/>
  <c r="W270" i="17"/>
  <c r="X270" i="17"/>
  <c r="U86" i="17"/>
  <c r="V86" i="17"/>
  <c r="W86" i="17"/>
  <c r="X86" i="17"/>
  <c r="I343" i="17"/>
  <c r="U101" i="17"/>
  <c r="V101" i="17"/>
  <c r="X101" i="17"/>
  <c r="W101" i="17"/>
  <c r="H343" i="17"/>
  <c r="X103" i="17"/>
  <c r="U103" i="17"/>
  <c r="V103" i="17"/>
  <c r="W103" i="17"/>
  <c r="V87" i="17"/>
  <c r="U87" i="17"/>
  <c r="W87" i="17"/>
  <c r="X87" i="17"/>
  <c r="J343" i="17"/>
  <c r="W269" i="17"/>
  <c r="V269" i="17"/>
  <c r="X269" i="17"/>
  <c r="U269" i="17"/>
  <c r="U88" i="17"/>
  <c r="V88" i="17"/>
  <c r="X88" i="17"/>
  <c r="W88" i="17"/>
  <c r="W271" i="17"/>
  <c r="U271" i="17"/>
  <c r="V271" i="17"/>
  <c r="X271" i="17"/>
  <c r="U238" i="17"/>
  <c r="V238" i="17"/>
  <c r="X238" i="17"/>
  <c r="W238" i="17"/>
  <c r="U239" i="17"/>
  <c r="V239" i="17"/>
  <c r="W239" i="17"/>
  <c r="X239" i="17"/>
  <c r="X240" i="17"/>
  <c r="U240" i="17"/>
  <c r="V240" i="17"/>
  <c r="W240" i="17"/>
  <c r="W216" i="17"/>
  <c r="X216" i="17"/>
  <c r="V216" i="17"/>
  <c r="W215" i="17"/>
  <c r="X215" i="17"/>
  <c r="V215" i="17"/>
  <c r="W214" i="17"/>
  <c r="X214" i="17"/>
  <c r="V214" i="17"/>
  <c r="X204" i="17"/>
  <c r="U204" i="17"/>
  <c r="V204" i="17"/>
  <c r="W204" i="17"/>
  <c r="U203" i="17"/>
  <c r="V203" i="17"/>
  <c r="W203" i="17"/>
  <c r="X203" i="17"/>
  <c r="K288" i="17"/>
  <c r="H288" i="17"/>
  <c r="AO15" i="17"/>
  <c r="AO14" i="17"/>
  <c r="K324" i="17"/>
  <c r="H324" i="17"/>
  <c r="I324" i="17"/>
  <c r="J324" i="17"/>
  <c r="I360" i="17"/>
  <c r="H360" i="17"/>
  <c r="AX19" i="17"/>
  <c r="BF19" i="17"/>
  <c r="BP46" i="17"/>
  <c r="AD14" i="17"/>
  <c r="AD15" i="17"/>
  <c r="Q25" i="17"/>
  <c r="V16" i="17"/>
  <c r="U16" i="17"/>
  <c r="W16" i="17"/>
  <c r="V63" i="17"/>
  <c r="U63" i="17"/>
  <c r="F70" i="17"/>
  <c r="I63" i="17"/>
  <c r="F49" i="17"/>
  <c r="J42" i="17"/>
  <c r="X63" i="17"/>
  <c r="U15" i="17"/>
  <c r="U42" i="17"/>
  <c r="V42" i="17"/>
  <c r="V15" i="17"/>
  <c r="X42" i="17"/>
  <c r="X15" i="17"/>
  <c r="U64" i="17"/>
  <c r="X64" i="17"/>
  <c r="V64" i="17"/>
  <c r="BB19" i="17"/>
  <c r="BP37" i="17"/>
  <c r="AQ15" i="17"/>
  <c r="S42" i="17"/>
  <c r="S53" i="17"/>
  <c r="AQ28" i="17"/>
  <c r="AR28" i="17"/>
  <c r="BP66" i="17"/>
  <c r="V255" i="17"/>
  <c r="X254" i="17"/>
  <c r="U254" i="17"/>
  <c r="F207" i="17"/>
  <c r="J201" i="17"/>
  <c r="X255" i="17"/>
  <c r="W255" i="17"/>
  <c r="CT16" i="17"/>
  <c r="F276" i="17"/>
  <c r="K269" i="17"/>
  <c r="W254" i="17"/>
  <c r="F183" i="17"/>
  <c r="J177" i="17"/>
  <c r="F92" i="17"/>
  <c r="CH19" i="17"/>
  <c r="F260" i="17"/>
  <c r="H253" i="17"/>
  <c r="F169" i="17"/>
  <c r="I162" i="17"/>
  <c r="F156" i="17"/>
  <c r="K149" i="17"/>
  <c r="BT86" i="17"/>
  <c r="F142" i="17"/>
  <c r="I136" i="17"/>
  <c r="F244" i="17"/>
  <c r="H237" i="17"/>
  <c r="AQ47" i="17"/>
  <c r="S276" i="17"/>
  <c r="F195" i="17"/>
  <c r="H189" i="17"/>
  <c r="AQ38" i="17"/>
  <c r="F220" i="17"/>
  <c r="J214" i="17"/>
  <c r="S93" i="17"/>
  <c r="CH16" i="17"/>
  <c r="F127" i="17"/>
  <c r="J120" i="17"/>
  <c r="F108" i="17"/>
  <c r="K101" i="17"/>
  <c r="W253" i="17"/>
  <c r="W256" i="17"/>
  <c r="X253" i="17"/>
  <c r="X256" i="17"/>
  <c r="V253" i="17"/>
  <c r="V256" i="17"/>
  <c r="U253" i="17"/>
  <c r="S15" i="17"/>
  <c r="S26" i="17"/>
  <c r="S24" i="17"/>
  <c r="AG79" i="17"/>
  <c r="W65" i="17"/>
  <c r="V65" i="17"/>
  <c r="U65" i="17"/>
  <c r="X65" i="17"/>
  <c r="S244" i="17"/>
  <c r="AG81" i="17"/>
  <c r="X44" i="17"/>
  <c r="W44" i="17"/>
  <c r="U44" i="17"/>
  <c r="V44" i="17"/>
  <c r="W43" i="17"/>
  <c r="U43" i="17"/>
  <c r="X43" i="17"/>
  <c r="V43" i="17"/>
  <c r="S71" i="17"/>
  <c r="AQ16" i="17"/>
  <c r="U256" i="17"/>
  <c r="AG96" i="17"/>
  <c r="AQ45" i="17"/>
  <c r="BP86" i="17"/>
  <c r="K332" i="40"/>
  <c r="K338" i="40"/>
  <c r="AG91" i="17"/>
  <c r="AD38" i="17"/>
  <c r="AD26" i="17"/>
  <c r="AD34" i="17"/>
  <c r="AD30" i="17"/>
  <c r="AG80" i="17"/>
  <c r="AD118" i="17"/>
  <c r="AG118" i="17"/>
  <c r="AG113" i="17"/>
  <c r="AG102" i="17"/>
  <c r="AD107" i="17"/>
  <c r="AG107" i="17"/>
  <c r="AQ32" i="17"/>
  <c r="AQ33" i="17"/>
  <c r="AQ40" i="17"/>
  <c r="AQ41" i="17"/>
  <c r="AQ39" i="17"/>
  <c r="AQ46" i="17"/>
  <c r="AR45" i="17"/>
  <c r="BP69" i="17"/>
  <c r="AQ14" i="17"/>
  <c r="U45" i="17"/>
  <c r="W45" i="17"/>
  <c r="V45" i="17"/>
  <c r="X45" i="17"/>
  <c r="BP28" i="17"/>
  <c r="BP29" i="17"/>
  <c r="X18" i="17"/>
  <c r="U18" i="17"/>
  <c r="W18" i="17"/>
  <c r="V18" i="17"/>
  <c r="BR88" i="17"/>
  <c r="BU88" i="17"/>
  <c r="BS88" i="17"/>
  <c r="BT88" i="17"/>
  <c r="BS69" i="17"/>
  <c r="BT69" i="17"/>
  <c r="BU69" i="17"/>
  <c r="BR69" i="17"/>
  <c r="BT97" i="17"/>
  <c r="BU97" i="17"/>
  <c r="BR97" i="17"/>
  <c r="BS97" i="17"/>
  <c r="BP98" i="17"/>
  <c r="H85" i="17"/>
  <c r="I85" i="17"/>
  <c r="BT40" i="17"/>
  <c r="BP38" i="17"/>
  <c r="BR41" i="17"/>
  <c r="BT49" i="17"/>
  <c r="BP47" i="17"/>
  <c r="J63" i="17"/>
  <c r="H63" i="17"/>
  <c r="K63" i="17"/>
  <c r="H15" i="17"/>
  <c r="J15" i="17"/>
  <c r="H42" i="17"/>
  <c r="K15" i="17"/>
  <c r="K42" i="17"/>
  <c r="I42" i="17"/>
  <c r="BR40" i="17"/>
  <c r="BR49" i="17"/>
  <c r="BS49" i="17"/>
  <c r="BU40" i="17"/>
  <c r="BU49" i="17"/>
  <c r="BS40" i="17"/>
  <c r="AR14" i="17"/>
  <c r="I201" i="17"/>
  <c r="J85" i="17"/>
  <c r="K201" i="17"/>
  <c r="CE16" i="17"/>
  <c r="CT17" i="17"/>
  <c r="I101" i="17"/>
  <c r="BR108" i="17"/>
  <c r="K162" i="17"/>
  <c r="K85" i="17"/>
  <c r="J149" i="17"/>
  <c r="H177" i="17"/>
  <c r="K177" i="17"/>
  <c r="J269" i="17"/>
  <c r="K136" i="17"/>
  <c r="H201" i="17"/>
  <c r="I269" i="17"/>
  <c r="H269" i="17"/>
  <c r="H149" i="17"/>
  <c r="H162" i="17"/>
  <c r="J162" i="17"/>
  <c r="I177" i="17"/>
  <c r="J136" i="17"/>
  <c r="H136" i="17"/>
  <c r="BU86" i="17"/>
  <c r="J101" i="17"/>
  <c r="CH18" i="17"/>
  <c r="I149" i="17"/>
  <c r="BR86" i="17"/>
  <c r="K253" i="17"/>
  <c r="I253" i="17"/>
  <c r="J253" i="17"/>
  <c r="K237" i="17"/>
  <c r="BS86" i="17"/>
  <c r="BR84" i="17"/>
  <c r="H214" i="17"/>
  <c r="BS84" i="17"/>
  <c r="K214" i="17"/>
  <c r="BU84" i="17"/>
  <c r="K120" i="17"/>
  <c r="I237" i="17"/>
  <c r="BT84" i="17"/>
  <c r="H120" i="17"/>
  <c r="J237" i="17"/>
  <c r="I120" i="17"/>
  <c r="K189" i="17"/>
  <c r="I214" i="17"/>
  <c r="I189" i="17"/>
  <c r="J189" i="17"/>
  <c r="H101" i="17"/>
  <c r="CN19" i="17"/>
  <c r="AG55" i="17"/>
  <c r="AI53" i="17"/>
  <c r="AD128" i="17"/>
  <c r="CN18" i="17"/>
  <c r="AG56" i="17"/>
  <c r="AF58" i="17"/>
  <c r="AD129" i="17"/>
  <c r="CT18" i="17"/>
  <c r="V17" i="17"/>
  <c r="U17" i="17"/>
  <c r="W17" i="17"/>
  <c r="X17" i="17"/>
  <c r="BU31" i="17"/>
  <c r="AG34" i="17"/>
  <c r="AD35" i="17"/>
  <c r="AR38" i="17"/>
  <c r="BP68" i="17"/>
  <c r="BU71" i="17"/>
  <c r="AD27" i="17"/>
  <c r="AG26" i="17"/>
  <c r="AD39" i="17"/>
  <c r="AG38" i="17"/>
  <c r="AG30" i="17"/>
  <c r="AD31" i="17"/>
  <c r="BP14" i="17"/>
  <c r="BR17" i="17"/>
  <c r="CE21" i="17"/>
  <c r="BS31" i="17"/>
  <c r="BT31" i="17"/>
  <c r="BR31" i="17"/>
  <c r="BS32" i="17"/>
  <c r="BR32" i="17"/>
  <c r="BU32" i="17"/>
  <c r="BT32" i="17"/>
  <c r="AF131" i="17"/>
  <c r="AG131" i="17"/>
  <c r="AH131" i="17"/>
  <c r="AI131" i="17"/>
  <c r="AF132" i="17"/>
  <c r="AG132" i="17"/>
  <c r="AI132" i="17"/>
  <c r="AH132" i="17"/>
  <c r="BS72" i="17"/>
  <c r="BR72" i="17"/>
  <c r="BT72" i="17"/>
  <c r="BU72" i="17"/>
  <c r="BT71" i="17"/>
  <c r="CE19" i="17"/>
  <c r="BT50" i="17"/>
  <c r="BR50" i="17"/>
  <c r="BU41" i="17"/>
  <c r="BS50" i="17"/>
  <c r="BU50" i="17"/>
  <c r="BS41" i="17"/>
  <c r="BT41" i="17"/>
  <c r="CT19" i="17"/>
  <c r="CT21" i="17"/>
  <c r="CW27" i="17"/>
  <c r="CT31" i="17"/>
  <c r="BR96" i="17"/>
  <c r="CN16" i="17"/>
  <c r="AE14" i="17"/>
  <c r="AE15" i="17"/>
  <c r="AG15" i="17"/>
  <c r="BU85" i="17"/>
  <c r="CH17" i="17"/>
  <c r="BS85" i="17"/>
  <c r="BR85" i="17"/>
  <c r="BT85" i="17"/>
  <c r="AG53" i="17"/>
  <c r="AF53" i="17"/>
  <c r="AD126" i="17"/>
  <c r="CN17" i="17"/>
  <c r="BS71" i="17"/>
  <c r="CE18" i="17"/>
  <c r="BR71" i="17"/>
  <c r="CN21" i="17"/>
  <c r="CQ27" i="17"/>
  <c r="CN31" i="17"/>
  <c r="CN35" i="17"/>
  <c r="AG129" i="17"/>
  <c r="AH129" i="17"/>
  <c r="AI129" i="17"/>
  <c r="AF129" i="17"/>
  <c r="CH21" i="17"/>
  <c r="CK27" i="17"/>
  <c r="CH31" i="17"/>
  <c r="BS17" i="17"/>
  <c r="BT17" i="17"/>
  <c r="BU17" i="17"/>
  <c r="BP15" i="17"/>
  <c r="BU87" i="17"/>
  <c r="BR87" i="17"/>
  <c r="BT87" i="17"/>
  <c r="BS87" i="17"/>
  <c r="AF14" i="17"/>
  <c r="AH14" i="17"/>
  <c r="AG14" i="17"/>
  <c r="CE22" i="17"/>
  <c r="CU35" i="17"/>
  <c r="CT35" i="17"/>
  <c r="CH35" i="17"/>
  <c r="CI35" i="17"/>
  <c r="BT18" i="17"/>
  <c r="BS18" i="17"/>
  <c r="BU18" i="17"/>
  <c r="BR18" i="17"/>
  <c r="CO35" i="17"/>
  <c r="AF21" i="17"/>
  <c r="AE21" i="17"/>
  <c r="AG21" i="17"/>
  <c r="AH21" i="17"/>
  <c r="AI14" i="17"/>
  <c r="AQ34" i="17"/>
  <c r="AR32" i="17"/>
  <c r="BP67" i="17"/>
  <c r="BR70" i="17"/>
  <c r="BS70" i="17"/>
  <c r="BT70" i="17"/>
  <c r="BU70" i="17"/>
  <c r="BP71" i="17"/>
  <c r="CC86" i="40"/>
  <c r="BV62" i="40"/>
  <c r="BV326" i="40"/>
  <c r="CE17" i="17"/>
  <c r="CE23" i="17"/>
  <c r="BV330" i="40"/>
  <c r="BV332" i="40"/>
  <c r="CG62" i="40"/>
  <c r="AE54" i="17"/>
  <c r="CB27" i="17"/>
  <c r="CB31" i="17"/>
  <c r="CC35" i="17"/>
  <c r="AE59" i="17"/>
  <c r="AG54" i="17"/>
  <c r="CB35" i="17"/>
  <c r="AH53" i="17"/>
  <c r="AD127" i="17"/>
  <c r="AG59" i="17"/>
  <c r="AG130" i="17"/>
  <c r="AF130" i="17"/>
  <c r="AI130" i="17"/>
  <c r="AH130" i="17"/>
</calcChain>
</file>

<file path=xl/sharedStrings.xml><?xml version="1.0" encoding="utf-8"?>
<sst xmlns="http://schemas.openxmlformats.org/spreadsheetml/2006/main" count="3060" uniqueCount="688">
  <si>
    <t>Resultado 1</t>
  </si>
  <si>
    <t>Indicadores</t>
  </si>
  <si>
    <t>Línea de Base</t>
  </si>
  <si>
    <t>Metas Programadas</t>
  </si>
  <si>
    <t>METAS ANUALES</t>
  </si>
  <si>
    <t>AVANCES EN LA IMPLEMENTACIÓN</t>
  </si>
  <si>
    <t>Medios de Verificación</t>
  </si>
  <si>
    <t>Semáforo</t>
  </si>
  <si>
    <t>TOTAL ANUAL</t>
  </si>
  <si>
    <t>ANUAL</t>
  </si>
  <si>
    <t>GLOBAL</t>
  </si>
  <si>
    <t>Total Anual</t>
  </si>
  <si>
    <t>T1</t>
  </si>
  <si>
    <t>T2</t>
  </si>
  <si>
    <t>T3</t>
  </si>
  <si>
    <t>T4</t>
  </si>
  <si>
    <t>Financiero</t>
  </si>
  <si>
    <t>RESULTADO 1 El Estado, la sociedad civil organizada, los pueblos indígenas y el sector privado, abordan las causas estructurales y emergentes de la conflictividad social y transforman su relacionamiento</t>
  </si>
  <si>
    <t>PRODUCTO 1.1</t>
  </si>
  <si>
    <t>TOTAL</t>
  </si>
  <si>
    <t>Programático</t>
  </si>
  <si>
    <t>Instrumentos de análisis, planeación estratégica y política pública para la promoción del diálogo democrático y la transformación de la conflictividad social con enfoque de derechos humanos, diseñados, adoptados y en proceso de implementación.</t>
  </si>
  <si>
    <t xml:space="preserve">Grado de avance en la elaboración de los instrumentos de análisis, planeación estratégica y política pública
</t>
  </si>
  <si>
    <t>instrumentos de análisis, planeación estratégica y política pública</t>
  </si>
  <si>
    <t>PRODUCTO 1.2</t>
  </si>
  <si>
    <t>Nivel de inclusión de los actores involucrados en los procesos de diálogo</t>
  </si>
  <si>
    <t>Porciento de de conclusiones y recomendaciones de los procesos de diálogos estratégicos usados en la construcción de instrumentos normativos y de política y/o en debates políticos</t>
  </si>
  <si>
    <t xml:space="preserve"> procesos de diálogo estratégico que abordan el impacto diferenciado del conflicto en las mujeres y hombres</t>
  </si>
  <si>
    <t>PRODUCTO 1.3</t>
  </si>
  <si>
    <t>Nivel de progreso de las consultas de acuerdo a metodología establecida</t>
  </si>
  <si>
    <t>lecciones aprendidas y buenas prácticas extraídas de los procesos de consulta</t>
  </si>
  <si>
    <t>mujeres que se han preparado y participan en los procesos de consulta y/o en el diseño de políticas públicas relevantes</t>
  </si>
  <si>
    <t>PRODUCTO 1.4</t>
  </si>
  <si>
    <t>Instrumentos de política y fortalecimiento de capacidades para la protección a defensoras y defensores de derechos humanos, diseñados participativamente, adoptados y en proceso de implementación.</t>
  </si>
  <si>
    <t>AVANCES METAS GLOBALES RESULTADO 1</t>
  </si>
  <si>
    <t>AVANCES ANUALES ANUALES RESULTADO 1</t>
  </si>
  <si>
    <t>PRESUPUESTO PLANIFICADO Y EJECUTADO GLOBAL  RESULTADOS 1</t>
  </si>
  <si>
    <t>METAS PLANIFICADAS Y ALCANZADAS  RESULTADOS GLOBALES</t>
  </si>
  <si>
    <t>METAS PLANIFICADAS Y ALCANZADAS ANUALES</t>
  </si>
  <si>
    <t>COMPORTAMIENTO PROMEDIO DE RESULTADOS POR AÑO</t>
  </si>
  <si>
    <t>VELOCIMETRO POR NIVEL DE RESULTADOS</t>
  </si>
  <si>
    <t>Indicador 1.1</t>
  </si>
  <si>
    <t>PLANIFICACIÓN Y EJECUCIÓN DE PRESUPUESTO RESULTADOS</t>
  </si>
  <si>
    <t>METAS PLANIFICADAS Y ALCANZADAS POR RESULTADOS</t>
  </si>
  <si>
    <t>Planificada</t>
  </si>
  <si>
    <t>Alcanzada</t>
  </si>
  <si>
    <t>Meta 2017</t>
  </si>
  <si>
    <t>Referencia</t>
  </si>
  <si>
    <t>PRESUPUESTO GLOBAL</t>
  </si>
  <si>
    <t>RESULTADO 1</t>
  </si>
  <si>
    <t>COMPORTAMIENTO PROMEDIO  DE RESULTADOS GLOBAL</t>
  </si>
  <si>
    <t>VELOCÍMETRO NIVEL DE PRODUCTOS  RESULTADO 1</t>
  </si>
  <si>
    <t>Meta 2018</t>
  </si>
  <si>
    <t>Meta 2019</t>
  </si>
  <si>
    <t>Resultados</t>
  </si>
  <si>
    <t>Planificado</t>
  </si>
  <si>
    <t>Ejecutado</t>
  </si>
  <si>
    <t>Restante</t>
  </si>
  <si>
    <t>% Ejecución</t>
  </si>
  <si>
    <t>%</t>
  </si>
  <si>
    <t>Meta planificada</t>
  </si>
  <si>
    <t>Meta alcanzada</t>
  </si>
  <si>
    <t>Promedio</t>
  </si>
  <si>
    <t>Meta alcanzada 2017</t>
  </si>
  <si>
    <t>Meta alcanzada 2018</t>
  </si>
  <si>
    <t>Meta alcanzada 2019</t>
  </si>
  <si>
    <t>Avances</t>
  </si>
  <si>
    <t>Meta Total</t>
  </si>
  <si>
    <t>Rojo</t>
  </si>
  <si>
    <t>Amarillo</t>
  </si>
  <si>
    <t>Verde</t>
  </si>
  <si>
    <t>Lila</t>
  </si>
  <si>
    <t>Avances Globales</t>
  </si>
  <si>
    <t>Avances 2016</t>
  </si>
  <si>
    <t>Avances 2017</t>
  </si>
  <si>
    <t>Avances 2018</t>
  </si>
  <si>
    <t>Indicador 1.2</t>
  </si>
  <si>
    <t>Escala</t>
  </si>
  <si>
    <t>Productos</t>
  </si>
  <si>
    <t>Indicador 1.3</t>
  </si>
  <si>
    <t>R1</t>
  </si>
  <si>
    <t>PRESUPUESTO ANUAL</t>
  </si>
  <si>
    <t>COMPORTAMIENTO PROMEDIO DE RESULTADOS ANUAL</t>
  </si>
  <si>
    <t>Ejecutado 2017</t>
  </si>
  <si>
    <t xml:space="preserve">AVANCE </t>
  </si>
  <si>
    <t>Ejecutado 2018</t>
  </si>
  <si>
    <t>% Ejecución 2017</t>
  </si>
  <si>
    <t>GRADO</t>
  </si>
  <si>
    <t>Puntos</t>
  </si>
  <si>
    <t>X</t>
  </si>
  <si>
    <t>Y</t>
  </si>
  <si>
    <t>Inicio</t>
  </si>
  <si>
    <t>METAS PLANIFICADAS Y ALCANZADAS  PRODUCTOS GLOBALES</t>
  </si>
  <si>
    <t>Fin</t>
  </si>
  <si>
    <t>Ejecutado 2019</t>
  </si>
  <si>
    <t>% Ejecución 2018</t>
  </si>
  <si>
    <t>METAS PLANIFICADAS Y ALCANZADAS POR PRODUCTOS RESULTADO 1</t>
  </si>
  <si>
    <t>P.1.1</t>
  </si>
  <si>
    <t>Ind. 1.1.1</t>
  </si>
  <si>
    <t>Ind. 1.1.2</t>
  </si>
  <si>
    <t>PLANIFICACIÓN Y EJECUCIÓN DE PRESUPUESTO PRODUCTOS</t>
  </si>
  <si>
    <t>PRESUPUESTO GLOBAL PLANIFICADO Y EJECUTADO PRODUCTOS</t>
  </si>
  <si>
    <t xml:space="preserve">PRODUCTOS </t>
  </si>
  <si>
    <t>Producto 1.2</t>
  </si>
  <si>
    <t>Ind. 1.2.1</t>
  </si>
  <si>
    <t>PRODUCTOS RESULTADO 1</t>
  </si>
  <si>
    <t>Ind. 1.2.2</t>
  </si>
  <si>
    <t>Ind. 1.2.3</t>
  </si>
  <si>
    <t>P.1.2</t>
  </si>
  <si>
    <t>P.1.3</t>
  </si>
  <si>
    <t>Ind. 1.2.4</t>
  </si>
  <si>
    <t>Producto 1.1</t>
  </si>
  <si>
    <t>Producto 1.3</t>
  </si>
  <si>
    <t>P1.3</t>
  </si>
  <si>
    <t>Indicador 1.1.1</t>
  </si>
  <si>
    <t>Producto 1.4</t>
  </si>
  <si>
    <t>Ind. 1.3.1</t>
  </si>
  <si>
    <t>Indicador 1.1.2</t>
  </si>
  <si>
    <t>P.1.4</t>
  </si>
  <si>
    <t>Ind. 1.3.2</t>
  </si>
  <si>
    <t>Ind. 1.3.3</t>
  </si>
  <si>
    <t>PROMEDIO DE PRODUCTO A NIVEL GLOBAL</t>
  </si>
  <si>
    <t>P1.4</t>
  </si>
  <si>
    <t>Ind. 1.4.1</t>
  </si>
  <si>
    <t>Ind. 1.4.2</t>
  </si>
  <si>
    <t>Ind. 1.4.3</t>
  </si>
  <si>
    <t>P1</t>
  </si>
  <si>
    <t>P2</t>
  </si>
  <si>
    <t>P3</t>
  </si>
  <si>
    <t>P4</t>
  </si>
  <si>
    <t>PRESUPUESTO ANUAL PLANIFICADO Y EJECUTADO PRODUCTOS</t>
  </si>
  <si>
    <t>COMPOARTAMIENTO DE LOS PRODUCTOS  RESULTADO 1 ANUALES</t>
  </si>
  <si>
    <t>Indicador 1.2.1</t>
  </si>
  <si>
    <t>Indicador 1.2.2</t>
  </si>
  <si>
    <t>Indicador 1.2.3</t>
  </si>
  <si>
    <t>Indicador 1.2.4</t>
  </si>
  <si>
    <t xml:space="preserve"> </t>
  </si>
  <si>
    <t>Indicador 1.3.1</t>
  </si>
  <si>
    <t>Indicador 1.3.2</t>
  </si>
  <si>
    <t>Indicador 1.3.3</t>
  </si>
  <si>
    <t>Indicador 1.3.4</t>
  </si>
  <si>
    <t>AVANCE DE METAS GLOBALES DE PRODUCTO</t>
  </si>
  <si>
    <t>AVANCE DE METAS ANUALES  DE PRODUCTO</t>
  </si>
  <si>
    <t>Indicador 1.4.1</t>
  </si>
  <si>
    <t>Indicador 1.4.2</t>
  </si>
  <si>
    <t>P5</t>
  </si>
  <si>
    <t>Indicador 1.4.3</t>
  </si>
  <si>
    <t>Indicaddor 1.1.2</t>
  </si>
  <si>
    <t>Indicador 1..2.1</t>
  </si>
  <si>
    <t>.</t>
  </si>
  <si>
    <t>Resultado</t>
  </si>
  <si>
    <t>1.1.1</t>
  </si>
  <si>
    <t>Gestión</t>
  </si>
  <si>
    <t>1.1.2</t>
  </si>
  <si>
    <t>1.2.1</t>
  </si>
  <si>
    <t>1.2.2</t>
  </si>
  <si>
    <t>1.2.3</t>
  </si>
  <si>
    <t>1.2.4</t>
  </si>
  <si>
    <t>1.3.1</t>
  </si>
  <si>
    <t>1.3.2</t>
  </si>
  <si>
    <t>1.3.3</t>
  </si>
  <si>
    <t>1.3.4</t>
  </si>
  <si>
    <t xml:space="preserve">Asistencia técnica para la elaboración y adopción de la política pública de diálogo y gestión de la conflictividad social. </t>
  </si>
  <si>
    <t>Output 1.2:</t>
  </si>
  <si>
    <t>Activity 1.2.1</t>
  </si>
  <si>
    <t>Activity 1.2.2</t>
  </si>
  <si>
    <t>Desarrollo de  (01) diálogo estratégico que aborde problemáticas territoriales priorizadas en la región del Valle del Polochic, asegurando la participación igualitaria de mujeres, jóvenes, y pueblos indígenas.</t>
  </si>
  <si>
    <t>Activity 1.2.3</t>
  </si>
  <si>
    <t>Output 1.3:</t>
  </si>
  <si>
    <t xml:space="preserve">Asistencia técnica para el desarrollo del marco normativo sobre la consulta previa.  </t>
  </si>
  <si>
    <t>Output 1.4:</t>
  </si>
  <si>
    <t>Activity 1.4.1</t>
  </si>
  <si>
    <t>OACNUDH</t>
  </si>
  <si>
    <t>Activity 1.4.2</t>
  </si>
  <si>
    <t>Activity 1.4.3</t>
  </si>
  <si>
    <t>Indirect support costs (7%):</t>
  </si>
  <si>
    <t/>
  </si>
  <si>
    <t>REPORTE INICIAL</t>
  </si>
  <si>
    <t>PLANFICACIÓN PROGRAMÁTICA Y FINANCIERA</t>
  </si>
  <si>
    <t>REPORTE</t>
  </si>
  <si>
    <t>PRODUCTO 1.5</t>
  </si>
  <si>
    <t xml:space="preserve"> Herramientas de análisis desarrolladas para prevención de la violencia electoral.</t>
  </si>
  <si>
    <t xml:space="preserve"> Violaciones a derechos humanos documentadas antes, durante y después del proceso electoral.</t>
  </si>
  <si>
    <t xml:space="preserve"> Juntas Electorales reciben formación sobre estrategias de prevención  y mediación de conflictividad electoral.</t>
  </si>
  <si>
    <t>1 encuesta y 3 instrumentos basados en evidencia para prevenir la violencia política contra las mujeres en procesos electorales elaborados coordinadamente entre organizaciones de mujeres en la política y la institucionalidad relevante</t>
  </si>
  <si>
    <t>Materiales de concientización elaborados sobre el respeto de los derechos humanos durante el proceso electoral</t>
  </si>
  <si>
    <t>2019
0</t>
  </si>
  <si>
    <t>Diálogos estratégicos a nivel nacional y territorial con enfoque transformativo diseñados y acompañados para abordar problemáticas estructurales y emergentes de la conflictividad social, con enfoque de derechos humanos.</t>
  </si>
  <si>
    <t>Procesos de consulta previa con pueblos indígenas acompañados en su implementación, de acuerdo a estándares internacionales de derechos humanos.</t>
  </si>
  <si>
    <t xml:space="preserve">Número de mecanismos institucionales de proteccion de defensoras y defensores de derechos humanos adoptados y en fase de elaboracion
</t>
  </si>
  <si>
    <t xml:space="preserve">defensores y defensoras de derechos humanos participando de manera activa </t>
  </si>
  <si>
    <t xml:space="preserve">Número de casos en los cuáles los mecanismos de protección nacional/regional/internacional al de defensoras y defensores son aplicados
</t>
  </si>
  <si>
    <t>2019
2</t>
  </si>
  <si>
    <t>Nivel de progreso en 2 diálogos estratégicos de acuerdo a metodología establecida</t>
  </si>
  <si>
    <t>Total</t>
  </si>
  <si>
    <t>1. ¿Qué se hizo?</t>
  </si>
  <si>
    <t>2. ¿Quiénes participaron?</t>
  </si>
  <si>
    <t>3. ¿Qué se logró?</t>
  </si>
  <si>
    <t>PROYECTO</t>
  </si>
  <si>
    <t xml:space="preserve"> ACTIVIDAD</t>
  </si>
  <si>
    <t xml:space="preserve">Avances Cualitativos </t>
  </si>
  <si>
    <t>PRESUPUESTO PROGRAMADO</t>
  </si>
  <si>
    <t>Avance Cuantitativo</t>
  </si>
  <si>
    <t>Ejecución financiera</t>
  </si>
  <si>
    <t>META ACUMULADA</t>
  </si>
  <si>
    <t>EJECUCIÓN ACUMULADA</t>
  </si>
  <si>
    <t>TOTALES</t>
  </si>
  <si>
    <t>MONITOREO   PROGRAMÁTICO y FINANCIERO</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</si>
  <si>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</si>
  <si>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Towards M&amp;E</t>
  </si>
  <si>
    <r>
      <t xml:space="preserve">$ Towards M&amp;E </t>
    </r>
    <r>
      <rPr>
        <sz val="11"/>
        <color theme="1"/>
        <rFont val="Calibri"/>
        <family val="2"/>
        <scheme val="minor"/>
      </rPr>
      <t>(includes indirect costs)</t>
    </r>
  </si>
  <si>
    <t>Delivery Rate:</t>
  </si>
  <si>
    <t>% Towards GEWE</t>
  </si>
  <si>
    <t>Total Expenditure</t>
  </si>
  <si>
    <r>
      <t xml:space="preserve">$ Towards GEWE </t>
    </r>
    <r>
      <rPr>
        <sz val="11"/>
        <color theme="1"/>
        <rFont val="Calibri"/>
        <family val="2"/>
        <scheme val="minor"/>
      </rPr>
      <t>(includes indirect costs)</t>
    </r>
  </si>
  <si>
    <t>Total:</t>
  </si>
  <si>
    <t>Third Tranche</t>
  </si>
  <si>
    <t>Second Tranche:</t>
  </si>
  <si>
    <t>First Tranche:</t>
  </si>
  <si>
    <t>Tranche %</t>
  </si>
  <si>
    <t>Recipient Organization 3</t>
  </si>
  <si>
    <t>Recipient Organization 2</t>
  </si>
  <si>
    <t>Recipient Organization 1</t>
  </si>
  <si>
    <t>Performance-Based Tranche Breakdown</t>
  </si>
  <si>
    <t>Sub-Total Project Budget</t>
  </si>
  <si>
    <t>Totals</t>
  </si>
  <si>
    <t>Total Additional Costs</t>
  </si>
  <si>
    <t>Budget for independent final evaluation</t>
  </si>
  <si>
    <t>Encargado de Monitoreo y Viajes</t>
  </si>
  <si>
    <t>Monitoring budget</t>
  </si>
  <si>
    <t>Costos Operación</t>
  </si>
  <si>
    <t>Additional Operational Costs</t>
  </si>
  <si>
    <t>Administracion y Finanzas</t>
  </si>
  <si>
    <t>Additional personnel costs</t>
  </si>
  <si>
    <t>Output Total</t>
  </si>
  <si>
    <t>Activity 4.4.8</t>
  </si>
  <si>
    <t>Activity 4.4.7</t>
  </si>
  <si>
    <t>Activity 4.4.6</t>
  </si>
  <si>
    <t>Activity 4.4.5</t>
  </si>
  <si>
    <t>Activity 4.4.4</t>
  </si>
  <si>
    <t>Activity 4.4.3</t>
  </si>
  <si>
    <t>Activity 4.4.2</t>
  </si>
  <si>
    <t>Activity 4.4.1</t>
  </si>
  <si>
    <t>Output 4.4</t>
  </si>
  <si>
    <t>Activity 4.3.8</t>
  </si>
  <si>
    <t>Activity 4.3.7</t>
  </si>
  <si>
    <t>Activity 4.3.6</t>
  </si>
  <si>
    <t>Activity 4.3.5</t>
  </si>
  <si>
    <t>Activity 4.3.4</t>
  </si>
  <si>
    <t>Activity 4.3.3</t>
  </si>
  <si>
    <t>Activity 4.3.2</t>
  </si>
  <si>
    <t>Activity 4.3.1</t>
  </si>
  <si>
    <t>Output 4.3</t>
  </si>
  <si>
    <t>Activity 4.2.8</t>
  </si>
  <si>
    <t>Activity 4.2.7</t>
  </si>
  <si>
    <t>Activity 4.2.6</t>
  </si>
  <si>
    <t>Activity 4.2.5</t>
  </si>
  <si>
    <t>Activity 4.2.4</t>
  </si>
  <si>
    <t>Activity 4.2.3</t>
  </si>
  <si>
    <t>Activity 4.2.2</t>
  </si>
  <si>
    <t>Activity 4.2.1</t>
  </si>
  <si>
    <t>Output 4.2</t>
  </si>
  <si>
    <t>Activity 4.1.8</t>
  </si>
  <si>
    <t>Activity 4.1.7</t>
  </si>
  <si>
    <t>Activity 4.1.6</t>
  </si>
  <si>
    <t>Activity 4.1.5</t>
  </si>
  <si>
    <t>Activity 4.1.4</t>
  </si>
  <si>
    <t>Activity 4.1.3</t>
  </si>
  <si>
    <t>Activity 4.1.2</t>
  </si>
  <si>
    <t>Activity 4.1.1</t>
  </si>
  <si>
    <t>Output 4.1</t>
  </si>
  <si>
    <t xml:space="preserve">OUTCOME 4: </t>
  </si>
  <si>
    <t>Activity 3.4.8</t>
  </si>
  <si>
    <t>Activity 3.4.7</t>
  </si>
  <si>
    <t>Activity 3.4.6</t>
  </si>
  <si>
    <t>Activity 3.4.5</t>
  </si>
  <si>
    <t>Activity 3.4.4</t>
  </si>
  <si>
    <t>Activity 3.4.3</t>
  </si>
  <si>
    <t>Activity 3.4.2</t>
  </si>
  <si>
    <t>Activity 3.4.1</t>
  </si>
  <si>
    <t>Output 3.4</t>
  </si>
  <si>
    <t>Activity 3.3.8</t>
  </si>
  <si>
    <t>Activity 3.3.7</t>
  </si>
  <si>
    <t>Activity 3.3.6</t>
  </si>
  <si>
    <t>Activity 3.3.5</t>
  </si>
  <si>
    <t>Activity 3.3.4</t>
  </si>
  <si>
    <t>Activity 3.3.3</t>
  </si>
  <si>
    <t>Activity 3.3.2</t>
  </si>
  <si>
    <t>Activity 3.3.1</t>
  </si>
  <si>
    <t>Output 3.3</t>
  </si>
  <si>
    <t>Activity 3.2.8</t>
  </si>
  <si>
    <t>Activity 3.2.7</t>
  </si>
  <si>
    <t>Activity 3.2.6</t>
  </si>
  <si>
    <t>Activity 3.2.5</t>
  </si>
  <si>
    <t>Activity 3.2.4</t>
  </si>
  <si>
    <t>Activity 3.2.3</t>
  </si>
  <si>
    <t>Activity 3.2.2</t>
  </si>
  <si>
    <t>Activity 3.2.1</t>
  </si>
  <si>
    <t>Output 3.2:</t>
  </si>
  <si>
    <t>Activity 3.1.8</t>
  </si>
  <si>
    <t>Activity 3.1.7</t>
  </si>
  <si>
    <t>Activity 3.1.6</t>
  </si>
  <si>
    <t>Activity 3.1.5</t>
  </si>
  <si>
    <t>Activity 3.1.4</t>
  </si>
  <si>
    <t>Activity 3.1.3</t>
  </si>
  <si>
    <t>Activity 3.1.2</t>
  </si>
  <si>
    <t>Activity 3.1.1</t>
  </si>
  <si>
    <t>Output 3.1</t>
  </si>
  <si>
    <t xml:space="preserve">OUTCOME 3: </t>
  </si>
  <si>
    <t>Activity 2.4.8</t>
  </si>
  <si>
    <t>Activity 2.4.7</t>
  </si>
  <si>
    <t>Activity 2.4.6</t>
  </si>
  <si>
    <t>Activity 2.4.5</t>
  </si>
  <si>
    <t>Activity 2.4.4</t>
  </si>
  <si>
    <t>Activity 2.4.3</t>
  </si>
  <si>
    <t>Activity 2.4.2</t>
  </si>
  <si>
    <t>Activity 2.4.1</t>
  </si>
  <si>
    <t>Output 2.4</t>
  </si>
  <si>
    <t>Activity 2.3.8</t>
  </si>
  <si>
    <t>Activity 2.3.7</t>
  </si>
  <si>
    <t>Activity 2.3.6</t>
  </si>
  <si>
    <t>Activity 2.3.5</t>
  </si>
  <si>
    <t>Activity 2.3.4</t>
  </si>
  <si>
    <t>Activity 2.3.3</t>
  </si>
  <si>
    <t>Activity 2.3.2</t>
  </si>
  <si>
    <t>Activity 2.3.1</t>
  </si>
  <si>
    <t>Output 2.3</t>
  </si>
  <si>
    <t>Activity 2.2.8</t>
  </si>
  <si>
    <t>Activity 2.2.7</t>
  </si>
  <si>
    <t>Activity 2.2.6</t>
  </si>
  <si>
    <t>Activity 2.2.5</t>
  </si>
  <si>
    <t>Activity 2.2.4</t>
  </si>
  <si>
    <t>Activity 2.2.3</t>
  </si>
  <si>
    <t>Activity 2.2.2</t>
  </si>
  <si>
    <t>Activity 2.2.1</t>
  </si>
  <si>
    <t>Output 2.2</t>
  </si>
  <si>
    <t>Activity 2.1.8</t>
  </si>
  <si>
    <t>Activity 2.1.7</t>
  </si>
  <si>
    <t>Activity 2.1.6</t>
  </si>
  <si>
    <t>Activity 2.1.5</t>
  </si>
  <si>
    <t>Asistencia técnica para prevenir la violencia política contra las mujeres en el proceso electoral</t>
  </si>
  <si>
    <t>Activity 1.5.4</t>
  </si>
  <si>
    <t>Asistencia técnica y monitoreo para la prevención de violaciones de derechos humanos en el contexto electoral (antes, durante y despues)</t>
  </si>
  <si>
    <t>Activity 1.5.3</t>
  </si>
  <si>
    <t>Fortalecimiento de capacidades y formación en prevención de conflictos y mediación electoral</t>
  </si>
  <si>
    <t>Activity 1.5.2</t>
  </si>
  <si>
    <t>Asistencia técnica para el diseño e implementación de herramientas de análisis y estrategias de prevención de la conflictividad electoral</t>
  </si>
  <si>
    <t>Activity 1.5.1</t>
  </si>
  <si>
    <t>Instrumentos de análisis y estrategias de prevención de la conflictividad electoral diseñados e implementados con actores clave, antes, durante y despues del proceso electoral</t>
  </si>
  <si>
    <t>Output 1.5:</t>
  </si>
  <si>
    <t>Activity 1.4.8</t>
  </si>
  <si>
    <t>Activity 1.4.7</t>
  </si>
  <si>
    <t>Activity 1.4.6</t>
  </si>
  <si>
    <t>Activity 1.4.5</t>
  </si>
  <si>
    <t>Activity 1.4.4</t>
  </si>
  <si>
    <t>Preparación, participación e incidencia de las mujeres en la consulta previa e informada (Fase I)</t>
  </si>
  <si>
    <t>Presupuesto conjunto Fase I ejecutada por OACNUDH y Fase II Ejecutada por ONUMUJERES</t>
  </si>
  <si>
    <t xml:space="preserve">Fortalecimiento de las redes de defensoras para la implementación de la resolucion de la asamblea general para la protección de mujeres defensoras de los derechos humanos </t>
  </si>
  <si>
    <t>Fortalecimiento de un entorno seguro u propicio para la defensa de los derechos humanos asi como medidas de protección a defensoras u defensores de derechos humanos (incluyendo la propuesta de politica publica de protección a defensaores y defensores de derechos humanos)</t>
  </si>
  <si>
    <t>Activity 1.3.8</t>
  </si>
  <si>
    <t>Activity 1.3.7</t>
  </si>
  <si>
    <t>Activity 1.3.6</t>
  </si>
  <si>
    <t>Activity 1.3.5</t>
  </si>
  <si>
    <t>Activity 1.3.4</t>
  </si>
  <si>
    <t>Preparación, participación e incidencia de las mujeres en la consulta previa e informada</t>
  </si>
  <si>
    <t>Activity 1.3.3</t>
  </si>
  <si>
    <t xml:space="preserve">Asistencia técnica y financiera para el acompañamiento  de dos (02) procesos priorizados de consulta previa, y/o procesos  de consulta ordenados por la Corte de Constitucionalidad. </t>
  </si>
  <si>
    <t>Activity 1.3.2</t>
  </si>
  <si>
    <t>Activity 1.3.1</t>
  </si>
  <si>
    <t xml:space="preserve"> Procesos de consulta previa con pueblos indígenas acompañados en su implementación, de acuerdo a estándares internacionales de derechos humanos, igualdad de género, etnia y edad.</t>
  </si>
  <si>
    <t>Activity 1.2.8</t>
  </si>
  <si>
    <t>Activity 1.2.7</t>
  </si>
  <si>
    <t>Activity 1.2.6</t>
  </si>
  <si>
    <t>Activity 1.2.5</t>
  </si>
  <si>
    <t>Activity 1.2.4</t>
  </si>
  <si>
    <t>Preparación, participación e incidencia de las mujeres en los procesos de diálogos estrategicos con enfoque transformativo</t>
  </si>
  <si>
    <t>Diálogos estratégicos a nivel nacional y territorial con enfoque transformativo diseñados y acompañados para abordar problemáticas estructurales y emergentes de la conflictividad social, con enfoque de derechos humanos, igualdad de género, étnica y etaria.</t>
  </si>
  <si>
    <t>Activity 1.1.8</t>
  </si>
  <si>
    <t>Activity 1.1.7</t>
  </si>
  <si>
    <t>Activity 1.1.6</t>
  </si>
  <si>
    <t>Activity 1.1.5</t>
  </si>
  <si>
    <t>Asistencia técnica para facilitar el proceso de transición de gobierno en la institucionalidad del diálobo y conflictividad social</t>
  </si>
  <si>
    <t>Activity 1.1.4</t>
  </si>
  <si>
    <t xml:space="preserve">Asistencia técnica para el fortalecimiento y articulación de los sistemas de alerta y respuesta temprana sobre  la conflictividad social. </t>
  </si>
  <si>
    <t>Activity 1.1.3:</t>
  </si>
  <si>
    <t>Activity 1.1.2:</t>
  </si>
  <si>
    <t>Asistencia técnica para el diseño e implementación de metodologías, protocolos y herramientas para el análisis de la conflictividad social.</t>
  </si>
  <si>
    <t>Activity 1.1.1:</t>
  </si>
  <si>
    <t>Output 1.1:</t>
  </si>
  <si>
    <t>Capacidades institucionales, de la sociedad civil, de los pueblos indígenas y del sector privado fortalecidas para transformar la conflictividad social, a través del diálogo democrático, la  consulta previa, y la protección efectiva a defensoras y defensores de los derechos humanos.</t>
  </si>
  <si>
    <t xml:space="preserve">OUTCOME 1: </t>
  </si>
  <si>
    <t>ONUMUJERES</t>
  </si>
  <si>
    <t>UNDP</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</si>
  <si>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</si>
  <si>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</si>
  <si>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</si>
  <si>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</si>
  <si>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</si>
  <si>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</si>
  <si>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</si>
  <si>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Outcome/ Output</t>
    </r>
    <r>
      <rPr>
        <sz val="12"/>
        <color theme="1"/>
        <rFont val="Calibri"/>
        <family val="2"/>
        <scheme val="minor"/>
      </rPr>
      <t xml:space="preserve"> number</t>
    </r>
  </si>
  <si>
    <t>Table 1 - PBF project budget by outcome, output and activity</t>
  </si>
  <si>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</si>
  <si>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Instructions:</t>
  </si>
  <si>
    <t>Annex D - PBF Project Budget</t>
  </si>
  <si>
    <t>7% Indirect Costs</t>
  </si>
  <si>
    <t xml:space="preserve">Subtotal </t>
  </si>
  <si>
    <t>7. General Operating and other Costs</t>
  </si>
  <si>
    <t>6. Transfers and Grants to Counterparts</t>
  </si>
  <si>
    <t>5. Travel</t>
  </si>
  <si>
    <t>4. Contractual services</t>
  </si>
  <si>
    <t>3. Equipment, Vehicles, and Furniture (including Depreciation)</t>
  </si>
  <si>
    <t>2. Supplies, Commodities, Materials</t>
  </si>
  <si>
    <t>1. Staff and other personnel</t>
  </si>
  <si>
    <t xml:space="preserve">Total </t>
  </si>
  <si>
    <t>Additional Cost Totals from Table 1</t>
  </si>
  <si>
    <t>Additional Costs</t>
  </si>
  <si>
    <t>Output Total from Table 1</t>
  </si>
  <si>
    <t>OUTCOME 4</t>
  </si>
  <si>
    <t>Output 3.2</t>
  </si>
  <si>
    <t>OUTCOME 3</t>
  </si>
  <si>
    <t>Output 1.5</t>
  </si>
  <si>
    <t>Output 1.4</t>
  </si>
  <si>
    <t>Output 1.3</t>
  </si>
  <si>
    <t>Output 1.2</t>
  </si>
  <si>
    <t>Output 1.1</t>
  </si>
  <si>
    <t>OUTCOME 1</t>
  </si>
  <si>
    <t>Recipient Agency 3</t>
  </si>
  <si>
    <t>Recipient Agency 2</t>
  </si>
  <si>
    <t>Recipient Agency 1</t>
  </si>
  <si>
    <t>Table 2 - Output breakdown by UN budget categories</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</si>
  <si>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</si>
  <si>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</si>
  <si>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</si>
  <si>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</si>
  <si>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</si>
  <si>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</si>
  <si>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</si>
  <si>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</si>
  <si>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t>Annex 1: MPTFO Guidance on UN Cost Categories</t>
  </si>
  <si>
    <t>Total Towards SDG</t>
  </si>
  <si>
    <t>SDG %</t>
  </si>
  <si>
    <t>SDG</t>
  </si>
  <si>
    <t>Total Outcome Budget Towards SDGs</t>
  </si>
  <si>
    <t>Outcome Budget</t>
  </si>
  <si>
    <t>Outcome 4</t>
  </si>
  <si>
    <t>Outcome 3</t>
  </si>
  <si>
    <t>Outcome 2</t>
  </si>
  <si>
    <t>Outcome 1</t>
  </si>
  <si>
    <t>For PBSO Use</t>
  </si>
  <si>
    <t>Third Tranche:</t>
  </si>
  <si>
    <t>Recip Agency 3</t>
  </si>
  <si>
    <t>Recip Agency 2</t>
  </si>
  <si>
    <t>Recip Agency 1</t>
  </si>
  <si>
    <t xml:space="preserve">Sub-Total </t>
  </si>
  <si>
    <t>For MPTFO Use</t>
  </si>
  <si>
    <t>Monitoring Budget</t>
  </si>
  <si>
    <t>Indirect support costs (7%)</t>
  </si>
  <si>
    <t>SUBTOTAL</t>
  </si>
  <si>
    <t>1.- Diálogo Recursos Naturales</t>
  </si>
  <si>
    <t xml:space="preserve">Aún no existen conslusioenes en los procesos de diálogo que se hayan incluido en instrumentos específicos.. </t>
  </si>
  <si>
    <t>En el mes de julio se llevo a cabo el  dialogo para la consolidación de la red de defensoras del Valle del Polochic</t>
  </si>
  <si>
    <t>Sin avances reportados</t>
  </si>
  <si>
    <t>Sin avances Reportados</t>
  </si>
  <si>
    <t>1.  Fortalecimiento de capacidades para la protección de defensores y defensoras de derechos humanos</t>
  </si>
  <si>
    <t>elaboración del documento base, durante un año de trabajo con un promedio de asistencia a reuniones semanales que tuvieron una participación de entre 13 a 17 representantes.</t>
  </si>
  <si>
    <t>483 agresiones a defensores y defensoras registrados en 2017</t>
  </si>
  <si>
    <t>1. ¿Quiénes participaron?</t>
  </si>
  <si>
    <t>1. ¿Qué se logró?</t>
  </si>
  <si>
    <t xml:space="preserve">Por la complejidad en la discusión nacional sobre la ley de consulta previa, desde el proyecto se está articulando un grupo inter-agencial de Naciones Unidas que analiza el contexto sobre la ley e identificará oportunidades de apoyo. Hasta ahora, el contaxto nacional no es favorable para promover una regulación para la consrulta previa. </t>
  </si>
  <si>
    <t xml:space="preserve">De acuerdo con el indicador, el nivel de avance es 1. </t>
  </si>
  <si>
    <t>Un grupo inter-agencial de Naciones Unidas que analiza el contexto sobre la ley e identificará oportunidades de apoyo</t>
  </si>
  <si>
    <t xml:space="preserve">Se ha presentado una propuesta de cronograma de actividades para el proceso del diálogo.  Adicionalmente, </t>
  </si>
  <si>
    <t xml:space="preserve">El proceso avanzó en el diseño de un plan de consulta, que incorpora los principales insumos propuestos por el PNUD, 
La última reunión se dedicó a discutir un borrador de informe a presentar a las comunidades de la región sobre los avances en el proceso de la consulta.
Se tiene planificado realizar reuniones con la Alcaldía Indígena, así como con la institucionalidad a mediados de junio para concretar el apoyo así como definir un consultor que ambos actores aceptaran
</t>
  </si>
  <si>
    <t>el PNUD ha ofrecido su apoyo en la contratación de consultor que realizara una Estudio de Impacto Ambiental (EIA). Alcaldía Indígena</t>
  </si>
  <si>
    <t>135 agresiones a defensores y defensoras registradas hasta 8 de junio de 2018</t>
  </si>
  <si>
    <t xml:space="preserve">Reuniones sectoriales con defensoras y defensores de DDHH: defensores de tierras, medio ambiente, niñez, mujeres, jóvenes, sindicalistas, mujeres y periodistas para presentación y retroalimentación del documento de base </t>
  </si>
  <si>
    <t>Participacion por parte de las mujeres</t>
  </si>
  <si>
    <t>Tribunal Supremo Electoral (TSE) con participación del PNUD, ONU Mujeres, OACNUDH, MP, PDH, La Fundación Internacional para Sistemas Electorales (IFES), la Asociación de Investigación y Estudios Sociales (ASIES) y la Fundación Konrad Adenauer</t>
  </si>
  <si>
    <t xml:space="preserve">Se realizo, misión conjunta con el Sistema de Naciones Unidas, PDH, MP, PNC TSE, sociedad civil y embajadas y OEA de observación en la etapa pre-electoral, durante la primera y la segunda vuelta de las elecciones.
</t>
  </si>
  <si>
    <t>PNUD, PDH, MP, PNC, TSE, Sociedad Civil, Embajadas y OEA (observación del proceso prelectoral</t>
  </si>
  <si>
    <t>La unidad de Comunicación de OACNUDH, la sede de OACNUDH en Ginebra, comunicadoras y comunicadores</t>
  </si>
  <si>
    <t>Desarrollo una propuesta para el fortalecimiento de la democracia y una participación incluyente en el proceso electoral para los partidos políticos, la cual fue socializada por el TSE.</t>
  </si>
  <si>
    <t>Mensaje de la Alta Comisionada sobre proceso electoral
video de foro público sobre una agenda de derechos humanos
comunicados de prensa
mensajes en redes sociales
boletines sobre Democracia y derechos humanos
audiovisuales en lengua de señas</t>
  </si>
  <si>
    <t xml:space="preserve">1. Minutas de reuniones. 
2. Documentos internos de análisis
</t>
  </si>
  <si>
    <t>Resumen de la estrategia de la oferta institucional, listado de asistencias,</t>
  </si>
  <si>
    <t>Producto de la consultoría "Asesoría Política en el Abordaje de las Causas Estructurales y Emergentes de la Conflictividad Social, para la Construcción de una Política Pública de Protección a Defensoras y Defensores de Derechos Humanos", documento base </t>
  </si>
  <si>
    <t>minutas de reuniones del grupo técnico</t>
  </si>
  <si>
    <t>Informe de UDEFEGUA</t>
  </si>
  <si>
    <t xml:space="preserve">Documento de herramienta, acuerdos y la estrategia de capacitacion </t>
  </si>
  <si>
    <t>Infografias</t>
  </si>
  <si>
    <t>Meta alcanzada 2020</t>
  </si>
  <si>
    <t>Ejecutado 2020</t>
  </si>
  <si>
    <t>% Ejecución 2019</t>
  </si>
  <si>
    <t>% Ejecución 2020</t>
  </si>
  <si>
    <t>Meta 2020</t>
  </si>
  <si>
    <t>Meta 2021</t>
  </si>
  <si>
    <t>Indicador 5.1</t>
  </si>
  <si>
    <t>Indicador 5.2</t>
  </si>
  <si>
    <t>Indicador 5.3</t>
  </si>
  <si>
    <t>Indicador 5.4</t>
  </si>
  <si>
    <t>Indicador 5.5</t>
  </si>
  <si>
    <t>Producto 1.5</t>
  </si>
  <si>
    <t>P.1.5</t>
  </si>
  <si>
    <t>Gest</t>
  </si>
  <si>
    <t>Ind. 1.3.4</t>
  </si>
  <si>
    <t>Ind. 1.5.1</t>
  </si>
  <si>
    <t>Ind. 1.5.2</t>
  </si>
  <si>
    <t>Ind. 1.5.3</t>
  </si>
  <si>
    <t>Ind. 1.5.4</t>
  </si>
  <si>
    <t>Ind. 1.5.5</t>
  </si>
  <si>
    <t>METAS PLANIFICADAS Y ALCANZADAS  PRODUCTOS  ANUALES</t>
  </si>
  <si>
    <t>METAS PLANIFICADAS Y ALCANZADAS POR PRODUCTOS 1</t>
  </si>
  <si>
    <t>METAS PLANIFICADAS Y ALCANZADAS POR PRODUCTOS 2</t>
  </si>
  <si>
    <t>METAS PLANIFICADAS Y ALCANZADAS POR PRODUCTO 4</t>
  </si>
  <si>
    <t>METAS PLANIFICADAS Y ALCANZADAS POR PRODUCTO 5</t>
  </si>
  <si>
    <t>METAS PLANIFICADAS Y ALCANZADAS POR PRODUCTOS 3</t>
  </si>
  <si>
    <t>Pomedio</t>
  </si>
  <si>
    <t xml:space="preserve">GESTIÓN </t>
  </si>
  <si>
    <t>Espacios de reflexión activa sobre estándares internacionales en materia de consulta previa.</t>
  </si>
  <si>
    <t>-</t>
  </si>
  <si>
    <t>ALCANZADA</t>
  </si>
  <si>
    <t>SUPERADA</t>
  </si>
  <si>
    <t>1.4.1</t>
  </si>
  <si>
    <t>1.4.2</t>
  </si>
  <si>
    <t>1.4.3</t>
  </si>
  <si>
    <t>1.5.1</t>
  </si>
  <si>
    <t>1.5.2</t>
  </si>
  <si>
    <t>1.5.3</t>
  </si>
  <si>
    <t>1.5.4</t>
  </si>
  <si>
    <t>1.5.5</t>
  </si>
  <si>
    <r>
      <t xml:space="preserve">1.1.1 </t>
    </r>
    <r>
      <rPr>
        <sz val="14"/>
        <color theme="1"/>
        <rFont val="Century Gothic"/>
        <family val="2"/>
      </rPr>
      <t>Grado de avance en la elaboración de los instrumentos de análisis, planeación estratégica y política pública.</t>
    </r>
  </si>
  <si>
    <r>
      <rPr>
        <b/>
        <sz val="14"/>
        <color theme="1"/>
        <rFont val="Century Gothic"/>
        <family val="2"/>
      </rPr>
      <t>2019</t>
    </r>
    <r>
      <rPr>
        <sz val="14"/>
        <color theme="1"/>
        <rFont val="Century Gothic"/>
        <family val="2"/>
      </rPr>
      <t xml:space="preserve">
3</t>
    </r>
  </si>
  <si>
    <r>
      <rPr>
        <b/>
        <sz val="14"/>
        <color theme="1"/>
        <rFont val="Century Gothic"/>
        <family val="2"/>
      </rPr>
      <t>Actividad 1.1.1</t>
    </r>
    <r>
      <rPr>
        <sz val="14"/>
        <color theme="1"/>
        <rFont val="Century Gothic"/>
        <family val="2"/>
      </rPr>
      <t xml:space="preserve">
Asistencia técnica para el fortalecimiento de capacidades del Grupo Técnico Interinstitucional en el diseño e implementación de metodologías, protocolos y herramientas para el análisis de la conflictividad social. 
</t>
    </r>
  </si>
  <si>
    <r>
      <rPr>
        <b/>
        <sz val="14"/>
        <color rgb="FFFF0000"/>
        <rFont val="Century Gothic"/>
        <family val="2"/>
      </rPr>
      <t xml:space="preserve">1.- </t>
    </r>
    <r>
      <rPr>
        <b/>
        <sz val="14"/>
        <color theme="1"/>
        <rFont val="Century Gothic"/>
        <family val="2"/>
      </rPr>
      <t xml:space="preserve">9 Reuniones del Grupo Técnico Interinstitucional:
</t>
    </r>
    <r>
      <rPr>
        <sz val="14"/>
        <color theme="1"/>
        <rFont val="Century Gothic"/>
        <family val="2"/>
      </rPr>
      <t xml:space="preserve">El Grupo técnico institucional se ha reunido en nueve ocasiones durante este año </t>
    </r>
    <r>
      <rPr>
        <b/>
        <sz val="14"/>
        <color theme="1"/>
        <rFont val="Century Gothic"/>
        <family val="2"/>
      </rPr>
      <t xml:space="preserve">
</t>
    </r>
    <r>
      <rPr>
        <b/>
        <sz val="14"/>
        <color rgb="FFFF0000"/>
        <rFont val="Century Gothic"/>
        <family val="2"/>
      </rPr>
      <t>2.</t>
    </r>
    <r>
      <rPr>
        <b/>
        <sz val="14"/>
        <color theme="1"/>
        <rFont val="Century Gothic"/>
        <family val="2"/>
      </rPr>
      <t xml:space="preserve"> Sistema de Alerta y Respuesta Temprana
</t>
    </r>
    <r>
      <rPr>
        <sz val="14"/>
        <color theme="1"/>
        <rFont val="Century Gothic"/>
        <family val="2"/>
      </rPr>
      <t>A finales del año 2017 inició el  proceso de fortalecimiento al Sistema de Alerta y Respuesta Temprana de COPREDEH.</t>
    </r>
  </si>
  <si>
    <r>
      <t>1. Grupo Técnico Interinstitucional:</t>
    </r>
    <r>
      <rPr>
        <sz val="14"/>
        <color theme="1"/>
        <rFont val="Century Gothic"/>
        <family val="2"/>
      </rPr>
      <t xml:space="preserve"> Hasta abril de 2019 se han sostenido  22  reuniones en las que se hizo una planificación anual
</t>
    </r>
    <r>
      <rPr>
        <b/>
        <sz val="14"/>
        <color theme="1"/>
        <rFont val="Century Gothic"/>
        <family val="2"/>
      </rPr>
      <t xml:space="preserve">
2. Sistema de Alerta Temprana: </t>
    </r>
    <r>
      <rPr>
        <sz val="14"/>
        <color theme="1"/>
        <rFont val="Century Gothic"/>
        <family val="2"/>
      </rPr>
      <t>Se esta apoyando un intercambio de experiencias entre Colombia y Guatemala sobre la implementación del SART.</t>
    </r>
  </si>
  <si>
    <r>
      <rPr>
        <b/>
        <sz val="14"/>
        <color theme="1"/>
        <rFont val="Century Gothic"/>
        <family val="2"/>
      </rPr>
      <t xml:space="preserve"> Actividad 1.1.2 </t>
    </r>
    <r>
      <rPr>
        <sz val="14"/>
        <color theme="1"/>
        <rFont val="Century Gothic"/>
        <family val="2"/>
      </rPr>
      <t xml:space="preserve">
Asistencia técnica para socialización y apoyo a la implementación de la política pública de diálogo y gestión de la conflictividad social.  </t>
    </r>
  </si>
  <si>
    <r>
      <rPr>
        <b/>
        <sz val="14"/>
        <color rgb="FFFF0000"/>
        <rFont val="Century Gothic"/>
        <family val="2"/>
      </rPr>
      <t xml:space="preserve">1.- </t>
    </r>
    <r>
      <rPr>
        <sz val="14"/>
        <color theme="1"/>
        <rFont val="Century Gothic"/>
        <family val="2"/>
      </rPr>
      <t>CPD, SAA, COPREDEH, MEM, MINFIN, SEGEPLAN y SCEP.
2.- COPREDEH y PNUD</t>
    </r>
  </si>
  <si>
    <r>
      <rPr>
        <b/>
        <sz val="14"/>
        <color rgb="FFFF0000"/>
        <rFont val="Century Gothic"/>
        <family val="2"/>
      </rPr>
      <t xml:space="preserve">1. Grupo Técnico Interinstitucional. </t>
    </r>
    <r>
      <rPr>
        <sz val="14"/>
        <color theme="1"/>
        <rFont val="Century Gothic"/>
        <family val="2"/>
      </rPr>
      <t xml:space="preserve">A las reuniones del Grupo asisten y representantes de instituciones como: CPD, SAA, COPREDEH, MEM, MINFIN, SEGEPLAN y SCEP.
</t>
    </r>
    <r>
      <rPr>
        <b/>
        <sz val="14"/>
        <color rgb="FFFF0000"/>
        <rFont val="Century Gothic"/>
        <family val="2"/>
      </rPr>
      <t xml:space="preserve">
2. Sistema de Alerta Temprana:</t>
    </r>
    <r>
      <rPr>
        <sz val="14"/>
        <color theme="1"/>
        <rFont val="Century Gothic"/>
        <family val="2"/>
      </rPr>
      <t xml:space="preserve"> El proceso contó con el aval de COPREDEH y el apoyo de la empresa consultora</t>
    </r>
  </si>
  <si>
    <r>
      <rPr>
        <b/>
        <sz val="14"/>
        <color theme="1"/>
        <rFont val="Century Gothic"/>
        <family val="2"/>
      </rPr>
      <t>1. Grupo Técnico Interinstitucional</t>
    </r>
    <r>
      <rPr>
        <sz val="14"/>
        <color theme="1"/>
        <rFont val="Century Gothic"/>
        <family val="2"/>
      </rPr>
      <t xml:space="preserve">
</t>
    </r>
    <r>
      <rPr>
        <b/>
        <sz val="14"/>
        <color theme="1"/>
        <rFont val="Century Gothic"/>
        <family val="2"/>
      </rPr>
      <t>2. Sistema de Alerta Temprana</t>
    </r>
    <r>
      <rPr>
        <sz val="14"/>
        <color theme="1"/>
        <rFont val="Century Gothic"/>
        <family val="2"/>
      </rPr>
      <t xml:space="preserve">: </t>
    </r>
    <r>
      <rPr>
        <b/>
        <sz val="14"/>
        <color theme="1"/>
        <rFont val="Century Gothic"/>
        <family val="2"/>
      </rPr>
      <t xml:space="preserve"> </t>
    </r>
    <r>
      <rPr>
        <sz val="14"/>
        <color theme="1"/>
        <rFont val="Century Gothic"/>
        <family val="2"/>
      </rPr>
      <t>El PNUD apoya con asistencia técnica para la digitación y sistematización de la información en el sistema SART a COPREDEH.</t>
    </r>
  </si>
  <si>
    <r>
      <rPr>
        <b/>
        <sz val="14"/>
        <color theme="1"/>
        <rFont val="Century Gothic"/>
        <family val="2"/>
      </rPr>
      <t>Actividad 1.1.3</t>
    </r>
    <r>
      <rPr>
        <sz val="14"/>
        <color theme="1"/>
        <rFont val="Century Gothic"/>
        <family val="2"/>
      </rPr>
      <t xml:space="preserve">
Asistencia técnica para el fortalecimiento y articulación de los sistemas de alerta y respuesta temprana sobre la conflictividad social. </t>
    </r>
  </si>
  <si>
    <r>
      <rPr>
        <b/>
        <sz val="14"/>
        <color rgb="FFFF0000"/>
        <rFont val="Century Gothic"/>
        <family val="2"/>
      </rPr>
      <t xml:space="preserve">1.- </t>
    </r>
    <r>
      <rPr>
        <sz val="14"/>
        <color theme="1"/>
        <rFont val="Century Gothic"/>
        <family val="2"/>
      </rPr>
      <t xml:space="preserve">Durante estas reuniones se realizó: A.) Análisis de casos de conflitcos sociales, B.) Se elaboró una categorización de conflictos, C.) Se inició el análisis del borrador de política pública y D.) Se priorizaron los conflictos de acuerdo a su impacto e importancia a nivel nacional. 
El grado de avance de este grupo es 4 para finales de 2017 de acuerdo con la meta del indicador. 
</t>
    </r>
    <r>
      <rPr>
        <b/>
        <sz val="14"/>
        <color rgb="FFFF0000"/>
        <rFont val="Century Gothic"/>
        <family val="2"/>
      </rPr>
      <t>2.-</t>
    </r>
    <r>
      <rPr>
        <sz val="14"/>
        <color theme="1"/>
        <rFont val="Century Gothic"/>
        <family val="2"/>
      </rPr>
      <t xml:space="preserve"> Se hicieron revisiones conjuntas del desarrollo del Sistema de Alerta Temprana en las que participaron representantes de COPREDEH, PNUD y la empresa consultora. El nivel de avance del sistema es 2 de acuerdo con la meta del indicador.
Los grados de avance aplicables a cada instrumento son:1=Diseño del proceso para la elaboración del instrumento; 2=Construcción participativa y/o interinstitucional del instrumento; 3=Adopción del instrumento por parte del Gobierno.; 4=Puesta en marcha del instrumento.</t>
    </r>
  </si>
  <si>
    <r>
      <rPr>
        <b/>
        <sz val="14"/>
        <color rgb="FFFF0000"/>
        <rFont val="Century Gothic"/>
        <family val="2"/>
      </rPr>
      <t>1. Grupo Técnico Interinstitucional:</t>
    </r>
    <r>
      <rPr>
        <sz val="14"/>
        <color theme="1"/>
        <rFont val="Century Gothic"/>
        <family val="2"/>
      </rPr>
      <t xml:space="preserve"> El grado de avance actual del Grupo es 4. La actuación inter-institucional coordinada del Grupo Técnico Inter-institucional evolucionó de un único equipo articulador, a sub grupos temáticos que según la temática incorporan a otras instituciones sectoriales y el cambio en el modelo de abordaje a la conflictividad de un enfoque casuístico (caso por caso) a procesos orientados a problemáticas estructurarles.
</t>
    </r>
    <r>
      <rPr>
        <b/>
        <sz val="14"/>
        <color rgb="FFFF0000"/>
        <rFont val="Century Gothic"/>
        <family val="2"/>
      </rPr>
      <t xml:space="preserve">2. Sistema de Alerta Temprana: </t>
    </r>
    <r>
      <rPr>
        <sz val="14"/>
        <color theme="1"/>
        <rFont val="Century Gothic"/>
        <family val="2"/>
      </rPr>
      <t>Su grado de avance es 3 de acuerdo con la meta del indicador y se continúa fortaleciendo para que sea capaz de ser utilizado por las instituciones con SAA, MEM, CPD, entre otras. 
Los grados de avance aplicables a cada instrumento son:1=Diseño del proceso para la elaboración del instrumento; 2=Construcción participativa y/o interinstitucional del instrumento; 3=Adopción del instrumento por parte del Gobierno.; 4=Puesta en marcha del instrumento.</t>
    </r>
  </si>
  <si>
    <r>
      <rPr>
        <b/>
        <sz val="14"/>
        <color theme="1"/>
        <rFont val="Century Gothic"/>
        <family val="2"/>
      </rPr>
      <t>1. Grupo Técnico Interinstitucional:</t>
    </r>
    <r>
      <rPr>
        <sz val="14"/>
        <color theme="1"/>
        <rFont val="Century Gothic"/>
        <family val="2"/>
      </rPr>
      <t xml:space="preserve"> El nivel de avance del Grupo continúa siendo 4.
</t>
    </r>
    <r>
      <rPr>
        <b/>
        <sz val="14"/>
        <color theme="1"/>
        <rFont val="Century Gothic"/>
        <family val="2"/>
      </rPr>
      <t xml:space="preserve">a.) </t>
    </r>
    <r>
      <rPr>
        <sz val="14"/>
        <color theme="1"/>
        <rFont val="Century Gothic"/>
        <family val="2"/>
      </rPr>
      <t xml:space="preserve">Se socializó el borrador de protocolo interinstitucional de gestión y transformación de conflictos sociales.
</t>
    </r>
    <r>
      <rPr>
        <b/>
        <sz val="14"/>
        <color theme="1"/>
        <rFont val="Century Gothic"/>
        <family val="2"/>
      </rPr>
      <t xml:space="preserve">b.) </t>
    </r>
    <r>
      <rPr>
        <sz val="14"/>
        <color theme="1"/>
        <rFont val="Century Gothic"/>
        <family val="2"/>
      </rPr>
      <t xml:space="preserve">Se actualizaron los criterios para conflictos de alto impacto, se actualizaron los conflictos priorizados.
</t>
    </r>
    <r>
      <rPr>
        <b/>
        <sz val="14"/>
        <color theme="1"/>
        <rFont val="Century Gothic"/>
        <family val="2"/>
      </rPr>
      <t xml:space="preserve">c.) </t>
    </r>
    <r>
      <rPr>
        <sz val="14"/>
        <color theme="1"/>
        <rFont val="Century Gothic"/>
        <family val="2"/>
      </rPr>
      <t xml:space="preserve">Se socializo el borrador de desalojos para encontrar mecanismos de institucionalizar el documento.  
</t>
    </r>
    <r>
      <rPr>
        <b/>
        <sz val="14"/>
        <color theme="1"/>
        <rFont val="Century Gothic"/>
        <family val="2"/>
      </rPr>
      <t>2. Sistema de Alerta Temprana</t>
    </r>
    <r>
      <rPr>
        <sz val="14"/>
        <color theme="1"/>
        <rFont val="Century Gothic"/>
        <family val="2"/>
      </rPr>
      <t>:</t>
    </r>
    <r>
      <rPr>
        <b/>
        <sz val="14"/>
        <color theme="1"/>
        <rFont val="Century Gothic"/>
        <family val="2"/>
      </rPr>
      <t xml:space="preserve"> </t>
    </r>
    <r>
      <rPr>
        <sz val="14"/>
        <color theme="1"/>
        <rFont val="Century Gothic"/>
        <family val="2"/>
      </rPr>
      <t>La implementación de un ’Sistema de Alerta y Respuesta Temprana sobre Conflictividad Social’ está actualmente en la fase 3.
 Está diseñado y construido el proceso del instrumento con una participación inter-institucional. Sin embargo, todavía no se ha adoptado el instrumento a nivel inter-institucional.
Esta en un proceso de integrar las dos plataformas para un solo sistema</t>
    </r>
  </si>
  <si>
    <r>
      <t xml:space="preserve">1.1.2 </t>
    </r>
    <r>
      <rPr>
        <sz val="14"/>
        <color theme="1"/>
        <rFont val="Century Gothic"/>
        <family val="2"/>
      </rPr>
      <t># de instrumentos de análisis, planeación estratégica y política pública</t>
    </r>
  </si>
  <si>
    <r>
      <rPr>
        <b/>
        <sz val="14"/>
        <color theme="1"/>
        <rFont val="Century Gothic"/>
        <family val="2"/>
      </rPr>
      <t>2019</t>
    </r>
    <r>
      <rPr>
        <sz val="14"/>
        <color theme="1"/>
        <rFont val="Century Gothic"/>
        <family val="2"/>
      </rPr>
      <t xml:space="preserve">
2
</t>
    </r>
  </si>
  <si>
    <r>
      <rPr>
        <b/>
        <sz val="14"/>
        <color theme="1"/>
        <rFont val="Century Gothic"/>
        <family val="2"/>
      </rPr>
      <t>Actividad 1.1.4</t>
    </r>
    <r>
      <rPr>
        <sz val="14"/>
        <color theme="1"/>
        <rFont val="Century Gothic"/>
        <family val="2"/>
      </rPr>
      <t xml:space="preserve">
Asistencia técnica para facilitar el proceso de transición de gobierno en la institucionalidad del diálogo y conflictividad social.</t>
    </r>
  </si>
  <si>
    <r>
      <t xml:space="preserve">Los tres instrumentos definidos en este indicador son:
</t>
    </r>
    <r>
      <rPr>
        <b/>
        <sz val="14"/>
        <color rgb="FFFF0000"/>
        <rFont val="Century Gothic"/>
        <family val="2"/>
      </rPr>
      <t xml:space="preserve">1. </t>
    </r>
    <r>
      <rPr>
        <sz val="14"/>
        <color theme="1"/>
        <rFont val="Century Gothic"/>
        <family val="2"/>
      </rPr>
      <t xml:space="preserve">El Grupo Técnico Interinstitucional (Grado de avance 4=Puesto en Marcha)
</t>
    </r>
    <r>
      <rPr>
        <b/>
        <sz val="14"/>
        <color rgb="FFFF0000"/>
        <rFont val="Century Gothic"/>
        <family val="2"/>
      </rPr>
      <t xml:space="preserve">2. </t>
    </r>
    <r>
      <rPr>
        <sz val="14"/>
        <color theme="1"/>
        <rFont val="Century Gothic"/>
        <family val="2"/>
      </rPr>
      <t xml:space="preserve">El Sistema de Alerta y Respuesta Temprana (Grado de avance 2=Construcción Participativa)
</t>
    </r>
    <r>
      <rPr>
        <b/>
        <sz val="14"/>
        <color rgb="FFFF0000"/>
        <rFont val="Century Gothic"/>
        <family val="2"/>
      </rPr>
      <t>3.</t>
    </r>
    <r>
      <rPr>
        <sz val="14"/>
        <color theme="1"/>
        <rFont val="Century Gothic"/>
        <family val="2"/>
      </rPr>
      <t xml:space="preserve"> La política Publica de Diálogo (Grado de avance 2=Construcción Participativa)</t>
    </r>
  </si>
  <si>
    <r>
      <rPr>
        <b/>
        <sz val="14"/>
        <color rgb="FFFF0000"/>
        <rFont val="Century Gothic"/>
        <family val="2"/>
      </rPr>
      <t>1. Política Pública de Diálogo:</t>
    </r>
    <r>
      <rPr>
        <sz val="14"/>
        <color theme="1"/>
        <rFont val="Century Gothic"/>
        <family val="2"/>
      </rPr>
      <t xml:space="preserve">  se han llevado a cabo 4 eventos de construcción colectiva, concretamente, uno en Izabal al que asistieron representantes de la institucionalidad pública local, uno con el Grupo Tecnico Interinstitucional y uno con representantes del sector público a nivel nacional.</t>
    </r>
  </si>
  <si>
    <r>
      <t xml:space="preserve">1. Política Pública de Diálogo: </t>
    </r>
    <r>
      <rPr>
        <sz val="14"/>
        <color theme="1"/>
        <rFont val="Century Gothic"/>
        <family val="2"/>
      </rPr>
      <t xml:space="preserve">Desde febrero hasta abril se sostuvieron 3 talleres de construcción participativa con Pueblos Indígenas, organizaciones de mujeres y el GTI. :Los insumos obtenidos en estos talleres se incluyeron en un nuevo borrador. 
El PNUD y el equipo ténico de CPD presento el borrador de la política a SEGEPLAN. Se sostuvo 4 reuniónes con CPD para hacer una construcción colectiva en el marco de la observaciones de SEGEPLAN. </t>
    </r>
  </si>
  <si>
    <r>
      <rPr>
        <b/>
        <sz val="14"/>
        <color rgb="FFFF0000"/>
        <rFont val="Century Gothic"/>
        <family val="2"/>
      </rPr>
      <t xml:space="preserve">1. Política Pública de Diálogo:  </t>
    </r>
    <r>
      <rPr>
        <sz val="14"/>
        <color theme="1"/>
        <rFont val="Century Gothic"/>
        <family val="2"/>
      </rPr>
      <t>El documento borrador se encuentra aún en proceso de construcción colectiva con la participación de diferentes actores del Estado, academia,  sector privado, pueblos indígenas y de Sociedad Civil</t>
    </r>
  </si>
  <si>
    <r>
      <t xml:space="preserve">1. Política Pública de Diálogo: </t>
    </r>
    <r>
      <rPr>
        <sz val="14"/>
        <color theme="1"/>
        <rFont val="Century Gothic"/>
        <family val="2"/>
      </rPr>
      <t>El documento borrador está siendo construido con la participación de  diferentes actores del Estado, academia,  sector privado, pueblos indígenas y de Sociedad Civil.</t>
    </r>
  </si>
  <si>
    <r>
      <rPr>
        <b/>
        <sz val="14"/>
        <color rgb="FFFF0000"/>
        <rFont val="Century Gothic"/>
        <family val="2"/>
      </rPr>
      <t>1. Política Pública de Diálogo:</t>
    </r>
    <r>
      <rPr>
        <sz val="14"/>
        <color theme="1"/>
        <rFont val="Century Gothic"/>
        <family val="2"/>
      </rPr>
      <t>Se recibió una primera revisión y retroalimentación por parte de SEGEPLAN</t>
    </r>
  </si>
  <si>
    <r>
      <t xml:space="preserve">1. Política Pública de Diálogo: </t>
    </r>
    <r>
      <rPr>
        <sz val="14"/>
        <color theme="1"/>
        <rFont val="Century Gothic"/>
        <family val="2"/>
      </rPr>
      <t>El avance en la construcción de la política es grado 2.</t>
    </r>
    <r>
      <rPr>
        <b/>
        <sz val="14"/>
        <color theme="1"/>
        <rFont val="Century Gothic"/>
        <family val="2"/>
      </rPr>
      <t xml:space="preserve">
a.) </t>
    </r>
    <r>
      <rPr>
        <sz val="14"/>
        <color theme="1"/>
        <rFont val="Century Gothic"/>
        <family val="2"/>
      </rPr>
      <t xml:space="preserve"> Borrador de la Política Pública de Diálogo</t>
    </r>
    <r>
      <rPr>
        <b/>
        <sz val="14"/>
        <color theme="1"/>
        <rFont val="Century Gothic"/>
        <family val="2"/>
      </rPr>
      <t xml:space="preserve">
Los grados de avance aplicables a cada instrumento son:</t>
    </r>
    <r>
      <rPr>
        <sz val="14"/>
        <color theme="1"/>
        <rFont val="Century Gothic"/>
        <family val="2"/>
      </rPr>
      <t>1=Diseño del proceso para la elaboración del instrumento; 2=Construcción participativa y/o interinstitucional del instrumento; 3=Adopción del instrumento por parte del Gobierno.; 4=Puesta en marcha del instrumento.</t>
    </r>
    <r>
      <rPr>
        <b/>
        <sz val="14"/>
        <color theme="1"/>
        <rFont val="Century Gothic"/>
        <family val="2"/>
      </rPr>
      <t xml:space="preserve">
Los tres instrumentos definidos en este indicador son:
</t>
    </r>
    <r>
      <rPr>
        <sz val="14"/>
        <color theme="1"/>
        <rFont val="Century Gothic"/>
        <family val="2"/>
      </rPr>
      <t xml:space="preserve">1. El Grupo Técnico Interinstitucional (Grado de avance 4=Puesto en Marcha)
2. El Sistema de Alerta y Respuesta Temprana (Grado de avance 2=Construcción Participativa)
3. La política Publica de Diálogo (Grado de avance 2=Construcción Participativa)
</t>
    </r>
    <r>
      <rPr>
        <b/>
        <sz val="14"/>
        <color theme="1"/>
        <rFont val="Century Gothic"/>
        <family val="2"/>
      </rPr>
      <t xml:space="preserve">
Los grados de avance aplicables a cada instrumento son:1</t>
    </r>
    <r>
      <rPr>
        <sz val="14"/>
        <color theme="1"/>
        <rFont val="Century Gothic"/>
        <family val="2"/>
      </rPr>
      <t>=Diseño del proceso para la elaboración del instrumento; 2=Construcción participativa y/o interinstitucional del instrumento; 3=Adopción del instrumento por parte del Gobierno.; 4=Puesta en marcha del instrumento.</t>
    </r>
  </si>
  <si>
    <r>
      <t xml:space="preserve">1.2.1 </t>
    </r>
    <r>
      <rPr>
        <sz val="14"/>
        <color theme="1"/>
        <rFont val="Century Gothic"/>
        <family val="2"/>
      </rPr>
      <t>Nivel de progreso de los diálogos estratégicos de acuerdo a metodología establecida</t>
    </r>
  </si>
  <si>
    <r>
      <rPr>
        <b/>
        <sz val="14"/>
        <color theme="1"/>
        <rFont val="Century Gothic"/>
        <family val="2"/>
      </rPr>
      <t>2019</t>
    </r>
    <r>
      <rPr>
        <sz val="14"/>
        <color theme="1"/>
        <rFont val="Century Gothic"/>
        <family val="2"/>
      </rPr>
      <t xml:space="preserve">
3
</t>
    </r>
  </si>
  <si>
    <r>
      <rPr>
        <b/>
        <sz val="14"/>
        <color theme="1"/>
        <rFont val="Century Gothic"/>
        <family val="2"/>
      </rPr>
      <t xml:space="preserve">Actividad 1.2.1 </t>
    </r>
    <r>
      <rPr>
        <sz val="14"/>
        <color theme="1"/>
        <rFont val="Century Gothic"/>
        <family val="2"/>
      </rPr>
      <t xml:space="preserve">
Asistencia técnica para apoyar la continuidad al desarrollo de un (01) diálogo estratégico que aborden problemáticas nacionales priorizadas, asegurando la participación igualitaria de mujeres, jóvenes, y pueblos indígenas. (Ej. Recursos Naturales, Agua, Modelo de desarrollo y las industrias extractivas) </t>
    </r>
  </si>
  <si>
    <r>
      <rPr>
        <b/>
        <sz val="14"/>
        <color rgb="FFFF0000"/>
        <rFont val="Century Gothic"/>
        <family val="2"/>
      </rPr>
      <t>1.- Diálogo en Recursos Naturales:</t>
    </r>
    <r>
      <rPr>
        <sz val="14"/>
        <color theme="1"/>
        <rFont val="Century Gothic"/>
        <family val="2"/>
      </rPr>
      <t xml:space="preserve"> en el mes de octubre (16 y 17), el PNUD realizó un taller de intercambio de experiencias sobre institucionalidad de diálogo y gestión de conflictos socio-ambientales en América Latina, con el objetivo de reunir actores clave como representantes de los pueblos indígenas, la institucionalidad pública, el sector privado organizaciones de sociedad civil, y reflexionar sobre recursos naturales y conflictividad.
</t>
    </r>
    <r>
      <rPr>
        <b/>
        <sz val="14"/>
        <color rgb="FFFF0000"/>
        <rFont val="Century Gothic"/>
        <family val="2"/>
      </rPr>
      <t xml:space="preserve">2.- Diálogo Territorial en el Valle del Polochic: </t>
    </r>
    <r>
      <rPr>
        <sz val="14"/>
        <rFont val="Century Gothic"/>
        <family val="2"/>
      </rPr>
      <t>Inició el proceso de diálogo en el territorio</t>
    </r>
  </si>
  <si>
    <r>
      <rPr>
        <b/>
        <sz val="14"/>
        <rFont val="Century Gothic"/>
        <family val="2"/>
      </rPr>
      <t xml:space="preserve">1. Diálogo Recursos Naturales: </t>
    </r>
    <r>
      <rPr>
        <sz val="14"/>
        <color theme="1"/>
        <rFont val="Century Gothic"/>
        <family val="2"/>
      </rPr>
      <t xml:space="preserve"> El proyecto está apoyando la implementación de un Diálogo Estratégico sobre Ocupaciones y Desalojos en Áreas Protegidas. 
Se apoyó el diseño e implementación del diálogo estratégico. Se construyó un grupo de trabajo compuesto por diferentes instituciones, así como agencias y programas de la ONU. Se acordó de una metodología de 4 fases: 
1.  Análisis conjunto de la problemática. 
2. Construcción de propuestas: medidas y estrategias. 
3. Implementación de medidas y estrategias acordadas. 
4. Monitoreo y seguimiento). 
</t>
    </r>
    <r>
      <rPr>
        <b/>
        <sz val="14"/>
        <color theme="1"/>
        <rFont val="Century Gothic"/>
        <family val="2"/>
      </rPr>
      <t>2. Diálogo Territorial en el Valle del Polochic:</t>
    </r>
    <r>
      <rPr>
        <sz val="14"/>
        <color theme="1"/>
        <rFont val="Century Gothic"/>
        <family val="2"/>
      </rPr>
      <t xml:space="preserve"> Este proceso es un ejercicio piloto interinstitucional de promoción, co-diseño e implementación de un diálogo estratégico para la transformación de conflictos, sentando un precedente que permita replicar el proceso en otros municipios. 
Entre el mes de enero y abril del 2018 se sostuvieron 5 reuniones interinstitucionales para continuar con el análisis de condiciones, contando con la presencia y disposición de la Municipalidad de Panzós para el proceso.</t>
    </r>
  </si>
  <si>
    <r>
      <t xml:space="preserve">1. Diálogo en Recursos Naturales. </t>
    </r>
    <r>
      <rPr>
        <sz val="14"/>
        <color theme="1"/>
        <rFont val="Century Gothic"/>
        <family val="2"/>
      </rPr>
      <t>Desde Enero se han realizado 6 reuniones de carácter técnico legal on la finalidad de identificar vacíos de información,  actualización del mapeo de comunidades y su ”estatus” tanto de Laguna del Tigre como Sierra Lacandon, e identificar  a  ”las comunidades piloto”  que por su estatus de contar con Acuerdos de Cooperación, son potencialmente elegibles para el acompañamiento interinstitucional, planes de desarrollo comunitario y apoyo técnico-financiero de las instituciones, De tal manera que, el trabajo coordinado y conjunto con estas comunidades pueda replicarse con éxito  y al mismo tiempo sean ”incentivos” a otras comunidades que aplican para actualización y, o firma de convenios</t>
    </r>
    <r>
      <rPr>
        <b/>
        <sz val="14"/>
        <color theme="1"/>
        <rFont val="Century Gothic"/>
        <family val="2"/>
      </rPr>
      <t xml:space="preserve">
2. Diálogo Territorial en el Valle del Polochic: </t>
    </r>
    <r>
      <rPr>
        <sz val="14"/>
        <color theme="1"/>
        <rFont val="Century Gothic"/>
        <family val="2"/>
      </rPr>
      <t xml:space="preserve"> La mesa técnica municipal se ha reunido en 4 ocasiones para continuar el desarrollo de la metodología de elaboración de PDM-OT propuesta por SEGEPLAN, en este sentido se analizó información sobre la organización territorial actual, análisis tendencial y se elaboró el modelo de desarrollo territorial futuro.</t>
    </r>
  </si>
  <si>
    <r>
      <rPr>
        <b/>
        <sz val="14"/>
        <color rgb="FFFF0000"/>
        <rFont val="Century Gothic"/>
        <family val="2"/>
      </rPr>
      <t xml:space="preserve">1.- </t>
    </r>
    <r>
      <rPr>
        <b/>
        <sz val="14"/>
        <rFont val="Century Gothic"/>
        <family val="2"/>
      </rPr>
      <t xml:space="preserve">Diálogo en Recursos Naturales: </t>
    </r>
    <r>
      <rPr>
        <sz val="14"/>
        <color theme="1"/>
        <rFont val="Century Gothic"/>
        <family val="2"/>
      </rPr>
      <t xml:space="preserve">Especialistas internacionales sobre la temática para que compartieran las experiencias en sus países.
</t>
    </r>
    <r>
      <rPr>
        <b/>
        <sz val="14"/>
        <color rgb="FFFF0000"/>
        <rFont val="Century Gothic"/>
        <family val="2"/>
      </rPr>
      <t>2.-</t>
    </r>
    <r>
      <rPr>
        <sz val="14"/>
        <color theme="1"/>
        <rFont val="Century Gothic"/>
        <family val="2"/>
      </rPr>
      <t xml:space="preserve"> </t>
    </r>
    <r>
      <rPr>
        <b/>
        <sz val="14"/>
        <color theme="1"/>
        <rFont val="Century Gothic"/>
        <family val="2"/>
      </rPr>
      <t xml:space="preserve"> Diálogo Territorial en el Valle del Polochic:</t>
    </r>
    <r>
      <rPr>
        <sz val="14"/>
        <color theme="1"/>
        <rFont val="Century Gothic"/>
        <family val="2"/>
      </rPr>
      <t xml:space="preserve"> SEGEPLAN, COPREDEH, CPD, SAA, ONU MUJERES y PNUD,</t>
    </r>
  </si>
  <si>
    <r>
      <rPr>
        <b/>
        <sz val="14"/>
        <color theme="1"/>
        <rFont val="Century Gothic"/>
        <family val="2"/>
      </rPr>
      <t xml:space="preserve">1. Dialogo Recursos Naturales: </t>
    </r>
    <r>
      <rPr>
        <sz val="14"/>
        <color theme="1"/>
        <rFont val="Century Gothic"/>
        <family val="2"/>
      </rPr>
      <t xml:space="preserve">En este proceso participan representantes de la VIcepresidencia, la CPD, MINGOB, SAA, CONAP, PDH, Congreso de la República, INGUAT, MAGA, RIC, COPREDEH, CECON/USAC, OACNUD, ONU Mujeres, ACNUR, PNUD y OCHA
</t>
    </r>
    <r>
      <rPr>
        <b/>
        <sz val="14"/>
        <color theme="1"/>
        <rFont val="Century Gothic"/>
        <family val="2"/>
      </rPr>
      <t>2. Diálogo Territorial en el Valle del Polochic:</t>
    </r>
    <r>
      <rPr>
        <sz val="14"/>
        <color theme="1"/>
        <rFont val="Century Gothic"/>
        <family val="2"/>
      </rPr>
      <t xml:space="preserve"> Participaron representantes de COPREDEH, SAA, CPD, la Gobernación Departamental de Alta Verapaz, la Municipalidad, ONU MUJERES y PNUD. Los actores con quienes se tuvo el acercamiento fueron: El Concejo Municipal, líderes de los Consejos Comunitarios de Desarrollo de Segundo Nivel, Representantes del Sector Privado del Municipio, Organizaciones no Gubernamentales del Sector Mujer y Representantes de Organizaciones Campesinas. 
Todos estos actores conforman la mesa ampliada, con quienes ya se llevaron a cabo 3 reuniones para analizar los insumos generados por la mesa técnica e ir construyendo los consensos para la redacción del PDM-OT. </t>
    </r>
  </si>
  <si>
    <r>
      <rPr>
        <b/>
        <sz val="14"/>
        <color theme="1"/>
        <rFont val="Century Gothic"/>
        <family val="2"/>
      </rPr>
      <t xml:space="preserve">1. Diálogo en Recursos Naturales: </t>
    </r>
    <r>
      <rPr>
        <sz val="14"/>
        <color theme="1"/>
        <rFont val="Century Gothic"/>
        <family val="2"/>
      </rPr>
      <t xml:space="preserve">MINEDUC, MSPAS, MAGA, MIDES, FODES; INGUAT, INFOM, CONAP, INAP, los alcaldes y técnicos de las municipalidades de San Andres y La libertad (Peten), CPD y WCS (ONG) y Defensores de la naturaleza para ofrecer servicio en 5 comunidades priorizadas 1) Parque Laguna del Tigre,  Paso Caballo, 2) Parque Sierra Lacandón,  Villahermosa, 3) Pozo Azul, 4) Manantialito y 5) San Juan Villa Nueva. 
</t>
    </r>
    <r>
      <rPr>
        <b/>
        <sz val="14"/>
        <color theme="1"/>
        <rFont val="Century Gothic"/>
        <family val="2"/>
      </rPr>
      <t>2. Diálogo Territorial en el Valle del Polochic</t>
    </r>
    <r>
      <rPr>
        <sz val="14"/>
        <color theme="1"/>
        <rFont val="Century Gothic"/>
        <family val="2"/>
      </rPr>
      <t>: La mesa está conformada principalmente por representantes de la municipalidad. En el desarrollo del proceso diálogo también participan representantes de los sectores del municipio del sector privado, consejos comunitarios de segundo nivel, organizaciones de mujeres y organizaciones campesinas.</t>
    </r>
  </si>
  <si>
    <r>
      <rPr>
        <b/>
        <sz val="14"/>
        <color rgb="FFFF0000"/>
        <rFont val="Century Gothic"/>
        <family val="2"/>
      </rPr>
      <t xml:space="preserve">1.- Diálogo en Recursos Naturales: </t>
    </r>
    <r>
      <rPr>
        <sz val="14"/>
        <color theme="1"/>
        <rFont val="Century Gothic"/>
        <family val="2"/>
      </rPr>
      <t>El taller permitió</t>
    </r>
    <r>
      <rPr>
        <b/>
        <sz val="14"/>
        <color theme="1"/>
        <rFont val="Century Gothic"/>
        <family val="2"/>
      </rPr>
      <t xml:space="preserve"> identificar temáticas e intereses </t>
    </r>
    <r>
      <rPr>
        <sz val="14"/>
        <color theme="1"/>
        <rFont val="Century Gothic"/>
        <family val="2"/>
      </rPr>
      <t xml:space="preserve">de actores, en donde sobre salen temas como </t>
    </r>
    <r>
      <rPr>
        <b/>
        <sz val="14"/>
        <color theme="1"/>
        <rFont val="Century Gothic"/>
        <family val="2"/>
      </rPr>
      <t>la ley de aguas</t>
    </r>
    <r>
      <rPr>
        <sz val="14"/>
        <color theme="1"/>
        <rFont val="Century Gothic"/>
        <family val="2"/>
      </rPr>
      <t xml:space="preserve">, </t>
    </r>
    <r>
      <rPr>
        <b/>
        <sz val="14"/>
        <color theme="1"/>
        <rFont val="Century Gothic"/>
        <family val="2"/>
      </rPr>
      <t>política minera</t>
    </r>
    <r>
      <rPr>
        <sz val="14"/>
        <color theme="1"/>
        <rFont val="Century Gothic"/>
        <family val="2"/>
      </rPr>
      <t>,</t>
    </r>
    <r>
      <rPr>
        <b/>
        <sz val="14"/>
        <color theme="1"/>
        <rFont val="Century Gothic"/>
        <family val="2"/>
      </rPr>
      <t xml:space="preserve"> ley de energía</t>
    </r>
    <r>
      <rPr>
        <sz val="14"/>
        <color theme="1"/>
        <rFont val="Century Gothic"/>
        <family val="2"/>
      </rPr>
      <t xml:space="preserve">, y </t>
    </r>
    <r>
      <rPr>
        <b/>
        <sz val="14"/>
        <color theme="1"/>
        <rFont val="Century Gothic"/>
        <family val="2"/>
      </rPr>
      <t>consulta del C-169.</t>
    </r>
    <r>
      <rPr>
        <sz val="14"/>
        <color theme="1"/>
        <rFont val="Century Gothic"/>
        <family val="2"/>
      </rPr>
      <t xml:space="preserve"> Se han realizado acercamientos con la institucionalidad y otros actores para </t>
    </r>
    <r>
      <rPr>
        <b/>
        <sz val="14"/>
        <color theme="1"/>
        <rFont val="Century Gothic"/>
        <family val="2"/>
      </rPr>
      <t>analizar las temáticas y encontrar puntos de entrada para el diálogo.</t>
    </r>
    <r>
      <rPr>
        <sz val="14"/>
        <color theme="1"/>
        <rFont val="Century Gothic"/>
        <family val="2"/>
      </rPr>
      <t xml:space="preserve">
</t>
    </r>
    <r>
      <rPr>
        <b/>
        <sz val="14"/>
        <color rgb="FFFF0000"/>
        <rFont val="Century Gothic"/>
        <family val="2"/>
      </rPr>
      <t xml:space="preserve">2.- Diálogo Territorial en el Valle del Polochic: </t>
    </r>
    <r>
      <rPr>
        <sz val="14"/>
        <color theme="1"/>
        <rFont val="Century Gothic"/>
        <family val="2"/>
      </rPr>
      <t xml:space="preserve">Un análisis preliminar para establecer el territorio en el que se focalizará la intervención. Para ello se consideraron los siguientes criterios: a) Conflictividad agraria, b) Índice de gestión de riesgos sistema INFORM
c) Voluntad política en el territorio, d) Capacidad instalada e intervenciones previas.
Estos criterios se aplicaron a varios municipios del Valle del Polochic y a partir de una reflexión colectiva interinstitucional, se definió que el municipio que cumplía con ellos y en el que se podría focalizar la implementación piloto de un proceso de dialogo sería el municipio de Panzós. Se tiene contemplado que este proceso sea un ejercicio piloto interinstitucional de promoción, co-diseño e implementación de un diálogo estratégico para la transformación de conflictos, sentando un precedente que permita replicar el proceso en otros municipios. </t>
    </r>
  </si>
  <si>
    <r>
      <rPr>
        <b/>
        <sz val="14"/>
        <color theme="1"/>
        <rFont val="Century Gothic"/>
        <family val="2"/>
      </rPr>
      <t xml:space="preserve">1. Diálogo Recursos Naturales: </t>
    </r>
    <r>
      <rPr>
        <sz val="14"/>
        <color theme="1"/>
        <rFont val="Century Gothic"/>
        <family val="2"/>
      </rPr>
      <t xml:space="preserve">El objetivo es lograr un entendimiento común sobre la problemática, y a partir de los mandatos institucionales construir respuestas efectivas que garanticen los más altos estándares de derechos humanos en materia de desalojos, así como la conservación y el desarrollo sostenible en armonía con el medio ambiente. La mesa de alto nivel se ha reunido dos veces, se hizo un análisis conjunto de la problemática y se propuso varias medidas y estrategias para resolverla. Se construyó un petit comité que hizo una primera priorización de medidas y estrategias, así como un plan de trabajo para su implementación. dentro de los principales resultados de este proceso se encuentran un borrador de protocolo de actuación antes, durante y despúes de un desalojo, así como una propuesta de creación de una fiscalía agraria.
</t>
    </r>
    <r>
      <rPr>
        <b/>
        <sz val="14"/>
        <color theme="1"/>
        <rFont val="Century Gothic"/>
        <family val="2"/>
      </rPr>
      <t>2. Diálogo Territorial en el Valle del Polochic:</t>
    </r>
    <r>
      <rPr>
        <sz val="14"/>
        <color theme="1"/>
        <rFont val="Century Gothic"/>
        <family val="2"/>
      </rPr>
      <t xml:space="preserve"> Con estos actores se identificó la problemática municipal y a partir del análisis interinstitucional de la problemática, se determinó que el diálogo en el territorio se lleve a cabo en dos rutas paralelas: la primera, en la que la institucionalidad del Estado implemente acciones de solución a corto plazo (Oferta Institucional), que generen confianza con los actores del municipio; y la segunda, que consiste en la construcción de una visión de desarrollo del municipio, que contemple el ordenamiento territorial para resolver la problemática de la tierra en el territorio. para éste último se está aplicando la metodología propuesta por SEGEPLAN para la elaboración del Plan de Desarrollo Municipal y Ordenamiento Territorial.
A partir del lanzamiento del proceso, la mesa técnica municipal se ha reunido en 5 ocasiones para desarrollar la metodología de elaboración de PDM-OT propuesta por SEGEPLAN, en este sentido se analizó información sobre la situación actual del municipio como un análisis de actores, recolección y análisis de indicadores del municipio y ampliación de la problemática municipal., La mesa está conformada principalmente por representantes de la municipalidad. </t>
    </r>
  </si>
  <si>
    <r>
      <rPr>
        <b/>
        <sz val="14"/>
        <color theme="1"/>
        <rFont val="Century Gothic"/>
        <family val="2"/>
      </rPr>
      <t xml:space="preserve">1. Diálogo en Recursos Naturales: </t>
    </r>
    <r>
      <rPr>
        <sz val="14"/>
        <color theme="1"/>
        <rFont val="Century Gothic"/>
        <family val="2"/>
      </rPr>
      <t xml:space="preserve">Derivado de estas reuniones técnicas, se hizo una segunda visita a Petén los días 3 y 4 de abril,  en donde en una reunión técnica del día 3,  se estableció  una nueva hoja de ruta para acompañar conjuntamente con Defensores de la Naturaleza, 4 comunidades del  Parque Sierra del Lacandón: 1) El Manantialito; 2) Pozo Azul, 3) San Juan Villa Nueva; 4) Vista Hermosa,  y con CONAP- WCS  la comunidad piloto, en el Parque Laguna del Tigre,  1) Paso Caballos y eventualmente 2) Buenos Aires. El día 4, se hizo un reconocimiento de las cuatro comunidades de Sierra Lacandon, estableciendose contacto con los líderes comunitarios, quienes mostraron su anuencia y disponibilidad para trabajar un plan de desarrollo comunitario a efecto de ir avanzando en la concreción de acciones que les permitan ir satisfaciendo las necesidades urgentes. 
Asi mismo, en el marco del proceso de diálogo de áreas portegidas de las acciones del proyecto contibuyeron a la identificación y movilización de la oferta institucional para responder a las necesidades de las poblaciones más vulnerables con el objeto de mejorar sus condiciones de vida.
</t>
    </r>
    <r>
      <rPr>
        <b/>
        <sz val="14"/>
        <color theme="1"/>
        <rFont val="Century Gothic"/>
        <family val="2"/>
      </rPr>
      <t>2. Diálogo Territorial en el Valle del Polochic</t>
    </r>
    <r>
      <rPr>
        <sz val="14"/>
        <color theme="1"/>
        <rFont val="Century Gothic"/>
        <family val="2"/>
      </rPr>
      <t xml:space="preserve">: Se encuentra en la fase 4. El borrador del PDM-OT fue aprobado por el Concejo Municipal, este mismo borrador se entregó a SEGEPLAN para la obtención del dictamen técnico. SEGEPLAN emitió sus correcciones cuales seran entregadas en noviembre. </t>
    </r>
  </si>
  <si>
    <r>
      <t>1.2.2</t>
    </r>
    <r>
      <rPr>
        <sz val="14"/>
        <color theme="1"/>
        <rFont val="Century Gothic"/>
        <family val="2"/>
      </rPr>
      <t xml:space="preserve"> Nivel de inclusión de los actores involucrados en los procesos de diálogo</t>
    </r>
  </si>
  <si>
    <r>
      <rPr>
        <b/>
        <sz val="14"/>
        <color theme="1"/>
        <rFont val="Century Gothic"/>
        <family val="2"/>
      </rPr>
      <t>1. Diálogo Recursos Naturales</t>
    </r>
    <r>
      <rPr>
        <sz val="14"/>
        <color theme="1"/>
        <rFont val="Century Gothic"/>
        <family val="2"/>
      </rPr>
      <t xml:space="preserve">
</t>
    </r>
    <r>
      <rPr>
        <b/>
        <sz val="14"/>
        <color theme="1"/>
        <rFont val="Century Gothic"/>
        <family val="2"/>
      </rPr>
      <t xml:space="preserve">2. Diálogo En el Valle del Polochic:
</t>
    </r>
  </si>
  <si>
    <r>
      <rPr>
        <b/>
        <sz val="14"/>
        <color theme="1"/>
        <rFont val="Century Gothic"/>
        <family val="2"/>
      </rPr>
      <t xml:space="preserve">1. Diálogo en Recursos Naturales: </t>
    </r>
    <r>
      <rPr>
        <sz val="14"/>
        <color theme="1"/>
        <rFont val="Century Gothic"/>
        <family val="2"/>
      </rPr>
      <t xml:space="preserve">
</t>
    </r>
    <r>
      <rPr>
        <b/>
        <sz val="14"/>
        <color theme="1"/>
        <rFont val="Century Gothic"/>
        <family val="2"/>
      </rPr>
      <t>2. Diálogo Territorial en el Valle del Polochic</t>
    </r>
    <r>
      <rPr>
        <sz val="14"/>
        <color theme="1"/>
        <rFont val="Century Gothic"/>
        <family val="2"/>
      </rPr>
      <t>: Se hizo una reunion con ONU MUJERES, el delegado de SEGEPLAN  y un representante de la mesa técnica y PNUD para recibir la retroalimentacion de SEGEPLAN y estabelcer los proximos pasos del proceso. En esta ciclo de implementacion no se obtuvo reuniones de la mesa ampliada ni tecnica por estar en la fase de revision de SEGEPLAN</t>
    </r>
  </si>
  <si>
    <r>
      <t xml:space="preserve">
</t>
    </r>
    <r>
      <rPr>
        <b/>
        <sz val="14"/>
        <color theme="1"/>
        <rFont val="Century Gothic"/>
        <family val="2"/>
      </rPr>
      <t xml:space="preserve">2.- Valle del Polochic: </t>
    </r>
    <r>
      <rPr>
        <sz val="14"/>
        <color theme="1"/>
        <rFont val="Century Gothic"/>
        <family val="2"/>
      </rPr>
      <t>La participación de acotres durante este período ha sido únicamente de actores institucionales como: SAA, SEGEPLAN, COPREDEH, ONU MUJERES y PNUD</t>
    </r>
  </si>
  <si>
    <r>
      <rPr>
        <b/>
        <sz val="14"/>
        <color theme="1"/>
        <rFont val="Century Gothic"/>
        <family val="2"/>
      </rPr>
      <t xml:space="preserve">1. Diálogo Recursos Naturales: </t>
    </r>
    <r>
      <rPr>
        <sz val="14"/>
        <color theme="1"/>
        <rFont val="Century Gothic"/>
        <family val="2"/>
      </rPr>
      <t xml:space="preserve">Los actores que han participado en este proceso son representantes de la VIcepresidencia, la CPD, MINGOB, SAA, CONAP, PDH, Congreso de la República, INGUAT, MAGA, RIC, COPREDEH, CECON/USAC, OACNUD, ONU Mujeres, ACNUR, PNUD y OCHA.
</t>
    </r>
    <r>
      <rPr>
        <b/>
        <sz val="14"/>
        <color theme="1"/>
        <rFont val="Century Gothic"/>
        <family val="2"/>
      </rPr>
      <t>2. Diálogo En el Valle del Polochic:</t>
    </r>
    <r>
      <rPr>
        <sz val="14"/>
        <color theme="1"/>
        <rFont val="Century Gothic"/>
        <family val="2"/>
      </rPr>
      <t xml:space="preserve"> La participación de actores primarios ha sido constante tanto en la fase de diseño como en el desarrollo del diálogo, siendo estos: SAA, SEGEPLAN, COPREDEH, el sector privado, organizaciones de mujeres, organizaciones campesinas, ONU MUJERES y PNUD</t>
    </r>
  </si>
  <si>
    <r>
      <rPr>
        <b/>
        <sz val="14"/>
        <color theme="1"/>
        <rFont val="Century Gothic"/>
        <family val="2"/>
      </rPr>
      <t xml:space="preserve">1. Diálogo en Recursos Naturales: </t>
    </r>
    <r>
      <rPr>
        <sz val="14"/>
        <color theme="1"/>
        <rFont val="Century Gothic"/>
        <family val="2"/>
      </rPr>
      <t xml:space="preserve">Los actores que han participado en este proceso son representantes de la VIcepresidencia, la CPD, MINGOB, SAA, CONAP, PDH, Congreso de la República, INGUAT, MAGA, RIC, COPREDEH, CECON/USAC, OACNUD, ONU Mujeres, ACNUR, PNUD y OCHA.
</t>
    </r>
    <r>
      <rPr>
        <b/>
        <sz val="14"/>
        <color theme="1"/>
        <rFont val="Century Gothic"/>
        <family val="2"/>
      </rPr>
      <t>2. Diálogo Territorial en el Valle del Polochic</t>
    </r>
    <r>
      <rPr>
        <sz val="14"/>
        <color theme="1"/>
        <rFont val="Century Gothic"/>
        <family val="2"/>
      </rPr>
      <t>: ONUMUJERES, SEGEPLAN, 1 representantes de la mesa técnica y de PNUD</t>
    </r>
  </si>
  <si>
    <r>
      <rPr>
        <b/>
        <sz val="14"/>
        <color rgb="FFFF0000"/>
        <rFont val="Century Gothic"/>
        <family val="2"/>
      </rPr>
      <t>1.- Diálogo Recursos Naturales,</t>
    </r>
    <r>
      <rPr>
        <b/>
        <sz val="14"/>
        <color theme="1"/>
        <rFont val="Century Gothic"/>
        <family val="2"/>
      </rPr>
      <t xml:space="preserve"> </t>
    </r>
    <r>
      <rPr>
        <sz val="14"/>
        <color theme="1"/>
        <rFont val="Century Gothic"/>
        <family val="2"/>
      </rPr>
      <t xml:space="preserve">La participación de actores para este diálogo ha sido de actores primarios, es decicr nivel 2 de acuerdo al indicador. 
</t>
    </r>
    <r>
      <rPr>
        <b/>
        <sz val="14"/>
        <color rgb="FFFF0000"/>
        <rFont val="Century Gothic"/>
        <family val="2"/>
      </rPr>
      <t>2.- Diálogo en el Valle del Polochic:</t>
    </r>
    <r>
      <rPr>
        <sz val="14"/>
        <color theme="1"/>
        <rFont val="Century Gothic"/>
        <family val="2"/>
      </rPr>
      <t xml:space="preserve"> De acuerdo con el indicador de este proceso el nivel de participación de actores es 2. 
</t>
    </r>
    <r>
      <rPr>
        <b/>
        <sz val="14"/>
        <color theme="1"/>
        <rFont val="Century Gothic"/>
        <family val="2"/>
      </rPr>
      <t>Nivel de inclusión de actores primarios y secundarios en los procesos de diálogo (a ser definidos en cada proceso):</t>
    </r>
    <r>
      <rPr>
        <sz val="14"/>
        <color theme="1"/>
        <rFont val="Century Gothic"/>
        <family val="2"/>
      </rPr>
      <t xml:space="preserve"> 1. No inclusivo: no todos los actores primarios participan en los procesos de diálogo; 2. Mínimo: Sólo los actores primarios participan en los procesos de diálogo; 3 Óptimo: Todos los actores primarios y secundarios participan en los procesos de diálogo. </t>
    </r>
  </si>
  <si>
    <r>
      <rPr>
        <b/>
        <sz val="14"/>
        <color theme="1"/>
        <rFont val="Century Gothic"/>
        <family val="2"/>
      </rPr>
      <t xml:space="preserve">1. Diálogo Recursos Naturales: </t>
    </r>
    <r>
      <rPr>
        <sz val="14"/>
        <color theme="1"/>
        <rFont val="Century Gothic"/>
        <family val="2"/>
      </rPr>
      <t xml:space="preserve">De acuerdo con el indicador, el nivel de avance es 2.
</t>
    </r>
    <r>
      <rPr>
        <b/>
        <sz val="14"/>
        <color theme="1"/>
        <rFont val="Century Gothic"/>
        <family val="2"/>
      </rPr>
      <t>2. Diálogo En el Valle del Polochic</t>
    </r>
    <r>
      <rPr>
        <sz val="14"/>
        <color theme="1"/>
        <rFont val="Century Gothic"/>
        <family val="2"/>
      </rPr>
      <t>: El nivel de avance ha sido 3 de acuerdo con el indicador.</t>
    </r>
  </si>
  <si>
    <r>
      <rPr>
        <b/>
        <sz val="14"/>
        <color theme="1"/>
        <rFont val="Century Gothic"/>
        <family val="2"/>
      </rPr>
      <t>(Sin año)</t>
    </r>
    <r>
      <rPr>
        <sz val="14"/>
        <color theme="1"/>
        <rFont val="Century Gothic"/>
        <family val="2"/>
      </rPr>
      <t xml:space="preserve">
0
</t>
    </r>
  </si>
  <si>
    <r>
      <rPr>
        <b/>
        <sz val="14"/>
        <color theme="1"/>
        <rFont val="Century Gothic"/>
        <family val="2"/>
      </rPr>
      <t xml:space="preserve">Actividad 1.2.2  </t>
    </r>
    <r>
      <rPr>
        <sz val="14"/>
        <color theme="1"/>
        <rFont val="Century Gothic"/>
        <family val="2"/>
      </rPr>
      <t xml:space="preserve">
Asistencia técnica para apoyar la continuidad al desarrollo de  (01) diálogo estratégico que aborde problemáticas territoriales priorizadas priorizadas en el municipio de Panzós, Alta Verapaz, asegurando la participación igualitaria de mujeres, jóvenes, y pueblos indígenas e identificar territorios para replicar experiencias.</t>
    </r>
  </si>
  <si>
    <r>
      <t xml:space="preserve">1. Diálogo Territorial en el Valle del Polochic: </t>
    </r>
    <r>
      <rPr>
        <sz val="14"/>
        <color theme="1"/>
        <rFont val="Century Gothic"/>
        <family val="2"/>
      </rPr>
      <t xml:space="preserve"> En el dialogo de Panzos los multiples acuerdos se reflejan en el borrador del documento del PDM-OT. La realizacion de la mesa interinstitucional de seguridad ha generado un dialogo de alto nivel en las areas protegidas de Peten. Los acuerdos que se generaron se reflejan en las acciones que se han desarrollado en el territorio, como el proceso de diagnostico y la oferta institucional con las 5 comunidades priorizados en peten y asimismo el protocolo de desalojos. </t>
    </r>
  </si>
  <si>
    <r>
      <rPr>
        <b/>
        <sz val="14"/>
        <color theme="1"/>
        <rFont val="Century Gothic"/>
        <family val="2"/>
      </rPr>
      <t>1.2.4</t>
    </r>
    <r>
      <rPr>
        <sz val="14"/>
        <color theme="1"/>
        <rFont val="Century Gothic"/>
        <family val="2"/>
      </rPr>
      <t xml:space="preserve"> Numero de procesos de diálogo estratégico que abordan el impacto diferenciado del conflicto en las mujeres y hombres</t>
    </r>
  </si>
  <si>
    <r>
      <rPr>
        <b/>
        <sz val="14"/>
        <color theme="1"/>
        <rFont val="Century Gothic"/>
        <family val="2"/>
      </rPr>
      <t xml:space="preserve">Actividad 1.2.3  </t>
    </r>
    <r>
      <rPr>
        <sz val="14"/>
        <color theme="1"/>
        <rFont val="Century Gothic"/>
        <family val="2"/>
      </rPr>
      <t xml:space="preserve">
Preparación, participación e incidencia de las mujeres en los procesos de diálogos estratégicos con enfoque transformativo  </t>
    </r>
  </si>
  <si>
    <r>
      <t xml:space="preserve">1. Diálogo Territorial en el Valle del Polochic:  </t>
    </r>
    <r>
      <rPr>
        <sz val="14"/>
        <color theme="1"/>
        <rFont val="Century Gothic"/>
        <family val="2"/>
      </rPr>
      <t>En el proceso de diálogo de Panzós, las mujeres juegan un papel protagónico. ONU Mujeres ha organizado una serie de reuniones de diálogo con representantes de organizacioens de mujeres en el territorio para compartir sus preocupaciones y cómo viven la conflictividad agraria en el municipio.  Este proceso ha sido un buen ejemplo del trabajo conjunto del PNUD con Onu Mujeres, en donde se han articulado los trabajos específicos con las mujeres a procesos integrales de desarrollo y construcción de paz que promueve el proyecto.
Además, Se ha desarrollado el diseño de un proceso de formación con representantes regionales de mujeres del Sistema de Consejos de Desarrollo Urbano y Rural para empoderarlas de las funciones de acuerdo a la Ley de Consejos de Desarrollo 11-2002. Se utilizará como herramienta el programa de Capacitación para Mujeres en los Consejos de Desarrollo Urbano y Rural, facilitado por la Secretaría Presidencial de la Mujer -SEPREM.</t>
    </r>
  </si>
  <si>
    <r>
      <rPr>
        <b/>
        <sz val="14"/>
        <color theme="1"/>
        <rFont val="Century Gothic"/>
        <family val="2"/>
      </rPr>
      <t xml:space="preserve">1. Diálogo Territorial en el Valle del Polochic:  </t>
    </r>
    <r>
      <rPr>
        <sz val="14"/>
        <color theme="1"/>
        <rFont val="Century Gothic"/>
        <family val="2"/>
      </rPr>
      <t>Organizaciones de mujeres en el territorio, Representants de instituciones púbiclicas y funcionarios</t>
    </r>
  </si>
  <si>
    <r>
      <rPr>
        <b/>
        <sz val="14"/>
        <color theme="1"/>
        <rFont val="Century Gothic"/>
        <family val="2"/>
      </rPr>
      <t>1. Diálogo Territorial en el Valle del Polochic:</t>
    </r>
    <r>
      <rPr>
        <sz val="14"/>
        <color theme="1"/>
        <rFont val="Century Gothic"/>
        <family val="2"/>
      </rPr>
      <t xml:space="preserve">   Mejora en los procesos de atención integral a las víctimas del enfretamiento Armano Interno</t>
    </r>
  </si>
  <si>
    <r>
      <t xml:space="preserve">1.3.1 </t>
    </r>
    <r>
      <rPr>
        <sz val="14"/>
        <color theme="1"/>
        <rFont val="Century Gothic"/>
        <family val="2"/>
      </rPr>
      <t># de espacios de reflexión activa sobre estándares internacionales en materia de consulta previa.</t>
    </r>
  </si>
  <si>
    <r>
      <rPr>
        <b/>
        <sz val="14"/>
        <color theme="1"/>
        <rFont val="Century Gothic"/>
        <family val="2"/>
      </rPr>
      <t xml:space="preserve">Actividad 1.3.1  
</t>
    </r>
    <r>
      <rPr>
        <sz val="14"/>
        <color theme="1"/>
        <rFont val="Century Gothic"/>
        <family val="2"/>
      </rPr>
      <t>Generación de condiciones entre los diferentes actores para lograr un entendimiento sobre los proccesos de implementación de la consulta en el contexto nacional y conforme a los estándares internacionales</t>
    </r>
  </si>
  <si>
    <r>
      <rPr>
        <b/>
        <sz val="14"/>
        <color rgb="FFFF0000"/>
        <rFont val="Century Gothic"/>
        <family val="2"/>
      </rPr>
      <t xml:space="preserve">1.- </t>
    </r>
    <r>
      <rPr>
        <sz val="14"/>
        <color theme="1"/>
        <rFont val="Century Gothic"/>
        <family val="2"/>
      </rPr>
      <t>Apoyó inicialmente el esfuerzo de la ‘Guía operativa para la implementación de la consulta a pueblos indígenas’, liderado por el MinTRAB y lanzado a mediados del 2017. UD facilitó a que Ivan Lanegra pudiera dar recomendaciones a la guía, los cuales en su mayoría eran traídas a partir de experiencias de Perú con respecto a su trabajo de la consulta previa. Además, el PNUD realizó buenos oficios entre el Gobierno y líderes políticos indígenas, y proveyendo asistencia técnica y recomendaciones en su proceso de construcción. Posteriormente en agosto/septiembre del 2017</t>
    </r>
  </si>
  <si>
    <r>
      <rPr>
        <b/>
        <sz val="14"/>
        <color theme="1"/>
        <rFont val="Century Gothic"/>
        <family val="2"/>
      </rPr>
      <t>En el proceso de Consulta Cotzal</t>
    </r>
    <r>
      <rPr>
        <sz val="14"/>
        <color theme="1"/>
        <rFont val="Century Gothic"/>
        <family val="2"/>
      </rPr>
      <t xml:space="preserve"> Se ha generado espacios de comunicacion entre la Alcaldia Indigena y el MINTRAB para encontrar acuerdos de seguimiento al proceso. </t>
    </r>
  </si>
  <si>
    <r>
      <rPr>
        <b/>
        <sz val="14"/>
        <color rgb="FFFF0000"/>
        <rFont val="Century Gothic"/>
        <family val="2"/>
      </rPr>
      <t xml:space="preserve">1.-  </t>
    </r>
    <r>
      <rPr>
        <sz val="14"/>
        <color theme="1"/>
        <rFont val="Century Gothic"/>
        <family val="2"/>
      </rPr>
      <t>PNUD, Ministerio de Trabajo, OIT, Duputados y funcionarios públicos y Viceministra de Diálogo Ciudadano de Costa Rica</t>
    </r>
  </si>
  <si>
    <r>
      <t>1.-</t>
    </r>
    <r>
      <rPr>
        <sz val="14"/>
        <rFont val="Century Gothic"/>
        <family val="2"/>
      </rPr>
      <t xml:space="preserve"> Diseño de la metodología para la realización de la consulta a la iniciativa de la ley de consulta. Se mantuvieron reuniones entre diferentes agencias del Sistema de las Naciones Unidas sobre cómo apoyar este proceso de la iniciativa de ley de consulta. Por esa razón, se está en espera de la respuesta por parte de la ONU que postura se va a dar al tema y sobre esa base analizar qué y cómo el proyecto puede apoyar. </t>
    </r>
  </si>
  <si>
    <r>
      <t xml:space="preserve">1.3.2 </t>
    </r>
    <r>
      <rPr>
        <sz val="14"/>
        <color theme="1"/>
        <rFont val="Century Gothic"/>
        <family val="2"/>
      </rPr>
      <t>Nivel de progreso de las consultas de acuerdo a metodología establecida</t>
    </r>
  </si>
  <si>
    <r>
      <rPr>
        <b/>
        <sz val="14"/>
        <color theme="1"/>
        <rFont val="Century Gothic"/>
        <family val="2"/>
      </rPr>
      <t>2019</t>
    </r>
    <r>
      <rPr>
        <sz val="14"/>
        <color theme="1"/>
        <rFont val="Century Gothic"/>
        <family val="2"/>
      </rPr>
      <t xml:space="preserve">
01 consulta nivel 1
01 consulta nivel 2
</t>
    </r>
  </si>
  <si>
    <r>
      <rPr>
        <b/>
        <sz val="14"/>
        <color theme="1"/>
        <rFont val="Century Gothic"/>
        <family val="2"/>
      </rPr>
      <t xml:space="preserve">Actividad 1.3.2  </t>
    </r>
    <r>
      <rPr>
        <sz val="14"/>
        <color theme="1"/>
        <rFont val="Century Gothic"/>
        <family val="2"/>
      </rPr>
      <t xml:space="preserve">
Asistencia técnica y financiera para continuar el acompañamiento  a los de consulta previa, y/o procesos  de consulta 
ordenados por la Corte de Constitucionalidad e identificar territorios para replicar experiencias.</t>
    </r>
  </si>
  <si>
    <r>
      <rPr>
        <b/>
        <sz val="14"/>
        <color rgb="FFFF0000"/>
        <rFont val="Century Gothic"/>
        <family val="2"/>
      </rPr>
      <t xml:space="preserve">1.- Acompañamiento a 2 proceso de consulta en la región Ixil: </t>
    </r>
    <r>
      <rPr>
        <sz val="14"/>
        <color theme="1"/>
        <rFont val="Century Gothic"/>
        <family val="2"/>
      </rPr>
      <t>Uno en el municipio Santa María Nebaj (relacionado a los proyectos hidroeléctricos La Vega I y La Vega II) y el otro en Cotzal (relacionado al proyecto de transporte de electricidad - Uspantán y Chixoy II)</t>
    </r>
    <r>
      <rPr>
        <b/>
        <sz val="14"/>
        <color theme="1"/>
        <rFont val="Century Gothic"/>
        <family val="2"/>
      </rPr>
      <t xml:space="preserve">.
</t>
    </r>
    <r>
      <rPr>
        <sz val="14"/>
        <color theme="1"/>
        <rFont val="Century Gothic"/>
        <family val="2"/>
      </rPr>
      <t xml:space="preserve">
Sobre la consulta en Santa María Nebaj se llevó a cabo, durante el año 2016, una serie de reuniones preparatorias para generar confianza entre las partes antes de iniciar el proceso del diálogo.
</t>
    </r>
    <r>
      <rPr>
        <b/>
        <sz val="14"/>
        <color theme="1"/>
        <rFont val="Century Gothic"/>
        <family val="2"/>
      </rPr>
      <t xml:space="preserve">
</t>
    </r>
    <r>
      <rPr>
        <sz val="14"/>
        <color theme="1"/>
        <rFont val="Century Gothic"/>
        <family val="2"/>
      </rPr>
      <t>En marzo del 2017, se estancó el proceso del diálogo debido a falta de financiamiento y que los representantes de los pueblos indígenas no ceden en su pretensión de un acuerdo gubernativo que respalde a los delegados del Gobierno en el proceso. Eso además creó un rompimiento de la comunicación entre las partes lo cual actualmente existe. Sobre la consulta en Cotzal se inició con el primer encuentro entre representantes del Estado y autoridades indígenas en junio, 2016.</t>
    </r>
  </si>
  <si>
    <r>
      <t xml:space="preserve">1. Proceso de Consulta en el Municipio de Cotzal: </t>
    </r>
    <r>
      <rPr>
        <sz val="14"/>
        <color theme="1"/>
        <rFont val="Century Gothic"/>
        <family val="2"/>
      </rPr>
      <t xml:space="preserve">E 8 de febrero de 2019 se llevó a cabo la reunión de planificación de reconocimiento de los terrenos donde se ubican las torres. Aunque la reunión tenía como objetivo que el GPI presentara la información que hacía falta sobre el Proyecto de Palo Viejo, para así planificar la visita prevista para el 28 de febrero/19 a los terrenos donde se encuentran las torres.  La reunión dio un giro adverso al proceso, debido a que, el GPI informó a la Alcaldía Indígena que en enero del 2019 el gobierno actual, había disuelto el Gabinete de Pueblos Indígenas, lo que implicaba que el proceso se quedaba sin el representante del Estado ante la AI.   Para las autoridades de la Alcaldía Indígena, la noticia significó un revés en el proceso, “prácticamente se invalida el proceso” son los términos usados por ellos en respuesta a lo expuesto por el Gabinete.  Se acento en el Acta lo actuado y se dejó en suspenso el proceso.
El 22 de marzo de 2019 se llevó a cabo una reunión de intercambio de saberes, conocimientos y lecciones aprendidas del proceso de Consulta desde la percepción de la A.I.  quienes identificaron que a pesar del estancamiento a partir del 8 de febrero, los aprendizajes y el camino recorrido, han fortalecido el rol de las autoridades, se ha sentado jurisprudencia en términos de proceso de consulta según el mandato y criterios del Convenio 169 de la OIT.  Y se ha realizado una defensa del territorio sin caer en ilegalidades al contrario haciendo uso de las mismas herramientas jurídicas del Estado (las Cortes) se ha determinado que efectivamente el Estado guatemalteco tiene la obligación de consultar a los PI cuando se dictaminen medidas administrativas y, o legislativas que sean susceptibles de afectar a las comunidades de Pueblos Indígenas, particularmente. </t>
    </r>
  </si>
  <si>
    <r>
      <rPr>
        <b/>
        <sz val="14"/>
        <color rgb="FFFF0000"/>
        <rFont val="Century Gothic"/>
        <family val="2"/>
      </rPr>
      <t xml:space="preserve">1.- Acompañamiento a 2 procesos de consulta en la región Ixil. </t>
    </r>
    <r>
      <rPr>
        <sz val="14"/>
        <rFont val="Century Gothic"/>
        <family val="2"/>
      </rPr>
      <t xml:space="preserve"> El nivel de progreso de acuerdo con el indicador es 1.</t>
    </r>
    <r>
      <rPr>
        <b/>
        <sz val="14"/>
        <color theme="1"/>
        <rFont val="Century Gothic"/>
        <family val="2"/>
      </rPr>
      <t xml:space="preserve">
1.</t>
    </r>
    <r>
      <rPr>
        <sz val="14"/>
        <color theme="1"/>
        <rFont val="Century Gothic"/>
        <family val="2"/>
      </rPr>
      <t xml:space="preserve"> Reuniones preparatorias y acreditación de las partes; 
</t>
    </r>
    <r>
      <rPr>
        <b/>
        <sz val="14"/>
        <color theme="1"/>
        <rFont val="Century Gothic"/>
        <family val="2"/>
      </rPr>
      <t>2.</t>
    </r>
    <r>
      <rPr>
        <sz val="14"/>
        <color theme="1"/>
        <rFont val="Century Gothic"/>
        <family val="2"/>
      </rPr>
      <t xml:space="preserve"> Diseño del plan de consulta acordado por las partes; 
</t>
    </r>
    <r>
      <rPr>
        <b/>
        <sz val="14"/>
        <color theme="1"/>
        <rFont val="Century Gothic"/>
        <family val="2"/>
      </rPr>
      <t>3.</t>
    </r>
    <r>
      <rPr>
        <sz val="14"/>
        <color theme="1"/>
        <rFont val="Century Gothic"/>
        <family val="2"/>
      </rPr>
      <t xml:space="preserve"> Implementación del plan de consulta (Para la consulta esta fase incluye las etapas de información, evaluación de PPII y diálogo intercultural); 
</t>
    </r>
    <r>
      <rPr>
        <b/>
        <sz val="14"/>
        <color theme="1"/>
        <rFont val="Century Gothic"/>
        <family val="2"/>
      </rPr>
      <t>4.</t>
    </r>
    <r>
      <rPr>
        <sz val="14"/>
        <color theme="1"/>
        <rFont val="Century Gothic"/>
        <family val="2"/>
      </rPr>
      <t xml:space="preserve"> Monitoreo y seguimiento de los acuerdos de la consulta. </t>
    </r>
  </si>
  <si>
    <r>
      <rPr>
        <b/>
        <sz val="14"/>
        <color theme="1"/>
        <rFont val="Century Gothic"/>
        <family val="2"/>
      </rPr>
      <t>1. Proceso de Consulta en el Municipio de Cotzal:  
a.)</t>
    </r>
    <r>
      <rPr>
        <sz val="14"/>
        <color theme="1"/>
        <rFont val="Century Gothic"/>
        <family val="2"/>
      </rPr>
      <t xml:space="preserve"> Diseño del plan de consulta acordado por las partes; 
</t>
    </r>
    <r>
      <rPr>
        <b/>
        <sz val="14"/>
        <color theme="1"/>
        <rFont val="Century Gothic"/>
        <family val="2"/>
      </rPr>
      <t xml:space="preserve">b.) </t>
    </r>
    <r>
      <rPr>
        <sz val="14"/>
        <color theme="1"/>
        <rFont val="Century Gothic"/>
        <family val="2"/>
      </rPr>
      <t xml:space="preserve">mplementación del plan de consulta (Para la consulta esta fase incluye las etapas de información, C.)evaluación de PPII y diálogo intercultural,
</t>
    </r>
    <r>
      <rPr>
        <b/>
        <sz val="14"/>
        <color theme="1"/>
        <rFont val="Century Gothic"/>
        <family val="2"/>
      </rPr>
      <t xml:space="preserve">c.) </t>
    </r>
    <r>
      <rPr>
        <sz val="14"/>
        <color theme="1"/>
        <rFont val="Century Gothic"/>
        <family val="2"/>
      </rPr>
      <t>Monitoreo y seguimiento de los acuerdos de la consulta</t>
    </r>
  </si>
  <si>
    <r>
      <t xml:space="preserve">1.3.3 </t>
    </r>
    <r>
      <rPr>
        <sz val="14"/>
        <color theme="1"/>
        <rFont val="Century Gothic"/>
        <family val="2"/>
      </rPr>
      <t># de las lecciones aprendidas y buenas prácticas extraídas de los procesos de consulta</t>
    </r>
  </si>
  <si>
    <r>
      <t xml:space="preserve">1.3.4 </t>
    </r>
    <r>
      <rPr>
        <sz val="14"/>
        <color theme="1"/>
        <rFont val="Century Gothic"/>
        <family val="2"/>
      </rPr>
      <t># de mujeres que se han preparado y participan en los procesos de consulta y/o en el diseño de políticas públicas relevantes</t>
    </r>
  </si>
  <si>
    <r>
      <t xml:space="preserve">(Sin año)
</t>
    </r>
    <r>
      <rPr>
        <sz val="14"/>
        <color theme="1"/>
        <rFont val="Century Gothic"/>
        <family val="2"/>
      </rPr>
      <t xml:space="preserve">0
</t>
    </r>
  </si>
  <si>
    <r>
      <rPr>
        <b/>
        <sz val="14"/>
        <color theme="1"/>
        <rFont val="Century Gothic"/>
        <family val="2"/>
      </rPr>
      <t>Actividad 1.3.3</t>
    </r>
    <r>
      <rPr>
        <sz val="14"/>
        <color theme="1"/>
        <rFont val="Century Gothic"/>
        <family val="2"/>
      </rPr>
      <t xml:space="preserve">
Consolidacion de los procesos de preparación, participación e incidencia de las mujeres en la consulta previa e informada </t>
    </r>
  </si>
  <si>
    <r>
      <rPr>
        <sz val="14"/>
        <color rgb="FFFF0000"/>
        <rFont val="Century Gothic"/>
        <family val="2"/>
      </rPr>
      <t>Mecanismos institucionales</t>
    </r>
    <r>
      <rPr>
        <sz val="14"/>
        <color theme="1"/>
        <rFont val="Century Gothic"/>
        <family val="2"/>
      </rPr>
      <t xml:space="preserve"> y </t>
    </r>
    <r>
      <rPr>
        <sz val="14"/>
        <color rgb="FFFF0000"/>
        <rFont val="Century Gothic"/>
        <family val="2"/>
      </rPr>
      <t>fortalecimiento de capacidades</t>
    </r>
    <r>
      <rPr>
        <sz val="14"/>
        <color theme="1"/>
        <rFont val="Century Gothic"/>
        <family val="2"/>
      </rPr>
      <t xml:space="preserve"> para la protección a defensoras y defensores de derechos humanos, diseñados participativamente, adoptados y en proceso de implementación</t>
    </r>
  </si>
  <si>
    <r>
      <t>1.4.1</t>
    </r>
    <r>
      <rPr>
        <b/>
        <sz val="14"/>
        <color rgb="FFFF0000"/>
        <rFont val="Century Gothic"/>
        <family val="2"/>
      </rPr>
      <t xml:space="preserve"> </t>
    </r>
    <r>
      <rPr>
        <sz val="14"/>
        <color theme="1"/>
        <rFont val="Century Gothic"/>
        <family val="2"/>
      </rPr>
      <t># de mecanismos institucionales de protección de defensoras y defensores de derechos humanos adoptados y en fase de elaboración</t>
    </r>
  </si>
  <si>
    <r>
      <rPr>
        <b/>
        <sz val="14"/>
        <color theme="1"/>
        <rFont val="Century Gothic"/>
        <family val="2"/>
      </rPr>
      <t>Actividad 1.4.1</t>
    </r>
    <r>
      <rPr>
        <sz val="14"/>
        <color theme="1"/>
        <rFont val="Century Gothic"/>
        <family val="2"/>
      </rPr>
      <t xml:space="preserve">
Fortalecimiento de un entorno seguro y propicio para la defensa de los derechos humanos, así como medidas de protección a defensoras y defensores de derechos humanos (incluyendo la propuesta de politica publica de protección a defensoras y defensores de derechos humanos.)</t>
    </r>
  </si>
  <si>
    <r>
      <t xml:space="preserve">1.- Creación de una política púlblica de protección a defensores y defensoras: </t>
    </r>
    <r>
      <rPr>
        <sz val="14"/>
        <color theme="1"/>
        <rFont val="Century Gothic"/>
        <family val="2"/>
      </rPr>
      <t>R</t>
    </r>
    <r>
      <rPr>
        <sz val="14"/>
        <rFont val="Century Gothic"/>
        <family val="2"/>
      </rPr>
      <t>ealización de 2 reuniones del nivel político, Grupo Promotor de la Política Pública para la Protección para las Defensoras y los Defensores de Derechos Humanos en Guatemala</t>
    </r>
  </si>
  <si>
    <r>
      <rPr>
        <b/>
        <sz val="14"/>
        <color theme="1"/>
        <rFont val="Century Gothic"/>
        <family val="2"/>
      </rPr>
      <t xml:space="preserve">1. Politica Pública de Defensores y Defensoras de Derechos Humanos. </t>
    </r>
    <r>
      <rPr>
        <sz val="14"/>
        <color theme="1"/>
        <rFont val="Century Gothic"/>
        <family val="2"/>
      </rPr>
      <t>Documento de base elaborado con la participación de instituciones del Estados, sociedad civil y retroalimentación con grupos sectoriales de defensores de DDHH e instituciones claves. El grado de avance del borrador de politica pública de acuerdo con el indicador es 2.</t>
    </r>
  </si>
  <si>
    <r>
      <t xml:space="preserve">1.- Creación de una política púlblica  de protección a defensores y defensoras:  a.) </t>
    </r>
    <r>
      <rPr>
        <sz val="14"/>
        <color theme="1"/>
        <rFont val="Century Gothic"/>
        <family val="2"/>
      </rPr>
      <t xml:space="preserve">Presidente de COPREDEH,  </t>
    </r>
    <r>
      <rPr>
        <b/>
        <sz val="14"/>
        <color rgb="FFFF0000"/>
        <rFont val="Century Gothic"/>
        <family val="2"/>
      </rPr>
      <t>b.)</t>
    </r>
    <r>
      <rPr>
        <b/>
        <sz val="14"/>
        <color theme="1"/>
        <rFont val="Century Gothic"/>
        <family val="2"/>
      </rPr>
      <t xml:space="preserve">  </t>
    </r>
    <r>
      <rPr>
        <sz val="14"/>
        <color theme="1"/>
        <rFont val="Century Gothic"/>
        <family val="2"/>
      </rPr>
      <t xml:space="preserve">la Fiscal General y Jefa del Ministerio Público, </t>
    </r>
    <r>
      <rPr>
        <b/>
        <sz val="14"/>
        <color rgb="FFFF0000"/>
        <rFont val="Century Gothic"/>
        <family val="2"/>
      </rPr>
      <t xml:space="preserve">c.) </t>
    </r>
    <r>
      <rPr>
        <sz val="14"/>
        <color theme="1"/>
        <rFont val="Century Gothic"/>
        <family val="2"/>
      </rPr>
      <t xml:space="preserve">Presidencia de la Cámara Penal de la Corte Suprema de Justicia, </t>
    </r>
    <r>
      <rPr>
        <b/>
        <sz val="14"/>
        <color rgb="FFFF0000"/>
        <rFont val="Century Gothic"/>
        <family val="2"/>
      </rPr>
      <t>e.)</t>
    </r>
    <r>
      <rPr>
        <sz val="14"/>
        <color theme="1"/>
        <rFont val="Century Gothic"/>
        <family val="2"/>
      </rPr>
      <t xml:space="preserve"> Presidente de la Comisión de Derechos Humanos del Congreso de la República, </t>
    </r>
    <r>
      <rPr>
        <b/>
        <sz val="14"/>
        <color rgb="FFFF0000"/>
        <rFont val="Century Gothic"/>
        <family val="2"/>
      </rPr>
      <t xml:space="preserve">f.)  </t>
    </r>
    <r>
      <rPr>
        <sz val="14"/>
        <color theme="1"/>
        <rFont val="Century Gothic"/>
        <family val="2"/>
      </rPr>
      <t xml:space="preserve">Ministra de Relaciones Exteriores, </t>
    </r>
    <r>
      <rPr>
        <b/>
        <sz val="14"/>
        <color rgb="FFFF0000"/>
        <rFont val="Century Gothic"/>
        <family val="2"/>
      </rPr>
      <t>g.)</t>
    </r>
    <r>
      <rPr>
        <sz val="14"/>
        <color theme="1"/>
        <rFont val="Century Gothic"/>
        <family val="2"/>
      </rPr>
      <t xml:space="preserve"> Ministro de Gobernación, </t>
    </r>
    <r>
      <rPr>
        <b/>
        <sz val="14"/>
        <color rgb="FFFF0000"/>
        <rFont val="Century Gothic"/>
        <family val="2"/>
      </rPr>
      <t xml:space="preserve">i.) </t>
    </r>
    <r>
      <rPr>
        <sz val="14"/>
        <color theme="1"/>
        <rFont val="Century Gothic"/>
        <family val="2"/>
      </rPr>
      <t xml:space="preserve"> Ministra de Trabajo, </t>
    </r>
    <r>
      <rPr>
        <b/>
        <sz val="14"/>
        <color rgb="FFFF0000"/>
        <rFont val="Century Gothic"/>
        <family val="2"/>
      </rPr>
      <t>J.) 1</t>
    </r>
    <r>
      <rPr>
        <sz val="14"/>
        <color theme="1"/>
        <rFont val="Century Gothic"/>
        <family val="2"/>
      </rPr>
      <t xml:space="preserve">52Secretario de Planificación de la Presidencia y Director General de la Policía Nacional Civil,  </t>
    </r>
  </si>
  <si>
    <r>
      <rPr>
        <b/>
        <sz val="14"/>
        <color theme="1"/>
        <rFont val="Century Gothic"/>
        <family val="2"/>
      </rPr>
      <t xml:space="preserve">1. Politica Pública de Defensores y Defensoras de Derechos Humanos. </t>
    </r>
    <r>
      <rPr>
        <sz val="14"/>
        <color theme="1"/>
        <rFont val="Century Gothic"/>
        <family val="2"/>
      </rPr>
      <t>Instituciones del Estado, Sociedad Civil y Grupos Sectoreales de defensores y defensoras de derechos humanos.</t>
    </r>
  </si>
  <si>
    <r>
      <rPr>
        <b/>
        <sz val="14"/>
        <color rgb="FFFF0000"/>
        <rFont val="Century Gothic"/>
        <family val="2"/>
      </rPr>
      <t xml:space="preserve">1.-) </t>
    </r>
    <r>
      <rPr>
        <sz val="14"/>
        <color theme="1"/>
        <rFont val="Century Gothic"/>
        <family val="2"/>
      </rPr>
      <t xml:space="preserve">Grado de avance del desarrollo de la política: 1. Diseño del proceso para la elaboración del instrumento; 2. Construcción participativa y/o interinstitucional del instrumento; 3. Adopción del instrumento por parte del Gobierno.; 4. Puesta en marcha del instrumento.                 </t>
    </r>
  </si>
  <si>
    <r>
      <rPr>
        <b/>
        <sz val="14"/>
        <color theme="1"/>
        <rFont val="Century Gothic"/>
        <family val="2"/>
      </rPr>
      <t>1. Politica Pública de Defensores y Defensoras de Derechos Humanos.</t>
    </r>
    <r>
      <rPr>
        <sz val="14"/>
        <color theme="1"/>
        <rFont val="Century Gothic"/>
        <family val="2"/>
      </rPr>
      <t xml:space="preserve"> El grado de avance del borrador de politica pública de acuerdo con el indicador es 2.
</t>
    </r>
    <r>
      <rPr>
        <b/>
        <sz val="14"/>
        <color theme="1"/>
        <rFont val="Century Gothic"/>
        <family val="2"/>
      </rPr>
      <t>Grado de avance del desarrollo de la política:</t>
    </r>
    <r>
      <rPr>
        <sz val="14"/>
        <color theme="1"/>
        <rFont val="Century Gothic"/>
        <family val="2"/>
      </rPr>
      <t xml:space="preserve"> 1. Diseño del proceso para la elaboración del instrumento; 2. Construcción participativa y/o interinstitucional del instrumento; 3. Adopción del instrumento por parte del Gobierno.; 4. Puesta en marcha del instrumento.     </t>
    </r>
  </si>
  <si>
    <r>
      <t>1.4.2</t>
    </r>
    <r>
      <rPr>
        <b/>
        <sz val="14"/>
        <color rgb="FFFF0000"/>
        <rFont val="Century Gothic"/>
        <family val="2"/>
      </rPr>
      <t xml:space="preserve"> </t>
    </r>
    <r>
      <rPr>
        <sz val="14"/>
        <color rgb="FFFF0000"/>
        <rFont val="Century Gothic"/>
        <family val="2"/>
      </rPr>
      <t># de defensores</t>
    </r>
    <r>
      <rPr>
        <sz val="14"/>
        <color theme="1"/>
        <rFont val="Century Gothic"/>
        <family val="2"/>
      </rPr>
      <t xml:space="preserve"> y defensoras de derechos humanos </t>
    </r>
    <r>
      <rPr>
        <sz val="14"/>
        <color rgb="FFFF0000"/>
        <rFont val="Century Gothic"/>
        <family val="2"/>
      </rPr>
      <t>participando</t>
    </r>
    <r>
      <rPr>
        <sz val="14"/>
        <color theme="1"/>
        <rFont val="Century Gothic"/>
        <family val="2"/>
      </rPr>
      <t xml:space="preserve"> en espacios de discusión y desarrollo de mecanismos de protección</t>
    </r>
  </si>
  <si>
    <r>
      <rPr>
        <b/>
        <sz val="14"/>
        <color theme="1"/>
        <rFont val="Century Gothic"/>
        <family val="2"/>
      </rPr>
      <t>Actividad 1.4.2</t>
    </r>
    <r>
      <rPr>
        <sz val="14"/>
        <color theme="1"/>
        <rFont val="Century Gothic"/>
        <family val="2"/>
      </rPr>
      <t xml:space="preserve">
Fortalecimiento de las redes de defensoras, para la implementación de la resolución de la asamblea general para la protección de mujeres defensoras de los derechos humanos. </t>
    </r>
  </si>
  <si>
    <r>
      <rPr>
        <b/>
        <sz val="14"/>
        <color theme="1"/>
        <rFont val="Century Gothic"/>
        <family val="2"/>
      </rPr>
      <t xml:space="preserve">1.- </t>
    </r>
    <r>
      <rPr>
        <sz val="14"/>
        <color theme="1"/>
        <rFont val="Century Gothic"/>
        <family val="2"/>
      </rPr>
      <t xml:space="preserve">17 representantes de OSC </t>
    </r>
  </si>
  <si>
    <r>
      <t xml:space="preserve">1.4.3 </t>
    </r>
    <r>
      <rPr>
        <sz val="14"/>
        <color rgb="FFFF0000"/>
        <rFont val="Century Gothic"/>
        <family val="2"/>
      </rPr>
      <t xml:space="preserve"># de casos </t>
    </r>
    <r>
      <rPr>
        <sz val="14"/>
        <color theme="1"/>
        <rFont val="Century Gothic"/>
        <family val="2"/>
      </rPr>
      <t>en los cuáles los mecanismos de protección nacional/regional/internacional al de defensoras y defensores son aplicados</t>
    </r>
  </si>
  <si>
    <r>
      <rPr>
        <b/>
        <sz val="14"/>
        <color theme="1"/>
        <rFont val="Century Gothic"/>
        <family val="2"/>
      </rPr>
      <t xml:space="preserve"> 1. Política Pública de Defensores y Defensores de Derechos Humanos</t>
    </r>
    <r>
      <rPr>
        <sz val="14"/>
        <color theme="1"/>
        <rFont val="Century Gothic"/>
        <family val="2"/>
      </rPr>
      <t xml:space="preserve"> Se adopto mecanismos de protección nacionales, regionales e internacionales para la protección de 15 personas defensoras de derechos humanos, incluyendo una comunicación de los procedimientos especiales y un comunicado conjunto con la CIDH y el Relator Especial de Libertad de Expresión. </t>
    </r>
  </si>
  <si>
    <r>
      <rPr>
        <b/>
        <sz val="14"/>
        <color theme="1"/>
        <rFont val="Century Gothic"/>
        <family val="2"/>
      </rPr>
      <t xml:space="preserve">Producto 1.5
</t>
    </r>
    <r>
      <rPr>
        <sz val="14"/>
        <color theme="1"/>
        <rFont val="Century Gothic"/>
        <family val="2"/>
      </rPr>
      <t>Instrumentos de análisis y estrategias de prevención y monitoreo de la conflictividad electoral diseñados e implementados con actores clave y con enfoque de derechos humanos, antes, durante y después del proceso electoral.</t>
    </r>
  </si>
  <si>
    <r>
      <rPr>
        <b/>
        <sz val="14"/>
        <color theme="1"/>
        <rFont val="Century Gothic"/>
        <family val="2"/>
      </rPr>
      <t>Indicador 1.5.1</t>
    </r>
    <r>
      <rPr>
        <sz val="14"/>
        <color theme="1"/>
        <rFont val="Century Gothic"/>
        <family val="2"/>
      </rPr>
      <t xml:space="preserve">
 Número de herramientas de análisis desarrolladas para prevención de la violencia electoral.</t>
    </r>
  </si>
  <si>
    <r>
      <rPr>
        <b/>
        <sz val="14"/>
        <color theme="1"/>
        <rFont val="Century Gothic"/>
        <family val="2"/>
      </rPr>
      <t xml:space="preserve">2019 </t>
    </r>
    <r>
      <rPr>
        <sz val="14"/>
        <color theme="1"/>
        <rFont val="Century Gothic"/>
        <family val="2"/>
      </rPr>
      <t xml:space="preserve">
0</t>
    </r>
  </si>
  <si>
    <r>
      <rPr>
        <b/>
        <sz val="14"/>
        <color theme="1"/>
        <rFont val="Century Gothic"/>
        <family val="2"/>
      </rPr>
      <t>Actividad 1.5.1</t>
    </r>
    <r>
      <rPr>
        <sz val="14"/>
        <color theme="1"/>
        <rFont val="Century Gothic"/>
        <family val="2"/>
      </rPr>
      <t xml:space="preserve">
Asistencia técnica para el diseño e implementación de herramientas de análisis y estrategias de prevención de la conflictividad electoral </t>
    </r>
  </si>
  <si>
    <r>
      <t xml:space="preserve">Indicador 1.5.2 
</t>
    </r>
    <r>
      <rPr>
        <sz val="14"/>
        <color theme="1"/>
        <rFont val="Century Gothic"/>
        <family val="2"/>
      </rPr>
      <t># de Juntas Electorales que reciben formación sobre estrategias de prevención  y mediación de conflictividad electoral.</t>
    </r>
  </si>
  <si>
    <r>
      <rPr>
        <b/>
        <sz val="14"/>
        <color theme="1"/>
        <rFont val="Century Gothic"/>
        <family val="2"/>
      </rPr>
      <t>Actividad 1.5.2</t>
    </r>
    <r>
      <rPr>
        <sz val="14"/>
        <color theme="1"/>
        <rFont val="Century Gothic"/>
        <family val="2"/>
      </rPr>
      <t xml:space="preserve">
Fortalecimiento de capacidades y formación en prevención de conflictos y mediación electoral.</t>
    </r>
  </si>
  <si>
    <r>
      <rPr>
        <b/>
        <sz val="14"/>
        <color theme="1"/>
        <rFont val="Century Gothic"/>
        <family val="2"/>
      </rPr>
      <t>Indicador 1.5.3</t>
    </r>
    <r>
      <rPr>
        <sz val="14"/>
        <color theme="1"/>
        <rFont val="Century Gothic"/>
        <family val="2"/>
      </rPr>
      <t xml:space="preserve">
 # de violaciones a derechos humanos documentadas antes, durante y después del proceso electoral
</t>
    </r>
  </si>
  <si>
    <r>
      <rPr>
        <b/>
        <sz val="14"/>
        <color theme="1"/>
        <rFont val="Century Gothic"/>
        <family val="2"/>
      </rPr>
      <t xml:space="preserve">2019
</t>
    </r>
    <r>
      <rPr>
        <sz val="14"/>
        <color theme="1"/>
        <rFont val="Century Gothic"/>
        <family val="2"/>
      </rPr>
      <t>0</t>
    </r>
  </si>
  <si>
    <r>
      <rPr>
        <b/>
        <sz val="14"/>
        <color theme="1"/>
        <rFont val="Century Gothic"/>
        <family val="2"/>
      </rPr>
      <t>Actividad 1.5.3</t>
    </r>
    <r>
      <rPr>
        <sz val="14"/>
        <color theme="1"/>
        <rFont val="Century Gothic"/>
        <family val="2"/>
      </rPr>
      <t xml:space="preserve">
Asistencia técnica y monitoreo para la prevención de violaciones de derechos humanos en el contexto electoral (antes, durante y después)</t>
    </r>
  </si>
  <si>
    <r>
      <rPr>
        <b/>
        <sz val="14"/>
        <color theme="1"/>
        <rFont val="Century Gothic"/>
        <family val="2"/>
      </rPr>
      <t>Indicador 1.5.4</t>
    </r>
    <r>
      <rPr>
        <sz val="14"/>
        <color theme="1"/>
        <rFont val="Century Gothic"/>
        <family val="2"/>
      </rPr>
      <t xml:space="preserve">
# de materiales de concientización elaborados sobre el respeto de los derechos humanos durante el proceso electoral
</t>
    </r>
  </si>
  <si>
    <r>
      <t>Indicador 1.5.5</t>
    </r>
    <r>
      <rPr>
        <sz val="14"/>
        <color theme="1"/>
        <rFont val="Century Gothic"/>
        <family val="2"/>
      </rPr>
      <t xml:space="preserve"> </t>
    </r>
    <r>
      <rPr>
        <b/>
        <sz val="14"/>
        <color theme="1"/>
        <rFont val="Century Gothic"/>
        <family val="2"/>
      </rPr>
      <t xml:space="preserve">
</t>
    </r>
    <r>
      <rPr>
        <sz val="14"/>
        <color theme="1"/>
        <rFont val="Century Gothic"/>
        <family val="2"/>
      </rPr>
      <t># de instrumentos basados en evidencia para prevenir la violencia política contra las mujeres en procesos electorales elaborados coordinadamente entre organizaciones de mujeres en la política y la institucionalidad relevante</t>
    </r>
  </si>
  <si>
    <r>
      <rPr>
        <b/>
        <sz val="14"/>
        <color theme="1"/>
        <rFont val="Century Gothic"/>
        <family val="2"/>
      </rPr>
      <t>Actividad 1.5.4</t>
    </r>
    <r>
      <rPr>
        <sz val="14"/>
        <color theme="1"/>
        <rFont val="Century Gothic"/>
        <family val="2"/>
      </rPr>
      <t xml:space="preserve">
Asistencia técnica para prevenir la violencia política contra las mujeres en el proceso electoral.</t>
    </r>
  </si>
  <si>
    <r>
      <rPr>
        <b/>
        <sz val="14"/>
        <color rgb="FFFF0000"/>
        <rFont val="Century Gothic"/>
        <family val="2"/>
      </rPr>
      <t>1. Grupo Técnico Interinstitucional</t>
    </r>
    <r>
      <rPr>
        <b/>
        <sz val="14"/>
        <color theme="1"/>
        <rFont val="Century Gothic"/>
        <family val="2"/>
      </rPr>
      <t xml:space="preserve">: </t>
    </r>
    <r>
      <rPr>
        <sz val="14"/>
        <color theme="1"/>
        <rFont val="Century Gothic"/>
        <family val="2"/>
      </rPr>
      <t xml:space="preserve">continuó sosteniendo reuniones de análisis de casos de conflictos sociales y elaboración de herramientas como el Protocolo Interinstitucional de atención a conflictos.
</t>
    </r>
    <r>
      <rPr>
        <b/>
        <sz val="14"/>
        <color rgb="FFFF0000"/>
        <rFont val="Century Gothic"/>
        <family val="2"/>
      </rPr>
      <t xml:space="preserve">2. Sistema de Alerta Temprana: </t>
    </r>
    <r>
      <rPr>
        <b/>
        <sz val="14"/>
        <color theme="1"/>
        <rFont val="Century Gothic"/>
        <family val="2"/>
      </rPr>
      <t xml:space="preserve"> </t>
    </r>
    <r>
      <rPr>
        <sz val="14"/>
        <color theme="1"/>
        <rFont val="Century Gothic"/>
        <family val="2"/>
      </rPr>
      <t xml:space="preserve">el proceso de fortalecimiento del sistema continuó avanzando durante el 2018 </t>
    </r>
  </si>
  <si>
    <t xml:space="preserve">Las herramientas fueron reconocida y  se identificaron 8 municipios en los que también se recomendaba la implementación de la estrategia. </t>
  </si>
  <si>
    <t xml:space="preserve">ALCANZADA </t>
  </si>
  <si>
    <r>
      <rPr>
        <b/>
        <sz val="14"/>
        <color theme="1"/>
        <rFont val="Century Gothic"/>
        <family val="2"/>
      </rPr>
      <t xml:space="preserve"> 1. Política Pública de Defensores y Defensores de Derechos Humanos</t>
    </r>
    <r>
      <rPr>
        <sz val="14"/>
        <color theme="1"/>
        <rFont val="Century Gothic"/>
        <family val="2"/>
      </rPr>
      <t xml:space="preserve"> Se hizo incidencia con mecanismos nacionales, regionales e internacionales de derechos humanos con el equipo de OACNUDH, instituciones estatales relevantes, mecanismos regionales (CIDH) e internacionales (procedimientos especiales y Relatores Especiales). </t>
    </r>
  </si>
  <si>
    <r>
      <t xml:space="preserve">Se desarrollo con la Mesa de Prevención y Mitigación de Conflictividad </t>
    </r>
    <r>
      <rPr>
        <b/>
        <sz val="14"/>
        <color theme="1"/>
        <rFont val="Century Gothic"/>
        <family val="2"/>
      </rPr>
      <t>(1) herramienta y linea estratégica de trabajo para la realización de un proceso electoral bajo los principios de transparencia, ética y paz.</t>
    </r>
    <r>
      <rPr>
        <sz val="14"/>
        <color theme="1"/>
        <rFont val="Century Gothic"/>
        <family val="2"/>
      </rPr>
      <t xml:space="preserve"> Se desarrolló </t>
    </r>
    <r>
      <rPr>
        <b/>
        <sz val="14"/>
        <color theme="1"/>
        <rFont val="Century Gothic"/>
        <family val="2"/>
      </rPr>
      <t>(1) herramienta de capacitación y sensibiliazacion a las Juntas Electorales Departamentales (JED) y Juntas Electorales Municipales (JEM).</t>
    </r>
    <r>
      <rPr>
        <sz val="14"/>
        <color theme="1"/>
        <rFont val="Century Gothic"/>
        <family val="2"/>
      </rPr>
      <t xml:space="preserve"> 
Se desarrolló</t>
    </r>
    <r>
      <rPr>
        <b/>
        <sz val="14"/>
        <color theme="1"/>
        <rFont val="Century Gothic"/>
        <family val="2"/>
      </rPr>
      <t xml:space="preserve"> (1) estrategia de capacitación y acompañamiento a 42 municipios y suscripción de acuerdos locales identificados de alto riesgo en conflictividad esta estrategia fue elaborada por la Mesa de Prevención de Mitigación de conflictividad Electoral del Tribunal Supremo Electoral (TSE</t>
    </r>
    <r>
      <rPr>
        <sz val="14"/>
        <color theme="1"/>
        <rFont val="Century Gothic"/>
        <family val="2"/>
      </rPr>
      <t xml:space="preserve">). </t>
    </r>
  </si>
  <si>
    <r>
      <t xml:space="preserve">1.2.3 </t>
    </r>
    <r>
      <rPr>
        <sz val="14"/>
        <color theme="1"/>
        <rFont val="Century Gothic"/>
        <family val="2"/>
      </rPr>
      <t>% de conclusiones y recomendaciones de los procesos de diálogos estratégicos usados en la construcción de instrumentos normativos y de política y/o en debates polít</t>
    </r>
    <r>
      <rPr>
        <sz val="14"/>
        <color rgb="FFFF0000"/>
        <rFont val="Century Gothic"/>
        <family val="2"/>
      </rPr>
      <t>i</t>
    </r>
    <r>
      <rPr>
        <sz val="14"/>
        <color theme="1"/>
        <rFont val="Century Gothic"/>
        <family val="2"/>
      </rPr>
      <t>cos</t>
    </r>
  </si>
  <si>
    <t xml:space="preserve">Defensoras y defensores de derechos humanos, tanto de la capital como del interior. </t>
  </si>
  <si>
    <t xml:space="preserve">Se logró la participación activa y consciente de personas defensoras de derechos humanos en reuniones y espacios de discusión sobre mecanismos de protección. </t>
  </si>
  <si>
    <t xml:space="preserve">Personal de OACNUDH, instituciones estatales relevantes, mecanismos regionales (CIDH) e internacionales (procedimientos especiales y Relatores Especiales) </t>
  </si>
  <si>
    <t xml:space="preserve">Se llevaron a cabo reuniones de seguimiento para el seguimiento de la creación de la política pública de protección a personas defensoras, para reactivar el espacio de discusión alrededor de la política. </t>
  </si>
  <si>
    <t xml:space="preserve">
OACNUDH, COPREDEH, organizaciones de la sociedad civil, personas defensoras de derechos humanos 
</t>
  </si>
  <si>
    <t>Se logró la creación de un borrador de diagnóstico para la política pública de protección a personas defensoras.</t>
  </si>
  <si>
    <t xml:space="preserve">Alcaldia Indigena Cotzal, PNUD </t>
  </si>
  <si>
    <t xml:space="preserve">131 incidentes fueron documentados antes, durante y después del proceso electoral el 40% (72) de los eventos correspondieron a coacción, amenaza, compra y acarreo de votantes.  El 32% (59) fueron hechos violentos o disturbios en su mayoría después del proceso electoral. </t>
  </si>
  <si>
    <t>Mesa interinstitucional, PNUD. 5 comunidades de las areas protegidas en Peten, CPD.</t>
  </si>
  <si>
    <t>PNUD, Alcaldia Indigenas, Mintrab</t>
  </si>
  <si>
    <t xml:space="preserve">1. Informes de avances del proyecto
2. Minutas de reuniones
3. Prductos de la consultoría para el fortalecimiento del Sistema de Alerta y Respuesta Temprana 
4. Nota de proceso </t>
  </si>
  <si>
    <t>Juntas elecotrales Departamentales (JED) y Juntas Electorales Municipales (JEM), ProPaz, TSE y PNUD</t>
  </si>
  <si>
    <t>Esta actividad logró la apropiación y el compromiso de los órganos electorales temporales para participar activamente en la estrategia de intervención de acuerdos locales. En dicha actividad el equipo de PNUD brindó herramientas básicas en resolución y transformación de conflictos.
Este apoyo indudablemente colaboró para que la violencia electoral se redujera en el proceso electoral 2019. De los 42 municipios en los que se llevó a cabo la estrategia, 8 presentaron algún grado mínimo de conflictividad que no representó algún riesgo para el proceso electoral</t>
  </si>
  <si>
    <t xml:space="preserve">Como parte de la estrategia de suscripción de acuerdos locales, el TSE con el apoyo de PNUD y PROPAZ implemento en dos días un Taller de Capacitación y Sensibilización con los órganos electorales de los territorios identificados de mayor riesgo de conflictividad electoral.  
Se capacito a 34 juntas electorales municipales basado en la identificación y priorización de municipios con alto riesgo de violencia electoral por parte de la Mesa de Prevención y Mitigación de Conflictividad Electoral del Tribunal Supremo Electoral.
</t>
  </si>
  <si>
    <t xml:space="preserve">PDH, TSE, MP, PNC, organizaciones de la sociedad civil y otros actores claves del proceso electoral, incluidos observadores regionales (OEA) e internacionales, embajadas y el sistema de Naciones Unidas en Guatemala </t>
  </si>
  <si>
    <t>Toda la información está registrada en informes  y esta documentada en base de datos y en físico, sin embargo esta información es confidencial y no pública, parte del mandato de OACNUDH</t>
  </si>
  <si>
    <t>Se logro identificar 193 incidentes en su total documentados antes, durante y después del proceso electoral el 74% (144) de los eventos correspondieron a coacción, amenaza, compra y acarreo de votantes. El 25% (49) fueron hechos violentos o disturbios en su mayoría después del proceso electoral.</t>
  </si>
  <si>
    <r>
      <rPr>
        <b/>
        <sz val="14"/>
        <color theme="1"/>
        <rFont val="Century Gothic"/>
        <family val="2"/>
      </rPr>
      <t>1. Comunicados de prensa</t>
    </r>
    <r>
      <rPr>
        <sz val="14"/>
        <color theme="1"/>
        <rFont val="Century Gothic"/>
        <family val="2"/>
      </rPr>
      <t xml:space="preserve"> (3 comunicados de prensa; mensaje de de la Alta Comisionada sobre proceso electoral
</t>
    </r>
    <r>
      <rPr>
        <b/>
        <sz val="14"/>
        <color theme="1"/>
        <rFont val="Century Gothic"/>
        <family val="2"/>
      </rPr>
      <t xml:space="preserve">2. Mensajes y comunicación audiovisuales </t>
    </r>
    <r>
      <rPr>
        <sz val="14"/>
        <color theme="1"/>
        <rFont val="Century Gothic"/>
        <family val="2"/>
      </rPr>
      <t xml:space="preserve">(2 audiovisuales en lengua de señas; 1 video de foro público sobre una agenda de derechos humano)
</t>
    </r>
    <r>
      <rPr>
        <b/>
        <sz val="14"/>
        <color theme="1"/>
        <rFont val="Century Gothic"/>
        <family val="2"/>
      </rPr>
      <t xml:space="preserve">3. mensajes en medios sociales </t>
    </r>
    <r>
      <rPr>
        <sz val="14"/>
        <color theme="1"/>
        <rFont val="Century Gothic"/>
        <family val="2"/>
      </rPr>
      <t xml:space="preserve">(14 mensajes en redes sociales)
</t>
    </r>
    <r>
      <rPr>
        <b/>
        <sz val="14"/>
        <color theme="1"/>
        <rFont val="Century Gothic"/>
        <family val="2"/>
      </rPr>
      <t>4. Spots en radio</t>
    </r>
    <r>
      <rPr>
        <sz val="14"/>
        <color theme="1"/>
        <rFont val="Century Gothic"/>
        <family val="2"/>
      </rPr>
      <t xml:space="preserve"> (3 spots en radio)
</t>
    </r>
    <r>
      <rPr>
        <b/>
        <sz val="14"/>
        <color theme="1"/>
        <rFont val="Century Gothic"/>
        <family val="2"/>
      </rPr>
      <t>5. Boletines</t>
    </r>
    <r>
      <rPr>
        <sz val="14"/>
        <color theme="1"/>
        <rFont val="Century Gothic"/>
        <family val="2"/>
      </rPr>
      <t xml:space="preserve"> (4 boletines sobre democracia y DDHH)
</t>
    </r>
  </si>
  <si>
    <t xml:space="preserve">A través de la producción de materiales de comunicación se sensibilizó y se hizo un proceso de concientización de la población sobre el proceso electoral y el respeto y la promoción de los derechos humanos en el contexto electoral. </t>
  </si>
  <si>
    <t>Se observo y monitoreo la situación de conflictividad en coordinación con PDH al momento de presentar resultados finales y en la toma de posesión de alcaldes/alcaldesas y corporaciones municipales. Se tuvo permanente comunicación e intercambio regular con organizaciones de sociedad civil constituidas en redes para monitorear el proceso electoral. Se monitoreo del proceso de elecciones por la Comisión de Postulación y el Consejo de Magistrados y Magistradas del TSE para el periodo 2020-2026.</t>
  </si>
  <si>
    <r>
      <rPr>
        <b/>
        <sz val="14"/>
        <color theme="1"/>
        <rFont val="Century Gothic"/>
        <family val="2"/>
      </rPr>
      <t>S</t>
    </r>
    <r>
      <rPr>
        <sz val="14"/>
        <color theme="1"/>
        <rFont val="Century Gothic"/>
        <family val="2"/>
      </rPr>
      <t xml:space="preserve">e llevaron a cabo reuniones con defensoras y defensores de derechos humanos, tanto de la capital como del interior. Se crearon espacios de discusión sobre el desarrollo de mecanismos de protección, con la activa y consciente participación de personas defensoras de derechos humanos. Se presentó también el informe conjunto OACNUDH-PDH sobre la situación de personas defensoras en Guatemala para fomentar estos espacios de discusión e intercambio de información relevante. </t>
    </r>
  </si>
  <si>
    <t xml:space="preserve"> Se identificaron 5 lecciones aprendidas y 5 buenas prácticas en su total fueron 10.</t>
  </si>
  <si>
    <t>Se realizo un proceso de lecciones aprendidas sobre el proceso de Consulta con la Autoridades Indígenas de Cotzal para identificar las lecciones aprendidas y las buenas prácticas de la metodología implementada.</t>
  </si>
  <si>
    <t xml:space="preserve">Documento de lecciones aprendidas
Documentos de buenas prácticas
Informe de la identificación de las BF y LA con las autoridades indígenas </t>
  </si>
  <si>
    <t>TOTAL POR ACTIVIDAD</t>
  </si>
  <si>
    <t>Presupuesto</t>
  </si>
  <si>
    <t>Se trabajo  para la promoción de acciones para el abordaje de la violencia política y su participación igualitaria en procesos electorales. Se desarrolló un encuentro con representantes de organizaciones participantes en la CAME (121 personas), donde 30% de las organizaciones presentaron propuestas de reforma a la Ley de Partidos Políticos para la inclusión de poblaciones históricamente excluidos: mujeres, indígenas y jóvenes, en revisión por el TSE.</t>
  </si>
  <si>
    <t xml:space="preserve">Organizaciones participantes en la CAME, TSE </t>
  </si>
  <si>
    <t>Realizar propuestas de reforma a la Ley Electoral y de Partidos
Políticos para promover la participación política de mujeres y pueblos indígenas</t>
  </si>
  <si>
    <r>
      <rPr>
        <b/>
        <sz val="14"/>
        <color theme="1"/>
        <rFont val="Century Gothic"/>
        <family val="2"/>
      </rPr>
      <t xml:space="preserve">1. Diálogo en Recursos Naturales:  </t>
    </r>
    <r>
      <rPr>
        <sz val="14"/>
        <color theme="1"/>
        <rFont val="Century Gothic"/>
        <family val="2"/>
      </rPr>
      <t xml:space="preserve">De acuerdo con el indicador, el nivel de avance es 3 En las reuniones para definir la oferta institucional participaron instituciones a nivel naiconal y local, alcaldes de San Andres y La Libertad y organizaciones de la sociedad civil previo ser trasladado a las 5 comunidades. 
</t>
    </r>
    <r>
      <rPr>
        <b/>
        <sz val="14"/>
        <color theme="1"/>
        <rFont val="Century Gothic"/>
        <family val="2"/>
      </rPr>
      <t>2. Diálogo Territorial en el Valle del Polochic</t>
    </r>
    <r>
      <rPr>
        <sz val="14"/>
        <color theme="1"/>
        <rFont val="Century Gothic"/>
        <family val="2"/>
      </rPr>
      <t xml:space="preserve">:  El nivel de avance ha sido 3 de acuerdo con el indicador. 
Nivel de inclusión de actores primarios y secundarios en los procesos de diálogo (a ser definidos en cada proceso): 1. No inclusivo: no todos los actores primarios participan en los procesos de diálogo; 2. Mínimo: Sólo los actores primarios participan en los procesos de diálogo; 3 Óptimo: Todos los actores primarios y secundarios participan en los procesos de diálogo. </t>
    </r>
  </si>
  <si>
    <r>
      <rPr>
        <b/>
        <sz val="14"/>
        <color theme="1"/>
        <rFont val="Century Gothic"/>
        <family val="2"/>
      </rPr>
      <t>Semestre I
Dialogo Recursos Naturales:</t>
    </r>
    <r>
      <rPr>
        <sz val="14"/>
        <color theme="1"/>
        <rFont val="Century Gothic"/>
        <family val="2"/>
      </rPr>
      <t xml:space="preserve"> Validar los talleres con los COCODES de las 5 comunidades de las areas protegidas. Tasladar información de los procesos y planificación 2020 a CPD.
</t>
    </r>
    <r>
      <rPr>
        <b/>
        <sz val="14"/>
        <color theme="1"/>
        <rFont val="Century Gothic"/>
        <family val="2"/>
      </rPr>
      <t xml:space="preserve">Panzos: </t>
    </r>
    <r>
      <rPr>
        <sz val="14"/>
        <color theme="1"/>
        <rFont val="Century Gothic"/>
        <family val="2"/>
      </rPr>
      <t xml:space="preserve">Recibir retroalimentado por SEGEPLAN y trabajar las recomendaciones al documento.
</t>
    </r>
    <r>
      <rPr>
        <b/>
        <sz val="14"/>
        <color theme="1"/>
        <rFont val="Century Gothic"/>
        <family val="2"/>
      </rPr>
      <t xml:space="preserve">Semestre II
</t>
    </r>
    <r>
      <rPr>
        <sz val="14"/>
        <color theme="1"/>
        <rFont val="Century Gothic"/>
        <family val="2"/>
      </rPr>
      <t xml:space="preserve">LA sistematizacion de informacion de los 5 diagnosticos realizados en las cinco comundiades y la reparacion del informe correspondiente para ser entregado a las instancias de gobierno que partciparon y a las comunidades en cuestion
Dialogo sector palmero: se ha logrado consensuar una propuesta metodologica de porceso de dialogo. Y el acuerdo de iniciar un porcesos de dialogo.
</t>
    </r>
    <r>
      <rPr>
        <b/>
        <sz val="14"/>
        <color theme="1"/>
        <rFont val="Century Gothic"/>
        <family val="2"/>
      </rPr>
      <t xml:space="preserve">SAn Juan Sacatepequez:
</t>
    </r>
    <r>
      <rPr>
        <sz val="14"/>
        <color theme="1"/>
        <rFont val="Century Gothic"/>
        <family val="2"/>
      </rPr>
      <t xml:space="preserve">Se consolido la oferta insitutucional en una matriz y se puso a servicio de la municipalidad. </t>
    </r>
    <r>
      <rPr>
        <b/>
        <sz val="14"/>
        <color theme="1"/>
        <rFont val="Century Gothic"/>
        <family val="2"/>
      </rPr>
      <t xml:space="preserve">
</t>
    </r>
  </si>
  <si>
    <r>
      <rPr>
        <b/>
        <sz val="14"/>
        <color theme="1"/>
        <rFont val="Century Gothic"/>
        <family val="2"/>
      </rPr>
      <t xml:space="preserve"> 
Semestre I
Dialogos Recursos Naturales: </t>
    </r>
    <r>
      <rPr>
        <sz val="14"/>
        <color theme="1"/>
        <rFont val="Century Gothic"/>
        <family val="2"/>
      </rPr>
      <t xml:space="preserve">En diciembre de 2019 se realizó un taller de validación en el territorio con la participación de los cinco COCODES de las comunidades piloto donde se realizaron los talleres participativos de análisis del desarrollo multidimensional. Además, se realizó una reunión de actualización de avances y resultados PNUD y CPD. 
</t>
    </r>
    <r>
      <rPr>
        <b/>
        <sz val="14"/>
        <color theme="1"/>
        <rFont val="Century Gothic"/>
        <family val="2"/>
      </rPr>
      <t xml:space="preserve">
Panzos:</t>
    </r>
    <r>
      <rPr>
        <sz val="14"/>
        <color theme="1"/>
        <rFont val="Century Gothic"/>
        <family val="2"/>
      </rPr>
      <t xml:space="preserve"> Los avances en el proceso se encuentran ralentizado debido al proceso electoral y al Estado de sitio en el territorio que inició en septiembre y finalizo en noviembre. El PDM-OT fue retroalimentado por SEGEPLAN y se encuentra en edición. 
Se tiene contemplado tener un acercamiento con las nuevas autoridades municipales para identificar condiciones y siguientes pasos para la continuidad del proceso. Eso se mantiene en espera debido a las condiciones en relación al COVID-19. 
</t>
    </r>
    <r>
      <rPr>
        <b/>
        <sz val="14"/>
        <color theme="1"/>
        <rFont val="Century Gothic"/>
        <family val="2"/>
      </rPr>
      <t xml:space="preserve">Semestre II
Areas protegidas- comunidades PETEN 
</t>
    </r>
    <r>
      <rPr>
        <sz val="14"/>
        <color theme="1"/>
        <rFont val="Century Gothic"/>
        <family val="2"/>
      </rPr>
      <t xml:space="preserve">Los insumos elaborados en el diagnostico participativo de desarrollo multidimensional se analizaron, y se socilaizaran los informes correspondientes a finales del 2020 a las instituciones publicas y sociedad civil organizada que dieron seguimiento al proceso
Se realizo el analisis de condiciones y el codiseno para la implmentacion de un dialogo estrategico entre representantes de empresas del sector de palma y representantes de organizaciones de la sociedad civil.
</t>
    </r>
    <r>
      <rPr>
        <b/>
        <sz val="14"/>
        <color theme="1"/>
        <rFont val="Century Gothic"/>
        <family val="2"/>
      </rPr>
      <t xml:space="preserve">SAn Juan Sacatepequez </t>
    </r>
    <r>
      <rPr>
        <sz val="14"/>
        <color theme="1"/>
        <rFont val="Century Gothic"/>
        <family val="2"/>
      </rPr>
      <t xml:space="preserve">
Se ajusto la metodologia para la Indentificacion de la Oferta institucional e instituciones aliadas a traves de copredeh. Se sistematiza la informacion y se presento la matriz de la oferta institucional a la municipalidad de SAn Juan. 
Se implemento un curso de formacion virtual: innovacion publica para el fortalecimiento municipal. Y se implemento la iniciativa 'enmarchadigitalgt' para brindar capacidades digiales a los vecinos de San Juan y que puedan partcipar en el diseño del proceso.</t>
    </r>
  </si>
  <si>
    <r>
      <rPr>
        <b/>
        <sz val="14"/>
        <color theme="1"/>
        <rFont val="Century Gothic"/>
        <family val="2"/>
      </rPr>
      <t xml:space="preserve">Semestre I
Dialogo Recursos Naturales: </t>
    </r>
    <r>
      <rPr>
        <sz val="14"/>
        <color theme="1"/>
        <rFont val="Century Gothic"/>
        <family val="2"/>
      </rPr>
      <t xml:space="preserve">COCODES de los cinco comunidades piloto donde se realizaron los talleres participativos de análisis del desarrollo multidimensional, PNUD y CPD.
</t>
    </r>
    <r>
      <rPr>
        <b/>
        <sz val="14"/>
        <color theme="1"/>
        <rFont val="Century Gothic"/>
        <family val="2"/>
      </rPr>
      <t>Panzos:</t>
    </r>
    <r>
      <rPr>
        <sz val="14"/>
        <color theme="1"/>
        <rFont val="Century Gothic"/>
        <family val="2"/>
      </rPr>
      <t xml:space="preserve"> SEGEPLAN
</t>
    </r>
    <r>
      <rPr>
        <b/>
        <sz val="14"/>
        <color theme="1"/>
        <rFont val="Century Gothic"/>
        <family val="2"/>
      </rPr>
      <t xml:space="preserve">Semestre II
Dialgos recursos naturales: </t>
    </r>
    <r>
      <rPr>
        <sz val="14"/>
        <color theme="1"/>
        <rFont val="Century Gothic"/>
        <family val="2"/>
      </rPr>
      <t xml:space="preserve">PNUD, CPD
</t>
    </r>
    <r>
      <rPr>
        <b/>
        <sz val="14"/>
        <color theme="1"/>
        <rFont val="Century Gothic"/>
        <family val="2"/>
      </rPr>
      <t>Dialogo sector palma:</t>
    </r>
    <r>
      <rPr>
        <sz val="14"/>
        <color theme="1"/>
        <rFont val="Century Gothic"/>
        <family val="2"/>
      </rPr>
      <t xml:space="preserve"> 3 de las empresas palmeras mas importantes del pais y representantes de organizaciones comunitarias y de sociedad civil (por temas de confidencialidad no es posible contar con los nombres de implicados)
</t>
    </r>
    <r>
      <rPr>
        <b/>
        <sz val="14"/>
        <color theme="1"/>
        <rFont val="Century Gothic"/>
        <family val="2"/>
      </rPr>
      <t xml:space="preserve">San Juan Sacatepequez: </t>
    </r>
    <r>
      <rPr>
        <sz val="14"/>
        <color theme="1"/>
        <rFont val="Century Gothic"/>
        <family val="2"/>
      </rPr>
      <t xml:space="preserve">MAGA, MINEDUC, SEGEPLAN, SAA, SESAN, COPREDEH, SBS, ONSEC, SECCATIL, SENASYT, SOSEP, MINGOB, MCD, MIRES, MSPAS, MARN, SEPREN, MUNICIPALIDAD DE SAN JUAN. </t>
    </r>
  </si>
  <si>
    <r>
      <rPr>
        <b/>
        <sz val="14"/>
        <color theme="1"/>
        <rFont val="Century Gothic"/>
        <family val="2"/>
      </rPr>
      <t xml:space="preserve">Semestre II
San Juan Sacatepequez
</t>
    </r>
    <r>
      <rPr>
        <sz val="14"/>
        <color theme="1"/>
        <rFont val="Century Gothic"/>
        <family val="2"/>
      </rPr>
      <t xml:space="preserve">
Se involucro a la municipalidad y a la institucionalidad en el proceso de indetificacion de oferta institucional.
Se impelmentaron talleres para fortalecimiento de capacidades de municpalidad y capacidades digitales de la ciudadania.
Se identificaron actores para la construccion de los siguientes pasos de la plataforma </t>
    </r>
  </si>
  <si>
    <r>
      <rPr>
        <b/>
        <sz val="14"/>
        <color theme="1"/>
        <rFont val="Century Gothic"/>
        <family val="2"/>
      </rPr>
      <t>Semestre II
San Juan SAcatepequez</t>
    </r>
    <r>
      <rPr>
        <sz val="14"/>
        <color theme="1"/>
        <rFont val="Century Gothic"/>
        <family val="2"/>
      </rPr>
      <t xml:space="preserve">
Sociedad civil, institucionalidad, sector publico</t>
    </r>
  </si>
  <si>
    <r>
      <rPr>
        <b/>
        <sz val="14"/>
        <color theme="1"/>
        <rFont val="Century Gothic"/>
        <family val="2"/>
      </rPr>
      <t xml:space="preserve">Semestre I, II.
</t>
    </r>
    <r>
      <rPr>
        <sz val="14"/>
        <color theme="1"/>
        <rFont val="Century Gothic"/>
        <family val="2"/>
      </rPr>
      <t xml:space="preserve">La institucionalidad, sociedad civil, sector publico </t>
    </r>
  </si>
  <si>
    <r>
      <rPr>
        <b/>
        <sz val="14"/>
        <color theme="1"/>
        <rFont val="Century Gothic"/>
        <family val="2"/>
      </rPr>
      <t xml:space="preserve">Semestre I, II.
</t>
    </r>
    <r>
      <rPr>
        <sz val="14"/>
        <color theme="1"/>
        <rFont val="Century Gothic"/>
        <family val="2"/>
      </rPr>
      <t xml:space="preserve">
Tener claridad sobre la ruta de  pasos a seguir en los procesos de dialogo nacional sobre recursos naturales, el plan de desarrollo municipal y ordenamiento territorial y San Juan Sacatepequez </t>
    </r>
  </si>
  <si>
    <r>
      <rPr>
        <b/>
        <sz val="14"/>
        <color theme="1"/>
        <rFont val="Century Gothic"/>
        <family val="2"/>
      </rPr>
      <t xml:space="preserve">Semestre II
</t>
    </r>
    <r>
      <rPr>
        <sz val="14"/>
        <color theme="1"/>
        <rFont val="Century Gothic"/>
        <family val="2"/>
      </rPr>
      <t xml:space="preserve">
</t>
    </r>
    <r>
      <rPr>
        <b/>
        <sz val="14"/>
        <color theme="1"/>
        <rFont val="Century Gothic"/>
        <family val="2"/>
      </rPr>
      <t>San Juan Sacatepequez</t>
    </r>
    <r>
      <rPr>
        <sz val="14"/>
        <color theme="1"/>
        <rFont val="Century Gothic"/>
        <family val="2"/>
      </rPr>
      <t xml:space="preserve">
La partcipacion de los diferentes actores en el municpio en la idnetificacion de oferta institucional y en las capacitaciones.</t>
    </r>
  </si>
  <si>
    <r>
      <rPr>
        <b/>
        <sz val="14"/>
        <color theme="1"/>
        <rFont val="Century Gothic"/>
        <family val="2"/>
      </rPr>
      <t>Semestre I</t>
    </r>
    <r>
      <rPr>
        <sz val="14"/>
        <color theme="1"/>
        <rFont val="Century Gothic"/>
        <family val="2"/>
      </rPr>
      <t xml:space="preserve">
Se cuenta con documentos desarrollados a través de los espacios de diálogos establecido. 
</t>
    </r>
    <r>
      <rPr>
        <b/>
        <sz val="14"/>
        <color theme="1"/>
        <rFont val="Century Gothic"/>
        <family val="2"/>
      </rPr>
      <t xml:space="preserve">
Dialogo Recursos Naturales
</t>
    </r>
    <r>
      <rPr>
        <sz val="14"/>
        <color theme="1"/>
        <rFont val="Century Gothic"/>
        <family val="2"/>
      </rPr>
      <t xml:space="preserve">De la Mesa de Alto Nivel sobre áreas protegidas, resulto en los siguientes documentos: 
- Protocolo de Desalojos con incorporación de estándares internacionales 
- Política Institucional de Asentamientos Humanos 
- Oferta Institucional para 5 comunidades en las áreas protegidas en Peten
</t>
    </r>
    <r>
      <rPr>
        <b/>
        <sz val="14"/>
        <color theme="1"/>
        <rFont val="Century Gothic"/>
        <family val="2"/>
      </rPr>
      <t xml:space="preserve">
Panzos
</t>
    </r>
    <r>
      <rPr>
        <sz val="14"/>
        <color theme="1"/>
        <rFont val="Century Gothic"/>
        <family val="2"/>
      </rPr>
      <t xml:space="preserve">De la Mesa Ampliada en Panzos, resulto en los siguientes recuerdos: 
- Plan de Desarrollo Municipal y Ordenamiento Territorial (PDM-OT en Panzos. El documento fue retroalimentado SEGEPLAN y se encuentra en edición.
</t>
    </r>
    <r>
      <rPr>
        <b/>
        <sz val="14"/>
        <color theme="1"/>
        <rFont val="Century Gothic"/>
        <family val="2"/>
      </rPr>
      <t xml:space="preserve">Semestre II
</t>
    </r>
    <r>
      <rPr>
        <sz val="14"/>
        <color theme="1"/>
        <rFont val="Century Gothic"/>
        <family val="2"/>
      </rPr>
      <t>No hubo avances debido a la pandemia y situacion institucional</t>
    </r>
    <r>
      <rPr>
        <b/>
        <sz val="14"/>
        <color theme="1"/>
        <rFont val="Century Gothic"/>
        <family val="2"/>
      </rPr>
      <t xml:space="preserve">
SAn Juan Sacatepqequez
</t>
    </r>
    <r>
      <rPr>
        <sz val="14"/>
        <color theme="1"/>
        <rFont val="Century Gothic"/>
        <family val="2"/>
      </rPr>
      <t xml:space="preserve">Durante este semestre se acordo los pasos a seguir relativos a la oferta institucional, el espacio de interaccion multiactor de la plataforma y de fortalecimiento de las capacidades </t>
    </r>
    <r>
      <rPr>
        <b/>
        <sz val="14"/>
        <color theme="1"/>
        <rFont val="Century Gothic"/>
        <family val="2"/>
      </rPr>
      <t xml:space="preserve">
</t>
    </r>
  </si>
  <si>
    <r>
      <rPr>
        <b/>
        <sz val="14"/>
        <color theme="1"/>
        <rFont val="Century Gothic"/>
        <family val="2"/>
      </rPr>
      <t>Semestre I: Cotzal:</t>
    </r>
    <r>
      <rPr>
        <sz val="14"/>
        <color theme="1"/>
        <rFont val="Century Gothic"/>
        <family val="2"/>
      </rPr>
      <t xml:space="preserve"> Alcaldia Indigena de Cotzal, Vice-presidente
</t>
    </r>
    <r>
      <rPr>
        <b/>
        <sz val="14"/>
        <color theme="1"/>
        <rFont val="Century Gothic"/>
        <family val="2"/>
      </rPr>
      <t xml:space="preserve">Semestre II: </t>
    </r>
    <r>
      <rPr>
        <sz val="14"/>
        <color theme="1"/>
        <rFont val="Century Gothic"/>
        <family val="2"/>
      </rPr>
      <t xml:space="preserve">alcanldia indigena, Ministerio de trabajo, ministerio de energia y minas, Gabinete de desarrolo social de presidencia,  MEM, </t>
    </r>
  </si>
  <si>
    <r>
      <rPr>
        <b/>
        <sz val="14"/>
        <color theme="1"/>
        <rFont val="Century Gothic"/>
        <family val="2"/>
      </rPr>
      <t xml:space="preserve">Semestre I
Cotzal: </t>
    </r>
    <r>
      <rPr>
        <sz val="14"/>
        <color theme="1"/>
        <rFont val="Century Gothic"/>
        <family val="2"/>
      </rPr>
      <t xml:space="preserve">Identificar al MinTrab como responsable a buscar una nueva fecha con la alcaldia indigena y el gabinete del vicepresidente para identificar una hoja de ruta para el seguimiento al proceso de Consulta.
Se ha logrado mantener el contacto con la alcaldia indigena, se espera tener una reunion con la AI y el MinTrab. La AI ha mostrado su disponibilidad para continuar el proceso de consulta.
</t>
    </r>
    <r>
      <rPr>
        <b/>
        <sz val="14"/>
        <color theme="1"/>
        <rFont val="Century Gothic"/>
        <family val="2"/>
      </rPr>
      <t xml:space="preserve">Semestre II
</t>
    </r>
    <r>
      <rPr>
        <sz val="14"/>
        <color theme="1"/>
        <rFont val="Century Gothic"/>
        <family val="2"/>
      </rPr>
      <t xml:space="preserve">No hubo avances sustantivos a parte de los acercamientos institucionales para retomar el proceso de consulta </t>
    </r>
  </si>
  <si>
    <r>
      <rPr>
        <b/>
        <sz val="14"/>
        <color theme="1"/>
        <rFont val="Century Gothic"/>
        <family val="2"/>
      </rPr>
      <t xml:space="preserve">Semestre I
Nebaj: </t>
    </r>
    <r>
      <rPr>
        <sz val="14"/>
        <color theme="1"/>
        <rFont val="Century Gothic"/>
        <family val="2"/>
      </rPr>
      <t xml:space="preserve">No ha habido avances, debido a que se tiene conocimiento que la empresa HidroXil S.A. ha decidido retirar el proyecto de la zona. 
</t>
    </r>
    <r>
      <rPr>
        <b/>
        <sz val="14"/>
        <color theme="1"/>
        <rFont val="Century Gothic"/>
        <family val="2"/>
      </rPr>
      <t xml:space="preserve">Cotzal: </t>
    </r>
    <r>
      <rPr>
        <sz val="14"/>
        <color theme="1"/>
        <rFont val="Century Gothic"/>
        <family val="2"/>
      </rPr>
      <t xml:space="preserve">En diciembre se definió la fecha de la reunión de Gabinete del despacho del Vice-presidente, la Alcaldía Indígena de Cotzal, noticiaron que no podían presentarse en la reunión, solicitando al ejecutivo una reprogramación. El MinTrab se ha pronunciado responsable de darle seguimiento a la reunion. 
Se ha mantenido una reunion con la Alcaldia Indigena de Cotzal, para darle seguimiento al tema de consulta.  La AI manifestó su disponibilidad y anuencia para continuar con el proceso de consulta, manifestando su preocupación por algunas actividades que aún no se han podido concretar dentro del “plan de 5 pasos” que se había acordado previamente para viabilizar el proceso. 
</t>
    </r>
    <r>
      <rPr>
        <b/>
        <sz val="14"/>
        <color theme="1"/>
        <rFont val="Century Gothic"/>
        <family val="2"/>
      </rPr>
      <t xml:space="preserve">Semestre II
</t>
    </r>
    <r>
      <rPr>
        <sz val="14"/>
        <color theme="1"/>
        <rFont val="Century Gothic"/>
        <family val="2"/>
      </rPr>
      <t>Cotzal: Se hicieron reuniones y acercamientos con AI, institucionalidad y representantes de la mesa tematica sobre pueblos indigenas con el objetivo de retormar el proceso de consulta en Cotzal.</t>
    </r>
  </si>
  <si>
    <r>
      <rPr>
        <b/>
        <sz val="14"/>
        <color theme="1"/>
        <rFont val="Century Gothic"/>
        <family val="2"/>
      </rPr>
      <t>Semestre I</t>
    </r>
    <r>
      <rPr>
        <sz val="14"/>
        <color theme="1"/>
        <rFont val="Century Gothic"/>
        <family val="2"/>
      </rPr>
      <t xml:space="preserve">
Se ha generado un espacio de relfexion con un grupo core (MinTrab, MEM, OIT, GIZ y PNUD) para reflexionar sobre la iniciativa de ley, los mecanismos de consulta a PPII. Se espera la convocatoria por parte del MinTrab para una primera reunion.
</t>
    </r>
    <r>
      <rPr>
        <b/>
        <sz val="14"/>
        <color theme="1"/>
        <rFont val="Century Gothic"/>
        <family val="2"/>
      </rPr>
      <t xml:space="preserve">Semestre II
</t>
    </r>
    <r>
      <rPr>
        <sz val="14"/>
        <color theme="1"/>
        <rFont val="Century Gothic"/>
        <family val="2"/>
      </rPr>
      <t xml:space="preserve">Se incio a formalizar un grant a FUNDAMAYA (organizacion de confianza de de la AI)  para fortalecimiento de capacidades en los procesos territoriales  de consulta previa. 
Se hizo una alianza con la junta directiva de los 48 cantones con el fin de incrementar el liderazgo de las mujeres indigenas y el establecimiento de espacios de reflexion
</t>
    </r>
    <r>
      <rPr>
        <b/>
        <sz val="14"/>
        <color theme="1"/>
        <rFont val="Century Gothic"/>
        <family val="2"/>
      </rPr>
      <t xml:space="preserve">
</t>
    </r>
    <r>
      <rPr>
        <sz val="14"/>
        <color theme="1"/>
        <rFont val="Century Gothic"/>
        <family val="2"/>
      </rPr>
      <t xml:space="preserve">
</t>
    </r>
  </si>
  <si>
    <r>
      <rPr>
        <b/>
        <sz val="14"/>
        <color theme="1"/>
        <rFont val="Century Gothic"/>
        <family val="2"/>
      </rPr>
      <t>Semestre I</t>
    </r>
    <r>
      <rPr>
        <sz val="14"/>
        <color theme="1"/>
        <rFont val="Century Gothic"/>
        <family val="2"/>
      </rPr>
      <t xml:space="preserve">: PNUD, MinTrab y GIZ 
</t>
    </r>
    <r>
      <rPr>
        <b/>
        <sz val="14"/>
        <color theme="1"/>
        <rFont val="Century Gothic"/>
        <family val="2"/>
      </rPr>
      <t xml:space="preserve">Semestre II: </t>
    </r>
    <r>
      <rPr>
        <sz val="14"/>
        <color theme="1"/>
        <rFont val="Century Gothic"/>
        <family val="2"/>
      </rPr>
      <t xml:space="preserve">FUNDMAYA, PNUD, AI, Junta Dierectiva de los 48 Cantones 
</t>
    </r>
    <r>
      <rPr>
        <i/>
        <u/>
        <sz val="14"/>
        <color theme="1"/>
        <rFont val="Century Gothic"/>
        <family val="2"/>
      </rPr>
      <t/>
    </r>
  </si>
  <si>
    <r>
      <rPr>
        <b/>
        <sz val="14"/>
        <color theme="1"/>
        <rFont val="Century Gothic"/>
        <family val="2"/>
      </rPr>
      <t>Semestre I:</t>
    </r>
    <r>
      <rPr>
        <sz val="14"/>
        <color theme="1"/>
        <rFont val="Century Gothic"/>
        <family val="2"/>
      </rPr>
      <t xml:space="preserve">
Establecer acuerdos para generar espacios de relfexion con varios actores en el marco de la consulta
</t>
    </r>
    <r>
      <rPr>
        <b/>
        <sz val="14"/>
        <color theme="1"/>
        <rFont val="Century Gothic"/>
        <family val="2"/>
      </rPr>
      <t xml:space="preserve">Semestre II:
</t>
    </r>
    <r>
      <rPr>
        <sz val="14"/>
        <color theme="1"/>
        <rFont val="Century Gothic"/>
        <family val="2"/>
      </rPr>
      <t xml:space="preserve">La planificacion de la formalizacion de un grant a FUNDAMAYA para abrir un espacio de encuentro cuyo fin es el fortalecimiento de capacidades tecnicas sobre la consulta previa en los territorios
Preguntar actividad con mintrab a Inaki
Un acercamiento con la Junta Directiva de los 48 cantones para generar condiciones. 
</t>
    </r>
    <r>
      <rPr>
        <i/>
        <sz val="14"/>
        <color theme="1"/>
        <rFont val="Century Gothic"/>
        <family val="2"/>
      </rPr>
      <t/>
    </r>
  </si>
  <si>
    <r>
      <t xml:space="preserve">Semestre I
SART
</t>
    </r>
    <r>
      <rPr>
        <sz val="14"/>
        <color theme="1"/>
        <rFont val="Century Gothic"/>
        <family val="2"/>
      </rPr>
      <t xml:space="preserve">Desde el inicio del año 2020 se han sostenido reuniones a nivel político y técnico con el liderazgo de COPREDEH para identificar los pasos a seguir. 
</t>
    </r>
    <r>
      <rPr>
        <b/>
        <sz val="14"/>
        <color theme="1"/>
        <rFont val="Century Gothic"/>
        <family val="2"/>
      </rPr>
      <t xml:space="preserve">
GTI
</t>
    </r>
    <r>
      <rPr>
        <sz val="14"/>
        <color theme="1"/>
        <rFont val="Century Gothic"/>
        <family val="2"/>
      </rPr>
      <t xml:space="preserve">Desde finales de 2019 hasta marzo 2020 el GTI no ha tenido actividad. El contexto de transición en la CPD aún no termina y se están buscando mecanismos de acercamiento y articulación para incidir y darle continuidad. Al haber condiciones favorables se espera que se retome la buena práctica de articulación interinstitucional. 
</t>
    </r>
    <r>
      <rPr>
        <b/>
        <sz val="14"/>
        <color theme="1"/>
        <rFont val="Century Gothic"/>
        <family val="2"/>
      </rPr>
      <t xml:space="preserve">
Politica Publica de Dialogo 
</t>
    </r>
    <r>
      <rPr>
        <sz val="14"/>
        <color theme="1"/>
        <rFont val="Century Gothic"/>
        <family val="2"/>
      </rPr>
      <t xml:space="preserve">En diciembre de 2019 CPD entregó un nuevo borrador a la SEGEPLAN. Con el ingreso de las nuevas autoridades de CPD en el cambio de gobierno, se han hecho nuevos acercamientos para identificar los pasos a seguir.
</t>
    </r>
    <r>
      <rPr>
        <b/>
        <sz val="14"/>
        <color theme="1"/>
        <rFont val="Century Gothic"/>
        <family val="2"/>
      </rPr>
      <t>Transicion</t>
    </r>
    <r>
      <rPr>
        <sz val="14"/>
        <color theme="1"/>
        <rFont val="Century Gothic"/>
        <family val="2"/>
      </rPr>
      <t xml:space="preserve">
Copredeh expresó el interes de seguir coordinando acciones en conjunto con el proyecto y con el ingreso de las nuevas autoridades de CPD en el cambio de gobierno, se han hecho nuevos acercamientos para identificar los pasos a seguir. 
</t>
    </r>
    <r>
      <rPr>
        <b/>
        <sz val="14"/>
        <color theme="1"/>
        <rFont val="Century Gothic"/>
        <family val="2"/>
      </rPr>
      <t xml:space="preserve">
Semestre II
GTI
</t>
    </r>
    <r>
      <rPr>
        <sz val="14"/>
        <color theme="1"/>
        <rFont val="Century Gothic"/>
        <family val="2"/>
      </rPr>
      <t xml:space="preserve">Duarnte el ultimo termino del 2020 aun no se encuentran condiciones adeacuadas para retormar la articulacion institucional referente al GTI. En el maro de la transicion politica todavia sigue habiendo una incertidumbre significativa si las autoridades actuales van a dar conitnudad al proceso.
</t>
    </r>
    <r>
      <rPr>
        <b/>
        <sz val="14"/>
        <color theme="1"/>
        <rFont val="Century Gothic"/>
        <family val="2"/>
      </rPr>
      <t xml:space="preserve">Politica Publica Institucionalidad del Dialogo
</t>
    </r>
    <r>
      <rPr>
        <sz val="14"/>
        <color theme="1"/>
        <rFont val="Century Gothic"/>
        <family val="2"/>
      </rPr>
      <t xml:space="preserve">Se han hecho acercaminetos con puntos focales del gobierno de la Republica para que sea analizada y retroalimentada. A pesar de esto, cabe mencionar factores que suponen un desafio significativo, el contexto de la crisis SARSCOVID19, la incertidumbre generada por el interes del gobierno actual en dar continuidad al proceso.   EL cierre de COPREDEH y SAA como operatizavadores de la polita publica. Tambien es importante destacar la unificacion de CPD y SAA en la actual COPADEH.
</t>
    </r>
    <r>
      <rPr>
        <b/>
        <sz val="14"/>
        <color theme="1"/>
        <rFont val="Century Gothic"/>
        <family val="2"/>
      </rPr>
      <t>SART</t>
    </r>
    <r>
      <rPr>
        <sz val="14"/>
        <color theme="1"/>
        <rFont val="Century Gothic"/>
        <family val="2"/>
      </rPr>
      <t xml:space="preserve"> 
Con la creacion de COPADEH se detuvo el proceso de fortalecimiento de SART. Cuando las autoridades de COPADEH esten establecidas el PNUD iniciara el proceso de acercamiento para sensibilizar a las nuevas autoridades sobre la importancia de este proceso. Tambien hubo acercamientos con GIZ y Creative para indetinficar alternativas de apoyo al sistema SART
</t>
    </r>
    <r>
      <rPr>
        <b/>
        <sz val="14"/>
        <color theme="1"/>
        <rFont val="Century Gothic"/>
        <family val="2"/>
      </rPr>
      <t xml:space="preserve">Capacitacion a funcionarios publicos en transformacion de conflcitos y dialogo inetrcultural
</t>
    </r>
    <r>
      <rPr>
        <sz val="14"/>
        <color theme="1"/>
        <rFont val="Century Gothic"/>
        <family val="2"/>
      </rPr>
      <t xml:space="preserve">Se realizo una formacion virtual en seis sesiones a los funcionarios de la mesa tecnica de pueblos indigenas en transformacion de conflcitos y dialogo. 
</t>
    </r>
    <r>
      <rPr>
        <b/>
        <sz val="14"/>
        <color theme="1"/>
        <rFont val="Century Gothic"/>
        <family val="2"/>
      </rPr>
      <t xml:space="preserve">Inciativa SOy parte de la Solucion
</t>
    </r>
    <r>
      <rPr>
        <sz val="14"/>
        <color theme="1"/>
        <rFont val="Century Gothic"/>
        <family val="2"/>
      </rPr>
      <t>Se lanzo la iniciativa soy parte de la solucion para jovenes a nivel nacional cuya finalidad es empoderar a jovenes para la construccion activa y pacifica
 de inicaitvas de abordaje  sobre los conflictos derivados de la crisis sars covid19 en el pais. Partcipatiion activa de jovenes mujeres en el proceso de formacion.</t>
    </r>
  </si>
  <si>
    <r>
      <rPr>
        <b/>
        <sz val="14"/>
        <color theme="1"/>
        <rFont val="Century Gothic"/>
        <family val="2"/>
      </rPr>
      <t xml:space="preserve">Semestre I
SART: </t>
    </r>
    <r>
      <rPr>
        <sz val="14"/>
        <color theme="1"/>
        <rFont val="Century Gothic"/>
        <family val="2"/>
      </rPr>
      <t xml:space="preserve">Se cuenta con una propuesta financiera de una consultora para dar continuidad a la siguiente fase de robustecimiento del sistema y se está gestionando con SAA y COPREDEH para que se identifiquen alternativas de relacionamiento y compartimiento de información entre sistemas. 
</t>
    </r>
    <r>
      <rPr>
        <b/>
        <sz val="14"/>
        <color theme="1"/>
        <rFont val="Century Gothic"/>
        <family val="2"/>
      </rPr>
      <t xml:space="preserve">Politica Publica: </t>
    </r>
    <r>
      <rPr>
        <sz val="14"/>
        <color theme="1"/>
        <rFont val="Century Gothic"/>
        <family val="2"/>
      </rPr>
      <t xml:space="preserve">SEGEPLAN emitió nuevas observaciones y sugirió continuar el proceso de aprobación una vez hechas las nuevas adiciones.
</t>
    </r>
    <r>
      <rPr>
        <b/>
        <sz val="14"/>
        <color theme="1"/>
        <rFont val="Century Gothic"/>
        <family val="2"/>
      </rPr>
      <t xml:space="preserve">Semestre II
</t>
    </r>
    <r>
      <rPr>
        <sz val="14"/>
        <color theme="1"/>
        <rFont val="Century Gothic"/>
        <family val="2"/>
      </rPr>
      <t xml:space="preserve">Durante este semestre no hubo avances sustantivos debido a la incertidumbre institucional.
</t>
    </r>
    <r>
      <rPr>
        <b/>
        <sz val="14"/>
        <color theme="1"/>
        <rFont val="Century Gothic"/>
        <family val="2"/>
      </rPr>
      <t xml:space="preserve">Formacion virtual  a funcionarios de la mesa tecnica de pueblos indigenas: </t>
    </r>
    <r>
      <rPr>
        <sz val="14"/>
        <color theme="1"/>
        <rFont val="Century Gothic"/>
        <family val="2"/>
      </rPr>
      <t xml:space="preserve">
Transmision de competencias a funcionarios publicos.
</t>
    </r>
  </si>
  <si>
    <r>
      <rPr>
        <b/>
        <sz val="14"/>
        <color theme="1"/>
        <rFont val="Century Gothic"/>
        <family val="2"/>
      </rPr>
      <t>Semestre I
SART:</t>
    </r>
    <r>
      <rPr>
        <sz val="14"/>
        <color theme="1"/>
        <rFont val="Century Gothic"/>
        <family val="2"/>
      </rPr>
      <t xml:space="preserve"> COPREDEH 
GTI
</t>
    </r>
    <r>
      <rPr>
        <b/>
        <sz val="14"/>
        <color theme="1"/>
        <rFont val="Century Gothic"/>
        <family val="2"/>
      </rPr>
      <t>Politica Publica de Dialogo :</t>
    </r>
    <r>
      <rPr>
        <sz val="14"/>
        <color theme="1"/>
        <rFont val="Century Gothic"/>
        <family val="2"/>
      </rPr>
      <t xml:space="preserve"> CPD, SEGEPLAN
</t>
    </r>
    <r>
      <rPr>
        <b/>
        <sz val="14"/>
        <color theme="1"/>
        <rFont val="Century Gothic"/>
        <family val="2"/>
      </rPr>
      <t xml:space="preserve">Transicion: </t>
    </r>
    <r>
      <rPr>
        <sz val="14"/>
        <color theme="1"/>
        <rFont val="Century Gothic"/>
        <family val="2"/>
      </rPr>
      <t xml:space="preserve">COPREDEH, CPD 
</t>
    </r>
    <r>
      <rPr>
        <b/>
        <sz val="14"/>
        <color theme="1"/>
        <rFont val="Century Gothic"/>
        <family val="2"/>
      </rPr>
      <t xml:space="preserve">Semestre II
SART: </t>
    </r>
    <r>
      <rPr>
        <sz val="14"/>
        <color theme="1"/>
        <rFont val="Century Gothic"/>
        <family val="2"/>
      </rPr>
      <t xml:space="preserve">GIZ, Creative, PNUD 
</t>
    </r>
    <r>
      <rPr>
        <b/>
        <sz val="14"/>
        <color theme="1"/>
        <rFont val="Century Gothic"/>
        <family val="2"/>
      </rPr>
      <t>Formacion virtual  a funcionarios de la mesa tecnica de pueblos indigenas:</t>
    </r>
    <r>
      <rPr>
        <sz val="14"/>
        <color theme="1"/>
        <rFont val="Century Gothic"/>
        <family val="2"/>
      </rPr>
      <t xml:space="preserve"> Ministerio de Energía y Minas, Ministerio de Trabajo, Ministerio de Educación, Ministerio de Cultura y Deportes, Ministerio de Desarrollo Social, Ministerio de Relaciones Exteriores, Ministerio de  Agricultura, Ganadaria y Ambiente, Comisión contra la Discriminación y el Racismo, Defensoría de la Mujer Indígena, Fondo de Desarrollo Indígena Guatemalteco, Academia de Lenguas Mayas de Guatemala
</t>
    </r>
    <r>
      <rPr>
        <b/>
        <sz val="14"/>
        <color theme="1"/>
        <rFont val="Century Gothic"/>
        <family val="2"/>
      </rPr>
      <t xml:space="preserve">Iniciativa soy parte de la solucion
</t>
    </r>
    <r>
      <rPr>
        <sz val="14"/>
        <color theme="1"/>
        <rFont val="Century Gothic"/>
        <family val="2"/>
      </rPr>
      <t>PNUD, CONJUVE, y 15 organizaciones de sociedad civil</t>
    </r>
  </si>
  <si>
    <r>
      <rPr>
        <b/>
        <sz val="14"/>
        <color theme="1"/>
        <rFont val="Century Gothic"/>
        <family val="2"/>
      </rPr>
      <t>Semestre I</t>
    </r>
    <r>
      <rPr>
        <sz val="14"/>
        <color theme="1"/>
        <rFont val="Century Gothic"/>
        <family val="2"/>
      </rPr>
      <t xml:space="preserve">
COPREDEH reimpulsó el espacio de desarrollo y discusión sobre la Política Pública de Protección a Personas Defensoras de Derechos Humanos (en fase de elaboración).
Se está generando condiciones para reimpulsar la Instancia de Análisis y Patrones de Ataques en contra de Personas Defensoras, que es un espacio donde participaba del MINGOB (Viceministerio de Seguridad y PNC), el Ministerio Público, el Organismo Judicial, COPREDEH, sociedad civil y OACNUDH como observador. El espacio terminó de funcionar en 2018.
</t>
    </r>
    <r>
      <rPr>
        <b/>
        <sz val="14"/>
        <color theme="1"/>
        <rFont val="Century Gothic"/>
        <family val="2"/>
      </rPr>
      <t xml:space="preserve">Semestre II 
</t>
    </r>
    <r>
      <rPr>
        <sz val="14"/>
        <color theme="1"/>
        <rFont val="Century Gothic"/>
        <family val="2"/>
      </rPr>
      <t xml:space="preserve">Reuniones y apoyo al Ministerio Público (MP) y la Procuraduría de Derechos Humanos (PDH) para la coordinación interinstitucional en el proceso de recepción de denuncias por parte de defensoras y defensores de derechos humanos. 
Asesoría y asistencia técnica para el fortalecimiento de las redes de protección de periodistas y defensoras y defensores de derechos humanos a través de espacios de intercambio de información relevante y buenas practicas entre PDH y organizaciones de la sociedad civil.
</t>
    </r>
    <r>
      <rPr>
        <b/>
        <sz val="14"/>
        <color theme="1"/>
        <rFont val="Century Gothic"/>
        <family val="2"/>
      </rPr>
      <t xml:space="preserve">
</t>
    </r>
  </si>
  <si>
    <r>
      <rPr>
        <b/>
        <sz val="14"/>
        <color theme="1"/>
        <rFont val="Century Gothic"/>
        <family val="2"/>
      </rPr>
      <t>Semestre I</t>
    </r>
    <r>
      <rPr>
        <sz val="14"/>
        <color theme="1"/>
        <rFont val="Century Gothic"/>
        <family val="2"/>
      </rPr>
      <t xml:space="preserve">
OACNUDH, COPREDEH, PDH, MINGOB, MP, organizaciones de la sociedad civil, como UDEFEGUA, personas defensoras de derechos humanos. 
</t>
    </r>
    <r>
      <rPr>
        <b/>
        <sz val="14"/>
        <color theme="1"/>
        <rFont val="Century Gothic"/>
        <family val="2"/>
      </rPr>
      <t xml:space="preserve">Semestre II
</t>
    </r>
    <r>
      <rPr>
        <sz val="14"/>
        <color theme="1"/>
        <rFont val="Century Gothic"/>
        <family val="2"/>
      </rPr>
      <t xml:space="preserve">Fiscales y Fiscales Auxiliares de las fiscalías de derechos humanos y de periodistas del MP y defensores de la Defensoría de Personas defensoras de derechos humanos de PDH.
Organizaciones de la Sociedad Civil (4 organizaciones) y defensores de la Defensoría de Personas defensoras de derechos humanos de PDH.
</t>
    </r>
    <r>
      <rPr>
        <b/>
        <sz val="14"/>
        <color theme="1"/>
        <rFont val="Century Gothic"/>
        <family val="2"/>
      </rPr>
      <t xml:space="preserve">
</t>
    </r>
    <r>
      <rPr>
        <sz val="14"/>
        <color theme="1"/>
        <rFont val="Century Gothic"/>
        <family val="2"/>
      </rPr>
      <t xml:space="preserve">
</t>
    </r>
  </si>
  <si>
    <r>
      <rPr>
        <b/>
        <sz val="14"/>
        <color theme="1"/>
        <rFont val="Century Gothic"/>
        <family val="2"/>
      </rPr>
      <t>Semestre I</t>
    </r>
    <r>
      <rPr>
        <sz val="14"/>
        <color theme="1"/>
        <rFont val="Century Gothic"/>
        <family val="2"/>
      </rPr>
      <t xml:space="preserve">
El seguimiento al proceso de la política pública de protección de defensoras de DDHH por parte de COPREDEH. Se planificó realizar 8 consultas temáticas sectoriales sobre la Política. (pospuestas debido a COVID-19).
</t>
    </r>
    <r>
      <rPr>
        <b/>
        <sz val="14"/>
        <color theme="1"/>
        <rFont val="Century Gothic"/>
        <family val="2"/>
      </rPr>
      <t xml:space="preserve">Semestre II
</t>
    </r>
    <r>
      <rPr>
        <sz val="14"/>
        <color theme="1"/>
        <rFont val="Century Gothic"/>
        <family val="2"/>
      </rPr>
      <t xml:space="preserve">Líneas de comunicación abiertas entre MP y PDH para la coordinación interinstitucional en el proceso de recepción de denuncias.
El fortalecimiento de concomiento y buenas practicas a traves del intercambio de experiencias sobre informacion relevante para la proteccion de periodistas, defensores y defensoras de DDHH
</t>
    </r>
  </si>
  <si>
    <r>
      <rPr>
        <b/>
        <sz val="14"/>
        <color theme="1"/>
        <rFont val="Century Gothic"/>
        <family val="2"/>
      </rPr>
      <t>Semestre I</t>
    </r>
    <r>
      <rPr>
        <sz val="14"/>
        <color theme="1"/>
        <rFont val="Century Gothic"/>
        <family val="2"/>
      </rPr>
      <t xml:space="preserve">
Se llevaron a cabo reuniones y se crearon espacios de discusión sobre el desarrollo de mecanismos de protección, en particular a través de la Mesa técnica de la Política Pública de Protección a Personas Defensoras de Derechos Humanos con la activa participación de personas defensoras de derechos humanos. 
</t>
    </r>
    <r>
      <rPr>
        <b/>
        <sz val="14"/>
        <color theme="1"/>
        <rFont val="Century Gothic"/>
        <family val="2"/>
      </rPr>
      <t xml:space="preserve">Semestre II
</t>
    </r>
    <r>
      <rPr>
        <sz val="14"/>
        <color theme="1"/>
        <rFont val="Century Gothic"/>
        <family val="2"/>
      </rPr>
      <t xml:space="preserve">Fortalecimiento de capacidades sobre sistemas de protección de Naciones Unidas y recomendaciones internacionales, destinado a representantes de COPREDEH y del Foro Interinstitucional de Derechos Humanos. 
Fortalecimiento de capacidades de defensores de las Defensorías y Auxiliaturas Departamentales de la PDH sobre elementos importantes para el seguimiento de casos emblemáticos de ataques a defensores de derechos humanos.
Fortalecimiento de capacidades a través del Diplomado defensoras y defensores juveniles de derechos humanos. Además, se realizó un diálogo en línea sobre Políticas Públicas y legislación para el reconocimiento de los derechos de la juventud con más de 3,800 reproducciones. 
</t>
    </r>
  </si>
  <si>
    <r>
      <rPr>
        <b/>
        <sz val="14"/>
        <color theme="1"/>
        <rFont val="Century Gothic"/>
        <family val="2"/>
      </rPr>
      <t>Semestre I</t>
    </r>
    <r>
      <rPr>
        <sz val="14"/>
        <color theme="1"/>
        <rFont val="Century Gothic"/>
        <family val="2"/>
      </rPr>
      <t xml:space="preserve">
Defensoras y defensores de derechos humanos, tanto de la capital como del interior. 
</t>
    </r>
    <r>
      <rPr>
        <b/>
        <sz val="14"/>
        <color theme="1"/>
        <rFont val="Century Gothic"/>
        <family val="2"/>
      </rPr>
      <t xml:space="preserve">Semestre II
</t>
    </r>
    <r>
      <rPr>
        <sz val="14"/>
        <color theme="1"/>
        <rFont val="Century Gothic"/>
        <family val="2"/>
      </rPr>
      <t xml:space="preserve">Personas representantes de COPREDEH y del Foro Interinstitucional de Derechos Humanos (integrado por 30 instituciones estatales).
Defensores de las Defensorías y Auxiliaturas Departamentales de la PDH.
Jóvenes defensoras y defensores de derechos humanos, representantes de 11 organizaciones juveniles.
</t>
    </r>
    <r>
      <rPr>
        <b/>
        <sz val="14"/>
        <color theme="1"/>
        <rFont val="Century Gothic"/>
        <family val="2"/>
      </rPr>
      <t xml:space="preserve">
</t>
    </r>
  </si>
  <si>
    <r>
      <rPr>
        <b/>
        <sz val="14"/>
        <color theme="1"/>
        <rFont val="Century Gothic"/>
        <family val="2"/>
      </rPr>
      <t>Semestre I</t>
    </r>
    <r>
      <rPr>
        <sz val="14"/>
        <color theme="1"/>
        <rFont val="Century Gothic"/>
        <family val="2"/>
      </rPr>
      <t xml:space="preserve">
Se logró la participación activa y consciente de personas defensoras de derechos humanos en reuniones y espacios de discusión sobre mecanismos de protección. 
</t>
    </r>
    <r>
      <rPr>
        <b/>
        <sz val="14"/>
        <color theme="1"/>
        <rFont val="Century Gothic"/>
        <family val="2"/>
      </rPr>
      <t xml:space="preserve">Semestre II
</t>
    </r>
    <r>
      <rPr>
        <sz val="14"/>
        <color theme="1"/>
        <rFont val="Century Gothic"/>
        <family val="2"/>
      </rPr>
      <t xml:space="preserve">Fortalecimiento de concomiento en sistemas de proteccion de la UN e internacionales dirigido a la institucionalidad.
Fortalecimiento de capacidades de defensoras y defensores para seguimiento de casos.
Fortalecimiento de capacidades de jovenes defensores y defensoras en materia de DDHH,  en relación al derecho a defender derechos, punto de partida para una plena participación en espacios de coordinación e incidencia.
 </t>
    </r>
  </si>
  <si>
    <r>
      <rPr>
        <b/>
        <sz val="14"/>
        <color theme="1"/>
        <rFont val="Century Gothic"/>
        <family val="2"/>
      </rPr>
      <t>Semestre I</t>
    </r>
    <r>
      <rPr>
        <sz val="14"/>
        <color theme="1"/>
        <rFont val="Century Gothic"/>
        <family val="2"/>
      </rPr>
      <t xml:space="preserve">
Se hizo incidencia con mecanismos nacionales, regionales e internacionales de derechos humanos.
Se coordina el monitoreo de los mecanismos de proteccion nacional en conjunto con la DPPS (MINGOB). 
</t>
    </r>
    <r>
      <rPr>
        <b/>
        <sz val="14"/>
        <color theme="1"/>
        <rFont val="Century Gothic"/>
        <family val="2"/>
      </rPr>
      <t xml:space="preserve">Semestre II
</t>
    </r>
    <r>
      <rPr>
        <sz val="14"/>
        <color theme="1"/>
        <rFont val="Century Gothic"/>
        <family val="2"/>
      </rPr>
      <t>65 (32 mujeres y 33 hombres) casos documentados y sistematizados por la OACNUDH, sobre ataques, patrones de estigmatización y discursos de odio en contra de defensores y defensoras de derechos humanos.
Se hizo incidencia con mecanismos nacionales, regionales e internacionales de derechos humanos sobre casos específicos de defensores y defensores de derechos humanos.</t>
    </r>
  </si>
  <si>
    <r>
      <rPr>
        <b/>
        <sz val="14"/>
        <color theme="1"/>
        <rFont val="Century Gothic"/>
        <family val="2"/>
      </rPr>
      <t>Semestre I</t>
    </r>
    <r>
      <rPr>
        <sz val="14"/>
        <color theme="1"/>
        <rFont val="Century Gothic"/>
        <family val="2"/>
      </rPr>
      <t xml:space="preserve">
Personal de OACNUDH, instituciones estatales relevantes, mecanismos regionales (CIDH) e internacionales (procedimientos especiales y Relatores Especiales) 
</t>
    </r>
    <r>
      <rPr>
        <b/>
        <sz val="14"/>
        <color theme="1"/>
        <rFont val="Century Gothic"/>
        <family val="2"/>
      </rPr>
      <t xml:space="preserve">Semestre II
</t>
    </r>
    <r>
      <rPr>
        <sz val="14"/>
        <color theme="1"/>
        <rFont val="Century Gothic"/>
        <family val="2"/>
      </rPr>
      <t xml:space="preserve">Defensoras y defensores de derechos humanos y personal de OACNUDH. Personal de OACNUDH, instituciones estatales relevantes, mecanismos regionales (CIDH) e internacionales (procedimientos especiales y Relatores Especiales) 
</t>
    </r>
  </si>
  <si>
    <r>
      <rPr>
        <b/>
        <sz val="14"/>
        <color theme="1"/>
        <rFont val="Century Gothic"/>
        <family val="2"/>
      </rPr>
      <t>Semestre II</t>
    </r>
    <r>
      <rPr>
        <sz val="14"/>
        <color theme="1"/>
        <rFont val="Century Gothic"/>
        <family val="2"/>
      </rPr>
      <t xml:space="preserve">
Se logró adoptar mecanismos de protección nacionales, regionales e internacionales para la protección de 7 personas defensoras de derechos humanos. Actualmente 7 personas defensoras gozan de medidas de seguridad otorgadas a nivel nacional, mientras que ninguna ha sido otorgada a nivel regional (CIDH) e internacional.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</si>
</sst>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4" formatCode="_-&quot;Q&quot;* #,##0.00_-;\-&quot;Q&quot;* #,##0.00_-;_-&quot;Q&quot;* &quot;-&quot;??_-;_-@_-"/>
    <numFmt numFmtId="43" formatCode="_-* #,##0.00_-;\-* #,##0.00_-;_-* &quot;-&quot;??_-;_-@_-"/>
    <numFmt numFmtId="164" formatCode="_(&quot;$&quot;* #,##0.00_);_(&quot;$&quot;* \(#,##0.00\);_(&quot;$&quot;* &quot;-&quot;??_);_(@_)"/>
    <numFmt numFmtId="165" formatCode="_(* #,##0.00_);_(* \(#,##0.00\);_(* &quot;-&quot;??_);_(@_)"/>
    <numFmt numFmtId="166" formatCode="_(&quot;Q&quot;* #,##0.00_);_(&quot;Q&quot;* \(#,##0.00\);_(&quot;Q&quot;* &quot;-&quot;??_);_(@_)"/>
    <numFmt numFmtId="167" formatCode="0.0%"/>
    <numFmt numFmtId="168" formatCode="_([$$-409]* #,##0.00_);_([$$-409]* \(#,##0.00\);_([$$-409]* &quot;-&quot;??_);_(@_)"/>
    <numFmt numFmtId="169" formatCode="0.00000000"/>
    <numFmt numFmtId="170" formatCode="_-[$$-409]* #,##0.00_ ;_-[$$-409]* \-#,##0.00\ ;_-[$$-409]* &quot;-&quot;??_ ;_-@_ "/>
    <numFmt numFmtId="171" formatCode="_-[$$-2409]* #,##0.00_-;\-[$$-2409]* #,##0.00_-;_-[$$-2409]* &quot;-&quot;??_-;_-@_-"/>
  </numFmts>
  <fonts count="56" x14ac:knownFonts="1">
    <font>
      <sz val="11"/>
      <color theme="1"/>
      <name val="Calibri"/>
      <family val="2"/>
      <scheme val="minor"/>
    </font>
    <font>
      <sz val="11"/>
      <color theme="1"/>
      <name val="Arial Narrow"/>
      <family val="2"/>
    </font>
    <font>
      <sz val="11"/>
      <color theme="1"/>
      <name val="Arial Narrow"/>
      <family val="2"/>
    </font>
    <font>
      <sz val="11"/>
      <color theme="1"/>
      <name val="Calibri"/>
      <family val="2"/>
      <scheme val="minor"/>
    </font>
    <font>
      <b/>
      <sz val="12"/>
      <color theme="1"/>
      <name val="Calibri"/>
      <family val="2"/>
      <scheme val="minor"/>
    </font>
    <font>
      <b/>
      <sz val="16"/>
      <color theme="1"/>
      <name val="Calibri"/>
      <family val="2"/>
      <scheme val="minor"/>
    </font>
    <font>
      <b/>
      <sz val="12"/>
      <color theme="1"/>
      <name val="Century Gothic"/>
      <family val="2"/>
    </font>
    <font>
      <sz val="12"/>
      <color theme="1"/>
      <name val="Century Gothic"/>
      <family val="2"/>
    </font>
    <font>
      <sz val="11"/>
      <color theme="1"/>
      <name val="Century Gothic"/>
      <family val="2"/>
    </font>
    <font>
      <sz val="11"/>
      <color rgb="FFFF0000"/>
      <name val="Calibri"/>
      <family val="2"/>
      <scheme val="minor"/>
    </font>
    <font>
      <b/>
      <sz val="11"/>
      <color theme="1"/>
      <name val="Calibri"/>
      <family val="2"/>
      <scheme val="minor"/>
    </font>
    <font>
      <sz val="12"/>
      <color theme="1"/>
      <name val="Calibri"/>
      <family val="2"/>
      <scheme val="minor"/>
    </font>
    <font>
      <b/>
      <sz val="12"/>
      <color rgb="FF000000"/>
      <name val="Calibri"/>
      <family val="2"/>
      <scheme val="minor"/>
    </font>
    <font>
      <sz val="12"/>
      <color rgb="FFFF0000"/>
      <name val="Calibri"/>
      <family val="2"/>
      <scheme val="minor"/>
    </font>
    <font>
      <b/>
      <sz val="12"/>
      <color rgb="FFFF0000"/>
      <name val="Calibri"/>
      <family val="2"/>
      <scheme val="minor"/>
    </font>
    <font>
      <b/>
      <sz val="20"/>
      <color theme="1"/>
      <name val="Calibri"/>
      <family val="2"/>
      <scheme val="minor"/>
    </font>
    <font>
      <sz val="16"/>
      <color theme="1"/>
      <name val="Calibri"/>
      <family val="2"/>
      <scheme val="minor"/>
    </font>
    <font>
      <b/>
      <sz val="28"/>
      <color theme="1"/>
      <name val="Calibri"/>
      <family val="2"/>
      <scheme val="minor"/>
    </font>
    <font>
      <sz val="36"/>
      <color theme="1"/>
      <name val="Calibri"/>
      <family val="2"/>
      <scheme val="minor"/>
    </font>
    <font>
      <b/>
      <sz val="36"/>
      <color theme="1"/>
      <name val="Calibri"/>
      <family val="2"/>
      <scheme val="minor"/>
    </font>
    <font>
      <b/>
      <sz val="36"/>
      <color rgb="FF00B0F0"/>
      <name val="Calibri"/>
      <family val="2"/>
      <scheme val="minor"/>
    </font>
    <font>
      <sz val="12"/>
      <color theme="1"/>
      <name val="Calibri"/>
      <family val="2"/>
    </font>
    <font>
      <b/>
      <sz val="12"/>
      <color theme="1"/>
      <name val="Calibri"/>
      <family val="2"/>
    </font>
    <font>
      <b/>
      <sz val="16"/>
      <color rgb="FFFF0000"/>
      <name val="Calibri"/>
      <family val="2"/>
      <scheme val="minor"/>
    </font>
    <font>
      <sz val="8"/>
      <name val="Calibri"/>
      <family val="2"/>
      <scheme val="minor"/>
    </font>
    <font>
      <b/>
      <sz val="11"/>
      <color theme="1"/>
      <name val="Century Gothic"/>
      <family val="2"/>
    </font>
    <font>
      <b/>
      <sz val="14"/>
      <color theme="1"/>
      <name val="Century Gothic"/>
      <family val="2"/>
    </font>
    <font>
      <b/>
      <sz val="22"/>
      <color theme="0"/>
      <name val="Century Gothic"/>
      <family val="2"/>
    </font>
    <font>
      <b/>
      <sz val="22"/>
      <color theme="1"/>
      <name val="Century Gothic"/>
      <family val="2"/>
    </font>
    <font>
      <b/>
      <sz val="18"/>
      <name val="Century Gothic"/>
      <family val="2"/>
    </font>
    <font>
      <b/>
      <sz val="12"/>
      <name val="Century Gothic"/>
      <family val="2"/>
    </font>
    <font>
      <b/>
      <sz val="22"/>
      <name val="Century Gothic"/>
      <family val="2"/>
    </font>
    <font>
      <sz val="11"/>
      <color theme="0"/>
      <name val="Century Gothic"/>
      <family val="2"/>
    </font>
    <font>
      <b/>
      <sz val="11"/>
      <name val="Century Gothic"/>
      <family val="2"/>
    </font>
    <font>
      <b/>
      <sz val="16"/>
      <name val="Century Gothic"/>
      <family val="2"/>
    </font>
    <font>
      <b/>
      <sz val="16"/>
      <color theme="1"/>
      <name val="Century Gothic"/>
      <family val="2"/>
    </font>
    <font>
      <b/>
      <sz val="18"/>
      <color theme="1"/>
      <name val="Century Gothic"/>
      <family val="2"/>
    </font>
    <font>
      <b/>
      <sz val="11"/>
      <color theme="0"/>
      <name val="Century Gothic"/>
      <family val="2"/>
    </font>
    <font>
      <b/>
      <sz val="10"/>
      <color theme="1"/>
      <name val="Century Gothic"/>
      <family val="2"/>
    </font>
    <font>
      <sz val="22"/>
      <color theme="0"/>
      <name val="Century Gothic"/>
      <family val="2"/>
    </font>
    <font>
      <b/>
      <sz val="18"/>
      <color theme="0"/>
      <name val="Century Gothic"/>
      <family val="2"/>
    </font>
    <font>
      <sz val="11"/>
      <name val="Century Gothic"/>
      <family val="2"/>
    </font>
    <font>
      <strike/>
      <sz val="11"/>
      <color theme="1"/>
      <name val="Century Gothic"/>
      <family val="2"/>
    </font>
    <font>
      <b/>
      <sz val="20"/>
      <color theme="1"/>
      <name val="Century Gothic"/>
      <family val="2"/>
    </font>
    <font>
      <b/>
      <sz val="20"/>
      <name val="Century Gothic"/>
      <family val="2"/>
    </font>
    <font>
      <b/>
      <sz val="20"/>
      <color theme="0"/>
      <name val="Century Gothic"/>
      <family val="2"/>
    </font>
    <font>
      <sz val="14"/>
      <color theme="1"/>
      <name val="Century Gothic"/>
      <family val="2"/>
    </font>
    <font>
      <b/>
      <sz val="14"/>
      <color rgb="FFFF0000"/>
      <name val="Century Gothic"/>
      <family val="2"/>
    </font>
    <font>
      <sz val="14"/>
      <name val="Century Gothic"/>
      <family val="2"/>
    </font>
    <font>
      <b/>
      <sz val="14"/>
      <name val="Century Gothic"/>
      <family val="2"/>
    </font>
    <font>
      <sz val="14"/>
      <color rgb="FFFF0000"/>
      <name val="Century Gothic"/>
      <family val="2"/>
    </font>
    <font>
      <sz val="16"/>
      <color theme="1"/>
      <name val="Century Gothic"/>
      <family val="2"/>
    </font>
    <font>
      <sz val="14"/>
      <color theme="1"/>
      <name val="Century Gothic"/>
      <family val="2"/>
    </font>
    <font>
      <sz val="22"/>
      <color theme="1"/>
      <name val="Century Gothic"/>
      <family val="2"/>
    </font>
    <font>
      <i/>
      <u/>
      <sz val="14"/>
      <color theme="1"/>
      <name val="Century Gothic"/>
      <family val="2"/>
    </font>
    <font>
      <i/>
      <sz val="14"/>
      <color theme="1"/>
      <name val="Century Gothic"/>
      <family val="2"/>
    </font>
  </fonts>
  <fills count="30">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4"/>
        <bgColor indexed="64"/>
      </patternFill>
    </fill>
    <fill>
      <patternFill patternType="solid">
        <fgColor theme="9" tint="0.59999389629810485"/>
        <bgColor indexed="64"/>
      </patternFill>
    </fill>
    <fill>
      <patternFill patternType="solid">
        <fgColor theme="9"/>
        <bgColor indexed="64"/>
      </patternFill>
    </fill>
    <fill>
      <patternFill patternType="solid">
        <fgColor rgb="FF9966FF"/>
        <bgColor indexed="64"/>
      </patternFill>
    </fill>
    <fill>
      <patternFill patternType="solid">
        <fgColor theme="5"/>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5FAFD"/>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4D8FCB"/>
        <bgColor indexed="64"/>
      </patternFill>
    </fill>
    <fill>
      <patternFill patternType="solid">
        <fgColor rgb="FF406A91"/>
        <bgColor indexed="64"/>
      </patternFill>
    </fill>
    <fill>
      <patternFill patternType="solid">
        <fgColor theme="0"/>
        <bgColor indexed="64"/>
      </patternFill>
    </fill>
    <fill>
      <patternFill patternType="solid">
        <fgColor theme="2" tint="-9.9978637043366805E-2"/>
        <bgColor indexed="64"/>
      </patternFill>
    </fill>
    <fill>
      <patternFill patternType="solid">
        <fgColor rgb="FFD9D9D9"/>
        <bgColor rgb="FF000000"/>
      </patternFill>
    </fill>
    <fill>
      <patternFill patternType="solid">
        <fgColor theme="8" tint="0.79998168889431442"/>
        <bgColor indexed="64"/>
      </patternFill>
    </fill>
    <fill>
      <patternFill patternType="solid">
        <fgColor theme="0" tint="-0.499984740745262"/>
        <bgColor indexed="64"/>
      </patternFill>
    </fill>
    <fill>
      <patternFill patternType="solid">
        <fgColor rgb="FFFF99FF"/>
        <bgColor indexed="64"/>
      </patternFill>
    </fill>
  </fills>
  <borders count="8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right/>
      <top/>
      <bottom style="double">
        <color indexed="64"/>
      </bottom>
      <diagonal/>
    </border>
    <border>
      <left/>
      <right/>
      <top style="medium">
        <color indexed="64"/>
      </top>
      <bottom style="double">
        <color indexed="64"/>
      </bottom>
      <diagonal/>
    </border>
    <border>
      <left style="medium">
        <color indexed="64"/>
      </left>
      <right style="medium">
        <color indexed="64"/>
      </right>
      <top style="thin">
        <color indexed="64"/>
      </top>
      <bottom/>
      <diagonal/>
    </border>
    <border>
      <left/>
      <right style="thin">
        <color indexed="64"/>
      </right>
      <top/>
      <bottom/>
      <diagonal/>
    </border>
    <border>
      <left/>
      <right style="thick">
        <color indexed="64"/>
      </right>
      <top/>
      <bottom style="medium">
        <color indexed="64"/>
      </bottom>
      <diagonal/>
    </border>
    <border>
      <left/>
      <right style="thick">
        <color indexed="64"/>
      </right>
      <top/>
      <bottom/>
      <diagonal/>
    </border>
    <border>
      <left/>
      <right style="thick">
        <color indexed="64"/>
      </right>
      <top style="medium">
        <color indexed="64"/>
      </top>
      <bottom/>
      <diagonal/>
    </border>
    <border>
      <left style="medium">
        <color indexed="64"/>
      </left>
      <right/>
      <top/>
      <bottom style="double">
        <color indexed="64"/>
      </bottom>
      <diagonal/>
    </border>
  </borders>
  <cellStyleXfs count="11">
    <xf numFmtId="0" fontId="0" fillId="0" borderId="0"/>
    <xf numFmtId="9"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43" fontId="3" fillId="0" borderId="0" applyFont="0" applyFill="0" applyBorder="0" applyAlignment="0" applyProtection="0"/>
    <xf numFmtId="44" fontId="3" fillId="0" borderId="0" applyFont="0" applyFill="0" applyBorder="0" applyAlignment="0" applyProtection="0"/>
    <xf numFmtId="0" fontId="1" fillId="0" borderId="0"/>
    <xf numFmtId="164" fontId="3" fillId="0" borderId="0" applyFont="0" applyFill="0" applyBorder="0" applyAlignment="0" applyProtection="0"/>
  </cellStyleXfs>
  <cellXfs count="1857">
    <xf numFmtId="0" fontId="0" fillId="0" borderId="0" xfId="0"/>
    <xf numFmtId="0" fontId="8" fillId="0" borderId="0" xfId="0" applyFont="1" applyProtection="1">
      <protection hidden="1"/>
    </xf>
    <xf numFmtId="0" fontId="0" fillId="0" borderId="0" xfId="0" applyFont="1" applyBorder="1" applyAlignment="1">
      <alignment wrapText="1"/>
    </xf>
    <xf numFmtId="164" fontId="0" fillId="0" borderId="0" xfId="10" applyFont="1" applyBorder="1" applyAlignment="1">
      <alignment wrapText="1"/>
    </xf>
    <xf numFmtId="0" fontId="0" fillId="0" borderId="0" xfId="0" applyFont="1" applyFill="1" applyBorder="1" applyAlignment="1">
      <alignment wrapText="1"/>
    </xf>
    <xf numFmtId="0" fontId="0" fillId="24" borderId="0" xfId="0" applyFont="1" applyFill="1" applyBorder="1" applyAlignment="1">
      <alignment wrapText="1"/>
    </xf>
    <xf numFmtId="0" fontId="0" fillId="24" borderId="0" xfId="0" applyFont="1" applyFill="1" applyBorder="1" applyAlignment="1">
      <alignment horizontal="center" vertical="center" wrapText="1"/>
    </xf>
    <xf numFmtId="164" fontId="0" fillId="0" borderId="0" xfId="10" applyFont="1" applyFill="1" applyBorder="1" applyAlignment="1">
      <alignment wrapText="1"/>
    </xf>
    <xf numFmtId="164" fontId="4" fillId="24" borderId="0" xfId="1" applyNumberFormat="1" applyFont="1" applyFill="1" applyBorder="1" applyAlignment="1">
      <alignment wrapText="1"/>
    </xf>
    <xf numFmtId="10" fontId="4" fillId="15" borderId="17" xfId="1" applyNumberFormat="1" applyFont="1" applyFill="1" applyBorder="1" applyAlignment="1" applyProtection="1">
      <alignment wrapText="1"/>
    </xf>
    <xf numFmtId="0" fontId="10" fillId="15" borderId="16" xfId="0" applyFont="1" applyFill="1" applyBorder="1" applyAlignment="1" applyProtection="1">
      <alignment horizontal="left" vertical="center" wrapText="1"/>
    </xf>
    <xf numFmtId="164" fontId="4" fillId="15" borderId="17" xfId="1" applyNumberFormat="1" applyFont="1" applyFill="1" applyBorder="1" applyAlignment="1" applyProtection="1">
      <alignment wrapText="1"/>
    </xf>
    <xf numFmtId="0" fontId="10" fillId="24" borderId="0" xfId="0" applyFont="1" applyFill="1" applyBorder="1" applyAlignment="1">
      <alignment horizontal="center" vertical="center" wrapText="1"/>
    </xf>
    <xf numFmtId="9" fontId="0" fillId="15" borderId="20" xfId="1" applyFont="1" applyFill="1" applyBorder="1" applyAlignment="1">
      <alignment wrapText="1"/>
    </xf>
    <xf numFmtId="0" fontId="0" fillId="15" borderId="18" xfId="0" applyFont="1" applyFill="1" applyBorder="1" applyAlignment="1">
      <alignment wrapText="1"/>
    </xf>
    <xf numFmtId="9" fontId="4" fillId="24" borderId="0" xfId="1" applyFont="1" applyFill="1" applyBorder="1" applyAlignment="1">
      <alignment wrapText="1"/>
    </xf>
    <xf numFmtId="164" fontId="0" fillId="15" borderId="15" xfId="10" applyFont="1" applyFill="1" applyBorder="1" applyAlignment="1">
      <alignment vertical="center" wrapText="1"/>
    </xf>
    <xf numFmtId="164" fontId="4" fillId="15" borderId="13" xfId="0" applyNumberFormat="1" applyFont="1" applyFill="1" applyBorder="1" applyAlignment="1">
      <alignment vertical="center" wrapText="1"/>
    </xf>
    <xf numFmtId="164" fontId="4" fillId="24" borderId="0" xfId="0" applyNumberFormat="1" applyFont="1" applyFill="1" applyBorder="1" applyAlignment="1">
      <alignment vertical="center" wrapText="1"/>
    </xf>
    <xf numFmtId="164" fontId="4" fillId="15" borderId="15" xfId="0" applyNumberFormat="1" applyFont="1" applyFill="1" applyBorder="1" applyAlignment="1" applyProtection="1">
      <alignment vertical="center" wrapText="1"/>
    </xf>
    <xf numFmtId="0" fontId="10" fillId="15" borderId="13" xfId="0" applyFont="1" applyFill="1" applyBorder="1" applyAlignment="1" applyProtection="1">
      <alignment horizontal="left" vertical="center" wrapText="1"/>
    </xf>
    <xf numFmtId="164" fontId="4" fillId="0" borderId="0" xfId="10" applyFont="1" applyFill="1" applyBorder="1" applyAlignment="1">
      <alignment vertical="center" wrapText="1"/>
    </xf>
    <xf numFmtId="164" fontId="4" fillId="0" borderId="0" xfId="0" applyNumberFormat="1" applyFont="1" applyFill="1" applyBorder="1" applyAlignment="1">
      <alignment vertical="center" wrapText="1"/>
    </xf>
    <xf numFmtId="0" fontId="4" fillId="0" borderId="0" xfId="0" applyFont="1" applyFill="1" applyBorder="1" applyAlignment="1">
      <alignment vertical="center" wrapText="1"/>
    </xf>
    <xf numFmtId="9" fontId="4" fillId="15" borderId="20" xfId="1" applyFont="1" applyFill="1" applyBorder="1" applyAlignment="1" applyProtection="1">
      <alignment vertical="center" wrapText="1"/>
    </xf>
    <xf numFmtId="164" fontId="4" fillId="15" borderId="19" xfId="10" applyFont="1" applyFill="1" applyBorder="1" applyAlignment="1" applyProtection="1">
      <alignment vertical="center" wrapText="1"/>
    </xf>
    <xf numFmtId="0" fontId="4" fillId="15" borderId="18" xfId="0" applyFont="1" applyFill="1" applyBorder="1" applyAlignment="1" applyProtection="1">
      <alignment vertical="center" wrapText="1"/>
    </xf>
    <xf numFmtId="164" fontId="4" fillId="24" borderId="0" xfId="10" applyFont="1" applyFill="1" applyBorder="1" applyAlignment="1" applyProtection="1">
      <alignment vertical="center" wrapText="1"/>
    </xf>
    <xf numFmtId="9" fontId="4" fillId="24" borderId="37" xfId="1" applyFont="1" applyFill="1" applyBorder="1" applyAlignment="1" applyProtection="1">
      <alignment horizontal="right" vertical="center" wrapText="1"/>
      <protection locked="0"/>
    </xf>
    <xf numFmtId="164" fontId="4" fillId="15" borderId="55" xfId="10" applyFont="1" applyFill="1" applyBorder="1" applyAlignment="1" applyProtection="1">
      <alignment vertical="center" wrapText="1"/>
    </xf>
    <xf numFmtId="164" fontId="4" fillId="15" borderId="32" xfId="10" applyFont="1" applyFill="1" applyBorder="1" applyAlignment="1" applyProtection="1">
      <alignment vertical="center" wrapText="1"/>
    </xf>
    <xf numFmtId="164" fontId="4" fillId="15" borderId="12" xfId="10" applyFont="1" applyFill="1" applyBorder="1" applyAlignment="1" applyProtection="1">
      <alignment vertical="center" wrapText="1"/>
    </xf>
    <xf numFmtId="0" fontId="4" fillId="15" borderId="31" xfId="0" applyFont="1" applyFill="1" applyBorder="1" applyAlignment="1" applyProtection="1">
      <alignment vertical="center" wrapText="1"/>
    </xf>
    <xf numFmtId="164" fontId="4" fillId="24" borderId="0" xfId="10" applyFont="1" applyFill="1" applyBorder="1" applyAlignment="1" applyProtection="1">
      <alignment horizontal="right" vertical="center" wrapText="1"/>
      <protection locked="0"/>
    </xf>
    <xf numFmtId="9" fontId="4" fillId="24" borderId="37" xfId="1" applyFont="1" applyFill="1" applyBorder="1" applyAlignment="1" applyProtection="1">
      <alignment vertical="center" wrapText="1"/>
      <protection locked="0"/>
    </xf>
    <xf numFmtId="0" fontId="11" fillId="0" borderId="0" xfId="0" applyFont="1" applyFill="1" applyBorder="1" applyAlignment="1">
      <alignment vertical="center" wrapText="1"/>
    </xf>
    <xf numFmtId="164" fontId="4" fillId="24" borderId="0" xfId="10" applyFont="1" applyFill="1" applyBorder="1" applyAlignment="1" applyProtection="1">
      <alignment vertical="center" wrapText="1"/>
      <protection locked="0"/>
    </xf>
    <xf numFmtId="9" fontId="4" fillId="24" borderId="17" xfId="1" applyFont="1" applyFill="1" applyBorder="1" applyAlignment="1" applyProtection="1">
      <alignment vertical="center" wrapText="1"/>
      <protection locked="0"/>
    </xf>
    <xf numFmtId="0" fontId="4" fillId="15" borderId="16" xfId="0" applyFont="1" applyFill="1" applyBorder="1" applyAlignment="1" applyProtection="1">
      <alignment vertical="center" wrapText="1"/>
    </xf>
    <xf numFmtId="0" fontId="4" fillId="15" borderId="12" xfId="0" applyFont="1" applyFill="1" applyBorder="1" applyAlignment="1" applyProtection="1">
      <alignment horizontal="center" vertical="center" wrapText="1"/>
    </xf>
    <xf numFmtId="0" fontId="4" fillId="15" borderId="16" xfId="0" applyFont="1" applyFill="1" applyBorder="1" applyAlignment="1" applyProtection="1">
      <alignment horizontal="center" vertical="center" wrapText="1"/>
    </xf>
    <xf numFmtId="164" fontId="4" fillId="24" borderId="0" xfId="10" applyFont="1" applyFill="1" applyBorder="1" applyAlignment="1" applyProtection="1">
      <alignment horizontal="center" vertical="center" wrapText="1"/>
    </xf>
    <xf numFmtId="0" fontId="11" fillId="24" borderId="0" xfId="0" applyFont="1" applyFill="1" applyBorder="1" applyAlignment="1">
      <alignment vertical="center" wrapText="1"/>
    </xf>
    <xf numFmtId="0" fontId="4" fillId="24" borderId="0" xfId="0" applyFont="1" applyFill="1" applyBorder="1" applyAlignment="1" applyProtection="1">
      <alignment vertical="center" wrapText="1"/>
      <protection locked="0"/>
    </xf>
    <xf numFmtId="0" fontId="4" fillId="24" borderId="0" xfId="0" applyFont="1" applyFill="1" applyBorder="1" applyAlignment="1">
      <alignment vertical="center" wrapText="1"/>
    </xf>
    <xf numFmtId="0" fontId="11" fillId="24"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wrapText="1"/>
      <protection locked="0"/>
    </xf>
    <xf numFmtId="164" fontId="4" fillId="24" borderId="0" xfId="10" applyFont="1" applyFill="1" applyBorder="1" applyAlignment="1">
      <alignment vertical="center" wrapText="1"/>
    </xf>
    <xf numFmtId="0" fontId="11" fillId="0" borderId="0" xfId="0" applyFont="1" applyFill="1" applyBorder="1" applyAlignment="1" applyProtection="1">
      <alignment vertical="center" wrapText="1"/>
      <protection locked="0"/>
    </xf>
    <xf numFmtId="164" fontId="4" fillId="15" borderId="20" xfId="10" applyFont="1" applyFill="1" applyBorder="1" applyAlignment="1" applyProtection="1">
      <alignment vertical="center" wrapText="1"/>
    </xf>
    <xf numFmtId="164" fontId="11" fillId="0" borderId="0" xfId="10" applyFont="1" applyFill="1" applyBorder="1" applyAlignment="1" applyProtection="1">
      <alignment vertical="center" wrapText="1"/>
      <protection locked="0"/>
    </xf>
    <xf numFmtId="164" fontId="11" fillId="15" borderId="17" xfId="0" applyNumberFormat="1" applyFont="1" applyFill="1" applyBorder="1" applyAlignment="1" applyProtection="1">
      <alignment vertical="center" wrapText="1"/>
    </xf>
    <xf numFmtId="164" fontId="11" fillId="15" borderId="12" xfId="0" applyNumberFormat="1" applyFont="1" applyFill="1" applyBorder="1" applyAlignment="1" applyProtection="1">
      <alignment vertical="center" wrapText="1"/>
    </xf>
    <xf numFmtId="0" fontId="11" fillId="15" borderId="16" xfId="0" applyFont="1" applyFill="1" applyBorder="1" applyAlignment="1" applyProtection="1">
      <alignment vertical="center" wrapText="1"/>
    </xf>
    <xf numFmtId="0" fontId="11" fillId="24" borderId="0" xfId="0" applyFont="1" applyFill="1" applyBorder="1" applyAlignment="1" applyProtection="1">
      <alignment vertical="center" wrapText="1"/>
    </xf>
    <xf numFmtId="164" fontId="11" fillId="24" borderId="0" xfId="10" applyFont="1" applyFill="1" applyBorder="1" applyAlignment="1" applyProtection="1">
      <alignment vertical="center" wrapText="1"/>
      <protection locked="0"/>
    </xf>
    <xf numFmtId="0" fontId="4" fillId="15" borderId="12" xfId="10" applyNumberFormat="1" applyFont="1" applyFill="1" applyBorder="1" applyAlignment="1" applyProtection="1">
      <alignment horizontal="center" vertical="center" wrapText="1"/>
    </xf>
    <xf numFmtId="0" fontId="4" fillId="24" borderId="0" xfId="0" applyFont="1" applyFill="1" applyBorder="1" applyAlignment="1" applyProtection="1">
      <alignment vertical="center" wrapText="1"/>
    </xf>
    <xf numFmtId="164" fontId="4" fillId="15" borderId="12" xfId="10" applyFont="1" applyFill="1" applyBorder="1" applyAlignment="1" applyProtection="1">
      <alignment horizontal="center" vertical="center" wrapText="1"/>
    </xf>
    <xf numFmtId="0" fontId="11" fillId="24" borderId="12" xfId="0" applyFont="1" applyFill="1" applyBorder="1" applyAlignment="1" applyProtection="1">
      <alignment vertical="center" wrapText="1"/>
      <protection locked="0"/>
    </xf>
    <xf numFmtId="164" fontId="12" fillId="26" borderId="12" xfId="0" applyNumberFormat="1" applyFont="1" applyFill="1" applyBorder="1" applyAlignment="1">
      <alignment horizontal="center" vertical="center" wrapText="1"/>
    </xf>
    <xf numFmtId="164" fontId="4" fillId="25" borderId="12" xfId="10" applyFont="1" applyFill="1" applyBorder="1" applyAlignment="1" applyProtection="1">
      <alignment vertical="center" wrapText="1"/>
    </xf>
    <xf numFmtId="0" fontId="4" fillId="25" borderId="12" xfId="0" applyFont="1" applyFill="1" applyBorder="1" applyAlignment="1" applyProtection="1">
      <alignment vertical="center" wrapText="1"/>
      <protection locked="0"/>
    </xf>
    <xf numFmtId="164" fontId="4" fillId="0" borderId="0" xfId="10" applyFont="1" applyFill="1" applyBorder="1" applyAlignment="1" applyProtection="1">
      <alignment horizontal="center" vertical="center" wrapText="1"/>
    </xf>
    <xf numFmtId="49" fontId="11" fillId="0" borderId="12" xfId="0" applyNumberFormat="1" applyFont="1" applyBorder="1" applyAlignment="1" applyProtection="1">
      <alignment horizontal="left" wrapText="1"/>
      <protection locked="0"/>
    </xf>
    <xf numFmtId="164" fontId="11" fillId="0" borderId="12" xfId="10" applyFont="1" applyBorder="1" applyAlignment="1" applyProtection="1">
      <alignment vertical="center" wrapText="1"/>
      <protection locked="0"/>
    </xf>
    <xf numFmtId="9" fontId="11" fillId="0" borderId="12" xfId="1" applyFont="1" applyBorder="1" applyAlignment="1" applyProtection="1">
      <alignment vertical="center" wrapText="1"/>
      <protection locked="0"/>
    </xf>
    <xf numFmtId="164" fontId="11" fillId="15" borderId="12" xfId="10" applyFont="1" applyFill="1" applyBorder="1" applyAlignment="1" applyProtection="1">
      <alignment vertical="center" wrapText="1"/>
    </xf>
    <xf numFmtId="0" fontId="4" fillId="15" borderId="21" xfId="0" applyFont="1" applyFill="1" applyBorder="1" applyAlignment="1" applyProtection="1">
      <alignment vertical="center" wrapText="1"/>
    </xf>
    <xf numFmtId="0" fontId="11" fillId="24" borderId="23" xfId="0" applyFont="1" applyFill="1" applyBorder="1" applyAlignment="1" applyProtection="1">
      <alignment vertical="center" wrapText="1"/>
      <protection locked="0"/>
    </xf>
    <xf numFmtId="0" fontId="4" fillId="15" borderId="12" xfId="0" applyFont="1" applyFill="1" applyBorder="1" applyAlignment="1" applyProtection="1">
      <alignment vertical="center" wrapText="1"/>
    </xf>
    <xf numFmtId="49" fontId="11" fillId="24" borderId="12" xfId="10" applyNumberFormat="1" applyFont="1" applyFill="1" applyBorder="1" applyAlignment="1" applyProtection="1">
      <alignment horizontal="left" wrapText="1"/>
      <protection locked="0"/>
    </xf>
    <xf numFmtId="164" fontId="4" fillId="15" borderId="12" xfId="10" applyNumberFormat="1" applyFont="1" applyFill="1" applyBorder="1" applyAlignment="1" applyProtection="1">
      <alignment horizontal="center" vertical="center" wrapText="1"/>
    </xf>
    <xf numFmtId="164" fontId="11" fillId="0" borderId="0" xfId="10" applyNumberFormat="1" applyFont="1" applyFill="1" applyBorder="1" applyAlignment="1" applyProtection="1">
      <alignment horizontal="center" vertical="center" wrapText="1"/>
    </xf>
    <xf numFmtId="164" fontId="11" fillId="24" borderId="12" xfId="10" applyFont="1" applyFill="1" applyBorder="1" applyAlignment="1" applyProtection="1">
      <alignment horizontal="center" vertical="center" wrapText="1"/>
      <protection locked="0"/>
    </xf>
    <xf numFmtId="9" fontId="11" fillId="24" borderId="12" xfId="1" applyFont="1" applyFill="1" applyBorder="1" applyAlignment="1" applyProtection="1">
      <alignment horizontal="center" vertical="center" wrapText="1"/>
      <protection locked="0"/>
    </xf>
    <xf numFmtId="164" fontId="11" fillId="15" borderId="12" xfId="10" applyNumberFormat="1" applyFont="1" applyFill="1" applyBorder="1" applyAlignment="1" applyProtection="1">
      <alignment horizontal="center" vertical="center" wrapText="1"/>
    </xf>
    <xf numFmtId="164" fontId="11" fillId="24" borderId="12" xfId="10" applyNumberFormat="1" applyFont="1" applyFill="1" applyBorder="1" applyAlignment="1" applyProtection="1">
      <alignment horizontal="center" vertical="center" wrapText="1"/>
      <protection locked="0"/>
    </xf>
    <xf numFmtId="0" fontId="11" fillId="24" borderId="12" xfId="0" applyFont="1" applyFill="1" applyBorder="1" applyAlignment="1" applyProtection="1">
      <alignment horizontal="left" vertical="top" wrapText="1"/>
      <protection locked="0"/>
    </xf>
    <xf numFmtId="0" fontId="11" fillId="15" borderId="12" xfId="0" applyFont="1" applyFill="1" applyBorder="1" applyAlignment="1" applyProtection="1">
      <alignment vertical="center" wrapText="1"/>
    </xf>
    <xf numFmtId="49" fontId="11" fillId="0" borderId="12" xfId="10" applyNumberFormat="1" applyFont="1" applyBorder="1" applyAlignment="1" applyProtection="1">
      <alignment horizontal="left" wrapText="1"/>
      <protection locked="0"/>
    </xf>
    <xf numFmtId="164" fontId="11" fillId="0" borderId="12" xfId="10" applyFont="1" applyBorder="1" applyAlignment="1" applyProtection="1">
      <alignment horizontal="center" vertical="center" wrapText="1"/>
      <protection locked="0"/>
    </xf>
    <xf numFmtId="9" fontId="11" fillId="0" borderId="12" xfId="1" applyFont="1" applyBorder="1" applyAlignment="1" applyProtection="1">
      <alignment horizontal="center" vertical="center" wrapText="1"/>
      <protection locked="0"/>
    </xf>
    <xf numFmtId="164" fontId="11" fillId="0" borderId="12" xfId="10" applyNumberFormat="1" applyFont="1" applyBorder="1" applyAlignment="1" applyProtection="1">
      <alignment horizontal="center" vertical="center" wrapText="1"/>
      <protection locked="0"/>
    </xf>
    <xf numFmtId="0" fontId="11" fillId="0" borderId="12" xfId="0" applyFont="1" applyBorder="1" applyAlignment="1" applyProtection="1">
      <alignment horizontal="left" vertical="top" wrapText="1"/>
      <protection locked="0"/>
    </xf>
    <xf numFmtId="164" fontId="4" fillId="0" borderId="0" xfId="10" applyFont="1" applyFill="1" applyBorder="1" applyAlignment="1" applyProtection="1">
      <alignment vertical="center" wrapText="1"/>
    </xf>
    <xf numFmtId="164" fontId="4" fillId="15" borderId="36" xfId="10" applyNumberFormat="1" applyFont="1" applyFill="1" applyBorder="1" applyAlignment="1" applyProtection="1">
      <alignment horizontal="center" vertical="center" wrapText="1"/>
    </xf>
    <xf numFmtId="164" fontId="13" fillId="0" borderId="0" xfId="10" applyFont="1" applyFill="1" applyBorder="1" applyAlignment="1" applyProtection="1">
      <alignment vertical="center" wrapText="1"/>
    </xf>
    <xf numFmtId="0" fontId="11" fillId="24" borderId="33" xfId="0" applyFont="1" applyFill="1" applyBorder="1" applyAlignment="1" applyProtection="1">
      <alignment vertical="center" wrapText="1"/>
      <protection locked="0"/>
    </xf>
    <xf numFmtId="164" fontId="11" fillId="0" borderId="12" xfId="10" applyNumberFormat="1" applyFont="1" applyFill="1" applyBorder="1" applyAlignment="1" applyProtection="1">
      <alignment horizontal="center" vertical="center" wrapText="1"/>
      <protection locked="0"/>
    </xf>
    <xf numFmtId="164" fontId="11" fillId="0" borderId="0" xfId="10" applyFont="1" applyFill="1" applyBorder="1" applyAlignment="1" applyProtection="1">
      <alignment horizontal="center" vertical="center" wrapText="1"/>
    </xf>
    <xf numFmtId="164" fontId="11" fillId="24" borderId="0" xfId="10" applyFont="1" applyFill="1" applyBorder="1" applyAlignment="1" applyProtection="1">
      <alignment horizontal="center" vertical="center" wrapText="1"/>
      <protection locked="0"/>
    </xf>
    <xf numFmtId="0" fontId="11" fillId="24" borderId="0" xfId="0" applyFont="1" applyFill="1" applyBorder="1" applyAlignment="1" applyProtection="1">
      <alignment horizontal="left" vertical="top" wrapText="1"/>
      <protection locked="0"/>
    </xf>
    <xf numFmtId="49" fontId="11" fillId="24" borderId="0" xfId="10" applyNumberFormat="1" applyFont="1" applyFill="1" applyBorder="1" applyAlignment="1" applyProtection="1">
      <alignment horizontal="left" wrapText="1"/>
      <protection locked="0"/>
    </xf>
    <xf numFmtId="164" fontId="4" fillId="0" borderId="0" xfId="10" applyNumberFormat="1" applyFont="1" applyFill="1" applyBorder="1" applyAlignment="1" applyProtection="1">
      <alignment horizontal="center" vertical="center" wrapText="1"/>
    </xf>
    <xf numFmtId="0" fontId="4" fillId="0" borderId="0" xfId="0" applyFont="1" applyFill="1" applyBorder="1" applyAlignment="1" applyProtection="1">
      <alignment vertical="center" wrapText="1"/>
    </xf>
    <xf numFmtId="49" fontId="11" fillId="0" borderId="12" xfId="10" applyNumberFormat="1" applyFont="1" applyBorder="1" applyAlignment="1" applyProtection="1">
      <alignment horizontal="left" vertical="center" wrapText="1"/>
      <protection locked="0"/>
    </xf>
    <xf numFmtId="0" fontId="14" fillId="0" borderId="0" xfId="0" applyFont="1" applyFill="1" applyBorder="1" applyAlignment="1" applyProtection="1">
      <alignment horizontal="center" vertical="center" wrapText="1"/>
    </xf>
    <xf numFmtId="0" fontId="11" fillId="15" borderId="12" xfId="0" applyFont="1" applyFill="1" applyBorder="1" applyAlignment="1" applyProtection="1">
      <alignment horizontal="center" vertical="center" wrapText="1"/>
    </xf>
    <xf numFmtId="164" fontId="11" fillId="15" borderId="12" xfId="10" applyFont="1" applyFill="1" applyBorder="1" applyAlignment="1" applyProtection="1">
      <alignment horizontal="center" vertical="center" wrapText="1"/>
    </xf>
    <xf numFmtId="0" fontId="4" fillId="24" borderId="12" xfId="0" applyFont="1" applyFill="1" applyBorder="1" applyAlignment="1" applyProtection="1">
      <alignment horizontal="center" vertical="center" wrapText="1"/>
      <protection locked="0"/>
    </xf>
    <xf numFmtId="0" fontId="0" fillId="0" borderId="0" xfId="0" applyFont="1" applyFill="1" applyBorder="1" applyAlignment="1">
      <alignment horizontal="center" wrapText="1"/>
    </xf>
    <xf numFmtId="164" fontId="15" fillId="24" borderId="0" xfId="10" applyFont="1" applyFill="1" applyBorder="1" applyAlignment="1">
      <alignment horizontal="left" wrapText="1"/>
    </xf>
    <xf numFmtId="0" fontId="10" fillId="0" borderId="0" xfId="0" applyFont="1" applyBorder="1" applyAlignment="1">
      <alignment wrapText="1"/>
    </xf>
    <xf numFmtId="0" fontId="0" fillId="27" borderId="7" xfId="0" applyFont="1" applyFill="1" applyBorder="1" applyAlignment="1">
      <alignment wrapText="1"/>
    </xf>
    <xf numFmtId="164" fontId="0" fillId="27" borderId="6" xfId="10" applyFont="1" applyFill="1" applyBorder="1" applyAlignment="1">
      <alignment wrapText="1"/>
    </xf>
    <xf numFmtId="0" fontId="0" fillId="27" borderId="6" xfId="0" applyFont="1" applyFill="1" applyBorder="1" applyAlignment="1">
      <alignment wrapText="1"/>
    </xf>
    <xf numFmtId="0" fontId="4" fillId="27" borderId="6" xfId="0" applyFont="1" applyFill="1" applyBorder="1" applyAlignment="1">
      <alignment wrapText="1"/>
    </xf>
    <xf numFmtId="0" fontId="17" fillId="27" borderId="5" xfId="0" applyFont="1" applyFill="1" applyBorder="1" applyAlignment="1">
      <alignment wrapText="1"/>
    </xf>
    <xf numFmtId="0" fontId="4" fillId="0" borderId="0" xfId="0" applyFont="1" applyBorder="1" applyAlignment="1">
      <alignment wrapText="1"/>
    </xf>
    <xf numFmtId="0" fontId="18" fillId="0" borderId="0" xfId="0" applyFont="1" applyBorder="1" applyAlignment="1">
      <alignment wrapText="1"/>
    </xf>
    <xf numFmtId="164" fontId="18" fillId="0" borderId="0" xfId="10" applyFont="1" applyBorder="1" applyAlignment="1">
      <alignment wrapText="1"/>
    </xf>
    <xf numFmtId="0" fontId="19" fillId="0" borderId="0" xfId="0" applyFont="1" applyBorder="1" applyAlignment="1">
      <alignment wrapText="1"/>
    </xf>
    <xf numFmtId="0" fontId="11" fillId="0" borderId="0" xfId="0" applyFont="1" applyBorder="1" applyAlignment="1">
      <alignment wrapText="1"/>
    </xf>
    <xf numFmtId="0" fontId="11" fillId="0" borderId="0" xfId="0" applyFont="1" applyFill="1" applyBorder="1" applyAlignment="1">
      <alignment wrapText="1"/>
    </xf>
    <xf numFmtId="0" fontId="11" fillId="24" borderId="0" xfId="0" applyFont="1" applyFill="1" applyBorder="1" applyAlignment="1">
      <alignment wrapText="1"/>
    </xf>
    <xf numFmtId="164" fontId="4" fillId="0" borderId="0" xfId="0" applyNumberFormat="1" applyFont="1" applyFill="1" applyBorder="1" applyAlignment="1">
      <alignment wrapText="1"/>
    </xf>
    <xf numFmtId="0" fontId="4" fillId="0" borderId="0" xfId="0" applyFont="1" applyFill="1" applyBorder="1" applyAlignment="1">
      <alignment horizontal="center" vertical="center" wrapText="1"/>
    </xf>
    <xf numFmtId="164" fontId="21" fillId="0" borderId="0" xfId="10" applyFont="1" applyFill="1" applyBorder="1" applyAlignment="1">
      <alignment horizontal="right" vertical="center" wrapText="1"/>
    </xf>
    <xf numFmtId="0" fontId="11" fillId="24" borderId="0" xfId="0" applyFont="1" applyFill="1" applyBorder="1" applyAlignment="1">
      <alignment horizontal="center" vertical="center" wrapText="1"/>
    </xf>
    <xf numFmtId="164" fontId="11" fillId="24" borderId="0" xfId="0" applyNumberFormat="1" applyFont="1" applyFill="1" applyBorder="1" applyAlignment="1">
      <alignment vertical="center" wrapText="1"/>
    </xf>
    <xf numFmtId="164" fontId="4" fillId="15" borderId="72" xfId="0" applyNumberFormat="1" applyFont="1" applyFill="1" applyBorder="1" applyAlignment="1">
      <alignment wrapText="1"/>
    </xf>
    <xf numFmtId="164" fontId="4" fillId="15" borderId="71" xfId="0" applyNumberFormat="1" applyFont="1" applyFill="1" applyBorder="1" applyAlignment="1">
      <alignment wrapText="1"/>
    </xf>
    <xf numFmtId="0" fontId="4" fillId="15" borderId="70" xfId="0" applyFont="1" applyFill="1" applyBorder="1" applyAlignment="1">
      <alignment wrapText="1"/>
    </xf>
    <xf numFmtId="164" fontId="11" fillId="15" borderId="20" xfId="0" applyNumberFormat="1" applyFont="1" applyFill="1" applyBorder="1" applyAlignment="1">
      <alignment wrapText="1"/>
    </xf>
    <xf numFmtId="164" fontId="11" fillId="15" borderId="19" xfId="0" applyNumberFormat="1" applyFont="1" applyFill="1" applyBorder="1" applyAlignment="1">
      <alignment wrapText="1"/>
    </xf>
    <xf numFmtId="0" fontId="11" fillId="15" borderId="18" xfId="0" applyFont="1" applyFill="1" applyBorder="1" applyAlignment="1">
      <alignment wrapText="1"/>
    </xf>
    <xf numFmtId="164" fontId="11" fillId="24" borderId="0" xfId="10" applyFont="1" applyFill="1" applyBorder="1" applyAlignment="1" applyProtection="1">
      <alignment vertical="center" wrapText="1"/>
    </xf>
    <xf numFmtId="164" fontId="11" fillId="15" borderId="17" xfId="0" applyNumberFormat="1" applyFont="1" applyFill="1" applyBorder="1" applyAlignment="1">
      <alignment wrapText="1"/>
    </xf>
    <xf numFmtId="164" fontId="11" fillId="15" borderId="12" xfId="10" applyNumberFormat="1" applyFont="1" applyFill="1" applyBorder="1" applyAlignment="1">
      <alignment wrapText="1"/>
    </xf>
    <xf numFmtId="164" fontId="11" fillId="15" borderId="16" xfId="10" applyFont="1" applyFill="1" applyBorder="1" applyAlignment="1" applyProtection="1">
      <alignment wrapText="1"/>
    </xf>
    <xf numFmtId="164" fontId="4" fillId="15" borderId="17" xfId="0" applyNumberFormat="1" applyFont="1" applyFill="1" applyBorder="1" applyAlignment="1">
      <alignment wrapText="1"/>
    </xf>
    <xf numFmtId="164" fontId="11" fillId="15" borderId="12" xfId="0" applyNumberFormat="1" applyFont="1" applyFill="1" applyBorder="1" applyAlignment="1">
      <alignment wrapText="1"/>
    </xf>
    <xf numFmtId="0" fontId="22" fillId="15" borderId="16" xfId="0" applyFont="1" applyFill="1" applyBorder="1" applyAlignment="1" applyProtection="1">
      <alignment vertical="center" wrapText="1"/>
    </xf>
    <xf numFmtId="164" fontId="11" fillId="15" borderId="21" xfId="0" applyNumberFormat="1" applyFont="1" applyFill="1" applyBorder="1" applyAlignment="1">
      <alignment wrapText="1"/>
    </xf>
    <xf numFmtId="0" fontId="22" fillId="15" borderId="16" xfId="0" applyFont="1" applyFill="1" applyBorder="1" applyAlignment="1" applyProtection="1">
      <alignment vertical="center" wrapText="1"/>
      <protection locked="0"/>
    </xf>
    <xf numFmtId="164" fontId="4" fillId="15" borderId="60" xfId="0" applyNumberFormat="1" applyFont="1" applyFill="1" applyBorder="1" applyAlignment="1">
      <alignment wrapText="1"/>
    </xf>
    <xf numFmtId="164" fontId="4" fillId="15" borderId="12" xfId="0" applyNumberFormat="1" applyFont="1" applyFill="1" applyBorder="1" applyAlignment="1">
      <alignment horizontal="center" wrapText="1"/>
    </xf>
    <xf numFmtId="0" fontId="4" fillId="15" borderId="3" xfId="0" applyFont="1" applyFill="1" applyBorder="1" applyAlignment="1">
      <alignment horizontal="center" wrapText="1"/>
    </xf>
    <xf numFmtId="0" fontId="4" fillId="15" borderId="21" xfId="0" applyFont="1" applyFill="1" applyBorder="1" applyAlignment="1">
      <alignment horizontal="center" wrapText="1"/>
    </xf>
    <xf numFmtId="164" fontId="4" fillId="15" borderId="12" xfId="0" applyNumberFormat="1" applyFont="1" applyFill="1" applyBorder="1" applyAlignment="1">
      <alignment wrapText="1"/>
    </xf>
    <xf numFmtId="164" fontId="4" fillId="25" borderId="12" xfId="10" applyNumberFormat="1" applyFont="1" applyFill="1" applyBorder="1" applyAlignment="1">
      <alignment wrapText="1"/>
    </xf>
    <xf numFmtId="164" fontId="4" fillId="25" borderId="12" xfId="10" applyFont="1" applyFill="1" applyBorder="1" applyAlignment="1" applyProtection="1">
      <alignment wrapText="1"/>
    </xf>
    <xf numFmtId="164" fontId="11" fillId="0" borderId="12" xfId="0" applyNumberFormat="1" applyFont="1" applyBorder="1" applyAlignment="1" applyProtection="1">
      <alignment wrapText="1"/>
      <protection locked="0"/>
    </xf>
    <xf numFmtId="0" fontId="21" fillId="15" borderId="12" xfId="0" applyFont="1" applyFill="1" applyBorder="1" applyAlignment="1" applyProtection="1">
      <alignment vertical="center" wrapText="1"/>
    </xf>
    <xf numFmtId="0" fontId="21" fillId="15" borderId="12" xfId="0" applyFont="1" applyFill="1" applyBorder="1" applyAlignment="1" applyProtection="1">
      <alignment vertical="center" wrapText="1"/>
      <protection locked="0"/>
    </xf>
    <xf numFmtId="164" fontId="4" fillId="15" borderId="21" xfId="0" applyNumberFormat="1" applyFont="1" applyFill="1" applyBorder="1" applyAlignment="1">
      <alignment wrapText="1"/>
    </xf>
    <xf numFmtId="164" fontId="11" fillId="24" borderId="21" xfId="10" applyNumberFormat="1" applyFont="1" applyFill="1" applyBorder="1" applyAlignment="1" applyProtection="1">
      <alignment horizontal="center" vertical="center" wrapText="1"/>
      <protection locked="0"/>
    </xf>
    <xf numFmtId="164" fontId="11" fillId="0" borderId="21" xfId="0" applyNumberFormat="1" applyFont="1" applyBorder="1" applyAlignment="1" applyProtection="1">
      <alignment wrapText="1"/>
      <protection locked="0"/>
    </xf>
    <xf numFmtId="0" fontId="21" fillId="15" borderId="21" xfId="0" applyFont="1" applyFill="1" applyBorder="1" applyAlignment="1" applyProtection="1">
      <alignment vertical="center" wrapText="1"/>
    </xf>
    <xf numFmtId="164" fontId="4" fillId="15" borderId="19" xfId="0" applyNumberFormat="1" applyFont="1" applyFill="1" applyBorder="1" applyAlignment="1">
      <alignment wrapText="1"/>
    </xf>
    <xf numFmtId="164" fontId="4" fillId="15" borderId="19" xfId="0" applyNumberFormat="1" applyFont="1" applyFill="1" applyBorder="1" applyAlignment="1">
      <alignment horizontal="center" wrapText="1"/>
    </xf>
    <xf numFmtId="0" fontId="4" fillId="15" borderId="19" xfId="0" applyFont="1" applyFill="1" applyBorder="1" applyAlignment="1">
      <alignment horizontal="left" wrapText="1"/>
    </xf>
    <xf numFmtId="164" fontId="4" fillId="24" borderId="23" xfId="0" applyNumberFormat="1" applyFont="1" applyFill="1" applyBorder="1" applyAlignment="1">
      <alignment wrapText="1"/>
    </xf>
    <xf numFmtId="164" fontId="4" fillId="24" borderId="33" xfId="10" applyNumberFormat="1" applyFont="1" applyFill="1" applyBorder="1" applyAlignment="1">
      <alignment wrapText="1"/>
    </xf>
    <xf numFmtId="164" fontId="4" fillId="24" borderId="32" xfId="10" applyFont="1" applyFill="1" applyBorder="1" applyAlignment="1" applyProtection="1">
      <alignment wrapText="1"/>
    </xf>
    <xf numFmtId="164" fontId="4" fillId="24" borderId="33" xfId="10" applyFont="1" applyFill="1" applyBorder="1" applyAlignment="1" applyProtection="1">
      <alignment wrapText="1"/>
    </xf>
    <xf numFmtId="0" fontId="4" fillId="24" borderId="38" xfId="0" applyFont="1" applyFill="1" applyBorder="1" applyAlignment="1">
      <alignment horizontal="left" wrapText="1"/>
    </xf>
    <xf numFmtId="0" fontId="4" fillId="24" borderId="35" xfId="0" applyFont="1" applyFill="1" applyBorder="1" applyAlignment="1">
      <alignment horizontal="left" wrapText="1"/>
    </xf>
    <xf numFmtId="0" fontId="4" fillId="24" borderId="55" xfId="0" applyFont="1" applyFill="1" applyBorder="1" applyAlignment="1">
      <alignment horizontal="left" wrapText="1"/>
    </xf>
    <xf numFmtId="164" fontId="4" fillId="24" borderId="33" xfId="0" applyNumberFormat="1" applyFont="1" applyFill="1" applyBorder="1" applyAlignment="1">
      <alignment wrapText="1"/>
    </xf>
    <xf numFmtId="164" fontId="4" fillId="15" borderId="32" xfId="0" applyNumberFormat="1" applyFont="1" applyFill="1" applyBorder="1" applyAlignment="1">
      <alignment wrapText="1"/>
    </xf>
    <xf numFmtId="0" fontId="21" fillId="0" borderId="0" xfId="0" applyFont="1" applyFill="1" applyBorder="1" applyAlignment="1">
      <alignment vertical="center" wrapText="1"/>
    </xf>
    <xf numFmtId="164" fontId="22" fillId="24" borderId="0" xfId="10" applyFont="1" applyFill="1" applyBorder="1" applyAlignment="1" applyProtection="1">
      <alignment vertical="center" wrapText="1"/>
    </xf>
    <xf numFmtId="0" fontId="4" fillId="24" borderId="0" xfId="0" applyFont="1" applyFill="1" applyBorder="1" applyAlignment="1">
      <alignment horizontal="left" wrapText="1"/>
    </xf>
    <xf numFmtId="164" fontId="4" fillId="15" borderId="36" xfId="10" applyFont="1" applyFill="1" applyBorder="1" applyAlignment="1" applyProtection="1">
      <alignment horizontal="center" vertical="center" wrapText="1"/>
    </xf>
    <xf numFmtId="0" fontId="0" fillId="20" borderId="68" xfId="0" applyFill="1" applyBorder="1" applyAlignment="1">
      <alignment wrapText="1"/>
    </xf>
    <xf numFmtId="0" fontId="0" fillId="20" borderId="63" xfId="0" applyFill="1" applyBorder="1" applyAlignment="1">
      <alignment wrapText="1"/>
    </xf>
    <xf numFmtId="0" fontId="0" fillId="20" borderId="76" xfId="0" applyFill="1" applyBorder="1"/>
    <xf numFmtId="0" fontId="0" fillId="0" borderId="0" xfId="0" applyBorder="1"/>
    <xf numFmtId="0" fontId="10" fillId="20" borderId="69" xfId="0" applyFont="1" applyFill="1" applyBorder="1"/>
    <xf numFmtId="164" fontId="0" fillId="15" borderId="20" xfId="0" applyNumberFormat="1" applyFill="1" applyBorder="1" applyAlignment="1">
      <alignment vertical="center"/>
    </xf>
    <xf numFmtId="9" fontId="0" fillId="15" borderId="12" xfId="1" applyFont="1" applyFill="1" applyBorder="1" applyAlignment="1">
      <alignment vertical="center"/>
    </xf>
    <xf numFmtId="0" fontId="0" fillId="15" borderId="18" xfId="0" applyFill="1" applyBorder="1"/>
    <xf numFmtId="164" fontId="0" fillId="15" borderId="17" xfId="0" applyNumberFormat="1" applyFill="1" applyBorder="1" applyAlignment="1">
      <alignment vertical="center"/>
    </xf>
    <xf numFmtId="0" fontId="0" fillId="15" borderId="16" xfId="0" applyFill="1" applyBorder="1"/>
    <xf numFmtId="0" fontId="0" fillId="15" borderId="16" xfId="0" applyFill="1" applyBorder="1" applyAlignment="1">
      <alignment wrapText="1"/>
    </xf>
    <xf numFmtId="0" fontId="0" fillId="15" borderId="16" xfId="0" applyFill="1" applyBorder="1" applyAlignment="1">
      <alignment vertical="center" wrapText="1"/>
    </xf>
    <xf numFmtId="0" fontId="10" fillId="15" borderId="17" xfId="0" applyFont="1" applyFill="1" applyBorder="1" applyAlignment="1"/>
    <xf numFmtId="0" fontId="10" fillId="15" borderId="12" xfId="0" applyFont="1" applyFill="1" applyBorder="1"/>
    <xf numFmtId="0" fontId="10" fillId="15" borderId="16" xfId="0" applyFont="1" applyFill="1" applyBorder="1"/>
    <xf numFmtId="0" fontId="10" fillId="15" borderId="59" xfId="0" applyFont="1" applyFill="1" applyBorder="1" applyAlignment="1"/>
    <xf numFmtId="0" fontId="0" fillId="15" borderId="18" xfId="0" applyFill="1" applyBorder="1" applyAlignment="1">
      <alignment vertical="top"/>
    </xf>
    <xf numFmtId="0" fontId="0" fillId="15" borderId="16" xfId="0" applyFill="1" applyBorder="1" applyAlignment="1">
      <alignment vertical="top"/>
    </xf>
    <xf numFmtId="0" fontId="0" fillId="15" borderId="16" xfId="0" applyFill="1" applyBorder="1" applyAlignment="1">
      <alignment vertical="top" wrapText="1"/>
    </xf>
    <xf numFmtId="9" fontId="4" fillId="15" borderId="20" xfId="1" applyFont="1" applyFill="1" applyBorder="1" applyAlignment="1">
      <alignment vertical="center" wrapText="1"/>
    </xf>
    <xf numFmtId="164" fontId="4" fillId="15" borderId="19" xfId="10" applyFont="1" applyFill="1" applyBorder="1" applyAlignment="1">
      <alignment vertical="center" wrapText="1"/>
    </xf>
    <xf numFmtId="0" fontId="4" fillId="15" borderId="18" xfId="0" applyFont="1" applyFill="1" applyBorder="1" applyAlignment="1">
      <alignment vertical="center" wrapText="1"/>
    </xf>
    <xf numFmtId="9" fontId="4" fillId="15" borderId="17" xfId="1" applyFont="1" applyFill="1" applyBorder="1" applyAlignment="1">
      <alignment vertical="center" wrapText="1"/>
    </xf>
    <xf numFmtId="164" fontId="4" fillId="15" borderId="12" xfId="10" applyFont="1" applyFill="1" applyBorder="1" applyAlignment="1">
      <alignment vertical="center" wrapText="1"/>
    </xf>
    <xf numFmtId="0" fontId="4" fillId="15" borderId="16" xfId="0" applyFont="1" applyFill="1" applyBorder="1" applyAlignment="1">
      <alignment vertical="center" wrapText="1"/>
    </xf>
    <xf numFmtId="0" fontId="4" fillId="15" borderId="17" xfId="0" applyFont="1" applyFill="1" applyBorder="1" applyAlignment="1">
      <alignment horizontal="center" vertical="center" wrapText="1"/>
    </xf>
    <xf numFmtId="0" fontId="4" fillId="15" borderId="12" xfId="0" applyFont="1" applyFill="1" applyBorder="1" applyAlignment="1">
      <alignment horizontal="center" vertical="center" wrapText="1"/>
    </xf>
    <xf numFmtId="0" fontId="4" fillId="15" borderId="16" xfId="0" applyFont="1" applyFill="1" applyBorder="1" applyAlignment="1">
      <alignment horizontal="center" vertical="center" wrapText="1"/>
    </xf>
    <xf numFmtId="0" fontId="11" fillId="0" borderId="0" xfId="0" applyFont="1"/>
    <xf numFmtId="164" fontId="4" fillId="15" borderId="19" xfId="10" applyNumberFormat="1" applyFont="1" applyFill="1" applyBorder="1" applyAlignment="1">
      <alignment wrapText="1"/>
    </xf>
    <xf numFmtId="164" fontId="4" fillId="15" borderId="18" xfId="10" applyFont="1" applyFill="1" applyBorder="1" applyAlignment="1" applyProtection="1">
      <alignment wrapText="1"/>
    </xf>
    <xf numFmtId="164" fontId="4" fillId="15" borderId="12" xfId="10" applyNumberFormat="1" applyFont="1" applyFill="1" applyBorder="1" applyAlignment="1">
      <alignment wrapText="1"/>
    </xf>
    <xf numFmtId="164" fontId="4" fillId="15" borderId="75" xfId="0" applyNumberFormat="1" applyFont="1" applyFill="1" applyBorder="1" applyAlignment="1">
      <alignment wrapText="1"/>
    </xf>
    <xf numFmtId="164" fontId="4" fillId="15" borderId="62" xfId="10" applyNumberFormat="1" applyFont="1" applyFill="1" applyBorder="1" applyAlignment="1">
      <alignment wrapText="1"/>
    </xf>
    <xf numFmtId="164" fontId="11" fillId="15" borderId="73" xfId="10" applyFont="1" applyFill="1" applyBorder="1" applyAlignment="1" applyProtection="1">
      <alignment wrapText="1"/>
    </xf>
    <xf numFmtId="164" fontId="4" fillId="15" borderId="20" xfId="0" applyNumberFormat="1" applyFont="1" applyFill="1" applyBorder="1" applyAlignment="1">
      <alignment wrapText="1"/>
    </xf>
    <xf numFmtId="0" fontId="22" fillId="15" borderId="18" xfId="0" applyFont="1" applyFill="1" applyBorder="1" applyAlignment="1" applyProtection="1">
      <alignment vertical="center" wrapText="1"/>
    </xf>
    <xf numFmtId="0" fontId="7" fillId="15" borderId="0" xfId="0" applyFont="1" applyFill="1" applyProtection="1">
      <protection hidden="1"/>
    </xf>
    <xf numFmtId="0" fontId="7" fillId="15" borderId="0" xfId="0" applyFont="1" applyFill="1" applyAlignment="1" applyProtection="1">
      <alignment horizontal="left" vertical="top"/>
      <protection hidden="1"/>
    </xf>
    <xf numFmtId="0" fontId="8" fillId="0" borderId="0" xfId="0" applyFont="1" applyAlignment="1" applyProtection="1">
      <alignment horizontal="center" vertical="center"/>
      <protection hidden="1"/>
    </xf>
    <xf numFmtId="0" fontId="25" fillId="22" borderId="0" xfId="0" applyFont="1" applyFill="1" applyAlignment="1" applyProtection="1">
      <alignment vertical="center" wrapText="1"/>
      <protection hidden="1"/>
    </xf>
    <xf numFmtId="0" fontId="8" fillId="8" borderId="0" xfId="0" applyFont="1" applyFill="1" applyAlignment="1" applyProtection="1">
      <protection hidden="1"/>
    </xf>
    <xf numFmtId="0" fontId="32" fillId="22" borderId="0" xfId="0" applyFont="1" applyFill="1" applyAlignment="1" applyProtection="1">
      <protection hidden="1"/>
    </xf>
    <xf numFmtId="0" fontId="8" fillId="8" borderId="0" xfId="0" applyFont="1" applyFill="1" applyProtection="1">
      <protection hidden="1"/>
    </xf>
    <xf numFmtId="0" fontId="8" fillId="22" borderId="0" xfId="0" applyFont="1" applyFill="1" applyProtection="1">
      <protection hidden="1"/>
    </xf>
    <xf numFmtId="0" fontId="8" fillId="0" borderId="5" xfId="0" applyFont="1" applyBorder="1" applyProtection="1">
      <protection hidden="1"/>
    </xf>
    <xf numFmtId="0" fontId="8" fillId="0" borderId="6" xfId="0" applyFont="1" applyBorder="1" applyProtection="1">
      <protection hidden="1"/>
    </xf>
    <xf numFmtId="0" fontId="8" fillId="0" borderId="7" xfId="0" applyFont="1" applyBorder="1" applyProtection="1">
      <protection hidden="1"/>
    </xf>
    <xf numFmtId="0" fontId="25" fillId="0" borderId="1" xfId="0" applyFont="1" applyBorder="1" applyAlignment="1" applyProtection="1">
      <alignment vertical="center" wrapText="1"/>
      <protection hidden="1"/>
    </xf>
    <xf numFmtId="0" fontId="25" fillId="0" borderId="4" xfId="0" applyFont="1" applyBorder="1" applyAlignment="1" applyProtection="1">
      <alignment horizontal="center" vertical="center" wrapText="1"/>
      <protection hidden="1"/>
    </xf>
    <xf numFmtId="0" fontId="25" fillId="0" borderId="4" xfId="0" applyFont="1" applyBorder="1" applyAlignment="1" applyProtection="1">
      <alignment vertical="center" wrapText="1"/>
      <protection hidden="1"/>
    </xf>
    <xf numFmtId="0" fontId="8" fillId="0" borderId="4" xfId="0" applyFont="1" applyBorder="1" applyProtection="1">
      <protection hidden="1"/>
    </xf>
    <xf numFmtId="0" fontId="8" fillId="0" borderId="2" xfId="0" applyFont="1" applyBorder="1" applyProtection="1">
      <protection hidden="1"/>
    </xf>
    <xf numFmtId="0" fontId="8" fillId="0" borderId="3" xfId="0" applyFont="1" applyBorder="1" applyProtection="1">
      <protection hidden="1"/>
    </xf>
    <xf numFmtId="0" fontId="8" fillId="0" borderId="0" xfId="0" applyFont="1" applyBorder="1" applyProtection="1">
      <protection hidden="1"/>
    </xf>
    <xf numFmtId="0" fontId="8" fillId="0" borderId="8" xfId="0" applyFont="1" applyBorder="1" applyProtection="1">
      <protection hidden="1"/>
    </xf>
    <xf numFmtId="0" fontId="8" fillId="0" borderId="6" xfId="0" applyFont="1" applyBorder="1" applyAlignment="1" applyProtection="1">
      <alignment horizontal="center" vertical="center"/>
      <protection hidden="1"/>
    </xf>
    <xf numFmtId="0" fontId="25" fillId="0" borderId="3" xfId="0" applyFont="1" applyBorder="1" applyProtection="1">
      <protection hidden="1"/>
    </xf>
    <xf numFmtId="0" fontId="25" fillId="0" borderId="0" xfId="0" applyFont="1" applyBorder="1" applyProtection="1">
      <protection hidden="1"/>
    </xf>
    <xf numFmtId="0" fontId="25" fillId="0" borderId="8" xfId="0" applyFont="1" applyBorder="1" applyProtection="1">
      <protection hidden="1"/>
    </xf>
    <xf numFmtId="0" fontId="25" fillId="0" borderId="3" xfId="0" applyFont="1" applyBorder="1" applyAlignment="1" applyProtection="1">
      <alignment horizontal="right"/>
      <protection hidden="1"/>
    </xf>
    <xf numFmtId="0" fontId="8" fillId="0" borderId="0" xfId="0" applyFont="1" applyBorder="1" applyAlignment="1" applyProtection="1">
      <alignment horizontal="center" vertical="center"/>
      <protection hidden="1"/>
    </xf>
    <xf numFmtId="0" fontId="25" fillId="0" borderId="76" xfId="0" applyFont="1" applyBorder="1" applyAlignment="1" applyProtection="1">
      <alignment horizontal="right"/>
      <protection hidden="1"/>
    </xf>
    <xf numFmtId="0" fontId="25" fillId="0" borderId="76" xfId="0" applyFont="1" applyBorder="1" applyAlignment="1" applyProtection="1">
      <alignment horizontal="center" vertical="center"/>
      <protection hidden="1"/>
    </xf>
    <xf numFmtId="0" fontId="25" fillId="3" borderId="64" xfId="0" applyFont="1" applyFill="1" applyBorder="1" applyAlignment="1" applyProtection="1">
      <alignment horizontal="right"/>
      <protection hidden="1"/>
    </xf>
    <xf numFmtId="1" fontId="8" fillId="0" borderId="49" xfId="0" applyNumberFormat="1" applyFont="1" applyBorder="1" applyAlignment="1" applyProtection="1">
      <alignment horizontal="center" vertical="center"/>
      <protection hidden="1"/>
    </xf>
    <xf numFmtId="3" fontId="8" fillId="0" borderId="64" xfId="0" applyNumberFormat="1"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25" fillId="3" borderId="65" xfId="0" applyFont="1" applyFill="1" applyBorder="1" applyAlignment="1" applyProtection="1">
      <alignment horizontal="right"/>
      <protection hidden="1"/>
    </xf>
    <xf numFmtId="1" fontId="8" fillId="0" borderId="42" xfId="0" applyNumberFormat="1" applyFont="1" applyBorder="1" applyAlignment="1" applyProtection="1">
      <alignment horizontal="center" vertical="center"/>
      <protection hidden="1"/>
    </xf>
    <xf numFmtId="9" fontId="8" fillId="0" borderId="64" xfId="1" applyFont="1" applyBorder="1" applyProtection="1">
      <protection hidden="1"/>
    </xf>
    <xf numFmtId="0" fontId="8" fillId="0" borderId="65" xfId="0" applyFont="1" applyBorder="1" applyAlignment="1" applyProtection="1">
      <alignment horizontal="center" vertical="center"/>
      <protection hidden="1"/>
    </xf>
    <xf numFmtId="167" fontId="8" fillId="0" borderId="65" xfId="1" applyNumberFormat="1" applyFont="1" applyBorder="1" applyProtection="1">
      <protection hidden="1"/>
    </xf>
    <xf numFmtId="0" fontId="25" fillId="2" borderId="67" xfId="0" applyFont="1" applyFill="1" applyBorder="1" applyProtection="1">
      <protection hidden="1"/>
    </xf>
    <xf numFmtId="0" fontId="25" fillId="2" borderId="50" xfId="0" applyFont="1" applyFill="1" applyBorder="1" applyProtection="1">
      <protection hidden="1"/>
    </xf>
    <xf numFmtId="0" fontId="25" fillId="12" borderId="51" xfId="0" applyFont="1" applyFill="1" applyBorder="1" applyProtection="1">
      <protection hidden="1"/>
    </xf>
    <xf numFmtId="0" fontId="25" fillId="2" borderId="64" xfId="0" applyFont="1" applyFill="1" applyBorder="1" applyProtection="1">
      <protection hidden="1"/>
    </xf>
    <xf numFmtId="9" fontId="8" fillId="0" borderId="0" xfId="1" applyFont="1" applyBorder="1" applyProtection="1">
      <protection hidden="1"/>
    </xf>
    <xf numFmtId="0" fontId="25" fillId="2" borderId="46" xfId="0" applyFont="1" applyFill="1" applyBorder="1" applyProtection="1">
      <protection hidden="1"/>
    </xf>
    <xf numFmtId="0" fontId="25" fillId="2" borderId="30" xfId="0" applyFont="1" applyFill="1" applyBorder="1" applyProtection="1">
      <protection hidden="1"/>
    </xf>
    <xf numFmtId="0" fontId="25" fillId="12" borderId="66" xfId="0" applyFont="1" applyFill="1" applyBorder="1" applyProtection="1">
      <protection hidden="1"/>
    </xf>
    <xf numFmtId="0" fontId="25" fillId="2" borderId="76" xfId="0" applyFont="1" applyFill="1" applyBorder="1" applyProtection="1">
      <protection hidden="1"/>
    </xf>
    <xf numFmtId="0" fontId="25" fillId="2" borderId="54" xfId="0" applyFont="1" applyFill="1" applyBorder="1" applyProtection="1">
      <protection hidden="1"/>
    </xf>
    <xf numFmtId="0" fontId="25" fillId="3" borderId="67" xfId="0" applyFont="1" applyFill="1" applyBorder="1" applyAlignment="1" applyProtection="1">
      <alignment horizontal="center" vertical="top"/>
      <protection hidden="1"/>
    </xf>
    <xf numFmtId="0" fontId="25" fillId="3" borderId="51" xfId="0" applyFont="1" applyFill="1" applyBorder="1" applyAlignment="1" applyProtection="1">
      <alignment horizontal="center" vertical="top"/>
      <protection hidden="1"/>
    </xf>
    <xf numFmtId="0" fontId="25" fillId="2" borderId="48" xfId="0" applyFont="1" applyFill="1" applyBorder="1" applyAlignment="1" applyProtection="1">
      <alignment horizontal="center"/>
      <protection hidden="1"/>
    </xf>
    <xf numFmtId="0" fontId="25" fillId="2" borderId="34" xfId="0" applyFont="1" applyFill="1" applyBorder="1" applyAlignment="1" applyProtection="1">
      <alignment horizontal="center"/>
      <protection hidden="1"/>
    </xf>
    <xf numFmtId="0" fontId="25" fillId="2" borderId="49" xfId="0" applyFont="1" applyFill="1" applyBorder="1" applyAlignment="1" applyProtection="1">
      <alignment horizontal="center"/>
      <protection hidden="1"/>
    </xf>
    <xf numFmtId="0" fontId="25" fillId="3" borderId="40" xfId="0" applyFont="1" applyFill="1" applyBorder="1" applyAlignment="1" applyProtection="1">
      <alignment horizontal="right"/>
      <protection hidden="1"/>
    </xf>
    <xf numFmtId="1" fontId="8" fillId="0" borderId="28" xfId="0" applyNumberFormat="1" applyFont="1" applyBorder="1" applyAlignment="1" applyProtection="1">
      <alignment horizontal="center"/>
      <protection hidden="1"/>
    </xf>
    <xf numFmtId="0" fontId="25" fillId="5" borderId="40" xfId="0" applyFont="1" applyFill="1" applyBorder="1" applyAlignment="1" applyProtection="1">
      <alignment horizontal="center" vertical="top"/>
      <protection hidden="1"/>
    </xf>
    <xf numFmtId="0" fontId="25" fillId="6" borderId="40" xfId="0" applyFont="1" applyFill="1" applyBorder="1" applyAlignment="1" applyProtection="1">
      <alignment horizontal="center" vertical="top"/>
      <protection hidden="1"/>
    </xf>
    <xf numFmtId="0" fontId="25" fillId="7" borderId="40" xfId="0" applyFont="1" applyFill="1" applyBorder="1" applyAlignment="1" applyProtection="1">
      <alignment horizontal="center"/>
      <protection hidden="1"/>
    </xf>
    <xf numFmtId="0" fontId="25" fillId="11" borderId="40" xfId="0" applyFont="1" applyFill="1" applyBorder="1" applyAlignment="1" applyProtection="1">
      <alignment horizontal="center"/>
      <protection hidden="1"/>
    </xf>
    <xf numFmtId="0" fontId="8" fillId="0" borderId="40" xfId="0" applyFont="1" applyBorder="1" applyAlignment="1" applyProtection="1">
      <alignment horizontal="center" vertical="center"/>
      <protection hidden="1"/>
    </xf>
    <xf numFmtId="1" fontId="8" fillId="0" borderId="40" xfId="0" applyNumberFormat="1" applyFont="1" applyBorder="1" applyAlignment="1" applyProtection="1">
      <alignment horizontal="center"/>
      <protection hidden="1"/>
    </xf>
    <xf numFmtId="0" fontId="25" fillId="5" borderId="79" xfId="0" applyFont="1" applyFill="1" applyBorder="1" applyAlignment="1" applyProtection="1">
      <alignment horizontal="center" vertical="top"/>
      <protection hidden="1"/>
    </xf>
    <xf numFmtId="0" fontId="25" fillId="6" borderId="79" xfId="0" applyFont="1" applyFill="1" applyBorder="1" applyAlignment="1" applyProtection="1">
      <alignment horizontal="center" vertical="top"/>
      <protection hidden="1"/>
    </xf>
    <xf numFmtId="0" fontId="25" fillId="7" borderId="79" xfId="0" applyFont="1" applyFill="1" applyBorder="1" applyAlignment="1" applyProtection="1">
      <alignment horizontal="center"/>
      <protection hidden="1"/>
    </xf>
    <xf numFmtId="0" fontId="25" fillId="11" borderId="79" xfId="0" applyFont="1" applyFill="1" applyBorder="1" applyAlignment="1" applyProtection="1">
      <alignment horizontal="center"/>
      <protection hidden="1"/>
    </xf>
    <xf numFmtId="0" fontId="8" fillId="0" borderId="59" xfId="0" applyFont="1" applyBorder="1" applyProtection="1">
      <protection hidden="1"/>
    </xf>
    <xf numFmtId="168" fontId="8" fillId="0" borderId="21" xfId="0" applyNumberFormat="1" applyFont="1" applyBorder="1" applyAlignment="1" applyProtection="1">
      <alignment horizontal="center" vertical="center"/>
      <protection hidden="1"/>
    </xf>
    <xf numFmtId="168" fontId="8" fillId="0" borderId="60" xfId="0" applyNumberFormat="1" applyFont="1" applyBorder="1" applyAlignment="1" applyProtection="1">
      <alignment horizontal="center" vertical="center"/>
      <protection hidden="1"/>
    </xf>
    <xf numFmtId="168" fontId="8" fillId="0" borderId="0" xfId="0" applyNumberFormat="1" applyFont="1" applyBorder="1" applyProtection="1">
      <protection hidden="1"/>
    </xf>
    <xf numFmtId="9" fontId="8" fillId="0" borderId="65" xfId="1" applyFont="1" applyBorder="1" applyAlignment="1" applyProtection="1">
      <alignment horizontal="center"/>
      <protection hidden="1"/>
    </xf>
    <xf numFmtId="9" fontId="8" fillId="0" borderId="0" xfId="1" applyFont="1" applyBorder="1" applyAlignment="1" applyProtection="1">
      <alignment horizontal="center"/>
      <protection hidden="1"/>
    </xf>
    <xf numFmtId="9" fontId="8" fillId="0" borderId="8" xfId="0" applyNumberFormat="1" applyFont="1" applyBorder="1" applyProtection="1">
      <protection hidden="1"/>
    </xf>
    <xf numFmtId="0" fontId="8" fillId="0" borderId="13" xfId="0" applyFont="1" applyBorder="1" applyProtection="1">
      <protection hidden="1"/>
    </xf>
    <xf numFmtId="3" fontId="8" fillId="0" borderId="14" xfId="0" applyNumberFormat="1" applyFont="1" applyBorder="1" applyAlignment="1" applyProtection="1">
      <alignment horizontal="center" vertical="center"/>
      <protection hidden="1"/>
    </xf>
    <xf numFmtId="1" fontId="8" fillId="0" borderId="15" xfId="0" applyNumberFormat="1" applyFont="1" applyBorder="1" applyAlignment="1" applyProtection="1">
      <alignment horizontal="center" vertical="center"/>
      <protection hidden="1"/>
    </xf>
    <xf numFmtId="9" fontId="8" fillId="0" borderId="64" xfId="1" applyFont="1" applyBorder="1" applyAlignment="1" applyProtection="1">
      <alignment horizontal="center"/>
      <protection hidden="1"/>
    </xf>
    <xf numFmtId="0" fontId="8" fillId="0" borderId="14"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47" xfId="0" applyFont="1" applyBorder="1" applyProtection="1">
      <protection hidden="1"/>
    </xf>
    <xf numFmtId="9" fontId="8" fillId="0" borderId="64" xfId="1" applyFont="1" applyBorder="1" applyAlignment="1" applyProtection="1">
      <alignment horizontal="center" vertical="top"/>
      <protection hidden="1"/>
    </xf>
    <xf numFmtId="9" fontId="8" fillId="0" borderId="16" xfId="1" applyFont="1" applyBorder="1" applyProtection="1">
      <protection hidden="1"/>
    </xf>
    <xf numFmtId="9" fontId="8" fillId="0" borderId="12" xfId="1" applyFont="1" applyBorder="1" applyProtection="1">
      <protection hidden="1"/>
    </xf>
    <xf numFmtId="9" fontId="8" fillId="0" borderId="17" xfId="1" applyFont="1" applyBorder="1" applyProtection="1">
      <protection hidden="1"/>
    </xf>
    <xf numFmtId="0" fontId="25" fillId="3" borderId="68" xfId="0" applyFont="1" applyFill="1" applyBorder="1" applyAlignment="1" applyProtection="1">
      <alignment horizontal="right"/>
      <protection hidden="1"/>
    </xf>
    <xf numFmtId="3" fontId="8" fillId="0" borderId="68" xfId="0" applyNumberFormat="1" applyFont="1" applyBorder="1" applyAlignment="1" applyProtection="1">
      <alignment horizontal="center" vertical="center"/>
      <protection hidden="1"/>
    </xf>
    <xf numFmtId="9" fontId="8" fillId="0" borderId="69" xfId="1" applyFont="1" applyBorder="1" applyAlignment="1" applyProtection="1">
      <alignment vertical="top"/>
      <protection hidden="1"/>
    </xf>
    <xf numFmtId="0" fontId="25" fillId="3" borderId="69" xfId="0" applyFont="1" applyFill="1" applyBorder="1" applyAlignment="1" applyProtection="1">
      <alignment horizontal="right"/>
      <protection hidden="1"/>
    </xf>
    <xf numFmtId="0" fontId="8" fillId="0" borderId="11" xfId="0" applyFont="1" applyBorder="1" applyAlignment="1" applyProtection="1">
      <alignment horizontal="center" vertical="center"/>
      <protection hidden="1"/>
    </xf>
    <xf numFmtId="9" fontId="8" fillId="0" borderId="13" xfId="1" applyFont="1" applyBorder="1" applyAlignment="1" applyProtection="1">
      <alignment horizontal="center" vertical="center"/>
      <protection hidden="1"/>
    </xf>
    <xf numFmtId="9" fontId="8" fillId="0" borderId="14" xfId="1" applyFont="1" applyBorder="1" applyAlignment="1" applyProtection="1">
      <alignment horizontal="center" vertical="center"/>
      <protection hidden="1"/>
    </xf>
    <xf numFmtId="9" fontId="8" fillId="0" borderId="15" xfId="1" applyFont="1" applyBorder="1" applyAlignment="1" applyProtection="1">
      <alignment horizontal="center" vertical="center"/>
      <protection hidden="1"/>
    </xf>
    <xf numFmtId="0" fontId="25" fillId="0" borderId="84" xfId="0" applyFont="1" applyBorder="1" applyAlignment="1" applyProtection="1">
      <alignment horizontal="right"/>
      <protection hidden="1"/>
    </xf>
    <xf numFmtId="168" fontId="25" fillId="0" borderId="77" xfId="0" applyNumberFormat="1" applyFont="1" applyBorder="1" applyAlignment="1" applyProtection="1">
      <alignment horizontal="center" vertical="center"/>
      <protection hidden="1"/>
    </xf>
    <xf numFmtId="9" fontId="25" fillId="0" borderId="78" xfId="1" applyFont="1" applyBorder="1" applyAlignment="1" applyProtection="1">
      <alignment horizontal="center"/>
      <protection hidden="1"/>
    </xf>
    <xf numFmtId="9" fontId="8" fillId="0" borderId="0" xfId="1" applyFont="1" applyBorder="1" applyAlignment="1" applyProtection="1">
      <alignment horizontal="center" vertical="center"/>
      <protection hidden="1"/>
    </xf>
    <xf numFmtId="9" fontId="8" fillId="0" borderId="8" xfId="1" applyFont="1" applyBorder="1" applyProtection="1">
      <protection hidden="1"/>
    </xf>
    <xf numFmtId="0" fontId="8" fillId="0" borderId="16" xfId="0" applyFont="1" applyBorder="1" applyProtection="1">
      <protection hidden="1"/>
    </xf>
    <xf numFmtId="0" fontId="8" fillId="0" borderId="12" xfId="0" applyFont="1" applyBorder="1" applyAlignment="1" applyProtection="1">
      <alignment horizontal="center" vertical="center"/>
      <protection hidden="1"/>
    </xf>
    <xf numFmtId="1" fontId="8" fillId="0" borderId="17" xfId="0" applyNumberFormat="1" applyFont="1" applyBorder="1" applyAlignment="1" applyProtection="1">
      <alignment horizontal="center" vertical="center"/>
      <protection hidden="1"/>
    </xf>
    <xf numFmtId="3" fontId="8" fillId="0" borderId="12" xfId="0" applyNumberFormat="1" applyFont="1" applyBorder="1" applyAlignment="1" applyProtection="1">
      <alignment horizontal="center" vertical="center"/>
      <protection hidden="1"/>
    </xf>
    <xf numFmtId="0" fontId="8" fillId="0" borderId="17" xfId="0" applyFont="1" applyBorder="1" applyAlignment="1" applyProtection="1">
      <alignment horizontal="center" vertical="center"/>
      <protection hidden="1"/>
    </xf>
    <xf numFmtId="9" fontId="25" fillId="0" borderId="1" xfId="0" applyNumberFormat="1" applyFont="1" applyBorder="1" applyAlignment="1" applyProtection="1">
      <alignment horizontal="center"/>
      <protection hidden="1"/>
    </xf>
    <xf numFmtId="9" fontId="25" fillId="0" borderId="69" xfId="0" applyNumberFormat="1" applyFont="1" applyBorder="1" applyAlignment="1" applyProtection="1">
      <alignment horizontal="center" vertical="center"/>
      <protection hidden="1"/>
    </xf>
    <xf numFmtId="167" fontId="8" fillId="0" borderId="16" xfId="1" applyNumberFormat="1" applyFont="1" applyBorder="1" applyProtection="1">
      <protection hidden="1"/>
    </xf>
    <xf numFmtId="167" fontId="8" fillId="0" borderId="12" xfId="1" applyNumberFormat="1" applyFont="1" applyBorder="1" applyProtection="1">
      <protection hidden="1"/>
    </xf>
    <xf numFmtId="167" fontId="8" fillId="0" borderId="17" xfId="1" applyNumberFormat="1" applyFont="1" applyBorder="1" applyProtection="1">
      <protection hidden="1"/>
    </xf>
    <xf numFmtId="0" fontId="25" fillId="3" borderId="46" xfId="0" applyFont="1" applyFill="1" applyBorder="1" applyAlignment="1" applyProtection="1">
      <alignment horizontal="center" vertical="center"/>
      <protection hidden="1"/>
    </xf>
    <xf numFmtId="0" fontId="25" fillId="3" borderId="66" xfId="0" applyFont="1" applyFill="1" applyBorder="1" applyAlignment="1" applyProtection="1">
      <alignment horizontal="center" vertical="center"/>
      <protection hidden="1"/>
    </xf>
    <xf numFmtId="0" fontId="25" fillId="3" borderId="70" xfId="0" applyFont="1" applyFill="1" applyBorder="1" applyAlignment="1" applyProtection="1">
      <alignment horizontal="center" vertical="center"/>
      <protection hidden="1"/>
    </xf>
    <xf numFmtId="0" fontId="25" fillId="3" borderId="72" xfId="0" applyFont="1" applyFill="1" applyBorder="1" applyAlignment="1" applyProtection="1">
      <alignment horizontal="center" vertical="center"/>
      <protection hidden="1"/>
    </xf>
    <xf numFmtId="0" fontId="25" fillId="0" borderId="0" xfId="0" applyFont="1" applyBorder="1" applyAlignment="1" applyProtection="1">
      <alignment horizontal="right"/>
      <protection hidden="1"/>
    </xf>
    <xf numFmtId="9" fontId="8" fillId="0" borderId="0" xfId="1" applyFont="1" applyBorder="1" applyAlignment="1" applyProtection="1">
      <alignment vertical="top"/>
      <protection hidden="1"/>
    </xf>
    <xf numFmtId="9" fontId="8" fillId="0" borderId="3" xfId="1" applyFont="1" applyBorder="1" applyAlignment="1" applyProtection="1">
      <alignment vertical="top"/>
      <protection hidden="1"/>
    </xf>
    <xf numFmtId="9" fontId="8" fillId="0" borderId="16" xfId="1" applyFont="1" applyBorder="1" applyAlignment="1" applyProtection="1">
      <alignment horizontal="center" vertical="center"/>
      <protection hidden="1"/>
    </xf>
    <xf numFmtId="9" fontId="8" fillId="0" borderId="12" xfId="1" applyFont="1" applyBorder="1" applyAlignment="1" applyProtection="1">
      <alignment horizontal="center" vertical="center"/>
      <protection hidden="1"/>
    </xf>
    <xf numFmtId="9" fontId="8" fillId="0" borderId="17" xfId="1" applyFont="1" applyBorder="1" applyAlignment="1" applyProtection="1">
      <alignment horizontal="center" vertical="center"/>
      <protection hidden="1"/>
    </xf>
    <xf numFmtId="0" fontId="8" fillId="0" borderId="18" xfId="0" applyFont="1" applyBorder="1" applyProtection="1">
      <protection hidden="1"/>
    </xf>
    <xf numFmtId="3" fontId="8" fillId="0" borderId="19" xfId="0" applyNumberFormat="1" applyFont="1" applyBorder="1" applyAlignment="1" applyProtection="1">
      <alignment horizontal="center" vertical="center"/>
      <protection hidden="1"/>
    </xf>
    <xf numFmtId="1" fontId="8" fillId="0" borderId="20" xfId="0" applyNumberFormat="1" applyFont="1" applyBorder="1" applyAlignment="1" applyProtection="1">
      <alignment horizontal="center" vertical="center"/>
      <protection hidden="1"/>
    </xf>
    <xf numFmtId="3" fontId="8" fillId="0" borderId="19" xfId="0" applyNumberFormat="1" applyFont="1" applyBorder="1" applyAlignment="1" applyProtection="1">
      <alignment horizontal="center"/>
      <protection hidden="1"/>
    </xf>
    <xf numFmtId="0" fontId="8" fillId="0" borderId="20" xfId="0" applyFont="1" applyBorder="1" applyAlignment="1" applyProtection="1">
      <alignment horizontal="center"/>
      <protection hidden="1"/>
    </xf>
    <xf numFmtId="0" fontId="8" fillId="0" borderId="19" xfId="0" applyFont="1" applyBorder="1" applyAlignment="1" applyProtection="1">
      <alignment horizontal="center"/>
      <protection hidden="1"/>
    </xf>
    <xf numFmtId="0" fontId="25" fillId="5" borderId="31" xfId="0" applyFont="1" applyFill="1" applyBorder="1" applyAlignment="1" applyProtection="1">
      <alignment horizontal="center" vertical="top"/>
      <protection hidden="1"/>
    </xf>
    <xf numFmtId="0" fontId="25" fillId="6" borderId="36" xfId="0" applyFont="1" applyFill="1" applyBorder="1" applyAlignment="1" applyProtection="1">
      <alignment vertical="top"/>
      <protection hidden="1"/>
    </xf>
    <xf numFmtId="0" fontId="25" fillId="7" borderId="36" xfId="0" applyFont="1" applyFill="1" applyBorder="1" applyProtection="1">
      <protection hidden="1"/>
    </xf>
    <xf numFmtId="0" fontId="25" fillId="11" borderId="37" xfId="0" applyFont="1" applyFill="1" applyBorder="1" applyProtection="1">
      <protection hidden="1"/>
    </xf>
    <xf numFmtId="9" fontId="8" fillId="0" borderId="48" xfId="1" applyFont="1" applyBorder="1" applyAlignment="1" applyProtection="1">
      <alignment horizontal="center" vertical="center"/>
      <protection hidden="1"/>
    </xf>
    <xf numFmtId="9" fontId="8" fillId="0" borderId="64" xfId="1" applyFont="1" applyBorder="1" applyAlignment="1" applyProtection="1">
      <alignment horizontal="center" vertical="center"/>
      <protection hidden="1"/>
    </xf>
    <xf numFmtId="9" fontId="8" fillId="0" borderId="18" xfId="1" applyFont="1" applyBorder="1" applyAlignment="1" applyProtection="1">
      <alignment horizontal="center" vertical="center"/>
      <protection hidden="1"/>
    </xf>
    <xf numFmtId="9" fontId="8" fillId="0" borderId="19" xfId="1" applyFont="1" applyBorder="1" applyAlignment="1" applyProtection="1">
      <alignment horizontal="center" vertical="center"/>
      <protection hidden="1"/>
    </xf>
    <xf numFmtId="9" fontId="8" fillId="0" borderId="20" xfId="1" applyFont="1" applyBorder="1" applyAlignment="1" applyProtection="1">
      <alignment horizontal="center" vertical="center"/>
      <protection hidden="1"/>
    </xf>
    <xf numFmtId="3" fontId="8" fillId="0" borderId="0" xfId="0" applyNumberFormat="1" applyFont="1" applyBorder="1" applyAlignment="1" applyProtection="1">
      <alignment horizontal="center" vertical="center"/>
      <protection hidden="1"/>
    </xf>
    <xf numFmtId="3" fontId="8" fillId="0" borderId="0" xfId="0" applyNumberFormat="1" applyFont="1" applyBorder="1" applyAlignment="1" applyProtection="1">
      <alignment horizontal="center"/>
      <protection hidden="1"/>
    </xf>
    <xf numFmtId="0" fontId="8" fillId="0" borderId="0" xfId="0" applyFont="1" applyBorder="1" applyAlignment="1" applyProtection="1">
      <alignment horizontal="center"/>
      <protection hidden="1"/>
    </xf>
    <xf numFmtId="0" fontId="25" fillId="0" borderId="3" xfId="0" applyFont="1" applyBorder="1" applyAlignment="1" applyProtection="1">
      <alignment horizontal="center" vertical="top"/>
      <protection hidden="1"/>
    </xf>
    <xf numFmtId="0" fontId="25" fillId="0" borderId="0" xfId="0" applyFont="1" applyBorder="1" applyAlignment="1" applyProtection="1">
      <alignment horizontal="center" vertical="top"/>
      <protection hidden="1"/>
    </xf>
    <xf numFmtId="9" fontId="8" fillId="0" borderId="13" xfId="1" applyFont="1" applyBorder="1" applyAlignment="1" applyProtection="1">
      <alignment vertical="top"/>
      <protection hidden="1"/>
    </xf>
    <xf numFmtId="9" fontId="8" fillId="0" borderId="64" xfId="1" applyFont="1" applyBorder="1" applyAlignment="1" applyProtection="1">
      <alignment vertical="top"/>
      <protection hidden="1"/>
    </xf>
    <xf numFmtId="9" fontId="8" fillId="0" borderId="43" xfId="1" applyFont="1" applyBorder="1" applyAlignment="1" applyProtection="1">
      <alignment horizontal="center" vertical="center"/>
      <protection hidden="1"/>
    </xf>
    <xf numFmtId="9" fontId="8" fillId="0" borderId="65" xfId="1" applyFont="1" applyBorder="1" applyAlignment="1" applyProtection="1">
      <alignment horizontal="center" vertical="center"/>
      <protection hidden="1"/>
    </xf>
    <xf numFmtId="0" fontId="25" fillId="0" borderId="0" xfId="0" applyFont="1" applyBorder="1" applyAlignment="1" applyProtection="1">
      <alignment horizontal="center" vertical="center"/>
      <protection hidden="1"/>
    </xf>
    <xf numFmtId="9" fontId="8" fillId="0" borderId="40" xfId="1" applyFont="1" applyBorder="1" applyAlignment="1" applyProtection="1">
      <alignment horizontal="center"/>
      <protection hidden="1"/>
    </xf>
    <xf numFmtId="9" fontId="8" fillId="0" borderId="0" xfId="1" applyFont="1" applyBorder="1" applyAlignment="1" applyProtection="1">
      <alignment horizontal="center" vertical="top"/>
      <protection hidden="1"/>
    </xf>
    <xf numFmtId="0" fontId="25" fillId="0" borderId="0" xfId="0" applyFont="1" applyBorder="1" applyAlignment="1" applyProtection="1">
      <alignment horizontal="center"/>
      <protection hidden="1"/>
    </xf>
    <xf numFmtId="9" fontId="8" fillId="0" borderId="67" xfId="1" applyFont="1" applyBorder="1" applyAlignment="1" applyProtection="1">
      <alignment vertical="top"/>
      <protection hidden="1"/>
    </xf>
    <xf numFmtId="9" fontId="8" fillId="0" borderId="14" xfId="1" applyFont="1" applyBorder="1" applyAlignment="1" applyProtection="1">
      <alignment horizontal="center"/>
      <protection hidden="1"/>
    </xf>
    <xf numFmtId="9" fontId="8" fillId="0" borderId="0" xfId="0" applyNumberFormat="1" applyFont="1" applyBorder="1" applyAlignment="1" applyProtection="1">
      <alignment horizontal="center" vertical="top"/>
      <protection hidden="1"/>
    </xf>
    <xf numFmtId="9" fontId="8" fillId="0" borderId="12" xfId="1" applyFont="1" applyBorder="1" applyAlignment="1" applyProtection="1">
      <alignment horizontal="center"/>
      <protection hidden="1"/>
    </xf>
    <xf numFmtId="9" fontId="8" fillId="0" borderId="40" xfId="1" applyFont="1" applyBorder="1" applyAlignment="1" applyProtection="1">
      <alignment horizontal="center" vertical="center"/>
      <protection hidden="1"/>
    </xf>
    <xf numFmtId="0" fontId="8" fillId="0" borderId="0" xfId="0" applyFont="1" applyFill="1" applyBorder="1" applyProtection="1">
      <protection hidden="1"/>
    </xf>
    <xf numFmtId="0" fontId="25" fillId="0" borderId="0" xfId="0" applyFont="1" applyFill="1" applyBorder="1" applyAlignment="1" applyProtection="1">
      <protection hidden="1"/>
    </xf>
    <xf numFmtId="9" fontId="8" fillId="0" borderId="19" xfId="1" applyFont="1" applyBorder="1" applyAlignment="1" applyProtection="1">
      <alignment horizontal="center"/>
      <protection hidden="1"/>
    </xf>
    <xf numFmtId="0" fontId="25" fillId="3" borderId="70" xfId="0" applyFont="1" applyFill="1" applyBorder="1" applyAlignment="1" applyProtection="1">
      <alignment horizontal="right" vertical="center"/>
      <protection hidden="1"/>
    </xf>
    <xf numFmtId="9" fontId="25" fillId="3" borderId="72" xfId="1" applyFont="1" applyFill="1" applyBorder="1" applyAlignment="1" applyProtection="1">
      <alignment horizontal="center" vertical="center"/>
      <protection hidden="1"/>
    </xf>
    <xf numFmtId="0" fontId="25" fillId="3" borderId="69" xfId="0" applyFont="1" applyFill="1" applyBorder="1" applyAlignment="1" applyProtection="1">
      <alignment horizontal="center" vertical="center"/>
      <protection hidden="1"/>
    </xf>
    <xf numFmtId="9" fontId="25" fillId="3" borderId="69" xfId="1" applyFont="1" applyFill="1" applyBorder="1" applyAlignment="1" applyProtection="1">
      <alignment horizontal="center" vertical="center"/>
      <protection hidden="1"/>
    </xf>
    <xf numFmtId="9" fontId="8" fillId="0" borderId="68" xfId="1" applyFont="1" applyBorder="1" applyAlignment="1" applyProtection="1">
      <alignment horizontal="center" vertical="center"/>
      <protection hidden="1"/>
    </xf>
    <xf numFmtId="9" fontId="8" fillId="0" borderId="3" xfId="1" applyFont="1" applyBorder="1" applyProtection="1">
      <protection hidden="1"/>
    </xf>
    <xf numFmtId="9" fontId="8" fillId="0" borderId="0" xfId="1" applyFont="1" applyFill="1" applyBorder="1" applyProtection="1">
      <protection hidden="1"/>
    </xf>
    <xf numFmtId="0" fontId="37" fillId="0" borderId="0" xfId="0" applyFont="1" applyFill="1" applyBorder="1" applyAlignment="1" applyProtection="1">
      <alignment horizontal="center"/>
      <protection hidden="1"/>
    </xf>
    <xf numFmtId="167" fontId="8" fillId="0" borderId="0" xfId="1" applyNumberFormat="1" applyFont="1" applyFill="1" applyBorder="1" applyProtection="1">
      <protection hidden="1"/>
    </xf>
    <xf numFmtId="0" fontId="37" fillId="0" borderId="0" xfId="0" applyFont="1" applyBorder="1" applyAlignment="1" applyProtection="1">
      <alignment horizontal="center"/>
      <protection hidden="1"/>
    </xf>
    <xf numFmtId="0" fontId="37" fillId="0" borderId="8" xfId="0" applyFont="1" applyBorder="1" applyAlignment="1" applyProtection="1">
      <alignment horizontal="center"/>
      <protection hidden="1"/>
    </xf>
    <xf numFmtId="0" fontId="33" fillId="0" borderId="3"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8" xfId="0" applyFont="1" applyBorder="1" applyAlignment="1" applyProtection="1">
      <alignment horizontal="center" vertical="center"/>
      <protection hidden="1"/>
    </xf>
    <xf numFmtId="0" fontId="25" fillId="0" borderId="0" xfId="0" applyFont="1" applyFill="1" applyBorder="1" applyAlignment="1" applyProtection="1">
      <alignment horizontal="center" vertical="top"/>
      <protection hidden="1"/>
    </xf>
    <xf numFmtId="0" fontId="25" fillId="0" borderId="0" xfId="0" applyFont="1" applyFill="1" applyBorder="1" applyAlignment="1" applyProtection="1">
      <alignment horizontal="center"/>
      <protection hidden="1"/>
    </xf>
    <xf numFmtId="0" fontId="25" fillId="0" borderId="3" xfId="0" applyFont="1" applyBorder="1" applyAlignment="1" applyProtection="1">
      <alignment vertical="center" textRotation="90"/>
      <protection hidden="1"/>
    </xf>
    <xf numFmtId="0" fontId="8" fillId="0" borderId="0" xfId="0" applyFont="1" applyBorder="1" applyAlignment="1" applyProtection="1">
      <alignment horizontal="center" vertical="top"/>
      <protection hidden="1"/>
    </xf>
    <xf numFmtId="9" fontId="25" fillId="0" borderId="0" xfId="1" applyFont="1" applyBorder="1" applyAlignment="1" applyProtection="1">
      <alignment vertical="center"/>
      <protection hidden="1"/>
    </xf>
    <xf numFmtId="0" fontId="8" fillId="0" borderId="3" xfId="0" applyFont="1" applyFill="1" applyBorder="1" applyProtection="1">
      <protection hidden="1"/>
    </xf>
    <xf numFmtId="0" fontId="8" fillId="0" borderId="8" xfId="0" applyFont="1" applyFill="1" applyBorder="1" applyProtection="1">
      <protection hidden="1"/>
    </xf>
    <xf numFmtId="9" fontId="37" fillId="0" borderId="3" xfId="1" applyFont="1" applyBorder="1" applyAlignment="1" applyProtection="1">
      <alignment horizontal="center"/>
      <protection hidden="1"/>
    </xf>
    <xf numFmtId="0" fontId="25" fillId="0" borderId="0" xfId="0" applyFont="1" applyFill="1" applyBorder="1" applyAlignment="1" applyProtection="1">
      <alignment horizontal="right"/>
      <protection hidden="1"/>
    </xf>
    <xf numFmtId="9" fontId="8" fillId="0" borderId="0" xfId="1" applyFont="1" applyFill="1" applyBorder="1" applyAlignment="1" applyProtection="1">
      <alignment horizontal="center" vertical="center"/>
      <protection hidden="1"/>
    </xf>
    <xf numFmtId="0" fontId="25" fillId="12" borderId="53" xfId="0" applyFont="1" applyFill="1" applyBorder="1" applyProtection="1">
      <protection hidden="1"/>
    </xf>
    <xf numFmtId="0" fontId="37" fillId="0" borderId="3" xfId="0" applyFont="1" applyBorder="1" applyAlignment="1" applyProtection="1">
      <alignment horizontal="center"/>
      <protection hidden="1"/>
    </xf>
    <xf numFmtId="0" fontId="8" fillId="0" borderId="1" xfId="0" applyFont="1" applyBorder="1" applyProtection="1">
      <protection hidden="1"/>
    </xf>
    <xf numFmtId="168" fontId="8" fillId="0" borderId="67" xfId="0" applyNumberFormat="1" applyFont="1" applyBorder="1" applyAlignment="1" applyProtection="1">
      <alignment horizontal="center" vertical="center"/>
      <protection hidden="1"/>
    </xf>
    <xf numFmtId="168" fontId="8" fillId="0" borderId="51" xfId="0" applyNumberFormat="1" applyFont="1" applyBorder="1" applyAlignment="1" applyProtection="1">
      <alignment horizontal="center" vertical="center"/>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protection hidden="1"/>
    </xf>
    <xf numFmtId="0" fontId="8" fillId="0" borderId="0" xfId="0" applyFont="1" applyFill="1" applyBorder="1" applyAlignment="1" applyProtection="1">
      <alignment horizontal="center" vertical="center"/>
      <protection hidden="1"/>
    </xf>
    <xf numFmtId="9" fontId="8" fillId="0" borderId="25" xfId="1" applyFont="1" applyBorder="1" applyAlignment="1" applyProtection="1">
      <alignment horizontal="center" vertical="center"/>
      <protection hidden="1"/>
    </xf>
    <xf numFmtId="0" fontId="8" fillId="0" borderId="40" xfId="0" applyFont="1" applyBorder="1" applyAlignment="1" applyProtection="1">
      <alignment horizontal="center"/>
      <protection hidden="1"/>
    </xf>
    <xf numFmtId="9" fontId="8" fillId="0" borderId="31" xfId="1" applyFont="1" applyBorder="1" applyAlignment="1" applyProtection="1">
      <alignment horizontal="center" vertical="center"/>
      <protection hidden="1"/>
    </xf>
    <xf numFmtId="0" fontId="8" fillId="0" borderId="37" xfId="0" applyFont="1" applyBorder="1" applyAlignment="1" applyProtection="1">
      <alignment horizontal="center"/>
      <protection hidden="1"/>
    </xf>
    <xf numFmtId="0" fontId="25" fillId="2" borderId="54" xfId="0" applyFont="1" applyFill="1" applyBorder="1" applyAlignment="1" applyProtection="1">
      <alignment horizontal="center" vertical="center"/>
      <protection hidden="1"/>
    </xf>
    <xf numFmtId="0" fontId="25" fillId="2" borderId="30" xfId="0" applyFont="1" applyFill="1" applyBorder="1" applyAlignment="1" applyProtection="1">
      <alignment horizontal="center" vertical="center"/>
      <protection hidden="1"/>
    </xf>
    <xf numFmtId="0" fontId="25" fillId="12" borderId="66" xfId="0" applyFont="1" applyFill="1" applyBorder="1" applyAlignment="1" applyProtection="1">
      <alignment horizontal="center" vertical="center"/>
      <protection hidden="1"/>
    </xf>
    <xf numFmtId="0" fontId="25" fillId="2" borderId="46" xfId="0" applyFont="1" applyFill="1" applyBorder="1" applyAlignment="1" applyProtection="1">
      <alignment horizontal="center" vertical="center"/>
      <protection hidden="1"/>
    </xf>
    <xf numFmtId="0" fontId="25" fillId="0" borderId="0" xfId="0" applyFont="1" applyFill="1" applyBorder="1" applyAlignment="1" applyProtection="1">
      <alignment horizontal="center" vertical="center"/>
      <protection hidden="1"/>
    </xf>
    <xf numFmtId="0" fontId="25" fillId="3" borderId="46" xfId="0" applyFont="1" applyFill="1" applyBorder="1" applyAlignment="1" applyProtection="1">
      <alignment horizontal="center" vertical="top"/>
      <protection hidden="1"/>
    </xf>
    <xf numFmtId="0" fontId="25" fillId="3" borderId="66" xfId="0" applyFont="1" applyFill="1" applyBorder="1" applyAlignment="1" applyProtection="1">
      <alignment horizontal="center" vertical="top"/>
      <protection hidden="1"/>
    </xf>
    <xf numFmtId="0" fontId="25" fillId="3" borderId="9" xfId="0" applyFont="1" applyFill="1" applyBorder="1" applyProtection="1">
      <protection hidden="1"/>
    </xf>
    <xf numFmtId="0" fontId="25" fillId="3" borderId="1" xfId="0" applyFont="1" applyFill="1" applyBorder="1" applyProtection="1">
      <protection hidden="1"/>
    </xf>
    <xf numFmtId="168" fontId="25" fillId="0" borderId="0" xfId="0" applyNumberFormat="1" applyFont="1" applyBorder="1" applyAlignment="1" applyProtection="1">
      <alignment horizontal="center" vertical="center"/>
      <protection hidden="1"/>
    </xf>
    <xf numFmtId="0" fontId="8" fillId="0" borderId="64" xfId="0" applyFont="1" applyBorder="1" applyProtection="1">
      <protection hidden="1"/>
    </xf>
    <xf numFmtId="0" fontId="8" fillId="0" borderId="29" xfId="0" applyFont="1" applyBorder="1" applyAlignment="1" applyProtection="1">
      <alignment horizontal="center"/>
      <protection hidden="1"/>
    </xf>
    <xf numFmtId="0" fontId="8" fillId="0" borderId="0" xfId="0" applyNumberFormat="1" applyFont="1" applyBorder="1" applyProtection="1">
      <protection hidden="1"/>
    </xf>
    <xf numFmtId="9" fontId="8" fillId="0" borderId="13" xfId="1" applyFont="1" applyBorder="1" applyAlignment="1" applyProtection="1">
      <alignment horizontal="center"/>
      <protection hidden="1"/>
    </xf>
    <xf numFmtId="0" fontId="8" fillId="0" borderId="67" xfId="0" applyFont="1" applyBorder="1" applyAlignment="1" applyProtection="1">
      <alignment horizontal="center" vertical="center"/>
      <protection hidden="1"/>
    </xf>
    <xf numFmtId="9" fontId="8" fillId="0" borderId="51" xfId="1" applyFont="1" applyBorder="1" applyAlignment="1" applyProtection="1">
      <alignment horizontal="center" vertical="center"/>
      <protection hidden="1"/>
    </xf>
    <xf numFmtId="9" fontId="8" fillId="0" borderId="31" xfId="1" applyFont="1" applyBorder="1" applyProtection="1">
      <protection hidden="1"/>
    </xf>
    <xf numFmtId="9" fontId="8" fillId="0" borderId="36" xfId="1" applyFont="1" applyBorder="1" applyProtection="1">
      <protection hidden="1"/>
    </xf>
    <xf numFmtId="9" fontId="8" fillId="0" borderId="37" xfId="1" applyFont="1" applyBorder="1" applyProtection="1">
      <protection hidden="1"/>
    </xf>
    <xf numFmtId="0" fontId="25" fillId="2" borderId="67" xfId="0" applyFont="1" applyFill="1" applyBorder="1" applyAlignment="1" applyProtection="1">
      <alignment horizontal="center" vertical="center"/>
      <protection hidden="1"/>
    </xf>
    <xf numFmtId="0" fontId="25" fillId="2" borderId="64" xfId="0" applyFont="1" applyFill="1" applyBorder="1" applyAlignment="1" applyProtection="1">
      <alignment vertical="center"/>
      <protection hidden="1"/>
    </xf>
    <xf numFmtId="0" fontId="8" fillId="0" borderId="40" xfId="0" applyFont="1" applyBorder="1" applyProtection="1">
      <protection hidden="1"/>
    </xf>
    <xf numFmtId="0" fontId="8" fillId="0" borderId="24" xfId="0" applyFont="1" applyBorder="1" applyAlignment="1" applyProtection="1">
      <alignment horizontal="center" vertical="top"/>
      <protection hidden="1"/>
    </xf>
    <xf numFmtId="0" fontId="8" fillId="0" borderId="20" xfId="0" applyFont="1" applyBorder="1" applyAlignment="1" applyProtection="1">
      <alignment horizontal="center" wrapText="1"/>
      <protection hidden="1"/>
    </xf>
    <xf numFmtId="9" fontId="8" fillId="0" borderId="18" xfId="1" applyFont="1" applyBorder="1" applyAlignment="1" applyProtection="1">
      <alignment horizontal="center"/>
      <protection hidden="1"/>
    </xf>
    <xf numFmtId="0" fontId="8" fillId="0" borderId="0" xfId="0" applyFont="1" applyFill="1" applyBorder="1" applyAlignment="1" applyProtection="1">
      <alignment horizontal="center" wrapText="1"/>
      <protection hidden="1"/>
    </xf>
    <xf numFmtId="9" fontId="25" fillId="0" borderId="9" xfId="0" applyNumberFormat="1" applyFont="1" applyBorder="1" applyAlignment="1" applyProtection="1">
      <alignment horizontal="center"/>
      <protection hidden="1"/>
    </xf>
    <xf numFmtId="9" fontId="25" fillId="0" borderId="68" xfId="0" applyNumberFormat="1" applyFont="1" applyBorder="1" applyAlignment="1" applyProtection="1">
      <alignment horizontal="center" vertical="center"/>
      <protection hidden="1"/>
    </xf>
    <xf numFmtId="0" fontId="25" fillId="0" borderId="3" xfId="0" applyFont="1" applyFill="1" applyBorder="1" applyProtection="1">
      <protection hidden="1"/>
    </xf>
    <xf numFmtId="0" fontId="25" fillId="5" borderId="73" xfId="0" applyFont="1" applyFill="1" applyBorder="1" applyAlignment="1" applyProtection="1">
      <alignment horizontal="center" vertical="top"/>
      <protection hidden="1"/>
    </xf>
    <xf numFmtId="0" fontId="25" fillId="6" borderId="62" xfId="0" applyFont="1" applyFill="1" applyBorder="1" applyAlignment="1" applyProtection="1">
      <alignment vertical="top"/>
      <protection hidden="1"/>
    </xf>
    <xf numFmtId="0" fontId="25" fillId="7" borderId="62" xfId="0" applyFont="1" applyFill="1" applyBorder="1" applyProtection="1">
      <protection hidden="1"/>
    </xf>
    <xf numFmtId="0" fontId="25" fillId="11" borderId="75" xfId="0" applyFont="1" applyFill="1" applyBorder="1" applyProtection="1">
      <protection hidden="1"/>
    </xf>
    <xf numFmtId="0" fontId="25" fillId="0" borderId="0" xfId="1" applyNumberFormat="1" applyFont="1" applyBorder="1" applyAlignment="1" applyProtection="1">
      <alignment vertical="center"/>
      <protection hidden="1"/>
    </xf>
    <xf numFmtId="0" fontId="25" fillId="2" borderId="69" xfId="0" applyFont="1" applyFill="1" applyBorder="1" applyProtection="1">
      <protection hidden="1"/>
    </xf>
    <xf numFmtId="169" fontId="25" fillId="0" borderId="69" xfId="0" applyNumberFormat="1" applyFont="1" applyBorder="1" applyProtection="1">
      <protection hidden="1"/>
    </xf>
    <xf numFmtId="0" fontId="8" fillId="0" borderId="0" xfId="1" applyNumberFormat="1" applyFont="1" applyBorder="1" applyAlignment="1" applyProtection="1">
      <alignment vertical="center"/>
      <protection hidden="1"/>
    </xf>
    <xf numFmtId="0" fontId="8" fillId="0" borderId="48" xfId="0" applyFont="1" applyBorder="1" applyProtection="1">
      <protection hidden="1"/>
    </xf>
    <xf numFmtId="0" fontId="33" fillId="0" borderId="3" xfId="0" applyFont="1" applyBorder="1" applyAlignment="1" applyProtection="1">
      <alignment vertical="center"/>
      <protection hidden="1"/>
    </xf>
    <xf numFmtId="0" fontId="33" fillId="0" borderId="0" xfId="0" applyFont="1" applyBorder="1" applyAlignment="1" applyProtection="1">
      <alignment vertical="center"/>
      <protection hidden="1"/>
    </xf>
    <xf numFmtId="0" fontId="8" fillId="0" borderId="17" xfId="0" applyFont="1" applyBorder="1" applyAlignment="1" applyProtection="1">
      <alignment horizontal="center" vertical="center" wrapText="1"/>
      <protection hidden="1"/>
    </xf>
    <xf numFmtId="0" fontId="8" fillId="0" borderId="25" xfId="0" applyFont="1" applyBorder="1" applyProtection="1">
      <protection hidden="1"/>
    </xf>
    <xf numFmtId="0" fontId="25" fillId="3" borderId="67" xfId="0" applyFont="1" applyFill="1" applyBorder="1" applyAlignment="1" applyProtection="1">
      <alignment horizontal="center"/>
      <protection hidden="1"/>
    </xf>
    <xf numFmtId="0" fontId="25" fillId="3" borderId="50" xfId="0" applyFont="1" applyFill="1" applyBorder="1" applyAlignment="1" applyProtection="1">
      <alignment horizontal="center"/>
      <protection hidden="1"/>
    </xf>
    <xf numFmtId="0" fontId="25" fillId="3" borderId="51" xfId="0" applyFont="1" applyFill="1" applyBorder="1" applyAlignment="1" applyProtection="1">
      <alignment horizontal="center"/>
      <protection hidden="1"/>
    </xf>
    <xf numFmtId="168" fontId="8" fillId="0" borderId="13" xfId="0" applyNumberFormat="1" applyFont="1" applyBorder="1" applyAlignment="1" applyProtection="1">
      <alignment horizontal="center" vertical="center"/>
      <protection hidden="1"/>
    </xf>
    <xf numFmtId="168" fontId="8" fillId="0" borderId="14" xfId="0" applyNumberFormat="1"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8" fillId="0" borderId="21" xfId="0" applyFont="1" applyBorder="1" applyAlignment="1" applyProtection="1">
      <alignment horizontal="center" vertical="center"/>
      <protection hidden="1"/>
    </xf>
    <xf numFmtId="0" fontId="8" fillId="0" borderId="60"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20" xfId="1" applyNumberFormat="1" applyFont="1" applyBorder="1" applyAlignment="1" applyProtection="1">
      <alignment horizontal="center" vertical="center"/>
      <protection hidden="1"/>
    </xf>
    <xf numFmtId="0" fontId="8" fillId="0" borderId="18" xfId="0" applyFont="1" applyBorder="1" applyAlignment="1" applyProtection="1">
      <alignment horizontal="center" vertical="center"/>
      <protection hidden="1"/>
    </xf>
    <xf numFmtId="169" fontId="8" fillId="0" borderId="20" xfId="0" applyNumberFormat="1" applyFont="1" applyBorder="1" applyAlignment="1" applyProtection="1">
      <alignment horizontal="center" vertical="center"/>
      <protection hidden="1"/>
    </xf>
    <xf numFmtId="9" fontId="25" fillId="0" borderId="0" xfId="1" applyFont="1" applyBorder="1" applyAlignment="1" applyProtection="1">
      <alignment horizontal="center"/>
      <protection hidden="1"/>
    </xf>
    <xf numFmtId="169" fontId="8" fillId="0" borderId="0" xfId="0" applyNumberFormat="1" applyFont="1" applyBorder="1" applyAlignment="1" applyProtection="1">
      <alignment horizontal="center" vertical="center"/>
      <protection hidden="1"/>
    </xf>
    <xf numFmtId="0" fontId="25" fillId="0" borderId="0" xfId="0" applyNumberFormat="1" applyFont="1" applyBorder="1" applyAlignment="1" applyProtection="1">
      <alignment horizontal="center"/>
      <protection hidden="1"/>
    </xf>
    <xf numFmtId="0" fontId="8" fillId="0" borderId="9" xfId="0" applyFont="1" applyBorder="1" applyProtection="1">
      <protection hidden="1"/>
    </xf>
    <xf numFmtId="0" fontId="8" fillId="0" borderId="10" xfId="0" applyFont="1" applyBorder="1" applyAlignment="1" applyProtection="1">
      <alignment horizontal="center" vertical="center"/>
      <protection hidden="1"/>
    </xf>
    <xf numFmtId="169" fontId="8" fillId="0" borderId="10" xfId="0" applyNumberFormat="1" applyFont="1" applyBorder="1" applyAlignment="1" applyProtection="1">
      <alignment horizontal="center" vertical="center"/>
      <protection hidden="1"/>
    </xf>
    <xf numFmtId="0" fontId="8" fillId="0" borderId="10" xfId="0" applyFont="1" applyBorder="1" applyProtection="1">
      <protection hidden="1"/>
    </xf>
    <xf numFmtId="0" fontId="8" fillId="0" borderId="11" xfId="0" applyFont="1" applyBorder="1" applyProtection="1">
      <protection hidden="1"/>
    </xf>
    <xf numFmtId="1" fontId="8" fillId="0" borderId="64" xfId="0" applyNumberFormat="1" applyFont="1" applyBorder="1" applyAlignment="1" applyProtection="1">
      <alignment horizontal="center" vertical="center"/>
      <protection hidden="1"/>
    </xf>
    <xf numFmtId="0" fontId="8" fillId="22" borderId="0" xfId="0" applyFont="1" applyFill="1" applyAlignment="1" applyProtection="1">
      <alignment horizontal="center" vertical="center"/>
      <protection hidden="1"/>
    </xf>
    <xf numFmtId="169" fontId="8" fillId="22" borderId="0" xfId="0" applyNumberFormat="1" applyFont="1" applyFill="1" applyAlignment="1" applyProtection="1">
      <alignment horizontal="center" vertical="center"/>
      <protection hidden="1"/>
    </xf>
    <xf numFmtId="1" fontId="8" fillId="0" borderId="65" xfId="0" applyNumberFormat="1" applyFont="1" applyBorder="1" applyAlignment="1" applyProtection="1">
      <alignment horizontal="center" vertical="center"/>
      <protection hidden="1"/>
    </xf>
    <xf numFmtId="169" fontId="8" fillId="0" borderId="0" xfId="0" applyNumberFormat="1" applyFont="1" applyAlignment="1" applyProtection="1">
      <alignment horizontal="center" vertical="center"/>
      <protection hidden="1"/>
    </xf>
    <xf numFmtId="9" fontId="8" fillId="0" borderId="0" xfId="0" applyNumberFormat="1" applyFont="1" applyBorder="1" applyProtection="1">
      <protection hidden="1"/>
    </xf>
    <xf numFmtId="9" fontId="8" fillId="0" borderId="14" xfId="1" applyFont="1" applyBorder="1" applyAlignment="1" applyProtection="1">
      <alignment vertical="top"/>
      <protection hidden="1"/>
    </xf>
    <xf numFmtId="9" fontId="8" fillId="0" borderId="15" xfId="1" applyFont="1" applyBorder="1" applyAlignment="1" applyProtection="1">
      <alignment vertical="top"/>
      <protection hidden="1"/>
    </xf>
    <xf numFmtId="0" fontId="33" fillId="0" borderId="0" xfId="0" applyFont="1" applyFill="1" applyBorder="1" applyAlignment="1" applyProtection="1">
      <alignment vertical="center"/>
      <protection hidden="1"/>
    </xf>
    <xf numFmtId="9" fontId="8" fillId="0" borderId="18" xfId="1" applyFont="1" applyBorder="1" applyAlignment="1" applyProtection="1">
      <alignment vertical="top"/>
      <protection hidden="1"/>
    </xf>
    <xf numFmtId="9" fontId="8" fillId="0" borderId="19" xfId="1" applyFont="1" applyBorder="1" applyAlignment="1" applyProtection="1">
      <alignment vertical="top"/>
      <protection hidden="1"/>
    </xf>
    <xf numFmtId="9" fontId="8" fillId="0" borderId="20" xfId="1" applyFont="1" applyBorder="1" applyAlignment="1" applyProtection="1">
      <alignment vertical="top"/>
      <protection hidden="1"/>
    </xf>
    <xf numFmtId="0" fontId="8" fillId="0" borderId="68" xfId="0" applyFont="1" applyBorder="1" applyAlignment="1" applyProtection="1">
      <alignment horizontal="center" vertical="center"/>
      <protection hidden="1"/>
    </xf>
    <xf numFmtId="0" fontId="25" fillId="3" borderId="1" xfId="0" applyFont="1" applyFill="1" applyBorder="1" applyAlignment="1" applyProtection="1">
      <alignment horizontal="right"/>
      <protection hidden="1"/>
    </xf>
    <xf numFmtId="0" fontId="8" fillId="0" borderId="20" xfId="0" applyFont="1" applyBorder="1" applyAlignment="1" applyProtection="1">
      <alignment horizontal="center" vertical="center"/>
      <protection hidden="1"/>
    </xf>
    <xf numFmtId="0" fontId="8" fillId="0" borderId="43" xfId="0" applyFont="1" applyBorder="1" applyProtection="1">
      <protection hidden="1"/>
    </xf>
    <xf numFmtId="9" fontId="8" fillId="0" borderId="16" xfId="1" applyFont="1" applyBorder="1" applyAlignment="1" applyProtection="1">
      <alignment horizontal="center"/>
      <protection hidden="1"/>
    </xf>
    <xf numFmtId="9" fontId="8" fillId="0" borderId="0" xfId="0" applyNumberFormat="1" applyFont="1" applyFill="1" applyBorder="1" applyAlignment="1" applyProtection="1">
      <alignment horizontal="center" vertical="center"/>
      <protection hidden="1"/>
    </xf>
    <xf numFmtId="9" fontId="25" fillId="0" borderId="0" xfId="1" applyFont="1" applyFill="1" applyBorder="1" applyAlignment="1" applyProtection="1">
      <alignment horizontal="center" vertical="center"/>
      <protection hidden="1"/>
    </xf>
    <xf numFmtId="0" fontId="25" fillId="0" borderId="8" xfId="0" applyFont="1" applyBorder="1" applyAlignment="1" applyProtection="1">
      <alignment horizontal="center" vertical="center"/>
      <protection hidden="1"/>
    </xf>
    <xf numFmtId="2" fontId="8" fillId="0" borderId="0" xfId="1" applyNumberFormat="1" applyFont="1" applyBorder="1" applyAlignment="1" applyProtection="1">
      <alignment vertical="center"/>
      <protection hidden="1"/>
    </xf>
    <xf numFmtId="168" fontId="8" fillId="0" borderId="29" xfId="0" applyNumberFormat="1" applyFont="1" applyBorder="1" applyAlignment="1" applyProtection="1">
      <alignment horizontal="center" vertical="center"/>
      <protection hidden="1"/>
    </xf>
    <xf numFmtId="168" fontId="8" fillId="0" borderId="15" xfId="0" applyNumberFormat="1" applyFont="1" applyBorder="1" applyAlignment="1" applyProtection="1">
      <alignment horizontal="center" vertical="center"/>
      <protection hidden="1"/>
    </xf>
    <xf numFmtId="9" fontId="8" fillId="0" borderId="0" xfId="0" applyNumberFormat="1" applyFont="1" applyBorder="1" applyAlignment="1" applyProtection="1">
      <alignment horizontal="center"/>
      <protection hidden="1"/>
    </xf>
    <xf numFmtId="9" fontId="8" fillId="0" borderId="0" xfId="0" applyNumberFormat="1" applyFont="1" applyBorder="1" applyAlignment="1" applyProtection="1">
      <alignment horizontal="center" vertical="center"/>
      <protection hidden="1"/>
    </xf>
    <xf numFmtId="9" fontId="8" fillId="0" borderId="8" xfId="0" applyNumberFormat="1" applyFont="1" applyBorder="1" applyAlignment="1" applyProtection="1">
      <alignment horizontal="center" vertical="center"/>
      <protection hidden="1"/>
    </xf>
    <xf numFmtId="168" fontId="8" fillId="0" borderId="23" xfId="0" applyNumberFormat="1" applyFont="1" applyBorder="1" applyAlignment="1" applyProtection="1">
      <alignment horizontal="center" vertical="center"/>
      <protection hidden="1"/>
    </xf>
    <xf numFmtId="168" fontId="8" fillId="0" borderId="17" xfId="0" applyNumberFormat="1" applyFont="1" applyBorder="1" applyAlignment="1" applyProtection="1">
      <alignment horizontal="center" vertical="center"/>
      <protection hidden="1"/>
    </xf>
    <xf numFmtId="9" fontId="8" fillId="0" borderId="8" xfId="1" applyFont="1" applyBorder="1" applyAlignment="1" applyProtection="1">
      <alignment horizontal="center" vertical="center"/>
      <protection hidden="1"/>
    </xf>
    <xf numFmtId="0" fontId="8" fillId="0" borderId="12" xfId="0" applyFont="1" applyBorder="1" applyAlignment="1" applyProtection="1">
      <alignment horizontal="center"/>
      <protection hidden="1"/>
    </xf>
    <xf numFmtId="0" fontId="8" fillId="0" borderId="17" xfId="0" applyFont="1" applyBorder="1" applyAlignment="1" applyProtection="1">
      <alignment horizontal="center"/>
      <protection hidden="1"/>
    </xf>
    <xf numFmtId="0" fontId="8" fillId="0" borderId="13" xfId="0" applyFont="1" applyBorder="1" applyAlignment="1" applyProtection="1">
      <alignment horizontal="center" vertical="center"/>
      <protection hidden="1"/>
    </xf>
    <xf numFmtId="0" fontId="8" fillId="0" borderId="13" xfId="0" applyFont="1" applyBorder="1" applyAlignment="1" applyProtection="1">
      <alignment vertical="center"/>
      <protection hidden="1"/>
    </xf>
    <xf numFmtId="9" fontId="25" fillId="0" borderId="0" xfId="1" applyFont="1" applyBorder="1" applyAlignment="1" applyProtection="1">
      <alignment horizontal="center" vertical="center"/>
      <protection hidden="1"/>
    </xf>
    <xf numFmtId="9" fontId="25" fillId="0" borderId="8" xfId="1"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8" fillId="0" borderId="16" xfId="0" applyFont="1" applyBorder="1" applyAlignment="1" applyProtection="1">
      <alignment vertical="center"/>
      <protection hidden="1"/>
    </xf>
    <xf numFmtId="9" fontId="25" fillId="0" borderId="0" xfId="0" applyNumberFormat="1" applyFont="1" applyFill="1" applyBorder="1" applyAlignment="1" applyProtection="1">
      <alignment horizontal="center" vertical="center"/>
      <protection hidden="1"/>
    </xf>
    <xf numFmtId="170" fontId="8" fillId="0" borderId="23" xfId="0" applyNumberFormat="1" applyFont="1" applyBorder="1" applyAlignment="1" applyProtection="1">
      <alignment horizontal="center" vertical="center"/>
      <protection hidden="1"/>
    </xf>
    <xf numFmtId="170" fontId="8" fillId="0" borderId="17" xfId="0" applyNumberFormat="1" applyFont="1" applyBorder="1" applyAlignment="1" applyProtection="1">
      <alignment horizontal="center" vertical="center"/>
      <protection hidden="1"/>
    </xf>
    <xf numFmtId="170" fontId="8" fillId="0" borderId="24" xfId="0" applyNumberFormat="1" applyFont="1" applyBorder="1" applyAlignment="1" applyProtection="1">
      <alignment horizontal="center" vertical="center"/>
      <protection hidden="1"/>
    </xf>
    <xf numFmtId="170" fontId="8" fillId="0" borderId="20" xfId="0" applyNumberFormat="1" applyFont="1" applyBorder="1" applyAlignment="1" applyProtection="1">
      <alignment horizontal="center" vertical="center"/>
      <protection hidden="1"/>
    </xf>
    <xf numFmtId="0" fontId="25" fillId="0" borderId="9" xfId="0" applyFont="1" applyBorder="1" applyAlignment="1" applyProtection="1">
      <alignment vertical="center" textRotation="90"/>
      <protection hidden="1"/>
    </xf>
    <xf numFmtId="0" fontId="8" fillId="0" borderId="18" xfId="0" applyFont="1" applyBorder="1" applyAlignment="1" applyProtection="1">
      <alignment vertical="center"/>
      <protection hidden="1"/>
    </xf>
    <xf numFmtId="3" fontId="8" fillId="0" borderId="13" xfId="0" applyNumberFormat="1" applyFont="1" applyBorder="1" applyAlignment="1" applyProtection="1">
      <alignment horizontal="center" vertical="center"/>
      <protection hidden="1"/>
    </xf>
    <xf numFmtId="168" fontId="25" fillId="0" borderId="77" xfId="0" applyNumberFormat="1" applyFont="1" applyBorder="1" applyProtection="1">
      <protection hidden="1"/>
    </xf>
    <xf numFmtId="9" fontId="25" fillId="0" borderId="77" xfId="1" applyFont="1" applyBorder="1" applyAlignment="1" applyProtection="1">
      <alignment horizontal="center"/>
      <protection hidden="1"/>
    </xf>
    <xf numFmtId="0" fontId="25" fillId="22" borderId="0" xfId="0" applyFont="1" applyFill="1" applyAlignment="1" applyProtection="1">
      <alignment vertical="center" textRotation="90"/>
      <protection hidden="1"/>
    </xf>
    <xf numFmtId="3" fontId="8" fillId="0" borderId="16" xfId="0" applyNumberFormat="1" applyFont="1" applyBorder="1" applyAlignment="1" applyProtection="1">
      <alignment horizontal="center" vertical="center"/>
      <protection hidden="1"/>
    </xf>
    <xf numFmtId="0" fontId="25" fillId="0" borderId="0" xfId="0" applyFont="1" applyAlignment="1" applyProtection="1">
      <alignment vertical="center" textRotation="90"/>
      <protection hidden="1"/>
    </xf>
    <xf numFmtId="169" fontId="25" fillId="0" borderId="0" xfId="0" applyNumberFormat="1" applyFont="1" applyFill="1" applyBorder="1" applyProtection="1">
      <protection hidden="1"/>
    </xf>
    <xf numFmtId="0" fontId="25" fillId="0" borderId="3" xfId="0" applyFont="1" applyFill="1" applyBorder="1" applyAlignment="1" applyProtection="1">
      <alignment wrapText="1"/>
      <protection hidden="1"/>
    </xf>
    <xf numFmtId="0" fontId="25" fillId="0" borderId="0" xfId="0" applyFont="1" applyFill="1" applyBorder="1" applyAlignment="1" applyProtection="1">
      <alignment wrapText="1"/>
      <protection hidden="1"/>
    </xf>
    <xf numFmtId="0" fontId="25" fillId="0" borderId="8" xfId="0" applyFont="1" applyFill="1" applyBorder="1" applyAlignment="1" applyProtection="1">
      <alignment wrapText="1"/>
      <protection hidden="1"/>
    </xf>
    <xf numFmtId="1" fontId="8" fillId="0" borderId="40" xfId="0" applyNumberFormat="1" applyFont="1" applyBorder="1" applyAlignment="1" applyProtection="1">
      <alignment horizontal="center" vertical="center"/>
      <protection hidden="1"/>
    </xf>
    <xf numFmtId="3" fontId="8" fillId="0" borderId="18" xfId="0" applyNumberFormat="1" applyFont="1" applyBorder="1" applyAlignment="1" applyProtection="1">
      <alignment horizontal="center" vertical="center"/>
      <protection hidden="1"/>
    </xf>
    <xf numFmtId="1" fontId="8" fillId="0" borderId="12" xfId="0" applyNumberFormat="1" applyFont="1" applyBorder="1" applyAlignment="1" applyProtection="1">
      <alignment horizontal="center"/>
      <protection hidden="1"/>
    </xf>
    <xf numFmtId="0" fontId="8" fillId="0" borderId="3" xfId="0" applyFont="1" applyFill="1" applyBorder="1" applyAlignment="1" applyProtection="1">
      <alignment wrapText="1"/>
      <protection hidden="1"/>
    </xf>
    <xf numFmtId="0" fontId="8" fillId="0" borderId="0" xfId="0" applyFont="1" applyFill="1" applyBorder="1" applyAlignment="1" applyProtection="1">
      <alignment wrapText="1"/>
      <protection hidden="1"/>
    </xf>
    <xf numFmtId="0" fontId="8" fillId="0" borderId="8" xfId="0" applyFont="1" applyFill="1" applyBorder="1" applyAlignment="1" applyProtection="1">
      <alignment wrapText="1"/>
      <protection hidden="1"/>
    </xf>
    <xf numFmtId="2" fontId="8" fillId="0" borderId="11" xfId="0" applyNumberFormat="1" applyFont="1" applyBorder="1" applyAlignment="1" applyProtection="1">
      <alignment horizontal="center" vertical="center"/>
      <protection hidden="1"/>
    </xf>
    <xf numFmtId="0" fontId="25" fillId="0" borderId="0" xfId="0" applyFont="1" applyFill="1" applyBorder="1" applyAlignment="1" applyProtection="1">
      <alignment horizontal="center" vertical="center" wrapText="1"/>
      <protection hidden="1"/>
    </xf>
    <xf numFmtId="0" fontId="25" fillId="0" borderId="0" xfId="0" applyFont="1" applyFill="1" applyBorder="1" applyAlignment="1" applyProtection="1">
      <alignment horizontal="center" wrapText="1"/>
      <protection hidden="1"/>
    </xf>
    <xf numFmtId="0" fontId="25" fillId="0" borderId="8" xfId="0" applyFont="1" applyFill="1" applyBorder="1" applyAlignment="1" applyProtection="1">
      <alignment horizontal="center" wrapText="1"/>
      <protection hidden="1"/>
    </xf>
    <xf numFmtId="168" fontId="8" fillId="0" borderId="0" xfId="0" applyNumberFormat="1" applyFont="1" applyFill="1" applyBorder="1" applyAlignment="1" applyProtection="1">
      <alignment horizontal="center" vertical="center" wrapText="1"/>
      <protection hidden="1"/>
    </xf>
    <xf numFmtId="9" fontId="8" fillId="0" borderId="0" xfId="1" applyFont="1" applyFill="1" applyBorder="1" applyAlignment="1" applyProtection="1">
      <alignment horizontal="center" vertical="center" wrapText="1"/>
      <protection hidden="1"/>
    </xf>
    <xf numFmtId="9" fontId="8" fillId="0" borderId="0" xfId="1" applyFont="1" applyFill="1" applyBorder="1" applyAlignment="1" applyProtection="1">
      <alignment horizontal="center" wrapText="1"/>
      <protection hidden="1"/>
    </xf>
    <xf numFmtId="9" fontId="8" fillId="0" borderId="8" xfId="1" applyFont="1" applyFill="1" applyBorder="1" applyAlignment="1" applyProtection="1">
      <alignment horizontal="center" vertical="center" wrapText="1"/>
      <protection hidden="1"/>
    </xf>
    <xf numFmtId="169" fontId="8" fillId="0" borderId="0" xfId="0" applyNumberFormat="1" applyFont="1" applyFill="1" applyBorder="1" applyAlignment="1" applyProtection="1">
      <alignment horizontal="center" vertical="center"/>
      <protection hidden="1"/>
    </xf>
    <xf numFmtId="0" fontId="8" fillId="0" borderId="0" xfId="0" applyFont="1" applyBorder="1" applyAlignment="1" applyProtection="1">
      <alignment vertical="center"/>
      <protection hidden="1"/>
    </xf>
    <xf numFmtId="168" fontId="8" fillId="0" borderId="0" xfId="0" applyNumberFormat="1" applyFont="1" applyFill="1" applyBorder="1" applyAlignment="1" applyProtection="1">
      <alignment wrapText="1"/>
      <protection hidden="1"/>
    </xf>
    <xf numFmtId="9" fontId="8" fillId="0" borderId="17" xfId="0" applyNumberFormat="1" applyFont="1" applyBorder="1" applyAlignment="1" applyProtection="1">
      <alignment horizontal="center" vertical="center"/>
      <protection hidden="1"/>
    </xf>
    <xf numFmtId="167" fontId="8" fillId="0" borderId="31" xfId="1" applyNumberFormat="1" applyFont="1" applyBorder="1" applyProtection="1">
      <protection hidden="1"/>
    </xf>
    <xf numFmtId="167" fontId="8" fillId="0" borderId="36" xfId="1" applyNumberFormat="1" applyFont="1" applyBorder="1" applyProtection="1">
      <protection hidden="1"/>
    </xf>
    <xf numFmtId="167" fontId="8" fillId="0" borderId="37" xfId="1" applyNumberFormat="1" applyFont="1" applyBorder="1" applyProtection="1">
      <protection hidden="1"/>
    </xf>
    <xf numFmtId="0" fontId="25" fillId="0" borderId="0" xfId="0" applyFont="1" applyProtection="1">
      <protection hidden="1"/>
    </xf>
    <xf numFmtId="169" fontId="25" fillId="0" borderId="0" xfId="0" applyNumberFormat="1" applyFont="1" applyProtection="1">
      <protection hidden="1"/>
    </xf>
    <xf numFmtId="0" fontId="25" fillId="5" borderId="46" xfId="0" applyFont="1" applyFill="1" applyBorder="1" applyAlignment="1" applyProtection="1">
      <alignment horizontal="center" vertical="top"/>
      <protection hidden="1"/>
    </xf>
    <xf numFmtId="0" fontId="25" fillId="6" borderId="30" xfId="0" applyFont="1" applyFill="1" applyBorder="1" applyAlignment="1" applyProtection="1">
      <alignment vertical="top"/>
      <protection hidden="1"/>
    </xf>
    <xf numFmtId="0" fontId="25" fillId="7" borderId="30" xfId="0" applyFont="1" applyFill="1" applyBorder="1" applyProtection="1">
      <protection hidden="1"/>
    </xf>
    <xf numFmtId="0" fontId="25" fillId="11" borderId="66" xfId="0" applyFont="1" applyFill="1" applyBorder="1" applyProtection="1">
      <protection hidden="1"/>
    </xf>
    <xf numFmtId="9" fontId="8" fillId="0" borderId="0" xfId="0" applyNumberFormat="1" applyFont="1" applyFill="1" applyBorder="1" applyAlignment="1" applyProtection="1">
      <alignment horizontal="center" vertical="center" wrapText="1"/>
      <protection hidden="1"/>
    </xf>
    <xf numFmtId="9" fontId="8" fillId="0" borderId="8" xfId="0" applyNumberFormat="1" applyFont="1" applyFill="1" applyBorder="1" applyAlignment="1" applyProtection="1">
      <alignment wrapText="1"/>
      <protection hidden="1"/>
    </xf>
    <xf numFmtId="9" fontId="8" fillId="0" borderId="13" xfId="1" applyFont="1" applyBorder="1" applyAlignment="1" applyProtection="1">
      <alignment horizontal="center" vertical="top"/>
      <protection hidden="1"/>
    </xf>
    <xf numFmtId="9" fontId="8" fillId="0" borderId="14" xfId="1" applyFont="1" applyBorder="1" applyAlignment="1" applyProtection="1">
      <alignment horizontal="center" vertical="top"/>
      <protection hidden="1"/>
    </xf>
    <xf numFmtId="9" fontId="8" fillId="0" borderId="15" xfId="1" applyFont="1" applyBorder="1" applyAlignment="1" applyProtection="1">
      <alignment horizontal="center" vertical="top"/>
      <protection hidden="1"/>
    </xf>
    <xf numFmtId="0" fontId="25" fillId="0" borderId="3" xfId="0" applyFont="1" applyFill="1" applyBorder="1" applyAlignment="1" applyProtection="1">
      <alignment horizontal="right" wrapText="1"/>
      <protection hidden="1"/>
    </xf>
    <xf numFmtId="168" fontId="25" fillId="0" borderId="0" xfId="0" applyNumberFormat="1" applyFont="1" applyFill="1" applyBorder="1" applyAlignment="1" applyProtection="1">
      <alignment wrapText="1"/>
      <protection hidden="1"/>
    </xf>
    <xf numFmtId="9" fontId="25" fillId="0" borderId="0" xfId="1" applyFont="1" applyFill="1" applyBorder="1" applyAlignment="1" applyProtection="1">
      <alignment horizontal="center" wrapText="1"/>
      <protection hidden="1"/>
    </xf>
    <xf numFmtId="9" fontId="8" fillId="0" borderId="8" xfId="1" applyFont="1" applyFill="1" applyBorder="1" applyAlignment="1" applyProtection="1">
      <alignment wrapText="1"/>
      <protection hidden="1"/>
    </xf>
    <xf numFmtId="9" fontId="8" fillId="0" borderId="20" xfId="0" applyNumberFormat="1" applyFont="1" applyBorder="1" applyAlignment="1" applyProtection="1">
      <alignment horizontal="center"/>
      <protection hidden="1"/>
    </xf>
    <xf numFmtId="9" fontId="8" fillId="0" borderId="16" xfId="1" applyFont="1" applyBorder="1" applyAlignment="1" applyProtection="1">
      <alignment horizontal="center" vertical="top"/>
      <protection hidden="1"/>
    </xf>
    <xf numFmtId="9" fontId="8" fillId="0" borderId="12" xfId="1" applyFont="1" applyBorder="1" applyAlignment="1" applyProtection="1">
      <alignment horizontal="center" vertical="top"/>
      <protection hidden="1"/>
    </xf>
    <xf numFmtId="9" fontId="8" fillId="0" borderId="17" xfId="1" applyFont="1" applyBorder="1" applyAlignment="1" applyProtection="1">
      <alignment horizontal="center" vertical="top"/>
      <protection hidden="1"/>
    </xf>
    <xf numFmtId="0" fontId="25" fillId="0" borderId="69" xfId="0" applyFont="1" applyBorder="1" applyProtection="1">
      <protection hidden="1"/>
    </xf>
    <xf numFmtId="9" fontId="25" fillId="0" borderId="69" xfId="0" applyNumberFormat="1" applyFont="1" applyBorder="1" applyAlignment="1" applyProtection="1">
      <alignment horizontal="center"/>
      <protection hidden="1"/>
    </xf>
    <xf numFmtId="9" fontId="8" fillId="0" borderId="18" xfId="1" applyFont="1" applyBorder="1" applyAlignment="1" applyProtection="1">
      <alignment horizontal="center" vertical="top"/>
      <protection hidden="1"/>
    </xf>
    <xf numFmtId="9" fontId="8" fillId="0" borderId="19" xfId="1" applyFont="1" applyBorder="1" applyAlignment="1" applyProtection="1">
      <alignment horizontal="center" vertical="top"/>
      <protection hidden="1"/>
    </xf>
    <xf numFmtId="9" fontId="8" fillId="0" borderId="20" xfId="1" applyFont="1" applyBorder="1" applyAlignment="1" applyProtection="1">
      <alignment horizontal="center" vertical="top"/>
      <protection hidden="1"/>
    </xf>
    <xf numFmtId="0" fontId="33" fillId="0" borderId="8" xfId="0" applyFont="1" applyBorder="1" applyAlignment="1" applyProtection="1">
      <alignment vertical="center"/>
      <protection hidden="1"/>
    </xf>
    <xf numFmtId="0" fontId="37" fillId="0" borderId="0" xfId="0" applyFont="1" applyBorder="1" applyProtection="1">
      <protection hidden="1"/>
    </xf>
    <xf numFmtId="0" fontId="37" fillId="0" borderId="8" xfId="0" applyFont="1" applyBorder="1" applyProtection="1">
      <protection hidden="1"/>
    </xf>
    <xf numFmtId="0" fontId="25" fillId="2" borderId="76" xfId="0" applyFont="1" applyFill="1" applyBorder="1" applyAlignment="1" applyProtection="1">
      <alignment horizontal="center" vertical="center"/>
      <protection hidden="1"/>
    </xf>
    <xf numFmtId="170" fontId="8" fillId="0" borderId="15" xfId="0" applyNumberFormat="1" applyFont="1" applyBorder="1" applyAlignment="1" applyProtection="1">
      <alignment horizontal="center" vertical="center"/>
      <protection hidden="1"/>
    </xf>
    <xf numFmtId="0" fontId="25" fillId="0" borderId="0" xfId="0" applyFont="1" applyFill="1" applyBorder="1" applyAlignment="1" applyProtection="1">
      <alignment horizontal="center" vertical="center" textRotation="90" wrapText="1"/>
      <protection hidden="1"/>
    </xf>
    <xf numFmtId="168" fontId="8" fillId="0" borderId="12" xfId="0" applyNumberFormat="1" applyFont="1" applyBorder="1" applyAlignment="1" applyProtection="1">
      <alignment horizontal="center" vertical="center"/>
      <protection hidden="1"/>
    </xf>
    <xf numFmtId="9" fontId="8" fillId="0" borderId="0" xfId="1" applyFont="1" applyFill="1" applyBorder="1" applyAlignment="1" applyProtection="1">
      <alignment horizontal="center"/>
      <protection hidden="1"/>
    </xf>
    <xf numFmtId="0" fontId="8" fillId="0" borderId="49" xfId="0" applyFont="1" applyBorder="1" applyAlignment="1" applyProtection="1">
      <alignment horizontal="center" vertical="center"/>
      <protection hidden="1"/>
    </xf>
    <xf numFmtId="0" fontId="25" fillId="0" borderId="5" xfId="0" applyFont="1" applyBorder="1" applyAlignment="1" applyProtection="1">
      <alignment horizontal="right"/>
      <protection hidden="1"/>
    </xf>
    <xf numFmtId="168" fontId="8" fillId="0" borderId="12" xfId="0" applyNumberFormat="1" applyFont="1" applyBorder="1" applyProtection="1">
      <protection hidden="1"/>
    </xf>
    <xf numFmtId="170" fontId="8" fillId="0" borderId="17" xfId="0" applyNumberFormat="1" applyFont="1" applyBorder="1" applyProtection="1">
      <protection hidden="1"/>
    </xf>
    <xf numFmtId="0" fontId="8" fillId="0" borderId="0" xfId="1" applyNumberFormat="1" applyFont="1" applyFill="1" applyBorder="1" applyAlignment="1" applyProtection="1">
      <alignment horizontal="center"/>
      <protection hidden="1"/>
    </xf>
    <xf numFmtId="9" fontId="8" fillId="0" borderId="15" xfId="1" applyFont="1" applyBorder="1" applyAlignment="1" applyProtection="1">
      <alignment horizontal="center"/>
      <protection hidden="1"/>
    </xf>
    <xf numFmtId="0" fontId="8" fillId="0" borderId="42" xfId="0" applyFont="1" applyBorder="1" applyAlignment="1" applyProtection="1">
      <alignment horizontal="center" vertical="center"/>
      <protection hidden="1"/>
    </xf>
    <xf numFmtId="0" fontId="8" fillId="0" borderId="33" xfId="0" applyFont="1" applyBorder="1" applyAlignment="1" applyProtection="1">
      <alignment horizontal="center" vertical="center"/>
      <protection hidden="1"/>
    </xf>
    <xf numFmtId="170" fontId="8" fillId="0" borderId="12" xfId="0" applyNumberFormat="1" applyFont="1" applyBorder="1" applyProtection="1">
      <protection hidden="1"/>
    </xf>
    <xf numFmtId="9" fontId="8" fillId="0" borderId="17" xfId="1" applyFont="1" applyBorder="1" applyAlignment="1" applyProtection="1">
      <alignment horizontal="center"/>
      <protection hidden="1"/>
    </xf>
    <xf numFmtId="0" fontId="8" fillId="0" borderId="28" xfId="0" applyFont="1" applyBorder="1" applyAlignment="1" applyProtection="1">
      <alignment horizontal="center"/>
      <protection hidden="1"/>
    </xf>
    <xf numFmtId="0" fontId="8" fillId="0" borderId="18" xfId="0" applyFont="1" applyBorder="1" applyAlignment="1" applyProtection="1">
      <alignment horizontal="center"/>
      <protection hidden="1"/>
    </xf>
    <xf numFmtId="170" fontId="8" fillId="0" borderId="19" xfId="0" applyNumberFormat="1" applyFont="1" applyBorder="1" applyProtection="1">
      <protection hidden="1"/>
    </xf>
    <xf numFmtId="170" fontId="8" fillId="0" borderId="20" xfId="0" applyNumberFormat="1" applyFont="1" applyBorder="1" applyProtection="1">
      <protection hidden="1"/>
    </xf>
    <xf numFmtId="9" fontId="8" fillId="0" borderId="17" xfId="0" applyNumberFormat="1" applyFont="1" applyBorder="1" applyAlignment="1" applyProtection="1">
      <alignment horizontal="center"/>
      <protection hidden="1"/>
    </xf>
    <xf numFmtId="0" fontId="8" fillId="0" borderId="68" xfId="0" applyFont="1" applyBorder="1" applyAlignment="1" applyProtection="1">
      <alignment horizontal="center"/>
      <protection hidden="1"/>
    </xf>
    <xf numFmtId="167" fontId="8" fillId="0" borderId="0" xfId="1" applyNumberFormat="1" applyFont="1" applyBorder="1" applyProtection="1">
      <protection hidden="1"/>
    </xf>
    <xf numFmtId="10" fontId="25" fillId="0" borderId="77" xfId="1" applyNumberFormat="1" applyFont="1" applyBorder="1" applyAlignment="1" applyProtection="1">
      <alignment horizontal="center"/>
      <protection hidden="1"/>
    </xf>
    <xf numFmtId="0" fontId="8" fillId="0" borderId="31" xfId="0" applyFont="1" applyBorder="1" applyProtection="1">
      <protection hidden="1"/>
    </xf>
    <xf numFmtId="9" fontId="8" fillId="0" borderId="37" xfId="0" applyNumberFormat="1" applyFont="1" applyBorder="1" applyAlignment="1" applyProtection="1">
      <alignment horizontal="center"/>
      <protection hidden="1"/>
    </xf>
    <xf numFmtId="9" fontId="8" fillId="0" borderId="16" xfId="1" applyFont="1" applyBorder="1" applyAlignment="1" applyProtection="1">
      <alignment vertical="top"/>
      <protection hidden="1"/>
    </xf>
    <xf numFmtId="9" fontId="8" fillId="0" borderId="12" xfId="1" applyFont="1" applyBorder="1" applyAlignment="1" applyProtection="1">
      <alignment vertical="top"/>
      <protection hidden="1"/>
    </xf>
    <xf numFmtId="9" fontId="8" fillId="0" borderId="17" xfId="1" applyFont="1" applyBorder="1" applyAlignment="1" applyProtection="1">
      <alignment vertical="top"/>
      <protection hidden="1"/>
    </xf>
    <xf numFmtId="0" fontId="8" fillId="0" borderId="9" xfId="0" applyFont="1" applyBorder="1" applyAlignment="1" applyProtection="1">
      <alignment horizontal="center" vertical="center"/>
      <protection hidden="1"/>
    </xf>
    <xf numFmtId="0" fontId="25" fillId="0" borderId="67" xfId="0" applyFont="1" applyBorder="1" applyAlignment="1" applyProtection="1">
      <alignment horizontal="center" vertical="center"/>
      <protection hidden="1"/>
    </xf>
    <xf numFmtId="9" fontId="25" fillId="0" borderId="51" xfId="0" applyNumberFormat="1" applyFont="1" applyBorder="1" applyAlignment="1" applyProtection="1">
      <alignment horizontal="center" vertical="center"/>
      <protection hidden="1"/>
    </xf>
    <xf numFmtId="9" fontId="8" fillId="0" borderId="31" xfId="1" applyFont="1" applyBorder="1" applyAlignment="1" applyProtection="1">
      <alignment vertical="top"/>
      <protection hidden="1"/>
    </xf>
    <xf numFmtId="9" fontId="8" fillId="0" borderId="36" xfId="1" applyFont="1" applyBorder="1" applyAlignment="1" applyProtection="1">
      <alignment vertical="top"/>
      <protection hidden="1"/>
    </xf>
    <xf numFmtId="9" fontId="8" fillId="0" borderId="37" xfId="1" applyFont="1" applyBorder="1" applyAlignment="1" applyProtection="1">
      <alignment vertical="top"/>
      <protection hidden="1"/>
    </xf>
    <xf numFmtId="0" fontId="25" fillId="0" borderId="0" xfId="0" applyFont="1" applyBorder="1" applyAlignment="1" applyProtection="1">
      <alignment vertical="center"/>
      <protection hidden="1"/>
    </xf>
    <xf numFmtId="0" fontId="25" fillId="0" borderId="8" xfId="0" applyFont="1" applyBorder="1" applyAlignment="1" applyProtection="1">
      <alignment vertical="center"/>
      <protection hidden="1"/>
    </xf>
    <xf numFmtId="9" fontId="8" fillId="0" borderId="50" xfId="1" applyFont="1" applyBorder="1" applyAlignment="1" applyProtection="1">
      <alignment vertical="top"/>
      <protection hidden="1"/>
    </xf>
    <xf numFmtId="9" fontId="8" fillId="0" borderId="51" xfId="1" applyFont="1" applyBorder="1" applyAlignment="1" applyProtection="1">
      <alignment vertical="top"/>
      <protection hidden="1"/>
    </xf>
    <xf numFmtId="9" fontId="8" fillId="0" borderId="49" xfId="1" applyFont="1" applyBorder="1" applyAlignment="1" applyProtection="1">
      <alignment horizontal="center" vertical="center"/>
      <protection hidden="1"/>
    </xf>
    <xf numFmtId="0" fontId="8" fillId="0" borderId="0" xfId="0" applyFont="1" applyFill="1" applyBorder="1" applyAlignment="1" applyProtection="1">
      <alignment horizontal="center" vertical="center" wrapText="1"/>
      <protection hidden="1"/>
    </xf>
    <xf numFmtId="9" fontId="8" fillId="0" borderId="42" xfId="1" applyFont="1" applyBorder="1" applyAlignment="1" applyProtection="1">
      <alignment horizontal="center" vertical="center"/>
      <protection hidden="1"/>
    </xf>
    <xf numFmtId="9" fontId="8" fillId="0" borderId="34" xfId="1" applyFont="1" applyBorder="1" applyAlignment="1" applyProtection="1">
      <alignment horizontal="center" vertical="center"/>
      <protection hidden="1"/>
    </xf>
    <xf numFmtId="9" fontId="8" fillId="0" borderId="28" xfId="1" applyFont="1" applyBorder="1" applyAlignment="1" applyProtection="1">
      <alignment horizontal="center" vertical="center"/>
      <protection hidden="1"/>
    </xf>
    <xf numFmtId="0" fontId="25" fillId="3" borderId="9" xfId="0" applyFont="1" applyFill="1" applyBorder="1" applyAlignment="1" applyProtection="1">
      <alignment horizontal="right"/>
      <protection hidden="1"/>
    </xf>
    <xf numFmtId="9" fontId="25" fillId="0" borderId="0" xfId="0" applyNumberFormat="1" applyFont="1" applyBorder="1" applyAlignment="1" applyProtection="1">
      <alignment horizontal="center" vertical="center"/>
      <protection hidden="1"/>
    </xf>
    <xf numFmtId="0" fontId="25" fillId="0" borderId="10" xfId="0" applyFont="1" applyBorder="1" applyAlignment="1" applyProtection="1">
      <alignment horizontal="center"/>
      <protection hidden="1"/>
    </xf>
    <xf numFmtId="0" fontId="8" fillId="0" borderId="0" xfId="0" applyFont="1" applyFill="1" applyBorder="1" applyAlignment="1" applyProtection="1">
      <alignment horizontal="center" vertical="top"/>
      <protection hidden="1"/>
    </xf>
    <xf numFmtId="9" fontId="25" fillId="0" borderId="2" xfId="0" applyNumberFormat="1" applyFont="1" applyBorder="1" applyProtection="1">
      <protection hidden="1"/>
    </xf>
    <xf numFmtId="0" fontId="27" fillId="0" borderId="3" xfId="0" applyFont="1" applyBorder="1" applyAlignment="1" applyProtection="1">
      <alignment vertical="center"/>
      <protection hidden="1"/>
    </xf>
    <xf numFmtId="0" fontId="25" fillId="5" borderId="40" xfId="0" applyFont="1" applyFill="1" applyBorder="1" applyAlignment="1" applyProtection="1">
      <alignment horizontal="center" vertical="center"/>
      <protection hidden="1"/>
    </xf>
    <xf numFmtId="0" fontId="25" fillId="6" borderId="40" xfId="0" applyFont="1" applyFill="1" applyBorder="1" applyAlignment="1" applyProtection="1">
      <alignment horizontal="center" vertical="center"/>
      <protection hidden="1"/>
    </xf>
    <xf numFmtId="0" fontId="25" fillId="7" borderId="40" xfId="0" applyFont="1" applyFill="1" applyBorder="1" applyAlignment="1" applyProtection="1">
      <alignment horizontal="center" vertical="center"/>
      <protection hidden="1"/>
    </xf>
    <xf numFmtId="0" fontId="25" fillId="11" borderId="40" xfId="0" applyFont="1" applyFill="1" applyBorder="1" applyAlignment="1" applyProtection="1">
      <alignment horizontal="center" vertical="center"/>
      <protection hidden="1"/>
    </xf>
    <xf numFmtId="0" fontId="27" fillId="0" borderId="0" xfId="0" applyFont="1" applyBorder="1" applyAlignment="1" applyProtection="1">
      <alignment vertical="center"/>
      <protection hidden="1"/>
    </xf>
    <xf numFmtId="0" fontId="27" fillId="0" borderId="8" xfId="0" applyFont="1" applyBorder="1" applyAlignment="1" applyProtection="1">
      <alignment vertical="center"/>
      <protection hidden="1"/>
    </xf>
    <xf numFmtId="0" fontId="8" fillId="0" borderId="28" xfId="0" applyFont="1" applyBorder="1" applyAlignment="1" applyProtection="1">
      <alignment horizontal="center" vertical="center"/>
      <protection hidden="1"/>
    </xf>
    <xf numFmtId="0" fontId="25" fillId="5" borderId="79" xfId="0" applyFont="1" applyFill="1" applyBorder="1" applyAlignment="1" applyProtection="1">
      <alignment horizontal="center" vertical="center"/>
      <protection hidden="1"/>
    </xf>
    <xf numFmtId="0" fontId="25" fillId="6" borderId="79" xfId="0" applyFont="1" applyFill="1" applyBorder="1" applyAlignment="1" applyProtection="1">
      <alignment horizontal="center" vertical="center"/>
      <protection hidden="1"/>
    </xf>
    <xf numFmtId="0" fontId="25" fillId="7" borderId="79" xfId="0" applyFont="1" applyFill="1" applyBorder="1" applyAlignment="1" applyProtection="1">
      <alignment horizontal="center" vertical="center"/>
      <protection hidden="1"/>
    </xf>
    <xf numFmtId="0" fontId="25" fillId="11" borderId="79" xfId="0" applyFont="1" applyFill="1" applyBorder="1" applyAlignment="1" applyProtection="1">
      <alignment horizontal="center" vertical="center"/>
      <protection hidden="1"/>
    </xf>
    <xf numFmtId="0" fontId="31" fillId="0" borderId="0" xfId="0" applyFont="1" applyBorder="1" applyAlignment="1" applyProtection="1">
      <alignment vertical="center"/>
      <protection hidden="1"/>
    </xf>
    <xf numFmtId="0" fontId="31" fillId="0" borderId="8" xfId="0" applyFont="1" applyBorder="1" applyAlignment="1" applyProtection="1">
      <alignment vertical="center"/>
      <protection hidden="1"/>
    </xf>
    <xf numFmtId="0" fontId="25" fillId="3" borderId="48" xfId="0" applyFont="1" applyFill="1" applyBorder="1" applyAlignment="1" applyProtection="1">
      <alignment horizontal="right"/>
      <protection hidden="1"/>
    </xf>
    <xf numFmtId="0" fontId="25" fillId="0" borderId="0" xfId="0" applyFont="1" applyBorder="1" applyAlignment="1" applyProtection="1">
      <alignment vertical="top"/>
      <protection hidden="1"/>
    </xf>
    <xf numFmtId="0" fontId="40" fillId="0" borderId="3" xfId="0" applyFont="1" applyBorder="1" applyAlignment="1" applyProtection="1">
      <alignment vertical="center"/>
      <protection hidden="1"/>
    </xf>
    <xf numFmtId="0" fontId="40" fillId="0" borderId="0" xfId="0" applyFont="1" applyBorder="1" applyAlignment="1" applyProtection="1">
      <alignment vertical="center"/>
      <protection hidden="1"/>
    </xf>
    <xf numFmtId="0" fontId="40" fillId="0" borderId="8" xfId="0" applyFont="1" applyBorder="1" applyAlignment="1" applyProtection="1">
      <alignment vertical="center"/>
      <protection hidden="1"/>
    </xf>
    <xf numFmtId="0" fontId="25" fillId="3" borderId="43" xfId="0" applyFont="1" applyFill="1" applyBorder="1" applyAlignment="1" applyProtection="1">
      <alignment horizontal="right"/>
      <protection hidden="1"/>
    </xf>
    <xf numFmtId="0" fontId="29" fillId="0" borderId="0" xfId="0" applyFont="1" applyBorder="1" applyAlignment="1" applyProtection="1">
      <alignment vertical="center"/>
      <protection hidden="1"/>
    </xf>
    <xf numFmtId="0" fontId="29" fillId="0" borderId="8" xfId="0" applyFont="1" applyBorder="1" applyAlignment="1" applyProtection="1">
      <alignment vertical="center"/>
      <protection hidden="1"/>
    </xf>
    <xf numFmtId="0" fontId="25" fillId="0" borderId="0" xfId="0" applyFont="1" applyFill="1" applyBorder="1" applyAlignment="1" applyProtection="1">
      <alignment vertical="center" textRotation="90" wrapText="1"/>
      <protection hidden="1"/>
    </xf>
    <xf numFmtId="9" fontId="8" fillId="0" borderId="0" xfId="0" applyNumberFormat="1" applyFont="1" applyFill="1" applyBorder="1" applyAlignment="1" applyProtection="1">
      <alignment vertical="center"/>
      <protection hidden="1"/>
    </xf>
    <xf numFmtId="168" fontId="8" fillId="0" borderId="12" xfId="0" applyNumberFormat="1" applyFont="1" applyBorder="1" applyAlignment="1" applyProtection="1">
      <alignment vertical="center"/>
      <protection hidden="1"/>
    </xf>
    <xf numFmtId="170" fontId="8" fillId="0" borderId="17" xfId="0" applyNumberFormat="1" applyFont="1" applyBorder="1" applyAlignment="1" applyProtection="1">
      <alignment vertical="center"/>
      <protection hidden="1"/>
    </xf>
    <xf numFmtId="0" fontId="35" fillId="0" borderId="3" xfId="0" applyFont="1" applyBorder="1" applyAlignment="1" applyProtection="1">
      <alignment vertical="center"/>
      <protection hidden="1"/>
    </xf>
    <xf numFmtId="0" fontId="35" fillId="0" borderId="0" xfId="0" applyFont="1" applyBorder="1" applyAlignment="1" applyProtection="1">
      <alignment vertical="center"/>
      <protection hidden="1"/>
    </xf>
    <xf numFmtId="0" fontId="35" fillId="0" borderId="8" xfId="0" applyFont="1" applyBorder="1" applyAlignment="1" applyProtection="1">
      <alignment vertical="center"/>
      <protection hidden="1"/>
    </xf>
    <xf numFmtId="0" fontId="25" fillId="3" borderId="25" xfId="0" applyFont="1" applyFill="1" applyBorder="1" applyAlignment="1" applyProtection="1">
      <alignment horizontal="right"/>
      <protection hidden="1"/>
    </xf>
    <xf numFmtId="170" fontId="8" fillId="0" borderId="12" xfId="0" applyNumberFormat="1" applyFont="1" applyBorder="1" applyAlignment="1" applyProtection="1">
      <alignment vertical="center"/>
      <protection hidden="1"/>
    </xf>
    <xf numFmtId="0" fontId="8" fillId="0" borderId="0" xfId="0" applyFont="1" applyFill="1" applyAlignment="1" applyProtection="1">
      <protection hidden="1"/>
    </xf>
    <xf numFmtId="170" fontId="8" fillId="0" borderId="19" xfId="0" applyNumberFormat="1" applyFont="1" applyBorder="1" applyAlignment="1" applyProtection="1">
      <alignment vertical="center"/>
      <protection hidden="1"/>
    </xf>
    <xf numFmtId="170" fontId="8" fillId="0" borderId="20" xfId="0" applyNumberFormat="1" applyFont="1" applyBorder="1" applyAlignment="1" applyProtection="1">
      <alignment vertical="center"/>
      <protection hidden="1"/>
    </xf>
    <xf numFmtId="0" fontId="33" fillId="0" borderId="0" xfId="0" applyFont="1" applyProtection="1">
      <protection hidden="1"/>
    </xf>
    <xf numFmtId="0" fontId="25" fillId="0" borderId="84" xfId="0" applyFont="1" applyBorder="1" applyAlignment="1" applyProtection="1">
      <alignment horizontal="right" vertical="center"/>
      <protection hidden="1"/>
    </xf>
    <xf numFmtId="168" fontId="25" fillId="0" borderId="77" xfId="0" applyNumberFormat="1" applyFont="1" applyBorder="1" applyAlignment="1" applyProtection="1">
      <alignment vertical="center"/>
      <protection hidden="1"/>
    </xf>
    <xf numFmtId="9" fontId="25" fillId="0" borderId="77" xfId="1" applyFont="1" applyBorder="1" applyAlignment="1" applyProtection="1">
      <alignment horizontal="center" vertical="center"/>
      <protection hidden="1"/>
    </xf>
    <xf numFmtId="0" fontId="8" fillId="0" borderId="3" xfId="0" applyFont="1" applyBorder="1" applyAlignment="1" applyProtection="1">
      <alignment vertical="center"/>
      <protection hidden="1"/>
    </xf>
    <xf numFmtId="0" fontId="25" fillId="0" borderId="3" xfId="0" applyFont="1" applyFill="1" applyBorder="1" applyAlignment="1" applyProtection="1">
      <alignment vertical="center"/>
      <protection hidden="1"/>
    </xf>
    <xf numFmtId="0" fontId="25" fillId="0" borderId="0" xfId="0" applyFont="1" applyFill="1" applyBorder="1" applyAlignment="1" applyProtection="1">
      <alignment vertical="center"/>
      <protection hidden="1"/>
    </xf>
    <xf numFmtId="0" fontId="25" fillId="0" borderId="8" xfId="0" applyFont="1" applyFill="1" applyBorder="1" applyAlignment="1" applyProtection="1">
      <alignment vertical="center"/>
      <protection hidden="1"/>
    </xf>
    <xf numFmtId="0" fontId="41" fillId="0" borderId="0" xfId="0" applyFont="1" applyProtection="1">
      <protection hidden="1"/>
    </xf>
    <xf numFmtId="0" fontId="8" fillId="0" borderId="3" xfId="0" applyFont="1" applyFill="1" applyBorder="1" applyAlignment="1" applyProtection="1">
      <alignment vertical="center"/>
      <protection hidden="1"/>
    </xf>
    <xf numFmtId="0" fontId="8" fillId="0" borderId="0" xfId="0" applyFont="1" applyFill="1" applyBorder="1" applyAlignment="1" applyProtection="1">
      <alignment vertical="center"/>
      <protection hidden="1"/>
    </xf>
    <xf numFmtId="9" fontId="25" fillId="0" borderId="51" xfId="0" applyNumberFormat="1" applyFont="1" applyBorder="1" applyAlignment="1" applyProtection="1">
      <alignment horizontal="center" vertical="top"/>
      <protection hidden="1"/>
    </xf>
    <xf numFmtId="0" fontId="25" fillId="0" borderId="0" xfId="0" applyFont="1" applyFill="1" applyBorder="1" applyAlignment="1" applyProtection="1">
      <alignment vertical="center" textRotation="90"/>
      <protection hidden="1"/>
    </xf>
    <xf numFmtId="9" fontId="25" fillId="0" borderId="0" xfId="1" applyFont="1" applyFill="1" applyBorder="1" applyAlignment="1" applyProtection="1">
      <alignment vertical="center"/>
      <protection hidden="1"/>
    </xf>
    <xf numFmtId="0" fontId="25" fillId="0" borderId="9" xfId="0" applyFont="1" applyBorder="1" applyAlignment="1" applyProtection="1">
      <alignment horizontal="right"/>
      <protection hidden="1"/>
    </xf>
    <xf numFmtId="167" fontId="8" fillId="0" borderId="10" xfId="1" applyNumberFormat="1" applyFont="1" applyBorder="1" applyProtection="1">
      <protection hidden="1"/>
    </xf>
    <xf numFmtId="9" fontId="8" fillId="0" borderId="10" xfId="1" applyFont="1" applyBorder="1" applyProtection="1">
      <protection hidden="1"/>
    </xf>
    <xf numFmtId="9" fontId="8" fillId="0" borderId="11" xfId="1" applyFont="1" applyBorder="1" applyProtection="1">
      <protection hidden="1"/>
    </xf>
    <xf numFmtId="9" fontId="8" fillId="0" borderId="6" xfId="1" applyFont="1" applyBorder="1" applyProtection="1">
      <protection hidden="1"/>
    </xf>
    <xf numFmtId="9" fontId="8" fillId="0" borderId="7" xfId="1" applyFont="1" applyBorder="1" applyProtection="1">
      <protection hidden="1"/>
    </xf>
    <xf numFmtId="0" fontId="25" fillId="0" borderId="6" xfId="0" applyFont="1" applyBorder="1" applyAlignment="1" applyProtection="1">
      <alignment horizontal="center" vertical="top"/>
      <protection hidden="1"/>
    </xf>
    <xf numFmtId="0" fontId="25" fillId="0" borderId="6" xfId="0" applyFont="1" applyBorder="1" applyAlignment="1" applyProtection="1">
      <alignment vertical="top"/>
      <protection hidden="1"/>
    </xf>
    <xf numFmtId="0" fontId="25" fillId="0" borderId="6" xfId="0" applyFont="1" applyBorder="1" applyProtection="1">
      <protection hidden="1"/>
    </xf>
    <xf numFmtId="9" fontId="8" fillId="0" borderId="8" xfId="1" applyFont="1" applyFill="1" applyBorder="1" applyProtection="1">
      <protection hidden="1"/>
    </xf>
    <xf numFmtId="0" fontId="25" fillId="0" borderId="0" xfId="0" applyFont="1" applyFill="1" applyBorder="1" applyAlignment="1" applyProtection="1">
      <alignment vertical="center" wrapText="1"/>
      <protection hidden="1"/>
    </xf>
    <xf numFmtId="0" fontId="25" fillId="0" borderId="8" xfId="0" applyFont="1" applyFill="1" applyBorder="1" applyAlignment="1" applyProtection="1">
      <alignment vertical="center" wrapText="1"/>
      <protection hidden="1"/>
    </xf>
    <xf numFmtId="0" fontId="25" fillId="0" borderId="8" xfId="0" applyFont="1" applyFill="1" applyBorder="1" applyProtection="1">
      <protection hidden="1"/>
    </xf>
    <xf numFmtId="9" fontId="8" fillId="0" borderId="69" xfId="1" applyFont="1" applyBorder="1" applyAlignment="1" applyProtection="1">
      <alignment horizontal="center" vertical="center"/>
      <protection hidden="1"/>
    </xf>
    <xf numFmtId="0" fontId="25" fillId="0" borderId="3" xfId="0" applyFont="1" applyFill="1" applyBorder="1" applyAlignment="1" applyProtection="1">
      <alignment horizontal="center" vertical="center"/>
      <protection hidden="1"/>
    </xf>
    <xf numFmtId="0" fontId="8" fillId="0" borderId="9" xfId="0" applyFont="1" applyFill="1" applyBorder="1" applyAlignment="1" applyProtection="1">
      <alignment horizontal="center" vertical="center"/>
      <protection hidden="1"/>
    </xf>
    <xf numFmtId="168" fontId="8" fillId="0" borderId="10" xfId="0" applyNumberFormat="1" applyFont="1" applyFill="1" applyBorder="1" applyAlignment="1" applyProtection="1">
      <alignment horizontal="center" vertical="center"/>
      <protection hidden="1"/>
    </xf>
    <xf numFmtId="0" fontId="8" fillId="0" borderId="10" xfId="0" applyFont="1" applyFill="1" applyBorder="1" applyProtection="1">
      <protection hidden="1"/>
    </xf>
    <xf numFmtId="9" fontId="8" fillId="0" borderId="10" xfId="1" applyFont="1" applyFill="1" applyBorder="1" applyAlignment="1" applyProtection="1">
      <alignment horizontal="center"/>
      <protection hidden="1"/>
    </xf>
    <xf numFmtId="0" fontId="8" fillId="0" borderId="10" xfId="0" applyFont="1" applyFill="1" applyBorder="1" applyAlignment="1" applyProtection="1">
      <alignment horizontal="center"/>
      <protection hidden="1"/>
    </xf>
    <xf numFmtId="9" fontId="8" fillId="0" borderId="11" xfId="1" applyFont="1" applyFill="1" applyBorder="1" applyProtection="1">
      <protection hidden="1"/>
    </xf>
    <xf numFmtId="0" fontId="8" fillId="22" borderId="0" xfId="0" applyFont="1" applyFill="1" applyBorder="1" applyAlignment="1" applyProtection="1">
      <alignment horizontal="center" vertical="center"/>
      <protection hidden="1"/>
    </xf>
    <xf numFmtId="168" fontId="8" fillId="22" borderId="0" xfId="0" applyNumberFormat="1" applyFont="1" applyFill="1" applyBorder="1" applyAlignment="1" applyProtection="1">
      <alignment horizontal="center" vertical="center"/>
      <protection hidden="1"/>
    </xf>
    <xf numFmtId="0" fontId="8" fillId="22" borderId="0" xfId="0" applyFont="1" applyFill="1" applyBorder="1" applyProtection="1">
      <protection hidden="1"/>
    </xf>
    <xf numFmtId="9" fontId="8" fillId="22" borderId="0" xfId="1" applyFont="1" applyFill="1" applyBorder="1" applyAlignment="1" applyProtection="1">
      <alignment horizontal="center"/>
      <protection hidden="1"/>
    </xf>
    <xf numFmtId="0" fontId="8" fillId="22" borderId="0" xfId="0" applyFont="1" applyFill="1" applyBorder="1" applyAlignment="1" applyProtection="1">
      <alignment horizontal="center"/>
      <protection hidden="1"/>
    </xf>
    <xf numFmtId="9" fontId="8" fillId="22" borderId="0" xfId="1" applyFont="1" applyFill="1" applyBorder="1" applyProtection="1">
      <protection hidden="1"/>
    </xf>
    <xf numFmtId="168" fontId="8" fillId="0" borderId="0" xfId="0" applyNumberFormat="1" applyFont="1" applyFill="1" applyBorder="1" applyProtection="1">
      <protection hidden="1"/>
    </xf>
    <xf numFmtId="0" fontId="32" fillId="0" borderId="0" xfId="0" applyFont="1" applyFill="1" applyAlignment="1" applyProtection="1">
      <protection hidden="1"/>
    </xf>
    <xf numFmtId="9" fontId="25" fillId="0" borderId="2" xfId="0" applyNumberFormat="1" applyFont="1" applyBorder="1" applyAlignment="1" applyProtection="1">
      <alignment horizontal="center" vertical="top"/>
      <protection hidden="1"/>
    </xf>
    <xf numFmtId="0" fontId="8" fillId="0" borderId="8" xfId="0" applyFont="1" applyBorder="1" applyAlignment="1" applyProtection="1">
      <alignment horizontal="center" vertical="center"/>
      <protection hidden="1"/>
    </xf>
    <xf numFmtId="168" fontId="25" fillId="0" borderId="0" xfId="0" applyNumberFormat="1" applyFont="1" applyFill="1" applyBorder="1" applyProtection="1">
      <protection hidden="1"/>
    </xf>
    <xf numFmtId="9" fontId="25" fillId="0" borderId="0" xfId="1" applyFont="1" applyFill="1" applyBorder="1" applyAlignment="1" applyProtection="1">
      <alignment horizontal="center"/>
      <protection hidden="1"/>
    </xf>
    <xf numFmtId="0" fontId="25" fillId="0" borderId="3" xfId="0" applyFont="1" applyFill="1" applyBorder="1" applyAlignment="1" applyProtection="1">
      <alignment horizontal="right"/>
      <protection hidden="1"/>
    </xf>
    <xf numFmtId="9" fontId="25" fillId="0" borderId="0" xfId="0" applyNumberFormat="1" applyFont="1" applyFill="1" applyBorder="1" applyAlignment="1" applyProtection="1">
      <alignment horizontal="center"/>
      <protection hidden="1"/>
    </xf>
    <xf numFmtId="0" fontId="25" fillId="0" borderId="0" xfId="0" applyFont="1" applyFill="1" applyBorder="1" applyAlignment="1" applyProtection="1">
      <alignment horizontal="right" vertical="center"/>
      <protection hidden="1"/>
    </xf>
    <xf numFmtId="9" fontId="8" fillId="0" borderId="0" xfId="1" applyFont="1" applyFill="1" applyBorder="1" applyAlignment="1" applyProtection="1">
      <alignment horizontal="center" vertical="top"/>
      <protection hidden="1"/>
    </xf>
    <xf numFmtId="0" fontId="25" fillId="0" borderId="8" xfId="0" applyFont="1" applyBorder="1" applyAlignment="1" applyProtection="1">
      <alignment horizontal="center"/>
      <protection hidden="1"/>
    </xf>
    <xf numFmtId="9" fontId="8" fillId="0" borderId="41" xfId="1" applyFont="1" applyBorder="1" applyAlignment="1" applyProtection="1">
      <alignment horizontal="center" vertical="center"/>
      <protection hidden="1"/>
    </xf>
    <xf numFmtId="0" fontId="8" fillId="0" borderId="65" xfId="0" applyFont="1" applyBorder="1" applyProtection="1">
      <protection hidden="1"/>
    </xf>
    <xf numFmtId="9" fontId="8" fillId="0" borderId="42" xfId="0" applyNumberFormat="1" applyFont="1" applyBorder="1" applyAlignment="1" applyProtection="1">
      <alignment horizontal="center" vertical="center"/>
      <protection hidden="1"/>
    </xf>
    <xf numFmtId="0" fontId="8" fillId="0" borderId="9" xfId="0" applyFont="1" applyFill="1" applyBorder="1" applyProtection="1">
      <protection hidden="1"/>
    </xf>
    <xf numFmtId="0" fontId="25" fillId="0" borderId="10" xfId="0" applyFont="1" applyFill="1" applyBorder="1" applyAlignment="1" applyProtection="1">
      <alignment horizontal="right"/>
      <protection hidden="1"/>
    </xf>
    <xf numFmtId="9" fontId="8" fillId="0" borderId="10" xfId="1" applyFont="1" applyFill="1" applyBorder="1" applyAlignment="1" applyProtection="1">
      <alignment horizontal="center" vertical="top"/>
      <protection hidden="1"/>
    </xf>
    <xf numFmtId="0" fontId="8" fillId="0" borderId="11" xfId="0" applyFont="1" applyFill="1" applyBorder="1" applyProtection="1">
      <protection hidden="1"/>
    </xf>
    <xf numFmtId="0" fontId="42" fillId="0" borderId="0" xfId="0" applyFont="1" applyFill="1" applyAlignment="1" applyProtection="1">
      <protection hidden="1"/>
    </xf>
    <xf numFmtId="0" fontId="33" fillId="22" borderId="0" xfId="0" applyFont="1" applyFill="1" applyBorder="1" applyProtection="1">
      <protection hidden="1"/>
    </xf>
    <xf numFmtId="9" fontId="33" fillId="22" borderId="0" xfId="1" applyFont="1" applyFill="1" applyBorder="1" applyAlignment="1" applyProtection="1">
      <alignment horizontal="center" vertical="top"/>
      <protection hidden="1"/>
    </xf>
    <xf numFmtId="9" fontId="8" fillId="0" borderId="0" xfId="1" applyFont="1" applyFill="1" applyAlignment="1" applyProtection="1">
      <protection hidden="1"/>
    </xf>
    <xf numFmtId="0" fontId="8" fillId="0" borderId="0" xfId="0" applyFont="1" applyFill="1" applyProtection="1">
      <protection hidden="1"/>
    </xf>
    <xf numFmtId="9" fontId="8" fillId="0" borderId="42" xfId="0" applyNumberFormat="1" applyFont="1" applyBorder="1" applyAlignment="1" applyProtection="1">
      <alignment horizontal="center"/>
      <protection hidden="1"/>
    </xf>
    <xf numFmtId="9" fontId="8" fillId="0" borderId="28" xfId="0" applyNumberFormat="1" applyFont="1" applyBorder="1" applyAlignment="1" applyProtection="1">
      <alignment horizontal="center"/>
      <protection hidden="1"/>
    </xf>
    <xf numFmtId="168" fontId="8" fillId="0" borderId="0" xfId="0" applyNumberFormat="1" applyFont="1" applyFill="1" applyBorder="1" applyAlignment="1" applyProtection="1">
      <alignment horizontal="center" vertical="center"/>
      <protection hidden="1"/>
    </xf>
    <xf numFmtId="168" fontId="25" fillId="0" borderId="0" xfId="0" applyNumberFormat="1" applyFont="1" applyFill="1" applyBorder="1" applyAlignment="1" applyProtection="1">
      <alignment horizontal="right" vertical="center"/>
      <protection hidden="1"/>
    </xf>
    <xf numFmtId="171" fontId="8" fillId="0" borderId="0" xfId="0" applyNumberFormat="1" applyFont="1" applyFill="1" applyBorder="1" applyProtection="1">
      <protection hidden="1"/>
    </xf>
    <xf numFmtId="9" fontId="8" fillId="0" borderId="13" xfId="1" applyFont="1" applyBorder="1" applyAlignment="1" applyProtection="1">
      <alignment vertical="center"/>
      <protection hidden="1"/>
    </xf>
    <xf numFmtId="9" fontId="8" fillId="0" borderId="14" xfId="1" applyFont="1" applyBorder="1" applyAlignment="1" applyProtection="1">
      <alignment vertical="center"/>
      <protection hidden="1"/>
    </xf>
    <xf numFmtId="9" fontId="8" fillId="0" borderId="15" xfId="1" applyFont="1" applyBorder="1" applyAlignment="1" applyProtection="1">
      <alignment vertical="center"/>
      <protection hidden="1"/>
    </xf>
    <xf numFmtId="9" fontId="8" fillId="0" borderId="16" xfId="1" applyFont="1" applyBorder="1" applyAlignment="1" applyProtection="1">
      <alignment vertical="center"/>
      <protection hidden="1"/>
    </xf>
    <xf numFmtId="9" fontId="8" fillId="0" borderId="12" xfId="1" applyFont="1" applyBorder="1" applyAlignment="1" applyProtection="1">
      <alignment vertical="center"/>
      <protection hidden="1"/>
    </xf>
    <xf numFmtId="9" fontId="8" fillId="0" borderId="17" xfId="1" applyFont="1" applyBorder="1" applyAlignment="1" applyProtection="1">
      <alignment vertical="center"/>
      <protection hidden="1"/>
    </xf>
    <xf numFmtId="9" fontId="8" fillId="0" borderId="0" xfId="1" applyFont="1" applyFill="1" applyBorder="1" applyAlignment="1" applyProtection="1">
      <alignment vertical="top"/>
      <protection hidden="1"/>
    </xf>
    <xf numFmtId="9" fontId="8" fillId="0" borderId="18" xfId="1" applyFont="1" applyBorder="1" applyAlignment="1" applyProtection="1">
      <alignment vertical="center"/>
      <protection hidden="1"/>
    </xf>
    <xf numFmtId="9" fontId="8" fillId="0" borderId="19" xfId="1" applyFont="1" applyBorder="1" applyAlignment="1" applyProtection="1">
      <alignment vertical="center"/>
      <protection hidden="1"/>
    </xf>
    <xf numFmtId="9" fontId="8" fillId="0" borderId="20" xfId="1" applyFont="1" applyBorder="1" applyAlignment="1" applyProtection="1">
      <alignment vertical="center"/>
      <protection hidden="1"/>
    </xf>
    <xf numFmtId="9" fontId="8" fillId="0" borderId="0" xfId="1" applyFont="1" applyFill="1" applyBorder="1" applyAlignment="1" applyProtection="1">
      <alignment vertical="center"/>
      <protection hidden="1"/>
    </xf>
    <xf numFmtId="0" fontId="8" fillId="0" borderId="0" xfId="1" applyNumberFormat="1" applyFont="1" applyFill="1" applyBorder="1" applyAlignment="1" applyProtection="1">
      <alignment horizontal="center" vertical="center"/>
      <protection hidden="1"/>
    </xf>
    <xf numFmtId="0" fontId="32" fillId="0" borderId="0" xfId="0" applyFont="1" applyFill="1" applyBorder="1" applyAlignment="1" applyProtection="1">
      <protection hidden="1"/>
    </xf>
    <xf numFmtId="0" fontId="25" fillId="0" borderId="0" xfId="0" applyFont="1" applyFill="1" applyBorder="1" applyAlignment="1" applyProtection="1">
      <alignment vertical="top"/>
      <protection hidden="1"/>
    </xf>
    <xf numFmtId="0" fontId="25" fillId="22" borderId="0" xfId="0" applyFont="1" applyFill="1" applyBorder="1" applyAlignment="1" applyProtection="1">
      <alignment vertical="center" wrapText="1"/>
      <protection hidden="1"/>
    </xf>
    <xf numFmtId="9" fontId="8" fillId="0" borderId="0" xfId="0" applyNumberFormat="1" applyFont="1" applyFill="1" applyBorder="1" applyAlignment="1" applyProtection="1">
      <alignment horizontal="center"/>
      <protection hidden="1"/>
    </xf>
    <xf numFmtId="0" fontId="25" fillId="0" borderId="3" xfId="0" applyFont="1" applyBorder="1" applyAlignment="1" applyProtection="1">
      <alignment horizontal="center"/>
      <protection hidden="1"/>
    </xf>
    <xf numFmtId="0" fontId="8" fillId="0" borderId="0" xfId="0" applyFont="1" applyFill="1" applyBorder="1" applyAlignment="1" applyProtection="1">
      <alignment horizontal="left" vertical="center"/>
      <protection hidden="1"/>
    </xf>
    <xf numFmtId="0" fontId="8" fillId="0" borderId="0" xfId="0" applyFont="1" applyFill="1" applyBorder="1" applyAlignment="1" applyProtection="1">
      <alignment horizontal="left"/>
      <protection hidden="1"/>
    </xf>
    <xf numFmtId="0" fontId="25" fillId="3" borderId="33" xfId="0" applyFont="1" applyFill="1" applyBorder="1" applyAlignment="1" applyProtection="1">
      <alignment horizontal="right"/>
      <protection hidden="1"/>
    </xf>
    <xf numFmtId="0" fontId="25" fillId="3" borderId="26" xfId="0" applyFont="1" applyFill="1" applyBorder="1" applyAlignment="1" applyProtection="1">
      <alignment horizontal="right"/>
      <protection hidden="1"/>
    </xf>
    <xf numFmtId="0" fontId="25" fillId="0" borderId="10" xfId="0" applyFont="1" applyBorder="1" applyProtection="1">
      <protection hidden="1"/>
    </xf>
    <xf numFmtId="0" fontId="8" fillId="0" borderId="63" xfId="0" applyFont="1" applyBorder="1" applyAlignment="1" applyProtection="1">
      <alignment horizontal="center" vertical="center"/>
      <protection hidden="1"/>
    </xf>
    <xf numFmtId="9" fontId="8" fillId="0" borderId="29" xfId="1" applyFont="1" applyBorder="1" applyAlignment="1" applyProtection="1">
      <alignment horizontal="center" vertical="center"/>
      <protection hidden="1"/>
    </xf>
    <xf numFmtId="0" fontId="25" fillId="3" borderId="42" xfId="0" applyFont="1" applyFill="1" applyBorder="1" applyAlignment="1" applyProtection="1">
      <alignment horizontal="right"/>
      <protection hidden="1"/>
    </xf>
    <xf numFmtId="9" fontId="8" fillId="0" borderId="23" xfId="1" applyFont="1" applyBorder="1" applyAlignment="1" applyProtection="1">
      <alignment horizontal="center" vertical="center"/>
      <protection hidden="1"/>
    </xf>
    <xf numFmtId="0" fontId="25" fillId="0" borderId="3" xfId="0" applyFont="1" applyBorder="1" applyAlignment="1" applyProtection="1">
      <alignment vertical="center"/>
      <protection hidden="1"/>
    </xf>
    <xf numFmtId="0" fontId="25" fillId="3" borderId="28" xfId="0" applyFont="1" applyFill="1" applyBorder="1" applyAlignment="1" applyProtection="1">
      <alignment horizontal="right"/>
      <protection hidden="1"/>
    </xf>
    <xf numFmtId="9" fontId="8" fillId="0" borderId="24" xfId="1" applyFont="1" applyBorder="1" applyAlignment="1" applyProtection="1">
      <alignment horizontal="center" vertical="center"/>
      <protection hidden="1"/>
    </xf>
    <xf numFmtId="0" fontId="25" fillId="0" borderId="0" xfId="0" applyFont="1" applyAlignment="1" applyProtection="1">
      <alignment vertical="center" textRotation="90" wrapText="1"/>
      <protection hidden="1"/>
    </xf>
    <xf numFmtId="0" fontId="25" fillId="0" borderId="0" xfId="0" applyFont="1" applyAlignment="1" applyProtection="1">
      <alignment horizontal="center"/>
      <protection hidden="1"/>
    </xf>
    <xf numFmtId="0" fontId="8" fillId="0" borderId="3" xfId="0" applyFont="1" applyBorder="1" applyAlignment="1" applyProtection="1">
      <alignment horizontal="center" vertical="center"/>
      <protection hidden="1"/>
    </xf>
    <xf numFmtId="168" fontId="8" fillId="0" borderId="0" xfId="0" applyNumberFormat="1" applyFont="1" applyAlignment="1" applyProtection="1">
      <alignment horizontal="center" vertical="center"/>
      <protection hidden="1"/>
    </xf>
    <xf numFmtId="168" fontId="8" fillId="0" borderId="0" xfId="0" applyNumberFormat="1" applyFont="1" applyProtection="1">
      <protection hidden="1"/>
    </xf>
    <xf numFmtId="0" fontId="25" fillId="0" borderId="0" xfId="0" applyFont="1" applyAlignment="1" applyProtection="1">
      <alignment horizontal="right"/>
      <protection hidden="1"/>
    </xf>
    <xf numFmtId="168" fontId="25" fillId="0" borderId="0" xfId="0" applyNumberFormat="1" applyFont="1" applyProtection="1">
      <protection hidden="1"/>
    </xf>
    <xf numFmtId="9" fontId="8" fillId="0" borderId="0" xfId="1" applyFont="1" applyAlignment="1" applyProtection="1">
      <alignment horizontal="center"/>
      <protection hidden="1"/>
    </xf>
    <xf numFmtId="0" fontId="25" fillId="0" borderId="0" xfId="0" applyFont="1" applyAlignment="1" applyProtection="1">
      <alignment vertical="center" wrapText="1"/>
      <protection hidden="1"/>
    </xf>
    <xf numFmtId="0" fontId="8" fillId="0" borderId="0" xfId="0" applyFont="1" applyAlignment="1" applyProtection="1">
      <alignment horizontal="center"/>
      <protection hidden="1"/>
    </xf>
    <xf numFmtId="9" fontId="8" fillId="0" borderId="0" xfId="1" applyFont="1" applyProtection="1">
      <protection hidden="1"/>
    </xf>
    <xf numFmtId="0" fontId="25" fillId="3" borderId="41" xfId="0" applyFont="1" applyFill="1" applyBorder="1" applyAlignment="1" applyProtection="1">
      <alignment horizontal="right"/>
      <protection hidden="1"/>
    </xf>
    <xf numFmtId="9" fontId="25" fillId="0" borderId="0" xfId="1" applyFont="1" applyAlignment="1" applyProtection="1">
      <alignment horizontal="center"/>
      <protection hidden="1"/>
    </xf>
    <xf numFmtId="9" fontId="8" fillId="0" borderId="33" xfId="1" applyFont="1" applyBorder="1" applyAlignment="1" applyProtection="1">
      <alignment horizontal="center" vertical="center"/>
      <protection hidden="1"/>
    </xf>
    <xf numFmtId="9" fontId="8" fillId="0" borderId="0" xfId="0" applyNumberFormat="1" applyFont="1" applyFill="1" applyBorder="1" applyProtection="1">
      <protection hidden="1"/>
    </xf>
    <xf numFmtId="0" fontId="43" fillId="0" borderId="0" xfId="0" applyFont="1" applyFill="1" applyBorder="1" applyAlignment="1" applyProtection="1">
      <alignment vertical="center"/>
      <protection hidden="1"/>
    </xf>
    <xf numFmtId="0" fontId="38" fillId="0" borderId="0" xfId="0" applyFont="1" applyFill="1" applyBorder="1" applyAlignment="1" applyProtection="1">
      <alignment vertical="center" textRotation="90" wrapText="1"/>
      <protection hidden="1"/>
    </xf>
    <xf numFmtId="0" fontId="38" fillId="0" borderId="0" xfId="0" applyFont="1" applyFill="1" applyBorder="1" applyAlignment="1" applyProtection="1">
      <alignment horizontal="center" vertical="center" textRotation="90" wrapText="1"/>
      <protection hidden="1"/>
    </xf>
    <xf numFmtId="0" fontId="37" fillId="0" borderId="3" xfId="0" applyFont="1" applyBorder="1" applyAlignment="1" applyProtection="1">
      <alignment vertical="center" wrapText="1"/>
      <protection hidden="1"/>
    </xf>
    <xf numFmtId="0" fontId="37" fillId="0" borderId="0" xfId="0" applyFont="1" applyBorder="1" applyAlignment="1" applyProtection="1">
      <alignment vertical="center" wrapText="1"/>
      <protection hidden="1"/>
    </xf>
    <xf numFmtId="0" fontId="37" fillId="0" borderId="8" xfId="0" applyFont="1" applyBorder="1" applyAlignment="1" applyProtection="1">
      <alignment vertical="center" wrapText="1"/>
      <protection hidden="1"/>
    </xf>
    <xf numFmtId="0" fontId="8" fillId="0" borderId="65" xfId="0" applyFont="1" applyBorder="1" applyAlignment="1" applyProtection="1">
      <alignment horizontal="center"/>
      <protection hidden="1"/>
    </xf>
    <xf numFmtId="0" fontId="25" fillId="0" borderId="3" xfId="0" applyFont="1" applyBorder="1" applyAlignment="1" applyProtection="1">
      <alignment vertical="center" wrapText="1"/>
      <protection hidden="1"/>
    </xf>
    <xf numFmtId="0" fontId="25" fillId="0" borderId="0" xfId="0" applyFont="1" applyBorder="1" applyAlignment="1" applyProtection="1">
      <alignment vertical="center" wrapText="1"/>
      <protection hidden="1"/>
    </xf>
    <xf numFmtId="0" fontId="25" fillId="0" borderId="8" xfId="0" applyFont="1" applyBorder="1" applyAlignment="1" applyProtection="1">
      <alignment vertical="center" wrapText="1"/>
      <protection hidden="1"/>
    </xf>
    <xf numFmtId="0" fontId="37" fillId="0" borderId="3" xfId="0" applyFont="1" applyBorder="1" applyProtection="1">
      <protection hidden="1"/>
    </xf>
    <xf numFmtId="9" fontId="25" fillId="0" borderId="68" xfId="1" applyFont="1" applyBorder="1" applyAlignment="1" applyProtection="1">
      <alignment horizontal="center" vertical="center"/>
      <protection hidden="1"/>
    </xf>
    <xf numFmtId="0" fontId="8" fillId="0" borderId="64" xfId="0" applyFont="1" applyBorder="1" applyAlignment="1" applyProtection="1">
      <alignment horizontal="center" vertical="top"/>
      <protection hidden="1"/>
    </xf>
    <xf numFmtId="0" fontId="8" fillId="0" borderId="65" xfId="0" applyFont="1" applyBorder="1" applyAlignment="1" applyProtection="1">
      <alignment horizontal="center" vertical="top"/>
      <protection hidden="1"/>
    </xf>
    <xf numFmtId="0" fontId="8" fillId="0" borderId="40" xfId="0" applyFont="1" applyBorder="1" applyAlignment="1" applyProtection="1">
      <alignment horizontal="center" vertical="top"/>
      <protection hidden="1"/>
    </xf>
    <xf numFmtId="0" fontId="8" fillId="0" borderId="9" xfId="0" applyFont="1" applyBorder="1" applyAlignment="1" applyProtection="1">
      <alignment vertical="top"/>
      <protection hidden="1"/>
    </xf>
    <xf numFmtId="0" fontId="34" fillId="8" borderId="0" xfId="0" applyFont="1" applyFill="1" applyBorder="1" applyAlignment="1" applyProtection="1">
      <alignment vertical="center"/>
      <protection hidden="1"/>
    </xf>
    <xf numFmtId="0" fontId="25" fillId="0" borderId="0" xfId="0" applyFont="1" applyFill="1" applyAlignment="1" applyProtection="1">
      <alignment vertical="center" wrapText="1"/>
      <protection hidden="1"/>
    </xf>
    <xf numFmtId="0" fontId="8" fillId="0" borderId="0" xfId="0" applyFont="1" applyFill="1" applyBorder="1" applyAlignment="1" applyProtection="1">
      <alignment horizontal="left" vertical="top"/>
      <protection hidden="1"/>
    </xf>
    <xf numFmtId="0" fontId="34" fillId="0" borderId="0" xfId="0" applyFont="1" applyFill="1" applyBorder="1" applyAlignment="1" applyProtection="1">
      <alignment vertical="center"/>
      <protection hidden="1"/>
    </xf>
    <xf numFmtId="0" fontId="34" fillId="24" borderId="0" xfId="0" applyFont="1" applyFill="1" applyBorder="1" applyAlignment="1" applyProtection="1">
      <alignment vertical="center"/>
      <protection hidden="1"/>
    </xf>
    <xf numFmtId="0" fontId="8" fillId="0" borderId="0" xfId="0" applyFont="1" applyFill="1" applyBorder="1" applyAlignment="1" applyProtection="1">
      <protection hidden="1"/>
    </xf>
    <xf numFmtId="0" fontId="28" fillId="12" borderId="6" xfId="0" applyFont="1" applyFill="1" applyBorder="1" applyAlignment="1" applyProtection="1">
      <alignment horizontal="center" vertical="center"/>
      <protection hidden="1"/>
    </xf>
    <xf numFmtId="0" fontId="31" fillId="12" borderId="6" xfId="0" applyFont="1" applyFill="1" applyBorder="1" applyAlignment="1" applyProtection="1">
      <alignment horizontal="center" vertical="center"/>
      <protection hidden="1"/>
    </xf>
    <xf numFmtId="0" fontId="6" fillId="15" borderId="0" xfId="0" applyFont="1" applyFill="1" applyProtection="1">
      <protection hidden="1"/>
    </xf>
    <xf numFmtId="0" fontId="35" fillId="2" borderId="6" xfId="0" applyFont="1" applyFill="1" applyBorder="1" applyAlignment="1" applyProtection="1">
      <alignment vertical="center" wrapText="1"/>
      <protection hidden="1"/>
    </xf>
    <xf numFmtId="0" fontId="35" fillId="2" borderId="7" xfId="0" applyFont="1" applyFill="1" applyBorder="1" applyAlignment="1" applyProtection="1">
      <alignment vertical="center" wrapText="1"/>
      <protection hidden="1"/>
    </xf>
    <xf numFmtId="0" fontId="35" fillId="2" borderId="5" xfId="0" applyFont="1" applyFill="1" applyBorder="1" applyAlignment="1" applyProtection="1">
      <alignment horizontal="center" vertical="center" wrapText="1"/>
      <protection hidden="1"/>
    </xf>
    <xf numFmtId="0" fontId="35" fillId="2" borderId="7" xfId="0" applyFont="1" applyFill="1" applyBorder="1" applyAlignment="1" applyProtection="1">
      <alignment horizontal="center" vertical="center" wrapText="1"/>
      <protection hidden="1"/>
    </xf>
    <xf numFmtId="0" fontId="7" fillId="15" borderId="0" xfId="0" applyFont="1" applyFill="1" applyBorder="1" applyProtection="1">
      <protection hidden="1"/>
    </xf>
    <xf numFmtId="0" fontId="7" fillId="15" borderId="0" xfId="0" applyFont="1" applyFill="1" applyBorder="1" applyAlignment="1" applyProtection="1">
      <alignment horizontal="left" vertical="top"/>
      <protection hidden="1"/>
    </xf>
    <xf numFmtId="0" fontId="34" fillId="2" borderId="0" xfId="0" applyFont="1" applyFill="1" applyBorder="1" applyAlignment="1" applyProtection="1">
      <alignment horizontal="center" vertical="center" wrapText="1"/>
      <protection hidden="1"/>
    </xf>
    <xf numFmtId="0" fontId="34" fillId="2" borderId="31" xfId="0" applyFont="1" applyFill="1" applyBorder="1" applyAlignment="1" applyProtection="1">
      <alignment horizontal="center" vertical="center" wrapText="1"/>
      <protection hidden="1"/>
    </xf>
    <xf numFmtId="0" fontId="34" fillId="2" borderId="6" xfId="0" applyFont="1" applyFill="1" applyBorder="1" applyAlignment="1" applyProtection="1">
      <alignment horizontal="center" vertical="center" wrapText="1"/>
      <protection hidden="1"/>
    </xf>
    <xf numFmtId="0" fontId="46" fillId="15" borderId="0" xfId="0" applyFont="1" applyFill="1" applyAlignment="1" applyProtection="1">
      <alignment horizontal="left" vertical="top"/>
      <protection hidden="1"/>
    </xf>
    <xf numFmtId="0" fontId="46" fillId="15" borderId="0" xfId="0" applyFont="1" applyFill="1" applyProtection="1">
      <protection hidden="1"/>
    </xf>
    <xf numFmtId="0" fontId="6" fillId="15" borderId="0" xfId="0" applyFont="1" applyFill="1" applyAlignment="1" applyProtection="1">
      <alignment vertical="center"/>
      <protection hidden="1"/>
    </xf>
    <xf numFmtId="0" fontId="26" fillId="15" borderId="0" xfId="0" applyFont="1" applyFill="1" applyAlignment="1" applyProtection="1">
      <alignment vertical="center"/>
      <protection hidden="1"/>
    </xf>
    <xf numFmtId="0" fontId="26" fillId="15" borderId="0" xfId="0" applyFont="1" applyFill="1" applyProtection="1">
      <protection hidden="1"/>
    </xf>
    <xf numFmtId="0" fontId="34" fillId="2" borderId="63" xfId="0" applyFont="1" applyFill="1" applyBorder="1" applyAlignment="1" applyProtection="1">
      <alignment vertical="center" wrapText="1"/>
      <protection hidden="1"/>
    </xf>
    <xf numFmtId="0" fontId="35" fillId="2" borderId="9" xfId="0" applyFont="1" applyFill="1" applyBorder="1" applyAlignment="1" applyProtection="1">
      <alignment horizontal="center" vertical="center" wrapText="1"/>
      <protection hidden="1"/>
    </xf>
    <xf numFmtId="0" fontId="35" fillId="2" borderId="11" xfId="0" applyFont="1" applyFill="1" applyBorder="1" applyAlignment="1" applyProtection="1">
      <alignment horizontal="center" vertical="center" wrapText="1"/>
      <protection hidden="1"/>
    </xf>
    <xf numFmtId="0" fontId="34" fillId="2" borderId="63" xfId="0" applyFont="1" applyFill="1" applyBorder="1" applyAlignment="1" applyProtection="1">
      <alignment horizontal="center" vertical="center" wrapText="1"/>
      <protection hidden="1"/>
    </xf>
    <xf numFmtId="0" fontId="34" fillId="2" borderId="38" xfId="0" applyFont="1" applyFill="1" applyBorder="1" applyAlignment="1" applyProtection="1">
      <alignment horizontal="center" vertical="center" wrapText="1"/>
      <protection hidden="1"/>
    </xf>
    <xf numFmtId="0" fontId="34" fillId="2" borderId="36" xfId="0" applyFont="1" applyFill="1" applyBorder="1" applyAlignment="1" applyProtection="1">
      <alignment horizontal="center" vertical="center" wrapText="1"/>
      <protection hidden="1"/>
    </xf>
    <xf numFmtId="0" fontId="34" fillId="2" borderId="55" xfId="0" applyFont="1" applyFill="1" applyBorder="1" applyAlignment="1" applyProtection="1">
      <alignment horizontal="center" vertical="center" wrapText="1"/>
      <protection hidden="1"/>
    </xf>
    <xf numFmtId="0" fontId="34" fillId="2" borderId="37" xfId="0" applyFont="1" applyFill="1" applyBorder="1" applyAlignment="1" applyProtection="1">
      <alignment horizontal="center" vertical="center" wrapText="1"/>
      <protection hidden="1"/>
    </xf>
    <xf numFmtId="0" fontId="34" fillId="2" borderId="5" xfId="0" applyFont="1" applyFill="1" applyBorder="1" applyAlignment="1" applyProtection="1">
      <alignment horizontal="center" vertical="center" wrapText="1"/>
      <protection hidden="1"/>
    </xf>
    <xf numFmtId="0" fontId="34" fillId="2" borderId="76" xfId="0" applyFont="1" applyFill="1" applyBorder="1" applyAlignment="1" applyProtection="1">
      <alignment horizontal="center" vertical="center" wrapText="1"/>
      <protection hidden="1"/>
    </xf>
    <xf numFmtId="0" fontId="35" fillId="2" borderId="54" xfId="0" applyFont="1" applyFill="1" applyBorder="1" applyAlignment="1" applyProtection="1">
      <alignment horizontal="center" vertical="center" wrapText="1"/>
      <protection hidden="1"/>
    </xf>
    <xf numFmtId="0" fontId="35" fillId="2" borderId="66" xfId="0" applyFont="1" applyFill="1" applyBorder="1" applyAlignment="1" applyProtection="1">
      <alignment horizontal="center" vertical="center" wrapText="1"/>
      <protection hidden="1"/>
    </xf>
    <xf numFmtId="0" fontId="35" fillId="2" borderId="46" xfId="0" applyFont="1" applyFill="1" applyBorder="1" applyAlignment="1" applyProtection="1">
      <alignment horizontal="center" vertical="center" wrapText="1"/>
      <protection hidden="1"/>
    </xf>
    <xf numFmtId="0" fontId="51" fillId="15" borderId="0" xfId="0" applyFont="1" applyFill="1" applyProtection="1">
      <protection hidden="1"/>
    </xf>
    <xf numFmtId="0" fontId="51" fillId="15" borderId="0" xfId="0" applyFont="1" applyFill="1" applyAlignment="1" applyProtection="1">
      <alignment horizontal="left" vertical="top"/>
      <protection hidden="1"/>
    </xf>
    <xf numFmtId="0" fontId="34" fillId="2" borderId="24" xfId="0" applyFont="1" applyFill="1" applyBorder="1" applyAlignment="1" applyProtection="1">
      <alignment horizontal="center" vertical="center" wrapText="1"/>
      <protection hidden="1"/>
    </xf>
    <xf numFmtId="0" fontId="34" fillId="2" borderId="19" xfId="0" applyFont="1" applyFill="1" applyBorder="1" applyAlignment="1" applyProtection="1">
      <alignment horizontal="center" vertical="center" wrapText="1"/>
      <protection hidden="1"/>
    </xf>
    <xf numFmtId="0" fontId="34" fillId="2" borderId="27" xfId="0" applyFont="1" applyFill="1" applyBorder="1" applyAlignment="1" applyProtection="1">
      <alignment horizontal="center" vertical="center" wrapText="1"/>
      <protection hidden="1"/>
    </xf>
    <xf numFmtId="0" fontId="34" fillId="2" borderId="18" xfId="0" applyFont="1" applyFill="1" applyBorder="1" applyAlignment="1" applyProtection="1">
      <alignment horizontal="center" vertical="center" wrapText="1"/>
      <protection hidden="1"/>
    </xf>
    <xf numFmtId="0" fontId="34" fillId="2" borderId="20"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0" fontId="35" fillId="2" borderId="52" xfId="0" applyFont="1" applyFill="1" applyBorder="1" applyAlignment="1" applyProtection="1">
      <alignment horizontal="center" vertical="center" wrapText="1"/>
      <protection hidden="1"/>
    </xf>
    <xf numFmtId="0" fontId="35" fillId="2" borderId="67" xfId="0" applyFont="1" applyFill="1" applyBorder="1" applyAlignment="1" applyProtection="1">
      <alignment horizontal="center" vertical="center" wrapText="1"/>
      <protection hidden="1"/>
    </xf>
    <xf numFmtId="0" fontId="35" fillId="2" borderId="51" xfId="0" applyFont="1" applyFill="1" applyBorder="1" applyAlignment="1" applyProtection="1">
      <alignment horizontal="center" vertical="center" wrapText="1"/>
      <protection hidden="1"/>
    </xf>
    <xf numFmtId="0" fontId="34" fillId="2" borderId="1" xfId="0" applyFont="1" applyFill="1" applyBorder="1" applyAlignment="1" applyProtection="1">
      <alignment horizontal="center" vertical="center" wrapText="1"/>
      <protection hidden="1"/>
    </xf>
    <xf numFmtId="0" fontId="34" fillId="2" borderId="69" xfId="0" applyFont="1" applyFill="1" applyBorder="1" applyAlignment="1" applyProtection="1">
      <alignment horizontal="center" vertical="center" wrapText="1"/>
      <protection hidden="1"/>
    </xf>
    <xf numFmtId="0" fontId="7" fillId="15" borderId="0" xfId="0" applyFont="1" applyFill="1" applyAlignment="1" applyProtection="1">
      <alignment horizontal="left" indent="2"/>
      <protection hidden="1"/>
    </xf>
    <xf numFmtId="0" fontId="46" fillId="15" borderId="0" xfId="0" applyFont="1" applyFill="1" applyAlignment="1" applyProtection="1">
      <alignment horizontal="left" indent="2"/>
      <protection hidden="1"/>
    </xf>
    <xf numFmtId="0" fontId="53" fillId="15" borderId="0" xfId="0" applyFont="1" applyFill="1" applyProtection="1">
      <protection hidden="1"/>
    </xf>
    <xf numFmtId="0" fontId="28" fillId="15" borderId="0" xfId="0" applyFont="1" applyFill="1" applyProtection="1">
      <protection hidden="1"/>
    </xf>
    <xf numFmtId="0" fontId="28" fillId="2" borderId="6" xfId="0" applyFont="1" applyFill="1" applyBorder="1" applyAlignment="1" applyProtection="1">
      <alignment vertical="center" wrapText="1"/>
      <protection hidden="1"/>
    </xf>
    <xf numFmtId="0" fontId="28" fillId="2" borderId="7" xfId="0" applyFont="1" applyFill="1" applyBorder="1" applyAlignment="1" applyProtection="1">
      <alignment vertical="center" wrapText="1"/>
      <protection hidden="1"/>
    </xf>
    <xf numFmtId="0" fontId="28" fillId="2" borderId="5" xfId="0" applyFont="1" applyFill="1" applyBorder="1" applyAlignment="1" applyProtection="1">
      <alignment horizontal="center" vertical="center" wrapText="1"/>
      <protection hidden="1"/>
    </xf>
    <xf numFmtId="0" fontId="28" fillId="2" borderId="7" xfId="0" applyFont="1" applyFill="1" applyBorder="1" applyAlignment="1" applyProtection="1">
      <alignment horizontal="center" vertical="center" wrapText="1"/>
      <protection hidden="1"/>
    </xf>
    <xf numFmtId="0" fontId="31" fillId="2" borderId="63" xfId="0" applyFont="1" applyFill="1" applyBorder="1" applyAlignment="1" applyProtection="1">
      <alignment vertical="center" wrapText="1"/>
      <protection hidden="1"/>
    </xf>
    <xf numFmtId="0" fontId="28" fillId="2" borderId="9" xfId="0" applyFont="1" applyFill="1" applyBorder="1" applyAlignment="1" applyProtection="1">
      <alignment horizontal="center" vertical="center" wrapText="1"/>
      <protection hidden="1"/>
    </xf>
    <xf numFmtId="0" fontId="28" fillId="2" borderId="11" xfId="0" applyFont="1" applyFill="1" applyBorder="1" applyAlignment="1" applyProtection="1">
      <alignment horizontal="center" vertical="center" wrapText="1"/>
      <protection hidden="1"/>
    </xf>
    <xf numFmtId="0" fontId="31" fillId="2" borderId="63" xfId="0" applyFont="1" applyFill="1" applyBorder="1" applyAlignment="1" applyProtection="1">
      <alignment horizontal="center" vertical="center" wrapText="1"/>
      <protection hidden="1"/>
    </xf>
    <xf numFmtId="0" fontId="31" fillId="2" borderId="38" xfId="0" applyFont="1" applyFill="1" applyBorder="1" applyAlignment="1" applyProtection="1">
      <alignment horizontal="center" vertical="center" wrapText="1"/>
      <protection hidden="1"/>
    </xf>
    <xf numFmtId="0" fontId="31" fillId="2" borderId="36" xfId="0" applyFont="1" applyFill="1" applyBorder="1" applyAlignment="1" applyProtection="1">
      <alignment horizontal="center" vertical="center" wrapText="1"/>
      <protection hidden="1"/>
    </xf>
    <xf numFmtId="0" fontId="31" fillId="2" borderId="55"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wrapText="1"/>
      <protection hidden="1"/>
    </xf>
    <xf numFmtId="0" fontId="31" fillId="2" borderId="76" xfId="0" applyFont="1" applyFill="1" applyBorder="1" applyAlignment="1" applyProtection="1">
      <alignment horizontal="center" vertical="center" wrapText="1"/>
      <protection hidden="1"/>
    </xf>
    <xf numFmtId="0" fontId="28" fillId="2" borderId="54" xfId="0" applyFont="1" applyFill="1" applyBorder="1" applyAlignment="1" applyProtection="1">
      <alignment horizontal="center" vertical="center" wrapText="1"/>
      <protection hidden="1"/>
    </xf>
    <xf numFmtId="0" fontId="28" fillId="2" borderId="66" xfId="0" applyFont="1" applyFill="1" applyBorder="1" applyAlignment="1" applyProtection="1">
      <alignment horizontal="center" vertical="center" wrapText="1"/>
      <protection hidden="1"/>
    </xf>
    <xf numFmtId="0" fontId="28" fillId="2" borderId="46" xfId="0" applyFont="1" applyFill="1" applyBorder="1" applyAlignment="1" applyProtection="1">
      <alignment horizontal="center" vertical="center" wrapText="1"/>
      <protection hidden="1"/>
    </xf>
    <xf numFmtId="0" fontId="28" fillId="15" borderId="0" xfId="0" applyFont="1" applyFill="1" applyAlignment="1" applyProtection="1">
      <alignment horizontal="center" vertical="center" wrapText="1"/>
      <protection hidden="1"/>
    </xf>
    <xf numFmtId="168" fontId="46" fillId="15" borderId="0" xfId="0" applyNumberFormat="1" applyFont="1" applyFill="1" applyProtection="1">
      <protection hidden="1"/>
    </xf>
    <xf numFmtId="9" fontId="46" fillId="15" borderId="0" xfId="1" applyFont="1" applyFill="1" applyProtection="1">
      <protection hidden="1"/>
    </xf>
    <xf numFmtId="0" fontId="8" fillId="0" borderId="13" xfId="0" applyFont="1" applyBorder="1" applyAlignment="1" applyProtection="1">
      <alignment horizontal="left" vertical="center"/>
      <protection hidden="1"/>
    </xf>
    <xf numFmtId="0" fontId="8" fillId="0" borderId="16" xfId="0" applyFont="1" applyBorder="1" applyAlignment="1" applyProtection="1">
      <alignment horizontal="left" vertical="center"/>
      <protection hidden="1"/>
    </xf>
    <xf numFmtId="0" fontId="8" fillId="0" borderId="16" xfId="0" applyFont="1" applyBorder="1" applyAlignment="1" applyProtection="1">
      <alignment horizontal="left"/>
      <protection hidden="1"/>
    </xf>
    <xf numFmtId="0" fontId="8" fillId="0" borderId="18" xfId="0" applyFont="1" applyBorder="1" applyAlignment="1" applyProtection="1">
      <alignment horizontal="left"/>
      <protection hidden="1"/>
    </xf>
    <xf numFmtId="164" fontId="0" fillId="0" borderId="0" xfId="0" applyNumberFormat="1" applyFont="1" applyBorder="1" applyAlignment="1">
      <alignment horizontal="center" vertical="center" wrapText="1"/>
    </xf>
    <xf numFmtId="0" fontId="25" fillId="2" borderId="1" xfId="0" applyFont="1" applyFill="1" applyBorder="1" applyAlignment="1" applyProtection="1">
      <alignment horizontal="center" vertical="center"/>
      <protection hidden="1"/>
    </xf>
    <xf numFmtId="0" fontId="25" fillId="2" borderId="4" xfId="0" applyFont="1" applyFill="1" applyBorder="1" applyAlignment="1" applyProtection="1">
      <alignment horizontal="center" vertical="center"/>
      <protection hidden="1"/>
    </xf>
    <xf numFmtId="0" fontId="25" fillId="2" borderId="2" xfId="0" applyFont="1" applyFill="1" applyBorder="1" applyAlignment="1" applyProtection="1">
      <alignment horizontal="center" vertical="center"/>
      <protection hidden="1"/>
    </xf>
    <xf numFmtId="0" fontId="25" fillId="2" borderId="5" xfId="0" applyFont="1" applyFill="1" applyBorder="1" applyAlignment="1" applyProtection="1">
      <alignment horizontal="center"/>
      <protection hidden="1"/>
    </xf>
    <xf numFmtId="0" fontId="25" fillId="2" borderId="6" xfId="0" applyFont="1" applyFill="1" applyBorder="1" applyAlignment="1" applyProtection="1">
      <alignment horizontal="center"/>
      <protection hidden="1"/>
    </xf>
    <xf numFmtId="0" fontId="25" fillId="2" borderId="7" xfId="0" applyFont="1" applyFill="1" applyBorder="1" applyAlignment="1" applyProtection="1">
      <alignment horizontal="center"/>
      <protection hidden="1"/>
    </xf>
    <xf numFmtId="0" fontId="31" fillId="12" borderId="1" xfId="0" applyFont="1" applyFill="1" applyBorder="1" applyAlignment="1" applyProtection="1">
      <alignment horizontal="center" vertical="center"/>
      <protection hidden="1"/>
    </xf>
    <xf numFmtId="0" fontId="31" fillId="12" borderId="4" xfId="0" applyFont="1" applyFill="1" applyBorder="1" applyAlignment="1" applyProtection="1">
      <alignment horizontal="center" vertical="center"/>
      <protection hidden="1"/>
    </xf>
    <xf numFmtId="0" fontId="31" fillId="12" borderId="2" xfId="0" applyFont="1" applyFill="1" applyBorder="1" applyAlignment="1" applyProtection="1">
      <alignment horizontal="center" vertical="center"/>
      <protection hidden="1"/>
    </xf>
    <xf numFmtId="0" fontId="35" fillId="12" borderId="1" xfId="0" applyFont="1" applyFill="1" applyBorder="1" applyAlignment="1" applyProtection="1">
      <alignment horizontal="center" vertical="center"/>
      <protection hidden="1"/>
    </xf>
    <xf numFmtId="0" fontId="35" fillId="12" borderId="4" xfId="0" applyFont="1" applyFill="1" applyBorder="1" applyAlignment="1" applyProtection="1">
      <alignment horizontal="center" vertical="center"/>
      <protection hidden="1"/>
    </xf>
    <xf numFmtId="0" fontId="35" fillId="12" borderId="2" xfId="0" applyFont="1" applyFill="1" applyBorder="1" applyAlignment="1" applyProtection="1">
      <alignment horizontal="center" vertical="center"/>
      <protection hidden="1"/>
    </xf>
    <xf numFmtId="0" fontId="25" fillId="0" borderId="0" xfId="0" applyFont="1" applyBorder="1" applyAlignment="1" applyProtection="1">
      <alignment horizontal="center"/>
      <protection hidden="1"/>
    </xf>
    <xf numFmtId="0" fontId="31" fillId="12" borderId="1" xfId="0" applyFont="1" applyFill="1" applyBorder="1" applyAlignment="1" applyProtection="1">
      <alignment horizontal="center" vertical="center" wrapText="1"/>
      <protection hidden="1"/>
    </xf>
    <xf numFmtId="0" fontId="31" fillId="12" borderId="4" xfId="0" applyFont="1" applyFill="1" applyBorder="1" applyAlignment="1" applyProtection="1">
      <alignment horizontal="center" vertical="center" wrapText="1"/>
      <protection hidden="1"/>
    </xf>
    <xf numFmtId="0" fontId="31" fillId="12" borderId="2" xfId="0" applyFont="1" applyFill="1" applyBorder="1" applyAlignment="1" applyProtection="1">
      <alignment horizontal="center" vertical="center" wrapText="1"/>
      <protection hidden="1"/>
    </xf>
    <xf numFmtId="0" fontId="35" fillId="4" borderId="1" xfId="0" applyFont="1" applyFill="1" applyBorder="1" applyAlignment="1" applyProtection="1">
      <alignment horizontal="center" vertical="center"/>
      <protection hidden="1"/>
    </xf>
    <xf numFmtId="0" fontId="35" fillId="4" borderId="4" xfId="0" applyFont="1" applyFill="1" applyBorder="1" applyAlignment="1" applyProtection="1">
      <alignment horizontal="center" vertical="center"/>
      <protection hidden="1"/>
    </xf>
    <xf numFmtId="0" fontId="35" fillId="4" borderId="2" xfId="0" applyFont="1" applyFill="1" applyBorder="1" applyAlignment="1" applyProtection="1">
      <alignment horizontal="center" vertical="center"/>
      <protection hidden="1"/>
    </xf>
    <xf numFmtId="0" fontId="27" fillId="10" borderId="1" xfId="0" applyFont="1" applyFill="1" applyBorder="1" applyAlignment="1" applyProtection="1">
      <alignment horizontal="center" vertical="center"/>
      <protection hidden="1"/>
    </xf>
    <xf numFmtId="0" fontId="27" fillId="10" borderId="4" xfId="0" applyFont="1" applyFill="1" applyBorder="1" applyAlignment="1" applyProtection="1">
      <alignment horizontal="center" vertical="center"/>
      <protection hidden="1"/>
    </xf>
    <xf numFmtId="0" fontId="34" fillId="9" borderId="1" xfId="0" applyFont="1" applyFill="1" applyBorder="1" applyAlignment="1" applyProtection="1">
      <alignment horizontal="center" vertical="center"/>
      <protection hidden="1"/>
    </xf>
    <xf numFmtId="0" fontId="34" fillId="9" borderId="4" xfId="0" applyFont="1" applyFill="1" applyBorder="1" applyAlignment="1" applyProtection="1">
      <alignment horizontal="center" vertical="center"/>
      <protection hidden="1"/>
    </xf>
    <xf numFmtId="0" fontId="34" fillId="9" borderId="2" xfId="0" applyFont="1" applyFill="1" applyBorder="1" applyAlignment="1" applyProtection="1">
      <alignment horizontal="center" vertical="center"/>
      <protection hidden="1"/>
    </xf>
    <xf numFmtId="0" fontId="33" fillId="0" borderId="3" xfId="0" applyFont="1" applyBorder="1" applyAlignment="1" applyProtection="1">
      <alignment horizontal="center" vertical="center"/>
      <protection hidden="1"/>
    </xf>
    <xf numFmtId="0" fontId="33" fillId="0" borderId="0" xfId="0" applyFont="1" applyBorder="1" applyAlignment="1" applyProtection="1">
      <alignment horizontal="center" vertical="center"/>
      <protection hidden="1"/>
    </xf>
    <xf numFmtId="0" fontId="33" fillId="0" borderId="8" xfId="0" applyFont="1" applyBorder="1" applyAlignment="1" applyProtection="1">
      <alignment horizontal="center" vertical="center"/>
      <protection hidden="1"/>
    </xf>
    <xf numFmtId="0" fontId="25" fillId="2" borderId="1" xfId="0" applyFont="1" applyFill="1" applyBorder="1" applyAlignment="1" applyProtection="1">
      <alignment horizontal="center"/>
      <protection hidden="1"/>
    </xf>
    <xf numFmtId="0" fontId="25" fillId="2" borderId="4" xfId="0" applyFont="1" applyFill="1" applyBorder="1" applyAlignment="1" applyProtection="1">
      <alignment horizontal="center"/>
      <protection hidden="1"/>
    </xf>
    <xf numFmtId="0" fontId="25" fillId="2" borderId="2" xfId="0" applyFont="1" applyFill="1" applyBorder="1" applyAlignment="1" applyProtection="1">
      <alignment horizontal="center"/>
      <protection hidden="1"/>
    </xf>
    <xf numFmtId="0" fontId="31" fillId="10" borderId="1" xfId="0" applyFont="1" applyFill="1" applyBorder="1" applyAlignment="1" applyProtection="1">
      <alignment horizontal="center" vertical="center"/>
      <protection hidden="1"/>
    </xf>
    <xf numFmtId="0" fontId="31" fillId="10" borderId="4" xfId="0" applyFont="1" applyFill="1" applyBorder="1" applyAlignment="1" applyProtection="1">
      <alignment horizontal="center" vertical="center"/>
      <protection hidden="1"/>
    </xf>
    <xf numFmtId="0" fontId="31" fillId="10" borderId="2" xfId="0" applyFont="1" applyFill="1" applyBorder="1" applyAlignment="1" applyProtection="1">
      <alignment horizontal="center" vertical="center"/>
      <protection hidden="1"/>
    </xf>
    <xf numFmtId="0" fontId="33" fillId="5" borderId="1" xfId="0" applyFont="1" applyFill="1" applyBorder="1" applyAlignment="1" applyProtection="1">
      <alignment horizontal="center" vertical="center"/>
      <protection hidden="1"/>
    </xf>
    <xf numFmtId="0" fontId="33" fillId="5" borderId="4" xfId="0" applyFont="1" applyFill="1" applyBorder="1" applyAlignment="1" applyProtection="1">
      <alignment horizontal="center" vertical="center"/>
      <protection hidden="1"/>
    </xf>
    <xf numFmtId="0" fontId="33" fillId="5" borderId="2" xfId="0" applyFont="1" applyFill="1" applyBorder="1" applyAlignment="1" applyProtection="1">
      <alignment horizontal="center" vertical="center"/>
      <protection hidden="1"/>
    </xf>
    <xf numFmtId="0" fontId="25" fillId="2" borderId="48" xfId="0" applyFont="1" applyFill="1" applyBorder="1" applyAlignment="1" applyProtection="1">
      <alignment horizontal="center" vertical="center"/>
      <protection hidden="1"/>
    </xf>
    <xf numFmtId="0" fontId="25" fillId="2" borderId="34" xfId="0" applyFont="1" applyFill="1" applyBorder="1" applyAlignment="1" applyProtection="1">
      <alignment horizontal="center" vertical="center"/>
      <protection hidden="1"/>
    </xf>
    <xf numFmtId="0" fontId="25" fillId="2" borderId="49" xfId="0" applyFont="1" applyFill="1" applyBorder="1" applyAlignment="1" applyProtection="1">
      <alignment horizontal="center" vertical="center"/>
      <protection hidden="1"/>
    </xf>
    <xf numFmtId="0" fontId="40" fillId="10" borderId="1" xfId="0" applyFont="1" applyFill="1" applyBorder="1" applyAlignment="1" applyProtection="1">
      <alignment horizontal="center" vertical="center"/>
      <protection hidden="1"/>
    </xf>
    <xf numFmtId="0" fontId="40" fillId="10" borderId="4" xfId="0" applyFont="1" applyFill="1" applyBorder="1" applyAlignment="1" applyProtection="1">
      <alignment horizontal="center" vertical="center"/>
      <protection hidden="1"/>
    </xf>
    <xf numFmtId="0" fontId="40" fillId="10" borderId="2" xfId="0" applyFont="1" applyFill="1" applyBorder="1" applyAlignment="1" applyProtection="1">
      <alignment horizontal="center" vertical="center"/>
      <protection hidden="1"/>
    </xf>
    <xf numFmtId="0" fontId="35" fillId="9" borderId="1" xfId="0" applyFont="1" applyFill="1" applyBorder="1" applyAlignment="1" applyProtection="1">
      <alignment horizontal="center" vertical="center"/>
      <protection hidden="1"/>
    </xf>
    <xf numFmtId="0" fontId="35" fillId="9" borderId="4" xfId="0" applyFont="1" applyFill="1" applyBorder="1" applyAlignment="1" applyProtection="1">
      <alignment horizontal="center" vertical="center"/>
      <protection hidden="1"/>
    </xf>
    <xf numFmtId="0" fontId="35" fillId="9" borderId="2" xfId="0" applyFont="1" applyFill="1" applyBorder="1" applyAlignment="1" applyProtection="1">
      <alignment horizontal="center" vertical="center"/>
      <protection hidden="1"/>
    </xf>
    <xf numFmtId="0" fontId="35" fillId="9" borderId="1" xfId="0" applyFont="1" applyFill="1" applyBorder="1" applyAlignment="1" applyProtection="1">
      <alignment horizontal="center"/>
      <protection hidden="1"/>
    </xf>
    <xf numFmtId="0" fontId="35" fillId="9" borderId="4" xfId="0" applyFont="1" applyFill="1" applyBorder="1" applyAlignment="1" applyProtection="1">
      <alignment horizontal="center"/>
      <protection hidden="1"/>
    </xf>
    <xf numFmtId="0" fontId="35" fillId="9" borderId="2" xfId="0" applyFont="1" applyFill="1" applyBorder="1" applyAlignment="1" applyProtection="1">
      <alignment horizontal="center"/>
      <protection hidden="1"/>
    </xf>
    <xf numFmtId="0" fontId="25" fillId="14" borderId="1" xfId="0" applyFont="1" applyFill="1" applyBorder="1" applyAlignment="1" applyProtection="1">
      <alignment horizontal="center"/>
      <protection hidden="1"/>
    </xf>
    <xf numFmtId="0" fontId="25" fillId="14" borderId="4" xfId="0" applyFont="1" applyFill="1" applyBorder="1" applyAlignment="1" applyProtection="1">
      <alignment horizontal="center"/>
      <protection hidden="1"/>
    </xf>
    <xf numFmtId="0" fontId="25" fillId="14" borderId="2" xfId="0" applyFont="1" applyFill="1" applyBorder="1" applyAlignment="1" applyProtection="1">
      <alignment horizontal="center"/>
      <protection hidden="1"/>
    </xf>
    <xf numFmtId="0" fontId="31" fillId="10" borderId="1" xfId="0" applyFont="1" applyFill="1" applyBorder="1" applyAlignment="1" applyProtection="1">
      <alignment horizontal="center" vertical="center" wrapText="1"/>
      <protection hidden="1"/>
    </xf>
    <xf numFmtId="0" fontId="31" fillId="10" borderId="4" xfId="0" applyFont="1" applyFill="1" applyBorder="1" applyAlignment="1" applyProtection="1">
      <alignment horizontal="center" vertical="center" wrapText="1"/>
      <protection hidden="1"/>
    </xf>
    <xf numFmtId="0" fontId="31" fillId="10" borderId="2" xfId="0" applyFont="1" applyFill="1" applyBorder="1" applyAlignment="1" applyProtection="1">
      <alignment horizontal="center" vertical="center" wrapText="1"/>
      <protection hidden="1"/>
    </xf>
    <xf numFmtId="9" fontId="8" fillId="0" borderId="76" xfId="0" applyNumberFormat="1" applyFont="1" applyBorder="1" applyAlignment="1" applyProtection="1">
      <alignment horizontal="center" vertical="center"/>
      <protection hidden="1"/>
    </xf>
    <xf numFmtId="9" fontId="8" fillId="0" borderId="63" xfId="0" applyNumberFormat="1" applyFont="1" applyBorder="1" applyAlignment="1" applyProtection="1">
      <alignment horizontal="center" vertical="center"/>
      <protection hidden="1"/>
    </xf>
    <xf numFmtId="9" fontId="8" fillId="0" borderId="68" xfId="0" applyNumberFormat="1" applyFont="1" applyBorder="1" applyAlignment="1" applyProtection="1">
      <alignment horizontal="center" vertical="center"/>
      <protection hidden="1"/>
    </xf>
    <xf numFmtId="0" fontId="27" fillId="8" borderId="1" xfId="0" applyFont="1" applyFill="1" applyBorder="1" applyAlignment="1" applyProtection="1">
      <alignment horizontal="center" vertical="center"/>
      <protection hidden="1"/>
    </xf>
    <xf numFmtId="0" fontId="27" fillId="8" borderId="4" xfId="0" applyFont="1" applyFill="1" applyBorder="1" applyAlignment="1" applyProtection="1">
      <alignment horizontal="center" vertical="center"/>
      <protection hidden="1"/>
    </xf>
    <xf numFmtId="0" fontId="27" fillId="8" borderId="2" xfId="0" applyFont="1" applyFill="1" applyBorder="1" applyAlignment="1" applyProtection="1">
      <alignment horizontal="center" vertical="center"/>
      <protection hidden="1"/>
    </xf>
    <xf numFmtId="0" fontId="35" fillId="2" borderId="1" xfId="0" applyFont="1" applyFill="1" applyBorder="1" applyAlignment="1" applyProtection="1">
      <alignment horizontal="center" vertical="center"/>
      <protection hidden="1"/>
    </xf>
    <xf numFmtId="0" fontId="35" fillId="2" borderId="4" xfId="0" applyFont="1" applyFill="1" applyBorder="1" applyAlignment="1" applyProtection="1">
      <alignment horizontal="center" vertical="center"/>
      <protection hidden="1"/>
    </xf>
    <xf numFmtId="0" fontId="35" fillId="2" borderId="2" xfId="0" applyFont="1" applyFill="1" applyBorder="1" applyAlignment="1" applyProtection="1">
      <alignment horizontal="center" vertical="center"/>
      <protection hidden="1"/>
    </xf>
    <xf numFmtId="0" fontId="36" fillId="13" borderId="1" xfId="0" applyFont="1" applyFill="1" applyBorder="1" applyAlignment="1" applyProtection="1">
      <alignment horizontal="center" vertical="center"/>
      <protection hidden="1"/>
    </xf>
    <xf numFmtId="0" fontId="36" fillId="13" borderId="4" xfId="0" applyFont="1" applyFill="1" applyBorder="1" applyAlignment="1" applyProtection="1">
      <alignment horizontal="center" vertical="center"/>
      <protection hidden="1"/>
    </xf>
    <xf numFmtId="0" fontId="36" fillId="13" borderId="2" xfId="0" applyFont="1" applyFill="1" applyBorder="1" applyAlignment="1" applyProtection="1">
      <alignment horizontal="center" vertical="center"/>
      <protection hidden="1"/>
    </xf>
    <xf numFmtId="0" fontId="25" fillId="0" borderId="5" xfId="0" applyFont="1" applyBorder="1" applyAlignment="1" applyProtection="1">
      <alignment horizontal="center"/>
      <protection hidden="1"/>
    </xf>
    <xf numFmtId="0" fontId="25" fillId="0" borderId="6" xfId="0" applyFont="1" applyBorder="1" applyAlignment="1" applyProtection="1">
      <alignment horizontal="center"/>
      <protection hidden="1"/>
    </xf>
    <xf numFmtId="0" fontId="25" fillId="0" borderId="7" xfId="0" applyFont="1" applyBorder="1" applyAlignment="1" applyProtection="1">
      <alignment horizontal="center"/>
      <protection hidden="1"/>
    </xf>
    <xf numFmtId="0" fontId="25" fillId="9" borderId="1" xfId="0" applyFont="1" applyFill="1" applyBorder="1" applyAlignment="1" applyProtection="1">
      <alignment horizontal="center"/>
      <protection hidden="1"/>
    </xf>
    <xf numFmtId="0" fontId="25" fillId="9" borderId="4" xfId="0" applyFont="1" applyFill="1" applyBorder="1" applyAlignment="1" applyProtection="1">
      <alignment horizontal="center"/>
      <protection hidden="1"/>
    </xf>
    <xf numFmtId="0" fontId="25" fillId="9" borderId="2" xfId="0" applyFont="1" applyFill="1" applyBorder="1" applyAlignment="1" applyProtection="1">
      <alignment horizontal="center"/>
      <protection hidden="1"/>
    </xf>
    <xf numFmtId="0" fontId="31" fillId="10" borderId="9" xfId="0" applyFont="1" applyFill="1" applyBorder="1" applyAlignment="1" applyProtection="1">
      <alignment horizontal="center" vertical="center" wrapText="1"/>
      <protection hidden="1"/>
    </xf>
    <xf numFmtId="0" fontId="31" fillId="10" borderId="10" xfId="0" applyFont="1" applyFill="1" applyBorder="1" applyAlignment="1" applyProtection="1">
      <alignment horizontal="center" vertical="center" wrapText="1"/>
      <protection hidden="1"/>
    </xf>
    <xf numFmtId="0" fontId="31" fillId="10" borderId="11" xfId="0" applyFont="1" applyFill="1" applyBorder="1" applyAlignment="1" applyProtection="1">
      <alignment horizontal="center" vertical="center" wrapText="1"/>
      <protection hidden="1"/>
    </xf>
    <xf numFmtId="0" fontId="25" fillId="13" borderId="1" xfId="0" applyFont="1" applyFill="1" applyBorder="1" applyAlignment="1" applyProtection="1">
      <alignment horizontal="center" vertical="center"/>
      <protection hidden="1"/>
    </xf>
    <xf numFmtId="0" fontId="25" fillId="13" borderId="4" xfId="0" applyFont="1" applyFill="1" applyBorder="1" applyAlignment="1" applyProtection="1">
      <alignment horizontal="center" vertical="center"/>
      <protection hidden="1"/>
    </xf>
    <xf numFmtId="0" fontId="25" fillId="13" borderId="2" xfId="0" applyFont="1" applyFill="1" applyBorder="1" applyAlignment="1" applyProtection="1">
      <alignment horizontal="center" vertical="center"/>
      <protection hidden="1"/>
    </xf>
    <xf numFmtId="0" fontId="38" fillId="0" borderId="76" xfId="0" applyFont="1" applyBorder="1" applyAlignment="1" applyProtection="1">
      <alignment horizontal="center" vertical="center" textRotation="90" wrapText="1"/>
      <protection hidden="1"/>
    </xf>
    <xf numFmtId="0" fontId="38" fillId="0" borderId="63" xfId="0" applyFont="1" applyBorder="1" applyAlignment="1" applyProtection="1">
      <alignment horizontal="center" vertical="center" textRotation="90" wrapText="1"/>
      <protection hidden="1"/>
    </xf>
    <xf numFmtId="0" fontId="38" fillId="0" borderId="68" xfId="0" applyFont="1" applyBorder="1" applyAlignment="1" applyProtection="1">
      <alignment horizontal="center" vertical="center" textRotation="90" wrapText="1"/>
      <protection hidden="1"/>
    </xf>
    <xf numFmtId="0" fontId="25" fillId="0" borderId="76" xfId="0" applyFont="1" applyBorder="1" applyAlignment="1" applyProtection="1">
      <alignment horizontal="center" vertical="center" textRotation="90" wrapText="1"/>
      <protection hidden="1"/>
    </xf>
    <xf numFmtId="0" fontId="25" fillId="0" borderId="3" xfId="0" applyFont="1" applyBorder="1" applyAlignment="1" applyProtection="1">
      <alignment horizontal="center" vertical="center" textRotation="90" wrapText="1"/>
      <protection hidden="1"/>
    </xf>
    <xf numFmtId="0" fontId="25" fillId="0" borderId="9" xfId="0" applyFont="1" applyBorder="1" applyAlignment="1" applyProtection="1">
      <alignment horizontal="center" vertical="center" textRotation="90" wrapText="1"/>
      <protection hidden="1"/>
    </xf>
    <xf numFmtId="9" fontId="8" fillId="0" borderId="7" xfId="0" applyNumberFormat="1" applyFont="1" applyBorder="1" applyAlignment="1" applyProtection="1">
      <alignment horizontal="center" vertical="center"/>
      <protection hidden="1"/>
    </xf>
    <xf numFmtId="9" fontId="8" fillId="0" borderId="8" xfId="0" applyNumberFormat="1" applyFont="1" applyBorder="1" applyAlignment="1" applyProtection="1">
      <alignment horizontal="center" vertical="center"/>
      <protection hidden="1"/>
    </xf>
    <xf numFmtId="9" fontId="8" fillId="0" borderId="11" xfId="0" applyNumberFormat="1" applyFont="1" applyBorder="1" applyAlignment="1" applyProtection="1">
      <alignment horizontal="center" vertical="center"/>
      <protection hidden="1"/>
    </xf>
    <xf numFmtId="0" fontId="39" fillId="8" borderId="1" xfId="0" applyFont="1" applyFill="1" applyBorder="1" applyAlignment="1" applyProtection="1">
      <alignment horizontal="center" vertical="center"/>
      <protection hidden="1"/>
    </xf>
    <xf numFmtId="0" fontId="39" fillId="8" borderId="4" xfId="0" applyFont="1" applyFill="1" applyBorder="1" applyAlignment="1" applyProtection="1">
      <alignment horizontal="center" vertical="center"/>
      <protection hidden="1"/>
    </xf>
    <xf numFmtId="0" fontId="39" fillId="8" borderId="2" xfId="0" applyFont="1" applyFill="1" applyBorder="1" applyAlignment="1" applyProtection="1">
      <alignment horizontal="center" vertical="center"/>
      <protection hidden="1"/>
    </xf>
    <xf numFmtId="0" fontId="35" fillId="3" borderId="1" xfId="0" applyFont="1" applyFill="1" applyBorder="1" applyAlignment="1" applyProtection="1">
      <alignment horizontal="center" vertical="center"/>
      <protection hidden="1"/>
    </xf>
    <xf numFmtId="0" fontId="35" fillId="3" borderId="4" xfId="0" applyFont="1" applyFill="1" applyBorder="1" applyAlignment="1" applyProtection="1">
      <alignment horizontal="center" vertical="center"/>
      <protection hidden="1"/>
    </xf>
    <xf numFmtId="0" fontId="35" fillId="3" borderId="2" xfId="0" applyFont="1" applyFill="1" applyBorder="1" applyAlignment="1" applyProtection="1">
      <alignment horizontal="center" vertical="center"/>
      <protection hidden="1"/>
    </xf>
    <xf numFmtId="9" fontId="8" fillId="0" borderId="66" xfId="0" applyNumberFormat="1" applyFont="1" applyBorder="1" applyAlignment="1" applyProtection="1">
      <alignment horizontal="center" vertical="center"/>
      <protection hidden="1"/>
    </xf>
    <xf numFmtId="9" fontId="8" fillId="0" borderId="72" xfId="0" applyNumberFormat="1" applyFont="1" applyBorder="1" applyAlignment="1" applyProtection="1">
      <alignment horizontal="center" vertical="center"/>
      <protection hidden="1"/>
    </xf>
    <xf numFmtId="0" fontId="25" fillId="0" borderId="63" xfId="0" applyFont="1" applyBorder="1" applyAlignment="1" applyProtection="1">
      <alignment horizontal="center" vertical="center" textRotation="90" wrapText="1"/>
      <protection hidden="1"/>
    </xf>
    <xf numFmtId="0" fontId="25" fillId="0" borderId="68" xfId="0" applyFont="1" applyBorder="1" applyAlignment="1" applyProtection="1">
      <alignment horizontal="center" vertical="center" textRotation="90" wrapText="1"/>
      <protection hidden="1"/>
    </xf>
    <xf numFmtId="0" fontId="25" fillId="14" borderId="1" xfId="0" applyFont="1" applyFill="1" applyBorder="1" applyAlignment="1" applyProtection="1">
      <alignment horizontal="center" vertical="center"/>
      <protection hidden="1"/>
    </xf>
    <xf numFmtId="0" fontId="25" fillId="14" borderId="4" xfId="0" applyFont="1" applyFill="1" applyBorder="1" applyAlignment="1" applyProtection="1">
      <alignment horizontal="center" vertical="center"/>
      <protection hidden="1"/>
    </xf>
    <xf numFmtId="0" fontId="25" fillId="14" borderId="2" xfId="0" applyFont="1" applyFill="1" applyBorder="1" applyAlignment="1" applyProtection="1">
      <alignment horizontal="center" vertical="center"/>
      <protection hidden="1"/>
    </xf>
    <xf numFmtId="0" fontId="25" fillId="0" borderId="1" xfId="0" applyFont="1" applyBorder="1" applyAlignment="1" applyProtection="1">
      <alignment horizontal="center"/>
      <protection hidden="1"/>
    </xf>
    <xf numFmtId="0" fontId="25" fillId="0" borderId="4" xfId="0" applyFont="1" applyBorder="1" applyAlignment="1" applyProtection="1">
      <alignment horizontal="center"/>
      <protection hidden="1"/>
    </xf>
    <xf numFmtId="0" fontId="25" fillId="0" borderId="2" xfId="0" applyFont="1" applyBorder="1" applyAlignment="1" applyProtection="1">
      <alignment horizontal="center"/>
      <protection hidden="1"/>
    </xf>
    <xf numFmtId="0" fontId="29" fillId="12" borderId="1" xfId="0" applyFont="1" applyFill="1" applyBorder="1" applyAlignment="1" applyProtection="1">
      <alignment horizontal="center" vertical="center"/>
      <protection hidden="1"/>
    </xf>
    <xf numFmtId="0" fontId="29" fillId="12" borderId="4" xfId="0" applyFont="1" applyFill="1" applyBorder="1" applyAlignment="1" applyProtection="1">
      <alignment horizontal="center" vertical="center"/>
      <protection hidden="1"/>
    </xf>
    <xf numFmtId="0" fontId="29" fillId="12" borderId="2" xfId="0" applyFont="1" applyFill="1" applyBorder="1" applyAlignment="1" applyProtection="1">
      <alignment horizontal="center" vertical="center"/>
      <protection hidden="1"/>
    </xf>
    <xf numFmtId="0" fontId="25" fillId="18" borderId="1" xfId="0" applyFont="1" applyFill="1" applyBorder="1" applyAlignment="1" applyProtection="1">
      <alignment horizontal="center"/>
      <protection hidden="1"/>
    </xf>
    <xf numFmtId="0" fontId="25" fillId="18" borderId="4" xfId="0" applyFont="1" applyFill="1" applyBorder="1" applyAlignment="1" applyProtection="1">
      <alignment horizontal="center"/>
      <protection hidden="1"/>
    </xf>
    <xf numFmtId="0" fontId="25" fillId="18" borderId="2" xfId="0" applyFont="1" applyFill="1" applyBorder="1" applyAlignment="1" applyProtection="1">
      <alignment horizontal="center"/>
      <protection hidden="1"/>
    </xf>
    <xf numFmtId="0" fontId="25" fillId="2" borderId="5" xfId="0" applyFont="1" applyFill="1" applyBorder="1" applyAlignment="1" applyProtection="1">
      <alignment horizontal="center" vertical="center"/>
      <protection hidden="1"/>
    </xf>
    <xf numFmtId="0" fontId="25" fillId="2" borderId="6" xfId="0" applyFont="1" applyFill="1" applyBorder="1" applyAlignment="1" applyProtection="1">
      <alignment horizontal="center" vertical="center"/>
      <protection hidden="1"/>
    </xf>
    <xf numFmtId="0" fontId="25" fillId="2" borderId="7" xfId="0" applyFont="1" applyFill="1" applyBorder="1" applyAlignment="1" applyProtection="1">
      <alignment horizontal="center" vertical="center"/>
      <protection hidden="1"/>
    </xf>
    <xf numFmtId="0" fontId="25" fillId="0" borderId="10" xfId="0" applyFont="1" applyBorder="1" applyAlignment="1" applyProtection="1">
      <alignment horizontal="center"/>
      <protection hidden="1"/>
    </xf>
    <xf numFmtId="0" fontId="25" fillId="16" borderId="1" xfId="0" applyFont="1" applyFill="1" applyBorder="1" applyAlignment="1" applyProtection="1">
      <alignment horizontal="center" vertical="center"/>
      <protection hidden="1"/>
    </xf>
    <xf numFmtId="0" fontId="25" fillId="16" borderId="4" xfId="0" applyFont="1" applyFill="1" applyBorder="1" applyAlignment="1" applyProtection="1">
      <alignment horizontal="center" vertical="center"/>
      <protection hidden="1"/>
    </xf>
    <xf numFmtId="0" fontId="25" fillId="16" borderId="2" xfId="0" applyFont="1" applyFill="1" applyBorder="1" applyAlignment="1" applyProtection="1">
      <alignment horizontal="center" vertical="center"/>
      <protection hidden="1"/>
    </xf>
    <xf numFmtId="0" fontId="25" fillId="16" borderId="1" xfId="0" applyFont="1" applyFill="1" applyBorder="1" applyAlignment="1" applyProtection="1">
      <alignment horizontal="center"/>
      <protection hidden="1"/>
    </xf>
    <xf numFmtId="0" fontId="25" fillId="16" borderId="4" xfId="0" applyFont="1" applyFill="1" applyBorder="1" applyAlignment="1" applyProtection="1">
      <alignment horizontal="center"/>
      <protection hidden="1"/>
    </xf>
    <xf numFmtId="0" fontId="25" fillId="16" borderId="2" xfId="0" applyFont="1" applyFill="1" applyBorder="1" applyAlignment="1" applyProtection="1">
      <alignment horizontal="center"/>
      <protection hidden="1"/>
    </xf>
    <xf numFmtId="9" fontId="8" fillId="0" borderId="15" xfId="0" applyNumberFormat="1" applyFont="1" applyBorder="1" applyAlignment="1" applyProtection="1">
      <alignment horizontal="center" vertical="center"/>
      <protection hidden="1"/>
    </xf>
    <xf numFmtId="9" fontId="8" fillId="0" borderId="17" xfId="0" applyNumberFormat="1" applyFont="1" applyBorder="1" applyAlignment="1" applyProtection="1">
      <alignment horizontal="center" vertical="center"/>
      <protection hidden="1"/>
    </xf>
    <xf numFmtId="9" fontId="8" fillId="0" borderId="20" xfId="0" applyNumberFormat="1" applyFont="1" applyBorder="1" applyAlignment="1" applyProtection="1">
      <alignment horizontal="center" vertical="center"/>
      <protection hidden="1"/>
    </xf>
    <xf numFmtId="9" fontId="8" fillId="0" borderId="75" xfId="0" applyNumberFormat="1" applyFont="1" applyBorder="1" applyAlignment="1" applyProtection="1">
      <alignment horizontal="center" vertical="center"/>
      <protection hidden="1"/>
    </xf>
    <xf numFmtId="0" fontId="35" fillId="19" borderId="1" xfId="0" applyFont="1" applyFill="1" applyBorder="1" applyAlignment="1" applyProtection="1">
      <alignment horizontal="center" vertical="center"/>
      <protection hidden="1"/>
    </xf>
    <xf numFmtId="0" fontId="35" fillId="19" borderId="4" xfId="0" applyFont="1" applyFill="1" applyBorder="1" applyAlignment="1" applyProtection="1">
      <alignment horizontal="center" vertical="center"/>
      <protection hidden="1"/>
    </xf>
    <xf numFmtId="0" fontId="35" fillId="19" borderId="2" xfId="0" applyFont="1" applyFill="1" applyBorder="1" applyAlignment="1" applyProtection="1">
      <alignment horizontal="center" vertical="center"/>
      <protection hidden="1"/>
    </xf>
    <xf numFmtId="0" fontId="35" fillId="9" borderId="1" xfId="0" applyFont="1" applyFill="1" applyBorder="1" applyAlignment="1" applyProtection="1">
      <alignment horizontal="center" vertical="center" wrapText="1"/>
      <protection hidden="1"/>
    </xf>
    <xf numFmtId="0" fontId="35" fillId="9" borderId="4" xfId="0" applyFont="1" applyFill="1" applyBorder="1" applyAlignment="1" applyProtection="1">
      <alignment horizontal="center" vertical="center" wrapText="1"/>
      <protection hidden="1"/>
    </xf>
    <xf numFmtId="0" fontId="35" fillId="9" borderId="2" xfId="0" applyFont="1" applyFill="1" applyBorder="1" applyAlignment="1" applyProtection="1">
      <alignment horizontal="center" vertical="center" wrapText="1"/>
      <protection hidden="1"/>
    </xf>
    <xf numFmtId="0" fontId="25" fillId="9" borderId="1" xfId="0" applyFont="1" applyFill="1" applyBorder="1" applyAlignment="1" applyProtection="1">
      <alignment horizontal="center" vertical="center"/>
      <protection hidden="1"/>
    </xf>
    <xf numFmtId="0" fontId="25" fillId="9" borderId="4" xfId="0" applyFont="1" applyFill="1" applyBorder="1" applyAlignment="1" applyProtection="1">
      <alignment horizontal="center" vertical="center"/>
      <protection hidden="1"/>
    </xf>
    <xf numFmtId="0" fontId="25" fillId="9" borderId="2" xfId="0" applyFont="1" applyFill="1" applyBorder="1" applyAlignment="1" applyProtection="1">
      <alignment horizontal="center" vertical="center"/>
      <protection hidden="1"/>
    </xf>
    <xf numFmtId="0" fontId="26" fillId="24" borderId="5" xfId="0" applyFont="1" applyFill="1" applyBorder="1" applyAlignment="1" applyProtection="1">
      <alignment horizontal="center" vertical="center" wrapText="1"/>
      <protection hidden="1"/>
    </xf>
    <xf numFmtId="0" fontId="26" fillId="24" borderId="6" xfId="0" applyFont="1" applyFill="1" applyBorder="1" applyAlignment="1" applyProtection="1">
      <alignment horizontal="center" vertical="center" wrapText="1"/>
      <protection hidden="1"/>
    </xf>
    <xf numFmtId="0" fontId="26" fillId="24" borderId="7" xfId="0" applyFont="1" applyFill="1" applyBorder="1" applyAlignment="1" applyProtection="1">
      <alignment horizontal="center" vertical="center" wrapText="1"/>
      <protection hidden="1"/>
    </xf>
    <xf numFmtId="0" fontId="26" fillId="24" borderId="3" xfId="0" applyFont="1" applyFill="1" applyBorder="1" applyAlignment="1" applyProtection="1">
      <alignment horizontal="center" vertical="center" wrapText="1"/>
      <protection hidden="1"/>
    </xf>
    <xf numFmtId="0" fontId="26" fillId="24" borderId="0" xfId="0" applyFont="1" applyFill="1" applyBorder="1" applyAlignment="1" applyProtection="1">
      <alignment horizontal="center" vertical="center" wrapText="1"/>
      <protection hidden="1"/>
    </xf>
    <xf numFmtId="0" fontId="26" fillId="24" borderId="8" xfId="0" applyFont="1" applyFill="1" applyBorder="1" applyAlignment="1" applyProtection="1">
      <alignment horizontal="center" vertical="center" wrapText="1"/>
      <protection hidden="1"/>
    </xf>
    <xf numFmtId="0" fontId="26" fillId="24" borderId="9" xfId="0" applyFont="1" applyFill="1" applyBorder="1" applyAlignment="1" applyProtection="1">
      <alignment horizontal="center" vertical="center" wrapText="1"/>
      <protection hidden="1"/>
    </xf>
    <xf numFmtId="0" fontId="26" fillId="24" borderId="10" xfId="0" applyFont="1" applyFill="1" applyBorder="1" applyAlignment="1" applyProtection="1">
      <alignment horizontal="center" vertical="center" wrapText="1"/>
      <protection hidden="1"/>
    </xf>
    <xf numFmtId="0" fontId="26" fillId="24" borderId="11" xfId="0" applyFont="1" applyFill="1" applyBorder="1" applyAlignment="1" applyProtection="1">
      <alignment horizontal="center" vertical="center" wrapText="1"/>
      <protection hidden="1"/>
    </xf>
    <xf numFmtId="168" fontId="26" fillId="24" borderId="76" xfId="0" applyNumberFormat="1" applyFont="1" applyFill="1" applyBorder="1" applyAlignment="1" applyProtection="1">
      <alignment horizontal="center" vertical="center"/>
      <protection hidden="1"/>
    </xf>
    <xf numFmtId="0" fontId="26" fillId="24" borderId="63" xfId="0" applyFont="1" applyFill="1" applyBorder="1" applyAlignment="1" applyProtection="1">
      <alignment horizontal="center" vertical="center"/>
      <protection hidden="1"/>
    </xf>
    <xf numFmtId="0" fontId="26" fillId="24" borderId="68" xfId="0" applyFont="1" applyFill="1" applyBorder="1" applyAlignment="1" applyProtection="1">
      <alignment horizontal="center" vertical="center"/>
      <protection hidden="1"/>
    </xf>
    <xf numFmtId="170" fontId="26" fillId="24" borderId="76" xfId="0" applyNumberFormat="1" applyFont="1" applyFill="1" applyBorder="1" applyAlignment="1" applyProtection="1">
      <alignment horizontal="center" vertical="center"/>
      <protection hidden="1"/>
    </xf>
    <xf numFmtId="0" fontId="46" fillId="21" borderId="80" xfId="2" applyNumberFormat="1" applyFont="1" applyFill="1" applyBorder="1" applyAlignment="1" applyProtection="1">
      <alignment horizontal="center" vertical="top"/>
      <protection locked="0"/>
    </xf>
    <xf numFmtId="0" fontId="46" fillId="21" borderId="57" xfId="2" applyNumberFormat="1" applyFont="1" applyFill="1" applyBorder="1" applyAlignment="1" applyProtection="1">
      <alignment horizontal="center" vertical="top"/>
      <protection locked="0"/>
    </xf>
    <xf numFmtId="0" fontId="46" fillId="21" borderId="62" xfId="2" applyNumberFormat="1" applyFont="1" applyFill="1" applyBorder="1" applyAlignment="1" applyProtection="1">
      <alignment horizontal="center" vertical="top"/>
      <protection locked="0"/>
    </xf>
    <xf numFmtId="0" fontId="46" fillId="21" borderId="71" xfId="2" applyNumberFormat="1" applyFont="1" applyFill="1" applyBorder="1" applyAlignment="1" applyProtection="1">
      <alignment horizontal="center" vertical="top"/>
      <protection locked="0"/>
    </xf>
    <xf numFmtId="0" fontId="46" fillId="21" borderId="56" xfId="2" applyNumberFormat="1" applyFont="1" applyFill="1" applyBorder="1" applyAlignment="1" applyProtection="1">
      <alignment horizontal="center" vertical="top"/>
      <protection locked="0"/>
    </xf>
    <xf numFmtId="0" fontId="46" fillId="21" borderId="58" xfId="2" applyNumberFormat="1" applyFont="1" applyFill="1" applyBorder="1" applyAlignment="1" applyProtection="1">
      <alignment horizontal="center" vertical="top"/>
      <protection locked="0"/>
    </xf>
    <xf numFmtId="0" fontId="26" fillId="13" borderId="65" xfId="2" applyNumberFormat="1" applyFont="1" applyFill="1" applyBorder="1" applyAlignment="1" applyProtection="1">
      <alignment horizontal="center" vertical="top"/>
      <protection hidden="1"/>
    </xf>
    <xf numFmtId="0" fontId="26" fillId="13" borderId="40" xfId="2" applyNumberFormat="1" applyFont="1" applyFill="1" applyBorder="1" applyAlignment="1" applyProtection="1">
      <alignment horizontal="center" vertical="top"/>
      <protection hidden="1"/>
    </xf>
    <xf numFmtId="0" fontId="26" fillId="0" borderId="13" xfId="0" applyFont="1" applyFill="1" applyBorder="1" applyAlignment="1" applyProtection="1">
      <alignment horizontal="left" vertical="center" wrapText="1"/>
      <protection hidden="1"/>
    </xf>
    <xf numFmtId="0" fontId="26" fillId="0" borderId="16" xfId="0" applyFont="1" applyFill="1" applyBorder="1" applyAlignment="1" applyProtection="1">
      <alignment horizontal="left" vertical="center" wrapText="1"/>
      <protection hidden="1"/>
    </xf>
    <xf numFmtId="0" fontId="46" fillId="0" borderId="74" xfId="1" applyNumberFormat="1" applyFont="1" applyFill="1" applyBorder="1" applyAlignment="1" applyProtection="1">
      <alignment horizontal="left" vertical="top" wrapText="1" indent="2"/>
      <protection hidden="1"/>
    </xf>
    <xf numFmtId="0" fontId="46" fillId="0" borderId="32" xfId="1" applyNumberFormat="1" applyFont="1" applyFill="1" applyBorder="1" applyAlignment="1" applyProtection="1">
      <alignment horizontal="left" vertical="top" wrapText="1" indent="2"/>
      <protection hidden="1"/>
    </xf>
    <xf numFmtId="170" fontId="46" fillId="0" borderId="13" xfId="0" applyNumberFormat="1" applyFont="1" applyFill="1" applyBorder="1" applyAlignment="1" applyProtection="1">
      <alignment horizontal="center" vertical="top" wrapText="1"/>
      <protection hidden="1"/>
    </xf>
    <xf numFmtId="170" fontId="46" fillId="0" borderId="16" xfId="0" applyNumberFormat="1" applyFont="1" applyFill="1" applyBorder="1" applyAlignment="1" applyProtection="1">
      <alignment horizontal="center" vertical="top" wrapText="1"/>
      <protection hidden="1"/>
    </xf>
    <xf numFmtId="170" fontId="46" fillId="0" borderId="18" xfId="0" applyNumberFormat="1" applyFont="1" applyFill="1" applyBorder="1" applyAlignment="1" applyProtection="1">
      <alignment horizontal="center" vertical="top" wrapText="1"/>
      <protection hidden="1"/>
    </xf>
    <xf numFmtId="170" fontId="46" fillId="0" borderId="14" xfId="0" applyNumberFormat="1" applyFont="1" applyFill="1" applyBorder="1" applyAlignment="1" applyProtection="1">
      <alignment horizontal="center" vertical="center" wrapText="1"/>
      <protection hidden="1"/>
    </xf>
    <xf numFmtId="170" fontId="46" fillId="0" borderId="12" xfId="0" applyNumberFormat="1" applyFont="1" applyFill="1" applyBorder="1" applyAlignment="1" applyProtection="1">
      <alignment horizontal="center" vertical="center" wrapText="1"/>
      <protection hidden="1"/>
    </xf>
    <xf numFmtId="170" fontId="46" fillId="0" borderId="19" xfId="0" applyNumberFormat="1" applyFont="1" applyFill="1" applyBorder="1" applyAlignment="1" applyProtection="1">
      <alignment horizontal="center" vertical="center" wrapText="1"/>
      <protection hidden="1"/>
    </xf>
    <xf numFmtId="170" fontId="46" fillId="0" borderId="14" xfId="0" applyNumberFormat="1" applyFont="1" applyFill="1" applyBorder="1" applyAlignment="1" applyProtection="1">
      <alignment horizontal="center" vertical="top" wrapText="1"/>
      <protection hidden="1"/>
    </xf>
    <xf numFmtId="170" fontId="46" fillId="0" borderId="12" xfId="0" applyNumberFormat="1" applyFont="1" applyFill="1" applyBorder="1" applyAlignment="1" applyProtection="1">
      <alignment horizontal="center" vertical="top" wrapText="1"/>
      <protection hidden="1"/>
    </xf>
    <xf numFmtId="170" fontId="46" fillId="0" borderId="19" xfId="0" applyNumberFormat="1" applyFont="1" applyFill="1" applyBorder="1" applyAlignment="1" applyProtection="1">
      <alignment horizontal="center" vertical="top" wrapText="1"/>
      <protection hidden="1"/>
    </xf>
    <xf numFmtId="170" fontId="46" fillId="0" borderId="15" xfId="0" applyNumberFormat="1" applyFont="1" applyFill="1" applyBorder="1" applyAlignment="1" applyProtection="1">
      <alignment horizontal="center" vertical="top" wrapText="1"/>
      <protection hidden="1"/>
    </xf>
    <xf numFmtId="170" fontId="46" fillId="0" borderId="17" xfId="0" applyNumberFormat="1" applyFont="1" applyFill="1" applyBorder="1" applyAlignment="1" applyProtection="1">
      <alignment horizontal="center" vertical="top" wrapText="1"/>
      <protection hidden="1"/>
    </xf>
    <xf numFmtId="170" fontId="46" fillId="0" borderId="20" xfId="0" applyNumberFormat="1" applyFont="1" applyFill="1" applyBorder="1" applyAlignment="1" applyProtection="1">
      <alignment horizontal="center" vertical="top" wrapText="1"/>
      <protection hidden="1"/>
    </xf>
    <xf numFmtId="168" fontId="26" fillId="19" borderId="6" xfId="0" applyNumberFormat="1" applyFont="1" applyFill="1" applyBorder="1" applyAlignment="1" applyProtection="1">
      <alignment horizontal="center" vertical="top"/>
      <protection hidden="1"/>
    </xf>
    <xf numFmtId="168" fontId="26" fillId="19" borderId="0" xfId="0" applyNumberFormat="1" applyFont="1" applyFill="1" applyBorder="1" applyAlignment="1" applyProtection="1">
      <alignment horizontal="center" vertical="top"/>
      <protection hidden="1"/>
    </xf>
    <xf numFmtId="168" fontId="26" fillId="19" borderId="10" xfId="0" applyNumberFormat="1" applyFont="1" applyFill="1" applyBorder="1" applyAlignment="1" applyProtection="1">
      <alignment horizontal="center" vertical="top"/>
      <protection hidden="1"/>
    </xf>
    <xf numFmtId="0" fontId="46" fillId="0" borderId="80" xfId="2" applyNumberFormat="1" applyFont="1" applyFill="1" applyBorder="1" applyAlignment="1" applyProtection="1">
      <alignment horizontal="center" vertical="top"/>
      <protection hidden="1"/>
    </xf>
    <xf numFmtId="0" fontId="46" fillId="0" borderId="57" xfId="2" applyNumberFormat="1" applyFont="1" applyFill="1" applyBorder="1" applyAlignment="1" applyProtection="1">
      <alignment horizontal="center" vertical="top"/>
      <protection hidden="1"/>
    </xf>
    <xf numFmtId="0" fontId="46" fillId="0" borderId="62" xfId="2" applyNumberFormat="1" applyFont="1" applyFill="1" applyBorder="1" applyAlignment="1" applyProtection="1">
      <alignment horizontal="center" vertical="top"/>
      <protection hidden="1"/>
    </xf>
    <xf numFmtId="0" fontId="46" fillId="0" borderId="71" xfId="2" applyNumberFormat="1" applyFont="1" applyFill="1" applyBorder="1" applyAlignment="1" applyProtection="1">
      <alignment horizontal="center" vertical="top"/>
      <protection hidden="1"/>
    </xf>
    <xf numFmtId="9" fontId="26" fillId="15" borderId="48" xfId="1" applyFont="1" applyFill="1" applyBorder="1" applyAlignment="1" applyProtection="1">
      <alignment horizontal="center" vertical="top"/>
      <protection hidden="1"/>
    </xf>
    <xf numFmtId="9" fontId="26" fillId="15" borderId="47" xfId="1" applyFont="1" applyFill="1" applyBorder="1" applyAlignment="1" applyProtection="1">
      <alignment horizontal="center" vertical="top"/>
      <protection hidden="1"/>
    </xf>
    <xf numFmtId="9" fontId="26" fillId="15" borderId="43" xfId="1" applyFont="1" applyFill="1" applyBorder="1" applyAlignment="1" applyProtection="1">
      <alignment horizontal="center" vertical="top"/>
      <protection hidden="1"/>
    </xf>
    <xf numFmtId="9" fontId="26" fillId="15" borderId="25" xfId="1" applyFont="1" applyFill="1" applyBorder="1" applyAlignment="1" applyProtection="1">
      <alignment horizontal="center" vertical="top"/>
      <protection hidden="1"/>
    </xf>
    <xf numFmtId="0" fontId="26" fillId="13" borderId="76" xfId="0" applyNumberFormat="1" applyFont="1" applyFill="1" applyBorder="1" applyAlignment="1" applyProtection="1">
      <alignment horizontal="center" vertical="top"/>
      <protection hidden="1"/>
    </xf>
    <xf numFmtId="0" fontId="26" fillId="13" borderId="63" xfId="0" applyNumberFormat="1" applyFont="1" applyFill="1" applyBorder="1" applyAlignment="1" applyProtection="1">
      <alignment horizontal="center" vertical="top"/>
      <protection hidden="1"/>
    </xf>
    <xf numFmtId="0" fontId="26" fillId="13" borderId="68" xfId="0" applyNumberFormat="1" applyFont="1" applyFill="1" applyBorder="1" applyAlignment="1" applyProtection="1">
      <alignment horizontal="center" vertical="top"/>
      <protection hidden="1"/>
    </xf>
    <xf numFmtId="168" fontId="46" fillId="21" borderId="7" xfId="0" applyNumberFormat="1" applyFont="1" applyFill="1" applyBorder="1" applyAlignment="1" applyProtection="1">
      <alignment horizontal="center" vertical="top"/>
      <protection locked="0"/>
    </xf>
    <xf numFmtId="168" fontId="46" fillId="21" borderId="8" xfId="0" applyNumberFormat="1" applyFont="1" applyFill="1" applyBorder="1" applyAlignment="1" applyProtection="1">
      <alignment horizontal="center" vertical="top"/>
      <protection locked="0"/>
    </xf>
    <xf numFmtId="168" fontId="46" fillId="21" borderId="11" xfId="0" applyNumberFormat="1" applyFont="1" applyFill="1" applyBorder="1" applyAlignment="1" applyProtection="1">
      <alignment horizontal="center" vertical="top"/>
      <protection locked="0"/>
    </xf>
    <xf numFmtId="168" fontId="26" fillId="19" borderId="76" xfId="0" applyNumberFormat="1" applyFont="1" applyFill="1" applyBorder="1" applyAlignment="1" applyProtection="1">
      <alignment horizontal="center" vertical="top"/>
      <protection hidden="1"/>
    </xf>
    <xf numFmtId="0" fontId="26" fillId="19" borderId="63" xfId="0" applyFont="1" applyFill="1" applyBorder="1" applyAlignment="1" applyProtection="1">
      <alignment horizontal="center" vertical="top"/>
      <protection hidden="1"/>
    </xf>
    <xf numFmtId="0" fontId="26" fillId="19" borderId="68" xfId="0" applyFont="1" applyFill="1" applyBorder="1" applyAlignment="1" applyProtection="1">
      <alignment horizontal="center" vertical="top"/>
      <protection hidden="1"/>
    </xf>
    <xf numFmtId="0" fontId="7" fillId="12" borderId="76" xfId="0" applyFont="1" applyFill="1" applyBorder="1" applyAlignment="1" applyProtection="1">
      <alignment horizontal="center"/>
      <protection hidden="1"/>
    </xf>
    <xf numFmtId="0" fontId="7" fillId="12" borderId="63" xfId="0" applyFont="1" applyFill="1" applyBorder="1" applyAlignment="1" applyProtection="1">
      <alignment horizontal="center"/>
      <protection hidden="1"/>
    </xf>
    <xf numFmtId="0" fontId="7" fillId="12" borderId="68" xfId="0" applyFont="1" applyFill="1" applyBorder="1" applyAlignment="1" applyProtection="1">
      <alignment horizontal="center"/>
      <protection hidden="1"/>
    </xf>
    <xf numFmtId="0" fontId="45" fillId="28" borderId="4" xfId="0" applyFont="1" applyFill="1" applyBorder="1" applyAlignment="1" applyProtection="1">
      <alignment horizontal="center" vertical="center"/>
      <protection hidden="1"/>
    </xf>
    <xf numFmtId="0" fontId="45" fillId="28" borderId="2" xfId="0" applyFont="1" applyFill="1" applyBorder="1" applyAlignment="1" applyProtection="1">
      <alignment horizontal="center" vertical="center"/>
      <protection hidden="1"/>
    </xf>
    <xf numFmtId="0" fontId="35" fillId="2" borderId="4" xfId="0" applyFont="1" applyFill="1" applyBorder="1" applyAlignment="1" applyProtection="1">
      <alignment horizontal="center"/>
      <protection hidden="1"/>
    </xf>
    <xf numFmtId="0" fontId="35" fillId="2" borderId="2" xfId="0" applyFont="1" applyFill="1" applyBorder="1" applyAlignment="1" applyProtection="1">
      <alignment horizontal="center"/>
      <protection hidden="1"/>
    </xf>
    <xf numFmtId="0" fontId="35" fillId="2" borderId="4" xfId="0" applyFont="1" applyFill="1" applyBorder="1" applyAlignment="1" applyProtection="1">
      <alignment horizontal="center" vertical="center" wrapText="1"/>
      <protection hidden="1"/>
    </xf>
    <xf numFmtId="0" fontId="35" fillId="2" borderId="2" xfId="0" applyFont="1" applyFill="1" applyBorder="1" applyAlignment="1" applyProtection="1">
      <alignment horizontal="center" vertical="center" wrapText="1"/>
      <protection hidden="1"/>
    </xf>
    <xf numFmtId="0" fontId="35" fillId="2" borderId="1" xfId="0" applyFont="1" applyFill="1" applyBorder="1" applyAlignment="1" applyProtection="1">
      <alignment horizontal="center" vertical="center" wrapText="1"/>
      <protection hidden="1"/>
    </xf>
    <xf numFmtId="9" fontId="26" fillId="15" borderId="76" xfId="1" applyFont="1" applyFill="1" applyBorder="1" applyAlignment="1" applyProtection="1">
      <alignment horizontal="center" vertical="top"/>
      <protection hidden="1"/>
    </xf>
    <xf numFmtId="9" fontId="26" fillId="15" borderId="63" xfId="1" applyFont="1" applyFill="1" applyBorder="1" applyAlignment="1" applyProtection="1">
      <alignment horizontal="center" vertical="top"/>
      <protection hidden="1"/>
    </xf>
    <xf numFmtId="9" fontId="26" fillId="15" borderId="68" xfId="1" applyFont="1" applyFill="1" applyBorder="1" applyAlignment="1" applyProtection="1">
      <alignment horizontal="center" vertical="top"/>
      <protection hidden="1"/>
    </xf>
    <xf numFmtId="168" fontId="26" fillId="24" borderId="76" xfId="0" applyNumberFormat="1" applyFont="1" applyFill="1" applyBorder="1" applyAlignment="1" applyProtection="1">
      <alignment horizontal="center" vertical="top" wrapText="1"/>
      <protection hidden="1"/>
    </xf>
    <xf numFmtId="0" fontId="26" fillId="24" borderId="63" xfId="0" applyFont="1" applyFill="1" applyBorder="1" applyAlignment="1" applyProtection="1">
      <alignment horizontal="center" vertical="top" wrapText="1"/>
      <protection hidden="1"/>
    </xf>
    <xf numFmtId="0" fontId="26" fillId="24" borderId="68" xfId="0" applyFont="1" applyFill="1" applyBorder="1" applyAlignment="1" applyProtection="1">
      <alignment horizontal="center" vertical="top" wrapText="1"/>
      <protection hidden="1"/>
    </xf>
    <xf numFmtId="168" fontId="46" fillId="0" borderId="5" xfId="3" applyNumberFormat="1" applyFont="1" applyBorder="1" applyAlignment="1" applyProtection="1">
      <alignment horizontal="left" vertical="top" wrapText="1"/>
      <protection hidden="1"/>
    </xf>
    <xf numFmtId="168" fontId="46" fillId="0" borderId="3" xfId="3" applyNumberFormat="1" applyFont="1" applyBorder="1" applyAlignment="1" applyProtection="1">
      <alignment horizontal="left" vertical="top" wrapText="1"/>
      <protection hidden="1"/>
    </xf>
    <xf numFmtId="168" fontId="46" fillId="0" borderId="9" xfId="3" applyNumberFormat="1" applyFont="1" applyBorder="1" applyAlignment="1" applyProtection="1">
      <alignment horizontal="left" vertical="top" wrapText="1"/>
      <protection hidden="1"/>
    </xf>
    <xf numFmtId="0" fontId="7" fillId="23" borderId="76" xfId="0" applyFont="1" applyFill="1" applyBorder="1" applyAlignment="1" applyProtection="1">
      <alignment horizontal="center"/>
      <protection hidden="1"/>
    </xf>
    <xf numFmtId="0" fontId="7" fillId="23" borderId="63" xfId="0" applyFont="1" applyFill="1" applyBorder="1" applyAlignment="1" applyProtection="1">
      <alignment horizontal="center"/>
      <protection hidden="1"/>
    </xf>
    <xf numFmtId="0" fontId="7" fillId="23" borderId="68" xfId="0" applyFont="1" applyFill="1" applyBorder="1" applyAlignment="1" applyProtection="1">
      <alignment horizontal="center"/>
      <protection hidden="1"/>
    </xf>
    <xf numFmtId="0" fontId="46" fillId="21" borderId="32" xfId="1" applyNumberFormat="1" applyFont="1" applyFill="1" applyBorder="1" applyAlignment="1" applyProtection="1">
      <alignment horizontal="left" vertical="top" wrapText="1" indent="2"/>
      <protection locked="0"/>
    </xf>
    <xf numFmtId="0" fontId="46" fillId="21" borderId="27" xfId="1" applyNumberFormat="1" applyFont="1" applyFill="1" applyBorder="1" applyAlignment="1" applyProtection="1">
      <alignment horizontal="left" vertical="top" wrapText="1" indent="2"/>
      <protection locked="0"/>
    </xf>
    <xf numFmtId="0" fontId="46" fillId="21" borderId="74" xfId="1" applyNumberFormat="1" applyFont="1" applyFill="1" applyBorder="1" applyAlignment="1" applyProtection="1">
      <alignment horizontal="left" vertical="top" wrapText="1" indent="2"/>
      <protection locked="0"/>
    </xf>
    <xf numFmtId="170" fontId="46" fillId="29" borderId="13" xfId="0" applyNumberFormat="1" applyFont="1" applyFill="1" applyBorder="1" applyAlignment="1" applyProtection="1">
      <alignment horizontal="center" vertical="top" wrapText="1"/>
      <protection locked="0"/>
    </xf>
    <xf numFmtId="170" fontId="46" fillId="29" borderId="16" xfId="0" applyNumberFormat="1" applyFont="1" applyFill="1" applyBorder="1" applyAlignment="1" applyProtection="1">
      <alignment horizontal="center" vertical="top" wrapText="1"/>
      <protection locked="0"/>
    </xf>
    <xf numFmtId="170" fontId="46" fillId="29" borderId="18" xfId="0" applyNumberFormat="1" applyFont="1" applyFill="1" applyBorder="1" applyAlignment="1" applyProtection="1">
      <alignment horizontal="center" vertical="top" wrapText="1"/>
      <protection locked="0"/>
    </xf>
    <xf numFmtId="170" fontId="46" fillId="29" borderId="14" xfId="0" applyNumberFormat="1" applyFont="1" applyFill="1" applyBorder="1" applyAlignment="1" applyProtection="1">
      <alignment horizontal="center" vertical="center" wrapText="1"/>
      <protection locked="0"/>
    </xf>
    <xf numFmtId="170" fontId="46" fillId="29" borderId="12" xfId="0" applyNumberFormat="1" applyFont="1" applyFill="1" applyBorder="1" applyAlignment="1" applyProtection="1">
      <alignment horizontal="center" vertical="center" wrapText="1"/>
      <protection locked="0"/>
    </xf>
    <xf numFmtId="170" fontId="46" fillId="29" borderId="19" xfId="0" applyNumberFormat="1" applyFont="1" applyFill="1" applyBorder="1" applyAlignment="1" applyProtection="1">
      <alignment horizontal="center" vertical="center" wrapText="1"/>
      <protection locked="0"/>
    </xf>
    <xf numFmtId="170" fontId="46" fillId="29" borderId="14" xfId="0" applyNumberFormat="1" applyFont="1" applyFill="1" applyBorder="1" applyAlignment="1" applyProtection="1">
      <alignment horizontal="center" vertical="top" wrapText="1"/>
      <protection locked="0"/>
    </xf>
    <xf numFmtId="170" fontId="46" fillId="29" borderId="12" xfId="0" applyNumberFormat="1" applyFont="1" applyFill="1" applyBorder="1" applyAlignment="1" applyProtection="1">
      <alignment horizontal="center" vertical="top" wrapText="1"/>
      <protection locked="0"/>
    </xf>
    <xf numFmtId="170" fontId="46" fillId="29" borderId="19" xfId="0" applyNumberFormat="1" applyFont="1" applyFill="1" applyBorder="1" applyAlignment="1" applyProtection="1">
      <alignment horizontal="center" vertical="top" wrapText="1"/>
      <protection locked="0"/>
    </xf>
    <xf numFmtId="170" fontId="46" fillId="29" borderId="15" xfId="0" applyNumberFormat="1" applyFont="1" applyFill="1" applyBorder="1" applyAlignment="1" applyProtection="1">
      <alignment horizontal="center" vertical="top" wrapText="1"/>
      <protection locked="0"/>
    </xf>
    <xf numFmtId="170" fontId="46" fillId="29" borderId="17" xfId="0" applyNumberFormat="1" applyFont="1" applyFill="1" applyBorder="1" applyAlignment="1" applyProtection="1">
      <alignment horizontal="center" vertical="top" wrapText="1"/>
      <protection locked="0"/>
    </xf>
    <xf numFmtId="170" fontId="46" fillId="29" borderId="20" xfId="0" applyNumberFormat="1" applyFont="1" applyFill="1" applyBorder="1" applyAlignment="1" applyProtection="1">
      <alignment horizontal="center" vertical="top" wrapText="1"/>
      <protection locked="0"/>
    </xf>
    <xf numFmtId="0" fontId="26" fillId="0" borderId="18" xfId="0" applyFont="1" applyFill="1" applyBorder="1" applyAlignment="1" applyProtection="1">
      <alignment horizontal="left" vertical="center" wrapText="1"/>
      <protection hidden="1"/>
    </xf>
    <xf numFmtId="0" fontId="46" fillId="0" borderId="27" xfId="1" applyNumberFormat="1" applyFont="1" applyFill="1" applyBorder="1" applyAlignment="1" applyProtection="1">
      <alignment horizontal="left" vertical="top" wrapText="1" indent="2"/>
      <protection hidden="1"/>
    </xf>
    <xf numFmtId="0" fontId="34" fillId="2" borderId="6" xfId="0" applyFont="1" applyFill="1" applyBorder="1" applyAlignment="1" applyProtection="1">
      <alignment horizontal="center" vertical="center" wrapText="1"/>
      <protection hidden="1"/>
    </xf>
    <xf numFmtId="0" fontId="34" fillId="2" borderId="4" xfId="0" applyFont="1" applyFill="1" applyBorder="1" applyAlignment="1" applyProtection="1">
      <alignment horizontal="center" vertical="center" wrapText="1"/>
      <protection hidden="1"/>
    </xf>
    <xf numFmtId="0" fontId="34" fillId="2" borderId="29" xfId="0" applyFont="1" applyFill="1" applyBorder="1" applyAlignment="1" applyProtection="1">
      <alignment horizontal="center" vertical="center" wrapText="1"/>
      <protection hidden="1"/>
    </xf>
    <xf numFmtId="0" fontId="34" fillId="2" borderId="14" xfId="0" applyFont="1" applyFill="1" applyBorder="1" applyAlignment="1" applyProtection="1">
      <alignment horizontal="center" vertical="center" wrapText="1"/>
      <protection hidden="1"/>
    </xf>
    <xf numFmtId="0" fontId="34" fillId="2" borderId="15"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vertical="center" wrapText="1"/>
      <protection hidden="1"/>
    </xf>
    <xf numFmtId="0" fontId="34" fillId="2" borderId="13" xfId="0" applyFont="1" applyFill="1" applyBorder="1" applyAlignment="1" applyProtection="1">
      <alignment horizontal="center" vertical="center" wrapText="1"/>
      <protection hidden="1"/>
    </xf>
    <xf numFmtId="0" fontId="34" fillId="2" borderId="74" xfId="0" applyFont="1" applyFill="1" applyBorder="1" applyAlignment="1" applyProtection="1">
      <alignment horizontal="center" vertical="center" wrapText="1"/>
      <protection hidden="1"/>
    </xf>
    <xf numFmtId="0" fontId="46" fillId="0" borderId="56" xfId="2" applyNumberFormat="1" applyFont="1" applyFill="1" applyBorder="1" applyAlignment="1" applyProtection="1">
      <alignment horizontal="center" vertical="top"/>
      <protection hidden="1"/>
    </xf>
    <xf numFmtId="0" fontId="46" fillId="0" borderId="58" xfId="2" applyNumberFormat="1" applyFont="1" applyFill="1" applyBorder="1" applyAlignment="1" applyProtection="1">
      <alignment horizontal="center" vertical="top"/>
      <protection hidden="1"/>
    </xf>
    <xf numFmtId="0" fontId="34" fillId="2" borderId="34" xfId="0" applyFont="1" applyFill="1" applyBorder="1" applyAlignment="1" applyProtection="1">
      <alignment horizontal="center" vertical="center" wrapText="1"/>
      <protection hidden="1"/>
    </xf>
    <xf numFmtId="0" fontId="34" fillId="2" borderId="53" xfId="0" applyFont="1" applyFill="1" applyBorder="1" applyAlignment="1" applyProtection="1">
      <alignment horizontal="center" vertical="center" wrapText="1"/>
      <protection hidden="1"/>
    </xf>
    <xf numFmtId="0" fontId="34" fillId="2" borderId="7" xfId="0" applyFont="1" applyFill="1" applyBorder="1" applyAlignment="1" applyProtection="1">
      <alignment horizontal="center" vertical="center" wrapText="1"/>
      <protection hidden="1"/>
    </xf>
    <xf numFmtId="0" fontId="34" fillId="2" borderId="58" xfId="0" applyFont="1" applyFill="1" applyBorder="1" applyAlignment="1" applyProtection="1">
      <alignment horizontal="center" vertical="center" wrapText="1"/>
      <protection hidden="1"/>
    </xf>
    <xf numFmtId="0" fontId="34" fillId="2" borderId="11" xfId="0" applyFont="1" applyFill="1" applyBorder="1" applyAlignment="1" applyProtection="1">
      <alignment horizontal="center" vertical="center" wrapText="1"/>
      <protection hidden="1"/>
    </xf>
    <xf numFmtId="0" fontId="34" fillId="2" borderId="5" xfId="0" applyFont="1" applyFill="1" applyBorder="1" applyAlignment="1" applyProtection="1">
      <alignment horizontal="center" vertical="center" wrapText="1"/>
      <protection hidden="1"/>
    </xf>
    <xf numFmtId="0" fontId="27" fillId="22" borderId="4"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wrapText="1"/>
      <protection hidden="1"/>
    </xf>
    <xf numFmtId="170" fontId="49" fillId="21" borderId="15" xfId="0" applyNumberFormat="1" applyFont="1" applyFill="1" applyBorder="1" applyAlignment="1" applyProtection="1">
      <alignment horizontal="center" vertical="center"/>
      <protection locked="0"/>
    </xf>
    <xf numFmtId="170" fontId="49" fillId="21" borderId="17" xfId="0" applyNumberFormat="1" applyFont="1" applyFill="1" applyBorder="1" applyAlignment="1" applyProtection="1">
      <alignment horizontal="center" vertical="center"/>
      <protection locked="0"/>
    </xf>
    <xf numFmtId="170" fontId="49" fillId="21" borderId="20" xfId="0" applyNumberFormat="1" applyFont="1" applyFill="1" applyBorder="1" applyAlignment="1" applyProtection="1">
      <alignment horizontal="center" vertical="center"/>
      <protection locked="0"/>
    </xf>
    <xf numFmtId="170" fontId="48" fillId="0" borderId="14" xfId="0" applyNumberFormat="1" applyFont="1" applyBorder="1" applyAlignment="1" applyProtection="1">
      <alignment horizontal="center" vertical="center"/>
      <protection hidden="1"/>
    </xf>
    <xf numFmtId="170" fontId="48" fillId="0" borderId="12" xfId="0" applyNumberFormat="1" applyFont="1" applyBorder="1" applyAlignment="1" applyProtection="1">
      <alignment horizontal="center" vertical="center"/>
      <protection hidden="1"/>
    </xf>
    <xf numFmtId="170" fontId="48" fillId="0" borderId="19" xfId="0" applyNumberFormat="1" applyFont="1" applyBorder="1" applyAlignment="1" applyProtection="1">
      <alignment horizontal="center" vertical="center"/>
      <protection hidden="1"/>
    </xf>
    <xf numFmtId="0" fontId="34" fillId="2" borderId="8" xfId="0" applyFont="1" applyFill="1" applyBorder="1" applyAlignment="1" applyProtection="1">
      <alignment horizontal="center" vertical="center" wrapText="1"/>
      <protection hidden="1"/>
    </xf>
    <xf numFmtId="0" fontId="34" fillId="2" borderId="9" xfId="0" applyFont="1" applyFill="1" applyBorder="1" applyAlignment="1" applyProtection="1">
      <alignment horizontal="center" vertical="center" wrapText="1"/>
      <protection hidden="1"/>
    </xf>
    <xf numFmtId="0" fontId="46" fillId="0" borderId="14" xfId="0" applyFont="1" applyFill="1" applyBorder="1" applyAlignment="1" applyProtection="1">
      <alignment horizontal="center" vertical="top" wrapText="1"/>
      <protection hidden="1"/>
    </xf>
    <xf numFmtId="0" fontId="46" fillId="0" borderId="12" xfId="0" applyFont="1" applyFill="1" applyBorder="1" applyAlignment="1" applyProtection="1">
      <alignment horizontal="center" vertical="top" wrapText="1"/>
      <protection hidden="1"/>
    </xf>
    <xf numFmtId="0" fontId="46" fillId="0" borderId="19" xfId="0" applyFont="1" applyFill="1" applyBorder="1" applyAlignment="1" applyProtection="1">
      <alignment horizontal="center" vertical="top" wrapText="1"/>
      <protection hidden="1"/>
    </xf>
    <xf numFmtId="168" fontId="48" fillId="0" borderId="5" xfId="3" applyNumberFormat="1" applyFont="1" applyBorder="1" applyAlignment="1" applyProtection="1">
      <alignment horizontal="center" vertical="top"/>
      <protection hidden="1"/>
    </xf>
    <xf numFmtId="168" fontId="48" fillId="0" borderId="3" xfId="3" applyNumberFormat="1" applyFont="1" applyBorder="1" applyAlignment="1" applyProtection="1">
      <alignment horizontal="center" vertical="top"/>
      <protection hidden="1"/>
    </xf>
    <xf numFmtId="168" fontId="48" fillId="0" borderId="9" xfId="3" applyNumberFormat="1" applyFont="1" applyBorder="1" applyAlignment="1" applyProtection="1">
      <alignment horizontal="center" vertical="top"/>
      <protection hidden="1"/>
    </xf>
    <xf numFmtId="170" fontId="48" fillId="0" borderId="13" xfId="0" applyNumberFormat="1" applyFont="1" applyBorder="1" applyAlignment="1" applyProtection="1">
      <alignment horizontal="center" vertical="center"/>
      <protection hidden="1"/>
    </xf>
    <xf numFmtId="170" fontId="48" fillId="0" borderId="16" xfId="0" applyNumberFormat="1" applyFont="1" applyBorder="1" applyAlignment="1" applyProtection="1">
      <alignment horizontal="center" vertical="center"/>
      <protection hidden="1"/>
    </xf>
    <xf numFmtId="170" fontId="48" fillId="0" borderId="18" xfId="0" applyNumberFormat="1" applyFont="1" applyBorder="1" applyAlignment="1" applyProtection="1">
      <alignment horizontal="center" vertical="center"/>
      <protection hidden="1"/>
    </xf>
    <xf numFmtId="0" fontId="27" fillId="23" borderId="1" xfId="0" applyFont="1" applyFill="1" applyBorder="1" applyAlignment="1" applyProtection="1">
      <alignment horizontal="center" vertical="center"/>
      <protection hidden="1"/>
    </xf>
    <xf numFmtId="0" fontId="27" fillId="23" borderId="4" xfId="0" applyFont="1" applyFill="1" applyBorder="1" applyAlignment="1" applyProtection="1">
      <alignment horizontal="center" vertical="center"/>
      <protection hidden="1"/>
    </xf>
    <xf numFmtId="0" fontId="34" fillId="2" borderId="16" xfId="0" applyFont="1" applyFill="1" applyBorder="1" applyAlignment="1" applyProtection="1">
      <alignment horizontal="center" vertical="center" wrapText="1"/>
      <protection hidden="1"/>
    </xf>
    <xf numFmtId="0" fontId="34" fillId="2" borderId="31" xfId="0" applyFont="1" applyFill="1" applyBorder="1" applyAlignment="1" applyProtection="1">
      <alignment horizontal="center" vertical="center" wrapText="1"/>
      <protection hidden="1"/>
    </xf>
    <xf numFmtId="0" fontId="34" fillId="2" borderId="12" xfId="0" applyFont="1" applyFill="1" applyBorder="1" applyAlignment="1" applyProtection="1">
      <alignment horizontal="center" vertical="center" wrapText="1"/>
      <protection hidden="1"/>
    </xf>
    <xf numFmtId="0" fontId="34" fillId="2" borderId="36" xfId="0" applyFont="1" applyFill="1" applyBorder="1" applyAlignment="1" applyProtection="1">
      <alignment horizontal="center" vertical="center" wrapText="1"/>
      <protection hidden="1"/>
    </xf>
    <xf numFmtId="0" fontId="34" fillId="2" borderId="32" xfId="0" applyFont="1" applyFill="1" applyBorder="1" applyAlignment="1" applyProtection="1">
      <alignment horizontal="center" vertical="center" wrapText="1"/>
      <protection hidden="1"/>
    </xf>
    <xf numFmtId="0" fontId="34" fillId="2" borderId="55" xfId="0" applyFont="1" applyFill="1" applyBorder="1" applyAlignment="1" applyProtection="1">
      <alignment horizontal="center" vertical="center" wrapText="1"/>
      <protection hidden="1"/>
    </xf>
    <xf numFmtId="0" fontId="34" fillId="2" borderId="17" xfId="0" applyFont="1" applyFill="1" applyBorder="1" applyAlignment="1" applyProtection="1">
      <alignment horizontal="center" vertical="center" wrapText="1"/>
      <protection hidden="1"/>
    </xf>
    <xf numFmtId="0" fontId="34" fillId="2" borderId="37" xfId="0" applyFont="1" applyFill="1" applyBorder="1" applyAlignment="1" applyProtection="1">
      <alignment horizontal="center" vertical="center" wrapText="1"/>
      <protection hidden="1"/>
    </xf>
    <xf numFmtId="0" fontId="34" fillId="2" borderId="46" xfId="0" applyFont="1" applyFill="1" applyBorder="1" applyAlignment="1" applyProtection="1">
      <alignment horizontal="center" vertical="center" wrapText="1"/>
      <protection hidden="1"/>
    </xf>
    <xf numFmtId="0" fontId="34" fillId="2" borderId="73" xfId="0" applyFont="1" applyFill="1" applyBorder="1" applyAlignment="1" applyProtection="1">
      <alignment horizontal="center" vertical="center" wrapText="1"/>
      <protection hidden="1"/>
    </xf>
    <xf numFmtId="0" fontId="34" fillId="2" borderId="30" xfId="0" applyFont="1" applyFill="1" applyBorder="1" applyAlignment="1" applyProtection="1">
      <alignment horizontal="center" vertical="center" wrapText="1"/>
      <protection hidden="1"/>
    </xf>
    <xf numFmtId="0" fontId="34" fillId="2" borderId="62" xfId="0" applyFont="1" applyFill="1" applyBorder="1" applyAlignment="1" applyProtection="1">
      <alignment horizontal="center" vertical="center" wrapText="1"/>
      <protection hidden="1"/>
    </xf>
    <xf numFmtId="0" fontId="34" fillId="2" borderId="66" xfId="0" applyFont="1" applyFill="1" applyBorder="1" applyAlignment="1" applyProtection="1">
      <alignment horizontal="center" vertical="center" wrapText="1"/>
      <protection hidden="1"/>
    </xf>
    <xf numFmtId="0" fontId="34" fillId="2" borderId="75" xfId="0" applyFont="1" applyFill="1" applyBorder="1" applyAlignment="1" applyProtection="1">
      <alignment horizontal="center" vertical="center" wrapText="1"/>
      <protection hidden="1"/>
    </xf>
    <xf numFmtId="0" fontId="34" fillId="2" borderId="76" xfId="0" applyFont="1" applyFill="1" applyBorder="1" applyAlignment="1" applyProtection="1">
      <alignment horizontal="center" vertical="center" wrapText="1"/>
      <protection hidden="1"/>
    </xf>
    <xf numFmtId="0" fontId="34" fillId="2" borderId="63" xfId="0" applyFont="1" applyFill="1" applyBorder="1" applyAlignment="1" applyProtection="1">
      <alignment horizontal="center" vertical="center" wrapText="1"/>
      <protection hidden="1"/>
    </xf>
    <xf numFmtId="0" fontId="34" fillId="2" borderId="3" xfId="0" applyFont="1" applyFill="1" applyBorder="1" applyAlignment="1" applyProtection="1">
      <alignment horizontal="center" vertical="center" wrapText="1"/>
      <protection hidden="1"/>
    </xf>
    <xf numFmtId="0" fontId="34" fillId="2" borderId="20" xfId="0" applyFont="1" applyFill="1" applyBorder="1" applyAlignment="1" applyProtection="1">
      <alignment horizontal="center" vertical="center" wrapText="1"/>
      <protection hidden="1"/>
    </xf>
    <xf numFmtId="9" fontId="26" fillId="15" borderId="34" xfId="1" applyFont="1" applyFill="1" applyBorder="1" applyAlignment="1" applyProtection="1">
      <alignment horizontal="center" vertical="top"/>
      <protection hidden="1"/>
    </xf>
    <xf numFmtId="9" fontId="26" fillId="15" borderId="44" xfId="1" applyFont="1" applyFill="1" applyBorder="1" applyAlignment="1" applyProtection="1">
      <alignment horizontal="center" vertical="top"/>
      <protection hidden="1"/>
    </xf>
    <xf numFmtId="9" fontId="26" fillId="15" borderId="33" xfId="1" applyFont="1" applyFill="1" applyBorder="1" applyAlignment="1" applyProtection="1">
      <alignment horizontal="center" vertical="top"/>
      <protection hidden="1"/>
    </xf>
    <xf numFmtId="9" fontId="26" fillId="15" borderId="26" xfId="1" applyFont="1" applyFill="1" applyBorder="1" applyAlignment="1" applyProtection="1">
      <alignment horizontal="center" vertical="top"/>
      <protection hidden="1"/>
    </xf>
    <xf numFmtId="168" fontId="48" fillId="0" borderId="13" xfId="3" applyNumberFormat="1" applyFont="1" applyBorder="1" applyAlignment="1" applyProtection="1">
      <alignment horizontal="center" vertical="top"/>
      <protection hidden="1"/>
    </xf>
    <xf numFmtId="168" fontId="48" fillId="0" borderId="16" xfId="3" applyNumberFormat="1" applyFont="1" applyBorder="1" applyAlignment="1" applyProtection="1">
      <alignment horizontal="center" vertical="top"/>
      <protection hidden="1"/>
    </xf>
    <xf numFmtId="168" fontId="48" fillId="0" borderId="31" xfId="3" applyNumberFormat="1" applyFont="1" applyBorder="1" applyAlignment="1" applyProtection="1">
      <alignment horizontal="center" vertical="top"/>
      <protection hidden="1"/>
    </xf>
    <xf numFmtId="168" fontId="48" fillId="0" borderId="14" xfId="3" applyNumberFormat="1" applyFont="1" applyFill="1" applyBorder="1" applyAlignment="1" applyProtection="1">
      <alignment horizontal="center" vertical="top"/>
      <protection hidden="1"/>
    </xf>
    <xf numFmtId="168" fontId="48" fillId="0" borderId="12" xfId="3" applyNumberFormat="1" applyFont="1" applyFill="1" applyBorder="1" applyAlignment="1" applyProtection="1">
      <alignment horizontal="center" vertical="top"/>
      <protection hidden="1"/>
    </xf>
    <xf numFmtId="168" fontId="48" fillId="0" borderId="36" xfId="3" applyNumberFormat="1" applyFont="1" applyFill="1" applyBorder="1" applyAlignment="1" applyProtection="1">
      <alignment horizontal="center" vertical="top"/>
      <protection hidden="1"/>
    </xf>
    <xf numFmtId="170" fontId="49" fillId="21" borderId="15" xfId="0" applyNumberFormat="1" applyFont="1" applyFill="1" applyBorder="1" applyAlignment="1" applyProtection="1">
      <alignment horizontal="center" vertical="top"/>
      <protection locked="0"/>
    </xf>
    <xf numFmtId="170" fontId="49" fillId="21" borderId="17" xfId="0" applyNumberFormat="1" applyFont="1" applyFill="1" applyBorder="1" applyAlignment="1" applyProtection="1">
      <alignment horizontal="center" vertical="top"/>
      <protection locked="0"/>
    </xf>
    <xf numFmtId="170" fontId="49" fillId="21" borderId="37" xfId="0" applyNumberFormat="1" applyFont="1" applyFill="1" applyBorder="1" applyAlignment="1" applyProtection="1">
      <alignment horizontal="center" vertical="top"/>
      <protection locked="0"/>
    </xf>
    <xf numFmtId="170" fontId="46" fillId="0" borderId="13" xfId="3" applyNumberFormat="1" applyFont="1" applyBorder="1" applyAlignment="1" applyProtection="1">
      <alignment horizontal="center" vertical="top"/>
      <protection hidden="1"/>
    </xf>
    <xf numFmtId="170" fontId="46" fillId="0" borderId="16" xfId="3" applyNumberFormat="1" applyFont="1" applyBorder="1" applyAlignment="1" applyProtection="1">
      <alignment horizontal="center" vertical="top"/>
      <protection hidden="1"/>
    </xf>
    <xf numFmtId="170" fontId="46" fillId="0" borderId="18" xfId="3" applyNumberFormat="1" applyFont="1" applyBorder="1" applyAlignment="1" applyProtection="1">
      <alignment horizontal="center" vertical="top"/>
      <protection hidden="1"/>
    </xf>
    <xf numFmtId="170" fontId="46" fillId="0" borderId="14" xfId="3" applyNumberFormat="1" applyFont="1" applyBorder="1" applyAlignment="1" applyProtection="1">
      <alignment horizontal="center" vertical="top"/>
      <protection hidden="1"/>
    </xf>
    <xf numFmtId="170" fontId="46" fillId="0" borderId="12" xfId="3" applyNumberFormat="1" applyFont="1" applyBorder="1" applyAlignment="1" applyProtection="1">
      <alignment horizontal="center" vertical="top"/>
      <protection hidden="1"/>
    </xf>
    <xf numFmtId="170" fontId="46" fillId="0" borderId="19" xfId="3" applyNumberFormat="1" applyFont="1" applyBorder="1" applyAlignment="1" applyProtection="1">
      <alignment horizontal="center" vertical="top"/>
      <protection hidden="1"/>
    </xf>
    <xf numFmtId="170" fontId="26" fillId="21" borderId="15" xfId="3" applyNumberFormat="1" applyFont="1" applyFill="1" applyBorder="1" applyAlignment="1" applyProtection="1">
      <alignment horizontal="center" vertical="top"/>
      <protection locked="0"/>
    </xf>
    <xf numFmtId="170" fontId="26" fillId="21" borderId="17" xfId="3" applyNumberFormat="1" applyFont="1" applyFill="1" applyBorder="1" applyAlignment="1" applyProtection="1">
      <alignment horizontal="center" vertical="top"/>
      <protection locked="0"/>
    </xf>
    <xf numFmtId="170" fontId="26" fillId="21" borderId="20" xfId="3" applyNumberFormat="1" applyFont="1" applyFill="1" applyBorder="1" applyAlignment="1" applyProtection="1">
      <alignment horizontal="center" vertical="top"/>
      <protection locked="0"/>
    </xf>
    <xf numFmtId="168" fontId="46" fillId="29" borderId="14" xfId="0" applyNumberFormat="1" applyFont="1" applyFill="1" applyBorder="1" applyAlignment="1" applyProtection="1">
      <alignment horizontal="center" vertical="top"/>
      <protection locked="0"/>
    </xf>
    <xf numFmtId="168" fontId="46" fillId="29" borderId="12" xfId="0" applyNumberFormat="1" applyFont="1" applyFill="1" applyBorder="1" applyAlignment="1" applyProtection="1">
      <alignment horizontal="center" vertical="top"/>
      <protection locked="0"/>
    </xf>
    <xf numFmtId="168" fontId="46" fillId="29" borderId="19" xfId="0" applyNumberFormat="1" applyFont="1" applyFill="1" applyBorder="1" applyAlignment="1" applyProtection="1">
      <alignment horizontal="center" vertical="top"/>
      <protection locked="0"/>
    </xf>
    <xf numFmtId="168" fontId="46" fillId="29" borderId="15" xfId="0" applyNumberFormat="1" applyFont="1" applyFill="1" applyBorder="1" applyAlignment="1" applyProtection="1">
      <alignment horizontal="center" vertical="top"/>
      <protection locked="0"/>
    </xf>
    <xf numFmtId="168" fontId="46" fillId="29" borderId="17" xfId="0" applyNumberFormat="1" applyFont="1" applyFill="1" applyBorder="1" applyAlignment="1" applyProtection="1">
      <alignment horizontal="center" vertical="top"/>
      <protection locked="0"/>
    </xf>
    <xf numFmtId="168" fontId="46" fillId="29" borderId="20" xfId="0" applyNumberFormat="1" applyFont="1" applyFill="1" applyBorder="1" applyAlignment="1" applyProtection="1">
      <alignment horizontal="center" vertical="top"/>
      <protection locked="0"/>
    </xf>
    <xf numFmtId="0" fontId="46" fillId="21" borderId="55" xfId="2" applyNumberFormat="1" applyFont="1" applyFill="1" applyBorder="1" applyAlignment="1" applyProtection="1">
      <alignment horizontal="center" vertical="top"/>
      <protection locked="0"/>
    </xf>
    <xf numFmtId="0" fontId="46" fillId="29" borderId="14" xfId="0" applyFont="1" applyFill="1" applyBorder="1" applyAlignment="1" applyProtection="1">
      <alignment horizontal="center" vertical="top" wrapText="1"/>
      <protection locked="0"/>
    </xf>
    <xf numFmtId="0" fontId="46" fillId="29" borderId="12" xfId="0" applyFont="1" applyFill="1" applyBorder="1" applyAlignment="1" applyProtection="1">
      <alignment horizontal="center" vertical="top" wrapText="1"/>
      <protection locked="0"/>
    </xf>
    <xf numFmtId="0" fontId="46" fillId="29" borderId="19" xfId="0" applyFont="1" applyFill="1" applyBorder="1" applyAlignment="1" applyProtection="1">
      <alignment horizontal="center" vertical="top" wrapText="1"/>
      <protection locked="0"/>
    </xf>
    <xf numFmtId="0" fontId="46" fillId="29" borderId="15" xfId="0" applyFont="1" applyFill="1" applyBorder="1" applyAlignment="1" applyProtection="1">
      <alignment horizontal="center" vertical="top" wrapText="1"/>
      <protection locked="0"/>
    </xf>
    <xf numFmtId="0" fontId="46" fillId="29" borderId="17" xfId="0" applyFont="1" applyFill="1" applyBorder="1" applyAlignment="1" applyProtection="1">
      <alignment horizontal="center" vertical="top" wrapText="1"/>
      <protection locked="0"/>
    </xf>
    <xf numFmtId="0" fontId="46" fillId="29" borderId="20" xfId="0" applyFont="1" applyFill="1" applyBorder="1" applyAlignment="1" applyProtection="1">
      <alignment horizontal="center" vertical="top" wrapText="1"/>
      <protection locked="0"/>
    </xf>
    <xf numFmtId="168" fontId="48" fillId="29" borderId="14" xfId="3" applyNumberFormat="1" applyFont="1" applyFill="1" applyBorder="1" applyAlignment="1" applyProtection="1">
      <alignment horizontal="center" vertical="top"/>
      <protection locked="0"/>
    </xf>
    <xf numFmtId="168" fontId="48" fillId="29" borderId="12" xfId="3" applyNumberFormat="1" applyFont="1" applyFill="1" applyBorder="1" applyAlignment="1" applyProtection="1">
      <alignment horizontal="center" vertical="top"/>
      <protection locked="0"/>
    </xf>
    <xf numFmtId="168" fontId="48" fillId="29" borderId="36" xfId="3" applyNumberFormat="1" applyFont="1" applyFill="1" applyBorder="1" applyAlignment="1" applyProtection="1">
      <alignment horizontal="center" vertical="top"/>
      <protection locked="0"/>
    </xf>
    <xf numFmtId="0" fontId="26" fillId="13" borderId="79" xfId="2" applyNumberFormat="1" applyFont="1" applyFill="1" applyBorder="1" applyAlignment="1" applyProtection="1">
      <alignment horizontal="center" vertical="top"/>
      <protection hidden="1"/>
    </xf>
    <xf numFmtId="0" fontId="26" fillId="21" borderId="74" xfId="1" applyNumberFormat="1" applyFont="1" applyFill="1" applyBorder="1" applyAlignment="1" applyProtection="1">
      <alignment horizontal="left" vertical="top" wrapText="1" indent="2"/>
      <protection locked="0"/>
    </xf>
    <xf numFmtId="0" fontId="26" fillId="21" borderId="32" xfId="1" applyNumberFormat="1" applyFont="1" applyFill="1" applyBorder="1" applyAlignment="1" applyProtection="1">
      <alignment horizontal="left" vertical="top" wrapText="1" indent="2"/>
      <protection locked="0"/>
    </xf>
    <xf numFmtId="168" fontId="46" fillId="29" borderId="13" xfId="0" applyNumberFormat="1" applyFont="1" applyFill="1" applyBorder="1" applyAlignment="1" applyProtection="1">
      <alignment horizontal="center" vertical="top"/>
      <protection locked="0"/>
    </xf>
    <xf numFmtId="168" fontId="46" fillId="29" borderId="16" xfId="0" applyNumberFormat="1" applyFont="1" applyFill="1" applyBorder="1" applyAlignment="1" applyProtection="1">
      <alignment horizontal="center" vertical="top"/>
      <protection locked="0"/>
    </xf>
    <xf numFmtId="168" fontId="46" fillId="29" borderId="31" xfId="0" applyNumberFormat="1" applyFont="1" applyFill="1" applyBorder="1" applyAlignment="1" applyProtection="1">
      <alignment horizontal="center" vertical="top"/>
      <protection locked="0"/>
    </xf>
    <xf numFmtId="9" fontId="26" fillId="15" borderId="41" xfId="1" applyFont="1" applyFill="1" applyBorder="1" applyAlignment="1" applyProtection="1">
      <alignment horizontal="center" vertical="top"/>
      <protection hidden="1"/>
    </xf>
    <xf numFmtId="9" fontId="26" fillId="15" borderId="79" xfId="1" applyFont="1" applyFill="1" applyBorder="1" applyAlignment="1" applyProtection="1">
      <alignment horizontal="center" vertical="top"/>
      <protection hidden="1"/>
    </xf>
    <xf numFmtId="168" fontId="46" fillId="21" borderId="7" xfId="0" applyNumberFormat="1" applyFont="1" applyFill="1" applyBorder="1" applyAlignment="1" applyProtection="1">
      <alignment horizontal="left" vertical="top" wrapText="1" indent="1"/>
      <protection locked="0"/>
    </xf>
    <xf numFmtId="168" fontId="46" fillId="21" borderId="8" xfId="0" applyNumberFormat="1" applyFont="1" applyFill="1" applyBorder="1" applyAlignment="1" applyProtection="1">
      <alignment horizontal="left" vertical="top" wrapText="1" indent="1"/>
      <protection locked="0"/>
    </xf>
    <xf numFmtId="168" fontId="46" fillId="21" borderId="45" xfId="0" applyNumberFormat="1" applyFont="1" applyFill="1" applyBorder="1" applyAlignment="1" applyProtection="1">
      <alignment horizontal="left" vertical="top" wrapText="1" indent="1"/>
      <protection locked="0"/>
    </xf>
    <xf numFmtId="168" fontId="46" fillId="21" borderId="11" xfId="0" applyNumberFormat="1" applyFont="1" applyFill="1" applyBorder="1" applyAlignment="1" applyProtection="1">
      <alignment horizontal="left" vertical="top" wrapText="1" indent="1"/>
      <protection locked="0"/>
    </xf>
    <xf numFmtId="0" fontId="26" fillId="13" borderId="41" xfId="0" applyNumberFormat="1" applyFont="1" applyFill="1" applyBorder="1" applyAlignment="1" applyProtection="1">
      <alignment horizontal="center" vertical="top"/>
      <protection hidden="1"/>
    </xf>
    <xf numFmtId="168" fontId="46" fillId="19" borderId="76" xfId="0" applyNumberFormat="1" applyFont="1" applyFill="1" applyBorder="1" applyAlignment="1" applyProtection="1">
      <alignment horizontal="center" vertical="top"/>
      <protection hidden="1"/>
    </xf>
    <xf numFmtId="168" fontId="46" fillId="19" borderId="63" xfId="0" applyNumberFormat="1" applyFont="1" applyFill="1" applyBorder="1" applyAlignment="1" applyProtection="1">
      <alignment horizontal="center" vertical="top"/>
      <protection hidden="1"/>
    </xf>
    <xf numFmtId="168" fontId="46" fillId="19" borderId="68" xfId="0" applyNumberFormat="1" applyFont="1" applyFill="1" applyBorder="1" applyAlignment="1" applyProtection="1">
      <alignment horizontal="center" vertical="top"/>
      <protection hidden="1"/>
    </xf>
    <xf numFmtId="0" fontId="46" fillId="0" borderId="29" xfId="2" applyNumberFormat="1" applyFont="1" applyFill="1" applyBorder="1" applyAlignment="1" applyProtection="1">
      <alignment horizontal="center" vertical="top"/>
      <protection hidden="1"/>
    </xf>
    <xf numFmtId="0" fontId="46" fillId="0" borderId="22" xfId="2" applyNumberFormat="1" applyFont="1" applyFill="1" applyBorder="1" applyAlignment="1" applyProtection="1">
      <alignment horizontal="center" vertical="top"/>
      <protection hidden="1"/>
    </xf>
    <xf numFmtId="0" fontId="46" fillId="0" borderId="23" xfId="2" applyNumberFormat="1" applyFont="1" applyFill="1" applyBorder="1" applyAlignment="1" applyProtection="1">
      <alignment horizontal="center" vertical="top"/>
      <protection hidden="1"/>
    </xf>
    <xf numFmtId="0" fontId="46" fillId="0" borderId="14" xfId="2" applyNumberFormat="1" applyFont="1" applyFill="1" applyBorder="1" applyAlignment="1" applyProtection="1">
      <alignment horizontal="center" vertical="top"/>
      <protection hidden="1"/>
    </xf>
    <xf numFmtId="0" fontId="46" fillId="0" borderId="21" xfId="2" applyNumberFormat="1" applyFont="1" applyFill="1" applyBorder="1" applyAlignment="1" applyProtection="1">
      <alignment horizontal="center" vertical="top"/>
      <protection hidden="1"/>
    </xf>
    <xf numFmtId="0" fontId="46" fillId="0" borderId="12" xfId="2" applyNumberFormat="1" applyFont="1" applyFill="1" applyBorder="1" applyAlignment="1" applyProtection="1">
      <alignment horizontal="center" vertical="top"/>
      <protection hidden="1"/>
    </xf>
    <xf numFmtId="0" fontId="46" fillId="0" borderId="74" xfId="2" applyNumberFormat="1" applyFont="1" applyFill="1" applyBorder="1" applyAlignment="1" applyProtection="1">
      <alignment horizontal="center" vertical="top"/>
      <protection hidden="1"/>
    </xf>
    <xf numFmtId="0" fontId="46" fillId="0" borderId="61" xfId="2" applyNumberFormat="1" applyFont="1" applyFill="1" applyBorder="1" applyAlignment="1" applyProtection="1">
      <alignment horizontal="center" vertical="top"/>
      <protection hidden="1"/>
    </xf>
    <xf numFmtId="0" fontId="46" fillId="0" borderId="32" xfId="2" applyNumberFormat="1" applyFont="1" applyFill="1" applyBorder="1" applyAlignment="1" applyProtection="1">
      <alignment horizontal="center" vertical="top"/>
      <protection hidden="1"/>
    </xf>
    <xf numFmtId="0" fontId="26" fillId="13" borderId="64" xfId="2" applyNumberFormat="1" applyFont="1" applyFill="1" applyBorder="1" applyAlignment="1" applyProtection="1">
      <alignment horizontal="center" vertical="top"/>
      <protection hidden="1"/>
    </xf>
    <xf numFmtId="0" fontId="26" fillId="13" borderId="41" xfId="2" applyNumberFormat="1" applyFont="1" applyFill="1" applyBorder="1" applyAlignment="1" applyProtection="1">
      <alignment horizontal="center" vertical="top"/>
      <protection hidden="1"/>
    </xf>
    <xf numFmtId="170" fontId="48" fillId="29" borderId="15" xfId="0" applyNumberFormat="1" applyFont="1" applyFill="1" applyBorder="1" applyAlignment="1" applyProtection="1">
      <alignment horizontal="center" vertical="center"/>
      <protection locked="0"/>
    </xf>
    <xf numFmtId="170" fontId="48" fillId="29" borderId="17" xfId="0" applyNumberFormat="1" applyFont="1" applyFill="1" applyBorder="1" applyAlignment="1" applyProtection="1">
      <alignment horizontal="center" vertical="center"/>
      <protection locked="0"/>
    </xf>
    <xf numFmtId="170" fontId="48" fillId="29" borderId="37" xfId="0" applyNumberFormat="1" applyFont="1" applyFill="1" applyBorder="1" applyAlignment="1" applyProtection="1">
      <alignment horizontal="center" vertical="center"/>
      <protection locked="0"/>
    </xf>
    <xf numFmtId="0" fontId="48" fillId="21" borderId="12" xfId="3" applyNumberFormat="1" applyFont="1" applyFill="1" applyBorder="1" applyAlignment="1" applyProtection="1">
      <alignment horizontal="center" vertical="top"/>
      <protection locked="0"/>
    </xf>
    <xf numFmtId="0" fontId="26" fillId="13" borderId="76" xfId="2" applyNumberFormat="1" applyFont="1" applyFill="1" applyBorder="1" applyAlignment="1" applyProtection="1">
      <alignment horizontal="center" vertical="top"/>
      <protection hidden="1"/>
    </xf>
    <xf numFmtId="0" fontId="26" fillId="13" borderId="63" xfId="2" applyNumberFormat="1" applyFont="1" applyFill="1" applyBorder="1" applyAlignment="1" applyProtection="1">
      <alignment horizontal="center" vertical="top"/>
      <protection hidden="1"/>
    </xf>
    <xf numFmtId="0" fontId="26" fillId="13" borderId="68" xfId="2" applyNumberFormat="1" applyFont="1" applyFill="1" applyBorder="1" applyAlignment="1" applyProtection="1">
      <alignment horizontal="center" vertical="top"/>
      <protection hidden="1"/>
    </xf>
    <xf numFmtId="0" fontId="46" fillId="21" borderId="32" xfId="1" quotePrefix="1" applyNumberFormat="1" applyFont="1" applyFill="1" applyBorder="1" applyAlignment="1" applyProtection="1">
      <alignment horizontal="left" vertical="top" wrapText="1" indent="2"/>
      <protection locked="0"/>
    </xf>
    <xf numFmtId="0" fontId="46" fillId="21" borderId="74" xfId="2" applyNumberFormat="1" applyFont="1" applyFill="1" applyBorder="1" applyAlignment="1" applyProtection="1">
      <alignment horizontal="center" vertical="top"/>
      <protection locked="0"/>
    </xf>
    <xf numFmtId="0" fontId="46" fillId="21" borderId="61" xfId="2" applyNumberFormat="1" applyFont="1" applyFill="1" applyBorder="1" applyAlignment="1" applyProtection="1">
      <alignment horizontal="center" vertical="top"/>
      <protection locked="0"/>
    </xf>
    <xf numFmtId="0" fontId="46" fillId="21" borderId="32" xfId="2" applyNumberFormat="1" applyFont="1" applyFill="1" applyBorder="1" applyAlignment="1" applyProtection="1">
      <alignment horizontal="center" vertical="top"/>
      <protection locked="0"/>
    </xf>
    <xf numFmtId="168" fontId="46" fillId="29" borderId="36" xfId="0" applyNumberFormat="1" applyFont="1" applyFill="1" applyBorder="1" applyAlignment="1" applyProtection="1">
      <alignment horizontal="center" vertical="top"/>
      <protection locked="0"/>
    </xf>
    <xf numFmtId="168" fontId="46" fillId="29" borderId="37" xfId="0" applyNumberFormat="1" applyFont="1" applyFill="1" applyBorder="1" applyAlignment="1" applyProtection="1">
      <alignment horizontal="center" vertical="top"/>
      <protection locked="0"/>
    </xf>
    <xf numFmtId="0" fontId="46" fillId="29" borderId="13" xfId="0" applyFont="1" applyFill="1" applyBorder="1" applyAlignment="1" applyProtection="1">
      <alignment horizontal="center" vertical="top" wrapText="1"/>
      <protection locked="0"/>
    </xf>
    <xf numFmtId="0" fontId="46" fillId="29" borderId="16" xfId="0" applyFont="1" applyFill="1" applyBorder="1" applyAlignment="1" applyProtection="1">
      <alignment horizontal="center" vertical="top" wrapText="1"/>
      <protection locked="0"/>
    </xf>
    <xf numFmtId="0" fontId="46" fillId="29" borderId="18" xfId="0" applyFont="1" applyFill="1" applyBorder="1" applyAlignment="1" applyProtection="1">
      <alignment horizontal="center" vertical="top" wrapText="1"/>
      <protection locked="0"/>
    </xf>
    <xf numFmtId="168" fontId="46" fillId="29" borderId="18" xfId="0" applyNumberFormat="1" applyFont="1" applyFill="1" applyBorder="1" applyAlignment="1" applyProtection="1">
      <alignment horizontal="center" vertical="top"/>
      <protection locked="0"/>
    </xf>
    <xf numFmtId="168" fontId="46" fillId="0" borderId="13" xfId="0" applyNumberFormat="1" applyFont="1" applyFill="1" applyBorder="1" applyAlignment="1" applyProtection="1">
      <alignment horizontal="center" vertical="top"/>
      <protection hidden="1"/>
    </xf>
    <xf numFmtId="168" fontId="46" fillId="0" borderId="16" xfId="0" applyNumberFormat="1" applyFont="1" applyFill="1" applyBorder="1" applyAlignment="1" applyProtection="1">
      <alignment horizontal="center" vertical="top"/>
      <protection hidden="1"/>
    </xf>
    <xf numFmtId="168" fontId="46" fillId="0" borderId="31" xfId="0" applyNumberFormat="1" applyFont="1" applyFill="1" applyBorder="1" applyAlignment="1" applyProtection="1">
      <alignment horizontal="center" vertical="top"/>
      <protection hidden="1"/>
    </xf>
    <xf numFmtId="168" fontId="46" fillId="0" borderId="14" xfId="0" applyNumberFormat="1" applyFont="1" applyFill="1" applyBorder="1" applyAlignment="1" applyProtection="1">
      <alignment horizontal="center" vertical="top"/>
      <protection hidden="1"/>
    </xf>
    <xf numFmtId="168" fontId="46" fillId="0" borderId="12" xfId="0" applyNumberFormat="1" applyFont="1" applyFill="1" applyBorder="1" applyAlignment="1" applyProtection="1">
      <alignment horizontal="center" vertical="top"/>
      <protection hidden="1"/>
    </xf>
    <xf numFmtId="168" fontId="46" fillId="0" borderId="36" xfId="0" applyNumberFormat="1" applyFont="1" applyFill="1" applyBorder="1" applyAlignment="1" applyProtection="1">
      <alignment horizontal="center" vertical="top"/>
      <protection hidden="1"/>
    </xf>
    <xf numFmtId="0" fontId="52" fillId="0" borderId="32" xfId="1" applyNumberFormat="1" applyFont="1" applyBorder="1" applyAlignment="1" applyProtection="1">
      <alignment horizontal="left" vertical="top" wrapText="1" indent="2"/>
      <protection hidden="1"/>
    </xf>
    <xf numFmtId="0" fontId="46" fillId="0" borderId="13" xfId="0" applyFont="1" applyFill="1" applyBorder="1" applyAlignment="1" applyProtection="1">
      <alignment horizontal="center" vertical="top" wrapText="1"/>
      <protection hidden="1"/>
    </xf>
    <xf numFmtId="0" fontId="46" fillId="0" borderId="16" xfId="0" applyFont="1" applyFill="1" applyBorder="1" applyAlignment="1" applyProtection="1">
      <alignment horizontal="center" vertical="top" wrapText="1"/>
      <protection hidden="1"/>
    </xf>
    <xf numFmtId="0" fontId="46" fillId="0" borderId="18" xfId="0" applyFont="1" applyFill="1" applyBorder="1" applyAlignment="1" applyProtection="1">
      <alignment horizontal="center" vertical="top" wrapText="1"/>
      <protection hidden="1"/>
    </xf>
    <xf numFmtId="0" fontId="46" fillId="0" borderId="14" xfId="0" applyFont="1" applyFill="1" applyBorder="1" applyAlignment="1" applyProtection="1">
      <alignment horizontal="center" vertical="center" wrapText="1"/>
      <protection hidden="1"/>
    </xf>
    <xf numFmtId="0" fontId="46" fillId="0" borderId="12" xfId="0" applyFont="1" applyFill="1" applyBorder="1" applyAlignment="1" applyProtection="1">
      <alignment horizontal="center" vertical="center" wrapText="1"/>
      <protection hidden="1"/>
    </xf>
    <xf numFmtId="0" fontId="46" fillId="0" borderId="19" xfId="0" applyFont="1" applyFill="1" applyBorder="1" applyAlignment="1" applyProtection="1">
      <alignment horizontal="center" vertical="center" wrapText="1"/>
      <protection hidden="1"/>
    </xf>
    <xf numFmtId="0" fontId="48" fillId="0" borderId="12" xfId="3" applyNumberFormat="1" applyFont="1" applyBorder="1" applyAlignment="1" applyProtection="1">
      <alignment horizontal="center" vertical="top"/>
      <protection hidden="1"/>
    </xf>
    <xf numFmtId="168" fontId="46" fillId="0" borderId="18" xfId="0" applyNumberFormat="1" applyFont="1" applyFill="1" applyBorder="1" applyAlignment="1" applyProtection="1">
      <alignment horizontal="center" vertical="top"/>
      <protection hidden="1"/>
    </xf>
    <xf numFmtId="168" fontId="46" fillId="0" borderId="19" xfId="0" applyNumberFormat="1" applyFont="1" applyFill="1" applyBorder="1" applyAlignment="1" applyProtection="1">
      <alignment horizontal="center" vertical="top"/>
      <protection hidden="1"/>
    </xf>
    <xf numFmtId="168" fontId="46" fillId="0" borderId="15" xfId="0" applyNumberFormat="1" applyFont="1" applyFill="1" applyBorder="1" applyAlignment="1" applyProtection="1">
      <alignment horizontal="center" vertical="top"/>
      <protection hidden="1"/>
    </xf>
    <xf numFmtId="168" fontId="46" fillId="0" borderId="17" xfId="0" applyNumberFormat="1" applyFont="1" applyFill="1" applyBorder="1" applyAlignment="1" applyProtection="1">
      <alignment horizontal="center" vertical="top"/>
      <protection hidden="1"/>
    </xf>
    <xf numFmtId="168" fontId="46" fillId="0" borderId="20" xfId="0" applyNumberFormat="1" applyFont="1" applyFill="1" applyBorder="1" applyAlignment="1" applyProtection="1">
      <alignment horizontal="center" vertical="top"/>
      <protection hidden="1"/>
    </xf>
    <xf numFmtId="168" fontId="46" fillId="0" borderId="37" xfId="0" applyNumberFormat="1" applyFont="1" applyFill="1" applyBorder="1" applyAlignment="1" applyProtection="1">
      <alignment horizontal="center" vertical="top"/>
      <protection hidden="1"/>
    </xf>
    <xf numFmtId="168" fontId="48" fillId="0" borderId="18" xfId="3" applyNumberFormat="1" applyFont="1" applyBorder="1" applyAlignment="1" applyProtection="1">
      <alignment horizontal="center" vertical="top"/>
      <protection hidden="1"/>
    </xf>
    <xf numFmtId="168" fontId="48" fillId="0" borderId="19" xfId="3" applyNumberFormat="1" applyFont="1" applyFill="1" applyBorder="1" applyAlignment="1" applyProtection="1">
      <alignment horizontal="center" vertical="top"/>
      <protection hidden="1"/>
    </xf>
    <xf numFmtId="170" fontId="48" fillId="0" borderId="15" xfId="0" applyNumberFormat="1" applyFont="1" applyBorder="1" applyAlignment="1" applyProtection="1">
      <alignment horizontal="center" vertical="center"/>
      <protection hidden="1"/>
    </xf>
    <xf numFmtId="170" fontId="48" fillId="0" borderId="17" xfId="0" applyNumberFormat="1" applyFont="1" applyBorder="1" applyAlignment="1" applyProtection="1">
      <alignment horizontal="center" vertical="center"/>
      <protection hidden="1"/>
    </xf>
    <xf numFmtId="170" fontId="48" fillId="0" borderId="20" xfId="0" applyNumberFormat="1" applyFont="1" applyBorder="1" applyAlignment="1" applyProtection="1">
      <alignment horizontal="center" vertical="center"/>
      <protection hidden="1"/>
    </xf>
    <xf numFmtId="0" fontId="46" fillId="0" borderId="36" xfId="2" applyNumberFormat="1" applyFont="1" applyFill="1" applyBorder="1" applyAlignment="1" applyProtection="1">
      <alignment horizontal="center" vertical="top"/>
      <protection hidden="1"/>
    </xf>
    <xf numFmtId="0" fontId="46" fillId="0" borderId="55" xfId="2" applyNumberFormat="1" applyFont="1" applyFill="1" applyBorder="1" applyAlignment="1" applyProtection="1">
      <alignment horizontal="center" vertical="top"/>
      <protection hidden="1"/>
    </xf>
    <xf numFmtId="0" fontId="26" fillId="21" borderId="27" xfId="1" applyNumberFormat="1" applyFont="1" applyFill="1" applyBorder="1" applyAlignment="1" applyProtection="1">
      <alignment horizontal="left" vertical="top" wrapText="1" indent="2"/>
      <protection locked="0"/>
    </xf>
    <xf numFmtId="168" fontId="26" fillId="19" borderId="7" xfId="0" applyNumberFormat="1" applyFont="1" applyFill="1" applyBorder="1" applyAlignment="1" applyProtection="1">
      <alignment horizontal="center" vertical="top"/>
      <protection hidden="1"/>
    </xf>
    <xf numFmtId="168" fontId="26" fillId="19" borderId="8" xfId="0" applyNumberFormat="1" applyFont="1" applyFill="1" applyBorder="1" applyAlignment="1" applyProtection="1">
      <alignment horizontal="center" vertical="top"/>
      <protection hidden="1"/>
    </xf>
    <xf numFmtId="168" fontId="26" fillId="19" borderId="11" xfId="0" applyNumberFormat="1" applyFont="1" applyFill="1" applyBorder="1" applyAlignment="1" applyProtection="1">
      <alignment horizontal="center" vertical="top"/>
      <protection hidden="1"/>
    </xf>
    <xf numFmtId="0" fontId="48" fillId="0" borderId="23" xfId="3" applyNumberFormat="1" applyFont="1" applyBorder="1" applyAlignment="1" applyProtection="1">
      <alignment horizontal="center" vertical="top"/>
      <protection hidden="1"/>
    </xf>
    <xf numFmtId="0" fontId="46" fillId="21" borderId="15" xfId="0" applyFont="1" applyFill="1" applyBorder="1" applyAlignment="1" applyProtection="1">
      <alignment horizontal="center" vertical="top" wrapText="1"/>
      <protection locked="0"/>
    </xf>
    <xf numFmtId="0" fontId="46" fillId="21" borderId="17" xfId="0" applyFont="1" applyFill="1" applyBorder="1" applyAlignment="1" applyProtection="1">
      <alignment horizontal="center" vertical="top" wrapText="1"/>
      <protection locked="0"/>
    </xf>
    <xf numFmtId="0" fontId="46" fillId="21" borderId="20" xfId="0" applyFont="1" applyFill="1" applyBorder="1" applyAlignment="1" applyProtection="1">
      <alignment horizontal="center" vertical="top" wrapText="1"/>
      <protection locked="0"/>
    </xf>
    <xf numFmtId="170" fontId="48" fillId="0" borderId="5" xfId="0" applyNumberFormat="1" applyFont="1" applyBorder="1" applyAlignment="1" applyProtection="1">
      <alignment horizontal="center" vertical="center"/>
      <protection hidden="1"/>
    </xf>
    <xf numFmtId="170" fontId="48" fillId="0" borderId="3" xfId="0" applyNumberFormat="1" applyFont="1" applyBorder="1" applyAlignment="1" applyProtection="1">
      <alignment horizontal="center" vertical="center"/>
      <protection hidden="1"/>
    </xf>
    <xf numFmtId="170" fontId="48" fillId="0" borderId="9" xfId="0" applyNumberFormat="1" applyFont="1" applyBorder="1" applyAlignment="1" applyProtection="1">
      <alignment horizontal="center" vertical="center"/>
      <protection hidden="1"/>
    </xf>
    <xf numFmtId="170" fontId="48" fillId="0" borderId="13" xfId="0" applyNumberFormat="1" applyFont="1" applyBorder="1" applyAlignment="1" applyProtection="1">
      <alignment horizontal="center" vertical="top"/>
      <protection hidden="1"/>
    </xf>
    <xf numFmtId="170" fontId="48" fillId="0" borderId="16" xfId="0" applyNumberFormat="1" applyFont="1" applyBorder="1" applyAlignment="1" applyProtection="1">
      <alignment horizontal="center" vertical="top"/>
      <protection hidden="1"/>
    </xf>
    <xf numFmtId="170" fontId="48" fillId="0" borderId="31" xfId="0" applyNumberFormat="1" applyFont="1" applyBorder="1" applyAlignment="1" applyProtection="1">
      <alignment horizontal="center" vertical="top"/>
      <protection hidden="1"/>
    </xf>
    <xf numFmtId="170" fontId="48" fillId="0" borderId="14" xfId="0" applyNumberFormat="1" applyFont="1" applyBorder="1" applyAlignment="1" applyProtection="1">
      <alignment horizontal="center" vertical="top"/>
      <protection hidden="1"/>
    </xf>
    <xf numFmtId="170" fontId="48" fillId="0" borderId="12" xfId="0" applyNumberFormat="1" applyFont="1" applyBorder="1" applyAlignment="1" applyProtection="1">
      <alignment horizontal="center" vertical="top"/>
      <protection hidden="1"/>
    </xf>
    <xf numFmtId="170" fontId="48" fillId="0" borderId="36" xfId="0" applyNumberFormat="1" applyFont="1" applyBorder="1" applyAlignment="1" applyProtection="1">
      <alignment horizontal="center" vertical="top"/>
      <protection hidden="1"/>
    </xf>
    <xf numFmtId="170" fontId="48" fillId="0" borderId="76" xfId="0" applyNumberFormat="1" applyFont="1" applyBorder="1" applyAlignment="1" applyProtection="1">
      <alignment horizontal="center" vertical="top"/>
      <protection hidden="1"/>
    </xf>
    <xf numFmtId="170" fontId="48" fillId="0" borderId="63" xfId="0" applyNumberFormat="1" applyFont="1" applyBorder="1" applyAlignment="1" applyProtection="1">
      <alignment horizontal="center" vertical="top"/>
      <protection hidden="1"/>
    </xf>
    <xf numFmtId="170" fontId="48" fillId="0" borderId="68" xfId="0" applyNumberFormat="1" applyFont="1" applyBorder="1" applyAlignment="1" applyProtection="1">
      <alignment horizontal="center" vertical="top"/>
      <protection hidden="1"/>
    </xf>
    <xf numFmtId="0" fontId="46" fillId="0" borderId="38" xfId="2" applyNumberFormat="1" applyFont="1" applyFill="1" applyBorder="1" applyAlignment="1" applyProtection="1">
      <alignment horizontal="center" vertical="top"/>
      <protection hidden="1"/>
    </xf>
    <xf numFmtId="168" fontId="46" fillId="21" borderId="76" xfId="0" applyNumberFormat="1" applyFont="1" applyFill="1" applyBorder="1" applyAlignment="1" applyProtection="1">
      <alignment horizontal="left" vertical="top" wrapText="1" indent="1"/>
      <protection locked="0"/>
    </xf>
    <xf numFmtId="168" fontId="46" fillId="21" borderId="63" xfId="0" applyNumberFormat="1" applyFont="1" applyFill="1" applyBorder="1" applyAlignment="1" applyProtection="1">
      <alignment horizontal="left" vertical="top" wrapText="1" indent="1"/>
      <protection locked="0"/>
    </xf>
    <xf numFmtId="168" fontId="46" fillId="21" borderId="41" xfId="0" applyNumberFormat="1" applyFont="1" applyFill="1" applyBorder="1" applyAlignment="1" applyProtection="1">
      <alignment horizontal="left" vertical="top" wrapText="1" indent="1"/>
      <protection locked="0"/>
    </xf>
    <xf numFmtId="168" fontId="46" fillId="21" borderId="63" xfId="0" applyNumberFormat="1" applyFont="1" applyFill="1" applyBorder="1" applyAlignment="1" applyProtection="1">
      <alignment horizontal="left" vertical="top" indent="1"/>
      <protection locked="0"/>
    </xf>
    <xf numFmtId="168" fontId="46" fillId="21" borderId="41" xfId="0" applyNumberFormat="1" applyFont="1" applyFill="1" applyBorder="1" applyAlignment="1" applyProtection="1">
      <alignment horizontal="left" vertical="top" indent="1"/>
      <protection locked="0"/>
    </xf>
    <xf numFmtId="168" fontId="46" fillId="21" borderId="76" xfId="0" applyNumberFormat="1" applyFont="1" applyFill="1" applyBorder="1" applyAlignment="1" applyProtection="1">
      <alignment horizontal="left" vertical="top" indent="1"/>
      <protection locked="0"/>
    </xf>
    <xf numFmtId="168" fontId="46" fillId="21" borderId="68" xfId="0" applyNumberFormat="1" applyFont="1" applyFill="1" applyBorder="1" applyAlignment="1" applyProtection="1">
      <alignment horizontal="left" vertical="top" indent="1"/>
      <protection locked="0"/>
    </xf>
    <xf numFmtId="9" fontId="26" fillId="15" borderId="64" xfId="1" applyFont="1" applyFill="1" applyBorder="1" applyAlignment="1" applyProtection="1">
      <alignment horizontal="center" vertical="top"/>
      <protection hidden="1"/>
    </xf>
    <xf numFmtId="9" fontId="26" fillId="15" borderId="65" xfId="1" applyFont="1" applyFill="1" applyBorder="1" applyAlignment="1" applyProtection="1">
      <alignment horizontal="center" vertical="top"/>
      <protection hidden="1"/>
    </xf>
    <xf numFmtId="9" fontId="26" fillId="15" borderId="40" xfId="1" applyFont="1" applyFill="1" applyBorder="1" applyAlignment="1" applyProtection="1">
      <alignment horizontal="center" vertical="top"/>
      <protection hidden="1"/>
    </xf>
    <xf numFmtId="0" fontId="46" fillId="21" borderId="54" xfId="2" applyNumberFormat="1" applyFont="1" applyFill="1" applyBorder="1" applyAlignment="1" applyProtection="1">
      <alignment horizontal="center" vertical="top"/>
      <protection locked="0"/>
    </xf>
    <xf numFmtId="0" fontId="46" fillId="0" borderId="54" xfId="2" applyNumberFormat="1" applyFont="1" applyFill="1" applyBorder="1" applyAlignment="1" applyProtection="1">
      <alignment horizontal="center" vertical="top"/>
      <protection hidden="1"/>
    </xf>
    <xf numFmtId="0" fontId="46" fillId="0" borderId="30" xfId="2" applyNumberFormat="1" applyFont="1" applyFill="1" applyBorder="1" applyAlignment="1" applyProtection="1">
      <alignment horizontal="center" vertical="top"/>
      <protection hidden="1"/>
    </xf>
    <xf numFmtId="0" fontId="46" fillId="0" borderId="66" xfId="2" applyNumberFormat="1" applyFont="1" applyFill="1" applyBorder="1" applyAlignment="1" applyProtection="1">
      <alignment horizontal="center" vertical="top"/>
      <protection hidden="1"/>
    </xf>
    <xf numFmtId="0" fontId="46" fillId="0" borderId="75" xfId="2" applyNumberFormat="1" applyFont="1" applyFill="1" applyBorder="1" applyAlignment="1" applyProtection="1">
      <alignment horizontal="center" vertical="top"/>
      <protection hidden="1"/>
    </xf>
    <xf numFmtId="0" fontId="46" fillId="0" borderId="72" xfId="2" applyNumberFormat="1" applyFont="1" applyFill="1" applyBorder="1" applyAlignment="1" applyProtection="1">
      <alignment horizontal="center" vertical="top"/>
      <protection hidden="1"/>
    </xf>
    <xf numFmtId="0" fontId="48" fillId="0" borderId="32" xfId="1" applyNumberFormat="1" applyFont="1" applyFill="1" applyBorder="1" applyAlignment="1" applyProtection="1">
      <alignment horizontal="left" vertical="top" wrapText="1" indent="2"/>
      <protection hidden="1"/>
    </xf>
    <xf numFmtId="0" fontId="50" fillId="0" borderId="32" xfId="1" applyNumberFormat="1" applyFont="1" applyFill="1" applyBorder="1" applyAlignment="1" applyProtection="1">
      <alignment horizontal="left" vertical="top" wrapText="1" indent="2"/>
      <protection hidden="1"/>
    </xf>
    <xf numFmtId="0" fontId="46" fillId="21" borderId="30" xfId="2" applyNumberFormat="1" applyFont="1" applyFill="1" applyBorder="1" applyAlignment="1" applyProtection="1">
      <alignment horizontal="center" vertical="top"/>
      <protection locked="0"/>
    </xf>
    <xf numFmtId="0" fontId="46" fillId="21" borderId="66" xfId="2" applyNumberFormat="1" applyFont="1" applyFill="1" applyBorder="1" applyAlignment="1" applyProtection="1">
      <alignment horizontal="center" vertical="top"/>
      <protection locked="0"/>
    </xf>
    <xf numFmtId="0" fontId="46" fillId="21" borderId="75" xfId="2" applyNumberFormat="1" applyFont="1" applyFill="1" applyBorder="1" applyAlignment="1" applyProtection="1">
      <alignment horizontal="center" vertical="top"/>
      <protection locked="0"/>
    </xf>
    <xf numFmtId="0" fontId="46" fillId="21" borderId="72" xfId="2" applyNumberFormat="1" applyFont="1" applyFill="1" applyBorder="1" applyAlignment="1" applyProtection="1">
      <alignment horizontal="center" vertical="top"/>
      <protection locked="0"/>
    </xf>
    <xf numFmtId="0" fontId="46" fillId="0" borderId="24" xfId="2" applyNumberFormat="1" applyFont="1" applyFill="1" applyBorder="1" applyAlignment="1" applyProtection="1">
      <alignment horizontal="center" vertical="top"/>
      <protection hidden="1"/>
    </xf>
    <xf numFmtId="0" fontId="46" fillId="0" borderId="19" xfId="2" applyNumberFormat="1" applyFont="1" applyFill="1" applyBorder="1" applyAlignment="1" applyProtection="1">
      <alignment horizontal="center" vertical="top"/>
      <protection hidden="1"/>
    </xf>
    <xf numFmtId="0" fontId="46" fillId="21" borderId="27" xfId="2" applyNumberFormat="1" applyFont="1" applyFill="1" applyBorder="1" applyAlignment="1" applyProtection="1">
      <alignment horizontal="center" vertical="top"/>
      <protection locked="0"/>
    </xf>
    <xf numFmtId="9" fontId="26" fillId="15" borderId="35" xfId="1" applyFont="1" applyFill="1" applyBorder="1" applyAlignment="1" applyProtection="1">
      <alignment horizontal="center" vertical="top"/>
      <protection hidden="1"/>
    </xf>
    <xf numFmtId="168" fontId="46" fillId="0" borderId="76" xfId="3" applyNumberFormat="1" applyFont="1" applyBorder="1" applyAlignment="1" applyProtection="1">
      <alignment horizontal="center" vertical="top"/>
      <protection hidden="1"/>
    </xf>
    <xf numFmtId="168" fontId="46" fillId="0" borderId="63" xfId="3" applyNumberFormat="1" applyFont="1" applyBorder="1" applyAlignment="1" applyProtection="1">
      <alignment horizontal="center" vertical="top"/>
      <protection hidden="1"/>
    </xf>
    <xf numFmtId="168" fontId="46" fillId="0" borderId="68" xfId="3" applyNumberFormat="1" applyFont="1" applyBorder="1" applyAlignment="1" applyProtection="1">
      <alignment horizontal="center" vertical="top"/>
      <protection hidden="1"/>
    </xf>
    <xf numFmtId="170" fontId="46" fillId="0" borderId="46" xfId="3" applyNumberFormat="1" applyFont="1" applyBorder="1" applyAlignment="1" applyProtection="1">
      <alignment horizontal="center" vertical="top"/>
      <protection hidden="1"/>
    </xf>
    <xf numFmtId="170" fontId="46" fillId="0" borderId="73" xfId="3" applyNumberFormat="1" applyFont="1" applyBorder="1" applyAlignment="1" applyProtection="1">
      <alignment horizontal="center" vertical="top"/>
      <protection hidden="1"/>
    </xf>
    <xf numFmtId="170" fontId="46" fillId="0" borderId="70" xfId="3" applyNumberFormat="1" applyFont="1" applyBorder="1" applyAlignment="1" applyProtection="1">
      <alignment horizontal="center" vertical="top"/>
      <protection hidden="1"/>
    </xf>
    <xf numFmtId="0" fontId="46" fillId="0" borderId="27" xfId="2" applyNumberFormat="1" applyFont="1" applyFill="1" applyBorder="1" applyAlignment="1" applyProtection="1">
      <alignment horizontal="center" vertical="top"/>
      <protection hidden="1"/>
    </xf>
    <xf numFmtId="168" fontId="26" fillId="19" borderId="5" xfId="0" applyNumberFormat="1" applyFont="1" applyFill="1" applyBorder="1" applyAlignment="1" applyProtection="1">
      <alignment horizontal="center" vertical="top"/>
      <protection hidden="1"/>
    </xf>
    <xf numFmtId="168" fontId="26" fillId="19" borderId="3" xfId="0" applyNumberFormat="1" applyFont="1" applyFill="1" applyBorder="1" applyAlignment="1" applyProtection="1">
      <alignment horizontal="center" vertical="top"/>
      <protection hidden="1"/>
    </xf>
    <xf numFmtId="168" fontId="26" fillId="19" borderId="9" xfId="0" applyNumberFormat="1" applyFont="1" applyFill="1" applyBorder="1" applyAlignment="1" applyProtection="1">
      <alignment horizontal="center" vertical="top"/>
      <protection hidden="1"/>
    </xf>
    <xf numFmtId="168" fontId="46" fillId="0" borderId="46" xfId="0" applyNumberFormat="1" applyFont="1" applyFill="1" applyBorder="1" applyAlignment="1" applyProtection="1">
      <alignment horizontal="center" vertical="top"/>
      <protection hidden="1"/>
    </xf>
    <xf numFmtId="168" fontId="46" fillId="0" borderId="73" xfId="0" applyNumberFormat="1" applyFont="1" applyFill="1" applyBorder="1" applyAlignment="1" applyProtection="1">
      <alignment horizontal="center" vertical="top"/>
      <protection hidden="1"/>
    </xf>
    <xf numFmtId="168" fontId="46" fillId="0" borderId="70" xfId="0" applyNumberFormat="1" applyFont="1" applyFill="1" applyBorder="1" applyAlignment="1" applyProtection="1">
      <alignment horizontal="center" vertical="top"/>
      <protection hidden="1"/>
    </xf>
    <xf numFmtId="0" fontId="26" fillId="0" borderId="17" xfId="1" applyNumberFormat="1" applyFont="1" applyFill="1" applyBorder="1" applyAlignment="1" applyProtection="1">
      <alignment horizontal="left" vertical="top" wrapText="1" indent="2"/>
      <protection hidden="1"/>
    </xf>
    <xf numFmtId="0" fontId="46" fillId="0" borderId="17" xfId="1" applyNumberFormat="1" applyFont="1" applyFill="1" applyBorder="1" applyAlignment="1" applyProtection="1">
      <alignment horizontal="left" vertical="top" wrapText="1" indent="2"/>
      <protection hidden="1"/>
    </xf>
    <xf numFmtId="0" fontId="46" fillId="0" borderId="20" xfId="1" applyNumberFormat="1" applyFont="1" applyFill="1" applyBorder="1" applyAlignment="1" applyProtection="1">
      <alignment horizontal="left" vertical="top" wrapText="1" indent="2"/>
      <protection hidden="1"/>
    </xf>
    <xf numFmtId="0" fontId="46" fillId="21" borderId="36" xfId="2" applyNumberFormat="1" applyFont="1" applyFill="1" applyBorder="1" applyAlignment="1" applyProtection="1">
      <alignment horizontal="center" vertical="top"/>
      <protection locked="0"/>
    </xf>
    <xf numFmtId="170" fontId="46" fillId="0" borderId="30" xfId="3" applyNumberFormat="1" applyFont="1" applyBorder="1" applyAlignment="1" applyProtection="1">
      <alignment horizontal="center" vertical="top"/>
      <protection hidden="1"/>
    </xf>
    <xf numFmtId="170" fontId="46" fillId="0" borderId="62" xfId="3" applyNumberFormat="1" applyFont="1" applyBorder="1" applyAlignment="1" applyProtection="1">
      <alignment horizontal="center" vertical="top"/>
      <protection hidden="1"/>
    </xf>
    <xf numFmtId="170" fontId="46" fillId="0" borderId="71" xfId="3" applyNumberFormat="1" applyFont="1" applyBorder="1" applyAlignment="1" applyProtection="1">
      <alignment horizontal="center" vertical="top"/>
      <protection hidden="1"/>
    </xf>
    <xf numFmtId="170" fontId="46" fillId="0" borderId="66" xfId="3" applyNumberFormat="1" applyFont="1" applyBorder="1" applyAlignment="1" applyProtection="1">
      <alignment horizontal="center" vertical="top"/>
      <protection hidden="1"/>
    </xf>
    <xf numFmtId="170" fontId="46" fillId="0" borderId="75" xfId="3" applyNumberFormat="1" applyFont="1" applyBorder="1" applyAlignment="1" applyProtection="1">
      <alignment horizontal="center" vertical="top"/>
      <protection hidden="1"/>
    </xf>
    <xf numFmtId="170" fontId="46" fillId="0" borderId="72" xfId="3" applyNumberFormat="1" applyFont="1" applyBorder="1" applyAlignment="1" applyProtection="1">
      <alignment horizontal="center" vertical="top"/>
      <protection hidden="1"/>
    </xf>
    <xf numFmtId="168" fontId="26" fillId="19" borderId="63" xfId="0" applyNumberFormat="1" applyFont="1" applyFill="1" applyBorder="1" applyAlignment="1" applyProtection="1">
      <alignment horizontal="center" vertical="top"/>
      <protection hidden="1"/>
    </xf>
    <xf numFmtId="168" fontId="26" fillId="19" borderId="68" xfId="0" applyNumberFormat="1" applyFont="1" applyFill="1" applyBorder="1" applyAlignment="1" applyProtection="1">
      <alignment horizontal="center" vertical="top"/>
      <protection hidden="1"/>
    </xf>
    <xf numFmtId="0" fontId="26" fillId="0" borderId="46" xfId="0" applyFont="1" applyFill="1" applyBorder="1" applyAlignment="1" applyProtection="1">
      <alignment horizontal="center" vertical="center" wrapText="1"/>
      <protection hidden="1"/>
    </xf>
    <xf numFmtId="0" fontId="26" fillId="0" borderId="73" xfId="0" applyFont="1" applyFill="1" applyBorder="1" applyAlignment="1" applyProtection="1">
      <alignment horizontal="center" vertical="center" wrapText="1"/>
      <protection hidden="1"/>
    </xf>
    <xf numFmtId="0" fontId="26" fillId="0" borderId="70" xfId="0" applyFont="1" applyFill="1" applyBorder="1" applyAlignment="1" applyProtection="1">
      <alignment horizontal="center" vertical="center" wrapText="1"/>
      <protection hidden="1"/>
    </xf>
    <xf numFmtId="0" fontId="46" fillId="21" borderId="14" xfId="0" applyNumberFormat="1" applyFont="1" applyFill="1" applyBorder="1" applyAlignment="1" applyProtection="1">
      <alignment horizontal="center" vertical="top"/>
      <protection locked="0"/>
    </xf>
    <xf numFmtId="0" fontId="46" fillId="21" borderId="12" xfId="0" applyNumberFormat="1" applyFont="1" applyFill="1" applyBorder="1" applyAlignment="1" applyProtection="1">
      <alignment horizontal="center" vertical="top"/>
      <protection locked="0"/>
    </xf>
    <xf numFmtId="0" fontId="46" fillId="21" borderId="19" xfId="0" applyNumberFormat="1" applyFont="1" applyFill="1" applyBorder="1" applyAlignment="1" applyProtection="1">
      <alignment horizontal="center" vertical="top"/>
      <protection locked="0"/>
    </xf>
    <xf numFmtId="168" fontId="26" fillId="19" borderId="47" xfId="0" applyNumberFormat="1" applyFont="1" applyFill="1" applyBorder="1" applyAlignment="1" applyProtection="1">
      <alignment horizontal="center" vertical="top"/>
      <protection hidden="1"/>
    </xf>
    <xf numFmtId="0" fontId="46" fillId="0" borderId="15" xfId="1" applyNumberFormat="1" applyFont="1" applyFill="1" applyBorder="1" applyAlignment="1" applyProtection="1">
      <alignment horizontal="left" vertical="top" wrapText="1" indent="2"/>
      <protection hidden="1"/>
    </xf>
    <xf numFmtId="0" fontId="46" fillId="0" borderId="60" xfId="0" applyNumberFormat="1" applyFont="1" applyFill="1" applyBorder="1" applyAlignment="1" applyProtection="1">
      <alignment horizontal="center" vertical="top"/>
      <protection hidden="1"/>
    </xf>
    <xf numFmtId="0" fontId="46" fillId="0" borderId="17" xfId="0" applyNumberFormat="1" applyFont="1" applyFill="1" applyBorder="1" applyAlignment="1" applyProtection="1">
      <alignment horizontal="center" vertical="top"/>
      <protection hidden="1"/>
    </xf>
    <xf numFmtId="0" fontId="46" fillId="0" borderId="20" xfId="0" applyNumberFormat="1" applyFont="1" applyFill="1" applyBorder="1" applyAlignment="1" applyProtection="1">
      <alignment horizontal="center" vertical="top"/>
      <protection hidden="1"/>
    </xf>
    <xf numFmtId="0" fontId="26" fillId="0" borderId="59" xfId="0" applyFont="1" applyFill="1" applyBorder="1" applyAlignment="1" applyProtection="1">
      <alignment horizontal="left" vertical="center" wrapText="1"/>
      <protection hidden="1"/>
    </xf>
    <xf numFmtId="0" fontId="26" fillId="0" borderId="60" xfId="1" applyNumberFormat="1" applyFont="1" applyFill="1" applyBorder="1" applyAlignment="1" applyProtection="1">
      <alignment horizontal="left" vertical="top" wrapText="1" indent="2"/>
      <protection hidden="1"/>
    </xf>
    <xf numFmtId="0" fontId="26" fillId="0" borderId="66" xfId="1" applyNumberFormat="1" applyFont="1" applyFill="1" applyBorder="1" applyAlignment="1" applyProtection="1">
      <alignment horizontal="left" vertical="top" wrapText="1" indent="2"/>
      <protection hidden="1"/>
    </xf>
    <xf numFmtId="0" fontId="26" fillId="0" borderId="75" xfId="1" applyNumberFormat="1" applyFont="1" applyFill="1" applyBorder="1" applyAlignment="1" applyProtection="1">
      <alignment horizontal="left" vertical="top" wrapText="1" indent="2"/>
      <protection hidden="1"/>
    </xf>
    <xf numFmtId="0" fontId="26" fillId="0" borderId="72" xfId="1" applyNumberFormat="1" applyFont="1" applyFill="1" applyBorder="1" applyAlignment="1" applyProtection="1">
      <alignment horizontal="left" vertical="top" wrapText="1" indent="2"/>
      <protection hidden="1"/>
    </xf>
    <xf numFmtId="0" fontId="46" fillId="0" borderId="66" xfId="1" applyNumberFormat="1" applyFont="1" applyFill="1" applyBorder="1" applyAlignment="1" applyProtection="1">
      <alignment horizontal="left" vertical="top" wrapText="1" indent="2"/>
      <protection hidden="1"/>
    </xf>
    <xf numFmtId="0" fontId="46" fillId="0" borderId="75" xfId="1" applyNumberFormat="1" applyFont="1" applyFill="1" applyBorder="1" applyAlignment="1" applyProtection="1">
      <alignment horizontal="left" vertical="top" wrapText="1" indent="2"/>
      <protection hidden="1"/>
    </xf>
    <xf numFmtId="0" fontId="46" fillId="0" borderId="72" xfId="1" applyNumberFormat="1" applyFont="1" applyFill="1" applyBorder="1" applyAlignment="1" applyProtection="1">
      <alignment horizontal="left" vertical="top" wrapText="1" indent="2"/>
      <protection hidden="1"/>
    </xf>
    <xf numFmtId="0" fontId="26" fillId="0" borderId="46" xfId="0" applyFont="1" applyFill="1" applyBorder="1" applyAlignment="1" applyProtection="1">
      <alignment horizontal="left" vertical="center" wrapText="1"/>
      <protection hidden="1"/>
    </xf>
    <xf numFmtId="0" fontId="26" fillId="0" borderId="73" xfId="0" applyFont="1" applyFill="1" applyBorder="1" applyAlignment="1" applyProtection="1">
      <alignment horizontal="left" vertical="center" wrapText="1"/>
      <protection hidden="1"/>
    </xf>
    <xf numFmtId="0" fontId="26" fillId="0" borderId="70" xfId="0" applyFont="1" applyFill="1" applyBorder="1" applyAlignment="1" applyProtection="1">
      <alignment horizontal="left" vertical="center" wrapText="1"/>
      <protection hidden="1"/>
    </xf>
    <xf numFmtId="0" fontId="31" fillId="2" borderId="4" xfId="0" applyFont="1" applyFill="1" applyBorder="1" applyAlignment="1" applyProtection="1">
      <alignment horizontal="center" vertical="center" wrapText="1"/>
      <protection hidden="1"/>
    </xf>
    <xf numFmtId="0" fontId="31" fillId="2" borderId="34" xfId="0" applyFont="1" applyFill="1" applyBorder="1" applyAlignment="1" applyProtection="1">
      <alignment horizontal="center" vertical="center" wrapText="1"/>
      <protection hidden="1"/>
    </xf>
    <xf numFmtId="0" fontId="31" fillId="2" borderId="29" xfId="0" applyFont="1" applyFill="1" applyBorder="1" applyAlignment="1" applyProtection="1">
      <alignment horizontal="center" vertical="center" wrapText="1"/>
      <protection hidden="1"/>
    </xf>
    <xf numFmtId="0" fontId="31" fillId="2" borderId="5" xfId="0" applyFont="1" applyFill="1" applyBorder="1" applyAlignment="1" applyProtection="1">
      <alignment horizontal="center" vertical="center" wrapText="1"/>
      <protection hidden="1"/>
    </xf>
    <xf numFmtId="0" fontId="31" fillId="2" borderId="6" xfId="0" applyFont="1" applyFill="1" applyBorder="1" applyAlignment="1" applyProtection="1">
      <alignment horizontal="center" vertical="center" wrapText="1"/>
      <protection hidden="1"/>
    </xf>
    <xf numFmtId="0" fontId="31" fillId="2" borderId="53" xfId="0" applyFont="1" applyFill="1" applyBorder="1" applyAlignment="1" applyProtection="1">
      <alignment horizontal="center" vertical="center" wrapText="1"/>
      <protection hidden="1"/>
    </xf>
    <xf numFmtId="0" fontId="31" fillId="2" borderId="7" xfId="0" applyFont="1" applyFill="1" applyBorder="1" applyAlignment="1" applyProtection="1">
      <alignment horizontal="center" vertical="center" wrapText="1"/>
      <protection hidden="1"/>
    </xf>
    <xf numFmtId="0" fontId="31" fillId="2" borderId="56" xfId="0" applyFont="1" applyFill="1" applyBorder="1" applyAlignment="1" applyProtection="1">
      <alignment horizontal="center" vertical="center" wrapText="1"/>
      <protection hidden="1"/>
    </xf>
    <xf numFmtId="0" fontId="31" fillId="2" borderId="8" xfId="0" applyFont="1" applyFill="1" applyBorder="1" applyAlignment="1" applyProtection="1">
      <alignment horizontal="center" vertical="center" wrapText="1"/>
      <protection hidden="1"/>
    </xf>
    <xf numFmtId="0" fontId="28" fillId="2" borderId="1" xfId="0" applyFont="1" applyFill="1" applyBorder="1" applyAlignment="1" applyProtection="1">
      <alignment horizontal="center" vertical="center" wrapText="1"/>
      <protection hidden="1"/>
    </xf>
    <xf numFmtId="0" fontId="28" fillId="2" borderId="2" xfId="0" applyFont="1" applyFill="1" applyBorder="1" applyAlignment="1" applyProtection="1">
      <alignment horizontal="center" vertical="center" wrapText="1"/>
      <protection hidden="1"/>
    </xf>
    <xf numFmtId="0" fontId="46" fillId="21" borderId="17" xfId="1" applyNumberFormat="1" applyFont="1" applyFill="1" applyBorder="1" applyAlignment="1" applyProtection="1">
      <alignment horizontal="left" vertical="top" wrapText="1" indent="2"/>
      <protection locked="0"/>
    </xf>
    <xf numFmtId="0" fontId="46" fillId="21" borderId="20" xfId="1" applyNumberFormat="1" applyFont="1" applyFill="1" applyBorder="1" applyAlignment="1" applyProtection="1">
      <alignment horizontal="left" vertical="top" wrapText="1" indent="2"/>
      <protection locked="0"/>
    </xf>
    <xf numFmtId="0" fontId="46" fillId="21" borderId="66" xfId="1" applyNumberFormat="1" applyFont="1" applyFill="1" applyBorder="1" applyAlignment="1" applyProtection="1">
      <alignment horizontal="left" vertical="top" wrapText="1" indent="2"/>
      <protection locked="0"/>
    </xf>
    <xf numFmtId="0" fontId="46" fillId="21" borderId="75" xfId="1" applyNumberFormat="1" applyFont="1" applyFill="1" applyBorder="1" applyAlignment="1" applyProtection="1">
      <alignment horizontal="left" vertical="top" wrapText="1" indent="2"/>
      <protection locked="0"/>
    </xf>
    <xf numFmtId="0" fontId="46" fillId="21" borderId="72" xfId="1" applyNumberFormat="1" applyFont="1" applyFill="1" applyBorder="1" applyAlignment="1" applyProtection="1">
      <alignment horizontal="left" vertical="top" wrapText="1" indent="2"/>
      <protection locked="0"/>
    </xf>
    <xf numFmtId="0" fontId="31" fillId="2" borderId="3" xfId="0" applyFont="1" applyFill="1" applyBorder="1" applyAlignment="1" applyProtection="1">
      <alignment horizontal="center" vertical="center" wrapText="1"/>
      <protection hidden="1"/>
    </xf>
    <xf numFmtId="0" fontId="26" fillId="21" borderId="66" xfId="1" applyNumberFormat="1" applyFont="1" applyFill="1" applyBorder="1" applyAlignment="1" applyProtection="1">
      <alignment horizontal="left" vertical="top" wrapText="1" indent="2"/>
      <protection locked="0"/>
    </xf>
    <xf numFmtId="0" fontId="26" fillId="21" borderId="75" xfId="1" applyNumberFormat="1" applyFont="1" applyFill="1" applyBorder="1" applyAlignment="1" applyProtection="1">
      <alignment horizontal="left" vertical="top" wrapText="1" indent="2"/>
      <protection locked="0"/>
    </xf>
    <xf numFmtId="0" fontId="26" fillId="21" borderId="72" xfId="1" applyNumberFormat="1" applyFont="1" applyFill="1" applyBorder="1" applyAlignment="1" applyProtection="1">
      <alignment horizontal="left" vertical="top" wrapText="1" indent="2"/>
      <protection locked="0"/>
    </xf>
    <xf numFmtId="0" fontId="46" fillId="21" borderId="15" xfId="0" applyNumberFormat="1" applyFont="1" applyFill="1" applyBorder="1" applyAlignment="1" applyProtection="1">
      <alignment horizontal="center" vertical="top"/>
      <protection locked="0"/>
    </xf>
    <xf numFmtId="0" fontId="46" fillId="21" borderId="17" xfId="0" applyNumberFormat="1" applyFont="1" applyFill="1" applyBorder="1" applyAlignment="1" applyProtection="1">
      <alignment horizontal="center" vertical="top"/>
      <protection locked="0"/>
    </xf>
    <xf numFmtId="0" fontId="46" fillId="21" borderId="20" xfId="0" applyNumberFormat="1" applyFont="1" applyFill="1" applyBorder="1" applyAlignment="1" applyProtection="1">
      <alignment horizontal="center" vertical="top"/>
      <protection locked="0"/>
    </xf>
    <xf numFmtId="170" fontId="26" fillId="21" borderId="8" xfId="2" applyNumberFormat="1" applyFont="1" applyFill="1" applyBorder="1" applyAlignment="1" applyProtection="1">
      <alignment horizontal="left" vertical="top" indent="1"/>
      <protection locked="0"/>
    </xf>
    <xf numFmtId="170" fontId="26" fillId="21" borderId="11" xfId="2" applyNumberFormat="1" applyFont="1" applyFill="1" applyBorder="1" applyAlignment="1" applyProtection="1">
      <alignment horizontal="left" vertical="top" indent="1"/>
      <protection locked="0"/>
    </xf>
    <xf numFmtId="0" fontId="28" fillId="14" borderId="5" xfId="0" applyFont="1" applyFill="1" applyBorder="1" applyAlignment="1" applyProtection="1">
      <alignment horizontal="center" vertical="center"/>
      <protection hidden="1"/>
    </xf>
    <xf numFmtId="0" fontId="28" fillId="14" borderId="6" xfId="0" applyFont="1" applyFill="1" applyBorder="1" applyAlignment="1" applyProtection="1">
      <alignment horizontal="center" vertical="center"/>
      <protection hidden="1"/>
    </xf>
    <xf numFmtId="0" fontId="28" fillId="14" borderId="7" xfId="0" applyFont="1" applyFill="1" applyBorder="1" applyAlignment="1" applyProtection="1">
      <alignment horizontal="center" vertical="center"/>
      <protection hidden="1"/>
    </xf>
    <xf numFmtId="0" fontId="46" fillId="0" borderId="66" xfId="2" applyNumberFormat="1" applyFont="1" applyFill="1" applyBorder="1" applyAlignment="1" applyProtection="1">
      <alignment horizontal="center" vertical="top" wrapText="1"/>
      <protection hidden="1"/>
    </xf>
    <xf numFmtId="0" fontId="46" fillId="0" borderId="75" xfId="2" applyNumberFormat="1" applyFont="1" applyFill="1" applyBorder="1" applyAlignment="1" applyProtection="1">
      <alignment horizontal="center" vertical="top" wrapText="1"/>
      <protection hidden="1"/>
    </xf>
    <xf numFmtId="0" fontId="46" fillId="0" borderId="72" xfId="2" applyNumberFormat="1" applyFont="1" applyFill="1" applyBorder="1" applyAlignment="1" applyProtection="1">
      <alignment horizontal="center" vertical="top" wrapText="1"/>
      <protection hidden="1"/>
    </xf>
    <xf numFmtId="0" fontId="46" fillId="0" borderId="30" xfId="2" applyNumberFormat="1" applyFont="1" applyFill="1" applyBorder="1" applyAlignment="1" applyProtection="1">
      <alignment horizontal="center" vertical="top" wrapText="1"/>
      <protection hidden="1"/>
    </xf>
    <xf numFmtId="0" fontId="46" fillId="0" borderId="62" xfId="2" applyNumberFormat="1" applyFont="1" applyFill="1" applyBorder="1" applyAlignment="1" applyProtection="1">
      <alignment horizontal="center" vertical="top" wrapText="1"/>
      <protection hidden="1"/>
    </xf>
    <xf numFmtId="0" fontId="46" fillId="0" borderId="71" xfId="2" applyNumberFormat="1" applyFont="1" applyFill="1" applyBorder="1" applyAlignment="1" applyProtection="1">
      <alignment horizontal="center" vertical="top" wrapText="1"/>
      <protection hidden="1"/>
    </xf>
    <xf numFmtId="0" fontId="46" fillId="0" borderId="54" xfId="2" applyNumberFormat="1" applyFont="1" applyFill="1" applyBorder="1" applyAlignment="1" applyProtection="1">
      <alignment horizontal="center" vertical="top" wrapText="1"/>
      <protection hidden="1"/>
    </xf>
    <xf numFmtId="0" fontId="46" fillId="0" borderId="80" xfId="2" applyNumberFormat="1" applyFont="1" applyFill="1" applyBorder="1" applyAlignment="1" applyProtection="1">
      <alignment horizontal="center" vertical="top" wrapText="1"/>
      <protection hidden="1"/>
    </xf>
    <xf numFmtId="0" fontId="46" fillId="0" borderId="57" xfId="2" applyNumberFormat="1" applyFont="1" applyFill="1" applyBorder="1" applyAlignment="1" applyProtection="1">
      <alignment horizontal="center" vertical="top" wrapText="1"/>
      <protection hidden="1"/>
    </xf>
    <xf numFmtId="0" fontId="28" fillId="2" borderId="4" xfId="0" applyFont="1" applyFill="1" applyBorder="1" applyAlignment="1" applyProtection="1">
      <alignment horizontal="center"/>
      <protection hidden="1"/>
    </xf>
    <xf numFmtId="0" fontId="28" fillId="2" borderId="2" xfId="0" applyFont="1" applyFill="1" applyBorder="1" applyAlignment="1" applyProtection="1">
      <alignment horizontal="center"/>
      <protection hidden="1"/>
    </xf>
    <xf numFmtId="170" fontId="46" fillId="21" borderId="7" xfId="2" applyNumberFormat="1" applyFont="1" applyFill="1" applyBorder="1" applyAlignment="1" applyProtection="1">
      <alignment horizontal="left" vertical="top" wrapText="1" indent="1"/>
      <protection locked="0"/>
    </xf>
    <xf numFmtId="170" fontId="46" fillId="21" borderId="8" xfId="2" applyNumberFormat="1" applyFont="1" applyFill="1" applyBorder="1" applyAlignment="1" applyProtection="1">
      <alignment horizontal="left" vertical="top" indent="1"/>
      <protection locked="0"/>
    </xf>
    <xf numFmtId="170" fontId="46" fillId="21" borderId="11" xfId="2" applyNumberFormat="1" applyFont="1" applyFill="1" applyBorder="1" applyAlignment="1" applyProtection="1">
      <alignment horizontal="left" vertical="top" indent="1"/>
      <protection locked="0"/>
    </xf>
    <xf numFmtId="0" fontId="46" fillId="21" borderId="37" xfId="0" applyFont="1" applyFill="1" applyBorder="1" applyAlignment="1" applyProtection="1">
      <alignment horizontal="center" vertical="top" wrapText="1"/>
      <protection locked="0"/>
    </xf>
    <xf numFmtId="0" fontId="27" fillId="23" borderId="5" xfId="0" applyFont="1" applyFill="1" applyBorder="1" applyAlignment="1" applyProtection="1">
      <alignment horizontal="center" vertical="center"/>
      <protection hidden="1"/>
    </xf>
    <xf numFmtId="0" fontId="27" fillId="23" borderId="6" xfId="0" applyFont="1" applyFill="1" applyBorder="1" applyAlignment="1" applyProtection="1">
      <alignment horizontal="center" vertical="center"/>
      <protection hidden="1"/>
    </xf>
    <xf numFmtId="0" fontId="27" fillId="23" borderId="7" xfId="0" applyFont="1" applyFill="1" applyBorder="1" applyAlignment="1" applyProtection="1">
      <alignment horizontal="center" vertical="center"/>
      <protection hidden="1"/>
    </xf>
    <xf numFmtId="0" fontId="46" fillId="0" borderId="5" xfId="1" applyNumberFormat="1" applyFont="1" applyFill="1" applyBorder="1" applyAlignment="1" applyProtection="1">
      <alignment horizontal="left" vertical="top" wrapText="1" indent="2"/>
      <protection hidden="1"/>
    </xf>
    <xf numFmtId="0" fontId="46" fillId="0" borderId="3" xfId="1" applyNumberFormat="1" applyFont="1" applyFill="1" applyBorder="1" applyAlignment="1" applyProtection="1">
      <alignment horizontal="left" vertical="top" wrapText="1" indent="2"/>
      <protection hidden="1"/>
    </xf>
    <xf numFmtId="0" fontId="46" fillId="0" borderId="47" xfId="1" applyNumberFormat="1" applyFont="1" applyFill="1" applyBorder="1" applyAlignment="1" applyProtection="1">
      <alignment horizontal="left" vertical="top" wrapText="1" indent="2"/>
      <protection hidden="1"/>
    </xf>
    <xf numFmtId="0" fontId="46" fillId="0" borderId="22" xfId="0" applyNumberFormat="1" applyFont="1" applyFill="1" applyBorder="1" applyAlignment="1" applyProtection="1">
      <alignment horizontal="center" vertical="top"/>
      <protection hidden="1"/>
    </xf>
    <xf numFmtId="0" fontId="46" fillId="0" borderId="23" xfId="0" applyNumberFormat="1" applyFont="1" applyFill="1" applyBorder="1" applyAlignment="1" applyProtection="1">
      <alignment horizontal="center" vertical="top"/>
      <protection hidden="1"/>
    </xf>
    <xf numFmtId="0" fontId="46" fillId="0" borderId="24" xfId="0" applyNumberFormat="1" applyFont="1" applyFill="1" applyBorder="1" applyAlignment="1" applyProtection="1">
      <alignment horizontal="center" vertical="top"/>
      <protection hidden="1"/>
    </xf>
    <xf numFmtId="0" fontId="46" fillId="0" borderId="21" xfId="0" applyNumberFormat="1" applyFont="1" applyFill="1" applyBorder="1" applyAlignment="1" applyProtection="1">
      <alignment horizontal="center" vertical="top"/>
      <protection hidden="1"/>
    </xf>
    <xf numFmtId="0" fontId="46" fillId="0" borderId="12" xfId="0" applyNumberFormat="1" applyFont="1" applyFill="1" applyBorder="1" applyAlignment="1" applyProtection="1">
      <alignment horizontal="center" vertical="top"/>
      <protection hidden="1"/>
    </xf>
    <xf numFmtId="0" fontId="46" fillId="0" borderId="19" xfId="0" applyNumberFormat="1" applyFont="1" applyFill="1" applyBorder="1" applyAlignment="1" applyProtection="1">
      <alignment horizontal="center" vertical="top"/>
      <protection hidden="1"/>
    </xf>
    <xf numFmtId="168" fontId="26" fillId="21" borderId="7" xfId="0" applyNumberFormat="1" applyFont="1" applyFill="1" applyBorder="1" applyAlignment="1" applyProtection="1">
      <alignment horizontal="left" vertical="top" indent="1"/>
      <protection locked="0"/>
    </xf>
    <xf numFmtId="168" fontId="26" fillId="21" borderId="8" xfId="0" applyNumberFormat="1" applyFont="1" applyFill="1" applyBorder="1" applyAlignment="1" applyProtection="1">
      <alignment horizontal="left" vertical="top" indent="1"/>
      <protection locked="0"/>
    </xf>
    <xf numFmtId="168" fontId="26" fillId="21" borderId="11" xfId="0" applyNumberFormat="1" applyFont="1" applyFill="1" applyBorder="1" applyAlignment="1" applyProtection="1">
      <alignment horizontal="left" vertical="top" indent="1"/>
      <protection locked="0"/>
    </xf>
    <xf numFmtId="9" fontId="26" fillId="15" borderId="7" xfId="1" applyFont="1" applyFill="1" applyBorder="1" applyAlignment="1" applyProtection="1">
      <alignment horizontal="center" vertical="top"/>
      <protection hidden="1"/>
    </xf>
    <xf numFmtId="9" fontId="26" fillId="15" borderId="8" xfId="1" applyFont="1" applyFill="1" applyBorder="1" applyAlignment="1" applyProtection="1">
      <alignment horizontal="center" vertical="top"/>
      <protection hidden="1"/>
    </xf>
    <xf numFmtId="9" fontId="26" fillId="15" borderId="11" xfId="1" applyFont="1" applyFill="1" applyBorder="1" applyAlignment="1" applyProtection="1">
      <alignment horizontal="center" vertical="top"/>
      <protection hidden="1"/>
    </xf>
    <xf numFmtId="0" fontId="46" fillId="0" borderId="39" xfId="1" applyNumberFormat="1" applyFont="1" applyFill="1" applyBorder="1" applyAlignment="1" applyProtection="1">
      <alignment horizontal="left" vertical="top" wrapText="1" indent="2"/>
      <protection hidden="1"/>
    </xf>
    <xf numFmtId="0" fontId="46" fillId="0" borderId="9" xfId="1" applyNumberFormat="1" applyFont="1" applyFill="1" applyBorder="1" applyAlignment="1" applyProtection="1">
      <alignment horizontal="left" vertical="top" wrapText="1" indent="2"/>
      <protection hidden="1"/>
    </xf>
    <xf numFmtId="168" fontId="46" fillId="0" borderId="21" xfId="0" applyNumberFormat="1" applyFont="1" applyFill="1" applyBorder="1" applyAlignment="1" applyProtection="1">
      <alignment horizontal="center" vertical="top"/>
      <protection hidden="1"/>
    </xf>
    <xf numFmtId="9" fontId="26" fillId="15" borderId="76" xfId="1" applyNumberFormat="1" applyFont="1" applyFill="1" applyBorder="1" applyAlignment="1" applyProtection="1">
      <alignment horizontal="center" vertical="top"/>
      <protection hidden="1"/>
    </xf>
    <xf numFmtId="9" fontId="26" fillId="15" borderId="63" xfId="1" applyNumberFormat="1" applyFont="1" applyFill="1" applyBorder="1" applyAlignment="1" applyProtection="1">
      <alignment horizontal="center" vertical="top"/>
      <protection hidden="1"/>
    </xf>
    <xf numFmtId="0" fontId="46" fillId="17" borderId="46" xfId="0" applyFont="1" applyFill="1" applyBorder="1" applyAlignment="1" applyProtection="1">
      <alignment horizontal="left" vertical="top" wrapText="1"/>
      <protection hidden="1"/>
    </xf>
    <xf numFmtId="0" fontId="46" fillId="17" borderId="73" xfId="0" applyFont="1" applyFill="1" applyBorder="1" applyAlignment="1" applyProtection="1">
      <alignment horizontal="left" vertical="top" wrapText="1"/>
      <protection hidden="1"/>
    </xf>
    <xf numFmtId="0" fontId="46" fillId="17" borderId="70" xfId="0" applyFont="1" applyFill="1" applyBorder="1" applyAlignment="1" applyProtection="1">
      <alignment horizontal="left" vertical="top" wrapText="1"/>
      <protection hidden="1"/>
    </xf>
    <xf numFmtId="0" fontId="26" fillId="17" borderId="12" xfId="0" applyFont="1" applyFill="1" applyBorder="1" applyAlignment="1" applyProtection="1">
      <alignment horizontal="left" vertical="top" wrapText="1"/>
      <protection hidden="1"/>
    </xf>
    <xf numFmtId="0" fontId="26" fillId="17" borderId="62" xfId="0" applyFont="1" applyFill="1" applyBorder="1" applyAlignment="1" applyProtection="1">
      <alignment horizontal="left" vertical="top" wrapText="1"/>
      <protection hidden="1"/>
    </xf>
    <xf numFmtId="0" fontId="26" fillId="17" borderId="71" xfId="0" applyFont="1" applyFill="1" applyBorder="1" applyAlignment="1" applyProtection="1">
      <alignment horizontal="left" vertical="top" wrapText="1"/>
      <protection hidden="1"/>
    </xf>
    <xf numFmtId="0" fontId="46" fillId="17" borderId="66" xfId="0" applyFont="1" applyFill="1" applyBorder="1" applyAlignment="1" applyProtection="1">
      <alignment horizontal="center" vertical="top" wrapText="1"/>
      <protection hidden="1"/>
    </xf>
    <xf numFmtId="0" fontId="46" fillId="17" borderId="75" xfId="0" applyFont="1" applyFill="1" applyBorder="1" applyAlignment="1" applyProtection="1">
      <alignment horizontal="center" vertical="top" wrapText="1"/>
      <protection hidden="1"/>
    </xf>
    <xf numFmtId="0" fontId="46" fillId="17" borderId="72" xfId="0" applyFont="1" applyFill="1" applyBorder="1" applyAlignment="1" applyProtection="1">
      <alignment horizontal="center" vertical="top" wrapText="1"/>
      <protection hidden="1"/>
    </xf>
    <xf numFmtId="0" fontId="46" fillId="17" borderId="65" xfId="0" applyFont="1" applyFill="1" applyBorder="1" applyAlignment="1" applyProtection="1">
      <alignment horizontal="center" vertical="top"/>
      <protection hidden="1"/>
    </xf>
    <xf numFmtId="0" fontId="46" fillId="17" borderId="40" xfId="0" applyFont="1" applyFill="1" applyBorder="1" applyAlignment="1" applyProtection="1">
      <alignment horizontal="center" vertical="top"/>
      <protection hidden="1"/>
    </xf>
    <xf numFmtId="0" fontId="28" fillId="3" borderId="1" xfId="0" applyFont="1" applyFill="1" applyBorder="1" applyAlignment="1" applyProtection="1">
      <alignment horizontal="left" vertical="center" wrapText="1"/>
      <protection hidden="1"/>
    </xf>
    <xf numFmtId="0" fontId="28" fillId="3" borderId="4" xfId="0" applyFont="1" applyFill="1" applyBorder="1" applyAlignment="1" applyProtection="1">
      <alignment horizontal="left" vertical="center" wrapText="1"/>
      <protection hidden="1"/>
    </xf>
    <xf numFmtId="0" fontId="28" fillId="3" borderId="6" xfId="0" applyFont="1" applyFill="1" applyBorder="1" applyAlignment="1" applyProtection="1">
      <alignment horizontal="left" vertical="center" wrapText="1"/>
      <protection hidden="1"/>
    </xf>
    <xf numFmtId="0" fontId="28" fillId="3" borderId="2" xfId="0" applyFont="1" applyFill="1" applyBorder="1" applyAlignment="1" applyProtection="1">
      <alignment horizontal="left" vertical="center" wrapText="1"/>
      <protection hidden="1"/>
    </xf>
    <xf numFmtId="0" fontId="31" fillId="2" borderId="13" xfId="0" applyFont="1" applyFill="1" applyBorder="1" applyAlignment="1" applyProtection="1">
      <alignment horizontal="center" vertical="center" wrapText="1"/>
      <protection hidden="1"/>
    </xf>
    <xf numFmtId="0" fontId="31" fillId="2" borderId="16" xfId="0" applyFont="1" applyFill="1" applyBorder="1" applyAlignment="1" applyProtection="1">
      <alignment horizontal="center" vertical="center" wrapText="1"/>
      <protection hidden="1"/>
    </xf>
    <xf numFmtId="0" fontId="31" fillId="2" borderId="31" xfId="0" applyFont="1" applyFill="1" applyBorder="1" applyAlignment="1" applyProtection="1">
      <alignment horizontal="center" vertical="center" wrapText="1"/>
      <protection hidden="1"/>
    </xf>
    <xf numFmtId="0" fontId="31" fillId="2" borderId="74" xfId="0" applyFont="1" applyFill="1" applyBorder="1" applyAlignment="1" applyProtection="1">
      <alignment horizontal="center" vertical="center" wrapText="1"/>
      <protection hidden="1"/>
    </xf>
    <xf numFmtId="0" fontId="31" fillId="2" borderId="32" xfId="0" applyFont="1" applyFill="1" applyBorder="1" applyAlignment="1" applyProtection="1">
      <alignment horizontal="center" vertical="center" wrapText="1"/>
      <protection hidden="1"/>
    </xf>
    <xf numFmtId="0" fontId="31" fillId="2" borderId="55" xfId="0" applyFont="1" applyFill="1" applyBorder="1" applyAlignment="1" applyProtection="1">
      <alignment horizontal="center" vertical="center" wrapText="1"/>
      <protection hidden="1"/>
    </xf>
    <xf numFmtId="168" fontId="46" fillId="0" borderId="63" xfId="0" applyNumberFormat="1" applyFont="1" applyFill="1" applyBorder="1" applyAlignment="1" applyProtection="1">
      <alignment horizontal="center" vertical="top"/>
      <protection hidden="1"/>
    </xf>
    <xf numFmtId="168" fontId="46" fillId="0" borderId="68" xfId="0" applyNumberFormat="1" applyFont="1" applyFill="1" applyBorder="1" applyAlignment="1" applyProtection="1">
      <alignment horizontal="center" vertical="top"/>
      <protection hidden="1"/>
    </xf>
    <xf numFmtId="0" fontId="46" fillId="0" borderId="30" xfId="0" applyFont="1" applyFill="1" applyBorder="1" applyAlignment="1" applyProtection="1">
      <alignment horizontal="center" vertical="top" wrapText="1"/>
      <protection hidden="1"/>
    </xf>
    <xf numFmtId="0" fontId="46" fillId="0" borderId="62" xfId="0" applyFont="1" applyFill="1" applyBorder="1" applyAlignment="1" applyProtection="1">
      <alignment horizontal="center" vertical="top" wrapText="1"/>
      <protection hidden="1"/>
    </xf>
    <xf numFmtId="0" fontId="46" fillId="0" borderId="21" xfId="0" applyFont="1" applyFill="1" applyBorder="1" applyAlignment="1" applyProtection="1">
      <alignment horizontal="center" vertical="top" wrapText="1"/>
      <protection hidden="1"/>
    </xf>
    <xf numFmtId="0" fontId="46" fillId="21" borderId="14" xfId="2" applyNumberFormat="1" applyFont="1" applyFill="1" applyBorder="1" applyAlignment="1" applyProtection="1">
      <alignment horizontal="center" vertical="top"/>
      <protection locked="0"/>
    </xf>
    <xf numFmtId="0" fontId="46" fillId="21" borderId="21" xfId="2" applyNumberFormat="1" applyFont="1" applyFill="1" applyBorder="1" applyAlignment="1" applyProtection="1">
      <alignment horizontal="center" vertical="top"/>
      <protection locked="0"/>
    </xf>
    <xf numFmtId="0" fontId="46" fillId="21" borderId="12" xfId="2" applyNumberFormat="1" applyFont="1" applyFill="1" applyBorder="1" applyAlignment="1" applyProtection="1">
      <alignment horizontal="center" vertical="top"/>
      <protection locked="0"/>
    </xf>
    <xf numFmtId="9" fontId="26" fillId="15" borderId="49" xfId="1" applyFont="1" applyFill="1" applyBorder="1" applyAlignment="1" applyProtection="1">
      <alignment horizontal="center" vertical="top"/>
      <protection hidden="1"/>
    </xf>
    <xf numFmtId="9" fontId="26" fillId="15" borderId="42" xfId="1" applyFont="1" applyFill="1" applyBorder="1" applyAlignment="1" applyProtection="1">
      <alignment horizontal="center" vertical="top"/>
      <protection hidden="1"/>
    </xf>
    <xf numFmtId="9" fontId="26" fillId="15" borderId="28" xfId="1" applyFont="1" applyFill="1" applyBorder="1" applyAlignment="1" applyProtection="1">
      <alignment horizontal="center" vertical="top"/>
      <protection hidden="1"/>
    </xf>
    <xf numFmtId="0" fontId="28" fillId="2" borderId="4" xfId="0" applyFont="1" applyFill="1" applyBorder="1" applyAlignment="1" applyProtection="1">
      <alignment horizontal="center" vertical="center" wrapText="1"/>
      <protection hidden="1"/>
    </xf>
    <xf numFmtId="0" fontId="34" fillId="2" borderId="18" xfId="0" applyFont="1" applyFill="1" applyBorder="1" applyAlignment="1" applyProtection="1">
      <alignment horizontal="center" vertical="center" wrapText="1"/>
      <protection hidden="1"/>
    </xf>
    <xf numFmtId="0" fontId="34" fillId="2" borderId="19" xfId="0" applyFont="1" applyFill="1" applyBorder="1" applyAlignment="1" applyProtection="1">
      <alignment horizontal="center" vertical="center" wrapText="1"/>
      <protection hidden="1"/>
    </xf>
    <xf numFmtId="0" fontId="34" fillId="2" borderId="27" xfId="0" applyFont="1" applyFill="1" applyBorder="1" applyAlignment="1" applyProtection="1">
      <alignment horizontal="center" vertical="center" wrapText="1"/>
      <protection hidden="1"/>
    </xf>
    <xf numFmtId="0" fontId="31" fillId="2" borderId="14" xfId="0" applyFont="1" applyFill="1" applyBorder="1" applyAlignment="1" applyProtection="1">
      <alignment horizontal="center" vertical="center" wrapText="1"/>
      <protection hidden="1"/>
    </xf>
    <xf numFmtId="0" fontId="31" fillId="2" borderId="12" xfId="0" applyFont="1" applyFill="1" applyBorder="1" applyAlignment="1" applyProtection="1">
      <alignment horizontal="center" vertical="center" wrapText="1"/>
      <protection hidden="1"/>
    </xf>
    <xf numFmtId="0" fontId="31" fillId="2" borderId="36" xfId="0" applyFont="1" applyFill="1" applyBorder="1" applyAlignment="1" applyProtection="1">
      <alignment horizontal="center" vertical="center" wrapText="1"/>
      <protection hidden="1"/>
    </xf>
    <xf numFmtId="0" fontId="26" fillId="17" borderId="66" xfId="0" applyFont="1" applyFill="1" applyBorder="1" applyAlignment="1" applyProtection="1">
      <alignment horizontal="left" vertical="top" wrapText="1"/>
      <protection hidden="1"/>
    </xf>
    <xf numFmtId="0" fontId="26" fillId="17" borderId="75" xfId="0" applyFont="1" applyFill="1" applyBorder="1" applyAlignment="1" applyProtection="1">
      <alignment horizontal="left" vertical="top" wrapText="1"/>
      <protection hidden="1"/>
    </xf>
    <xf numFmtId="0" fontId="26" fillId="17" borderId="60" xfId="0" applyFont="1" applyFill="1" applyBorder="1" applyAlignment="1" applyProtection="1">
      <alignment horizontal="left" vertical="top" wrapText="1"/>
      <protection hidden="1"/>
    </xf>
    <xf numFmtId="0" fontId="46" fillId="17" borderId="76" xfId="0" applyFont="1" applyFill="1" applyBorder="1" applyAlignment="1" applyProtection="1">
      <alignment horizontal="center" vertical="top" wrapText="1"/>
      <protection hidden="1"/>
    </xf>
    <xf numFmtId="0" fontId="46" fillId="17" borderId="63" xfId="0" applyFont="1" applyFill="1" applyBorder="1" applyAlignment="1" applyProtection="1">
      <alignment horizontal="center" vertical="top" wrapText="1"/>
      <protection hidden="1"/>
    </xf>
    <xf numFmtId="0" fontId="46" fillId="17" borderId="41" xfId="0" applyFont="1" applyFill="1" applyBorder="1" applyAlignment="1" applyProtection="1">
      <alignment horizontal="center" vertical="top" wrapText="1"/>
      <protection hidden="1"/>
    </xf>
    <xf numFmtId="0" fontId="46" fillId="21" borderId="38" xfId="2" applyNumberFormat="1" applyFont="1" applyFill="1" applyBorder="1" applyAlignment="1" applyProtection="1">
      <alignment horizontal="center" vertical="top"/>
      <protection locked="0"/>
    </xf>
    <xf numFmtId="0" fontId="46" fillId="0" borderId="15" xfId="2" applyNumberFormat="1" applyFont="1" applyFill="1" applyBorder="1" applyAlignment="1" applyProtection="1">
      <alignment horizontal="center" vertical="top"/>
      <protection hidden="1"/>
    </xf>
    <xf numFmtId="0" fontId="46" fillId="0" borderId="60" xfId="2" applyNumberFormat="1" applyFont="1" applyFill="1" applyBorder="1" applyAlignment="1" applyProtection="1">
      <alignment horizontal="center" vertical="top"/>
      <protection hidden="1"/>
    </xf>
    <xf numFmtId="0" fontId="46" fillId="0" borderId="17" xfId="2" applyNumberFormat="1" applyFont="1" applyFill="1" applyBorder="1" applyAlignment="1" applyProtection="1">
      <alignment horizontal="center" vertical="top"/>
      <protection hidden="1"/>
    </xf>
    <xf numFmtId="0" fontId="26" fillId="17" borderId="30" xfId="0" applyFont="1" applyFill="1" applyBorder="1" applyAlignment="1" applyProtection="1">
      <alignment horizontal="left" vertical="top" wrapText="1"/>
      <protection hidden="1"/>
    </xf>
    <xf numFmtId="0" fontId="46" fillId="17" borderId="5" xfId="0" applyFont="1" applyFill="1" applyBorder="1" applyAlignment="1" applyProtection="1">
      <alignment horizontal="left" vertical="top" wrapText="1"/>
      <protection hidden="1"/>
    </xf>
    <xf numFmtId="0" fontId="46" fillId="17" borderId="3" xfId="0" applyFont="1" applyFill="1" applyBorder="1" applyAlignment="1" applyProtection="1">
      <alignment horizontal="left" vertical="top" wrapText="1"/>
      <protection hidden="1"/>
    </xf>
    <xf numFmtId="0" fontId="46" fillId="17" borderId="9" xfId="0" applyFont="1" applyFill="1" applyBorder="1" applyAlignment="1" applyProtection="1">
      <alignment horizontal="left" vertical="top" wrapText="1"/>
      <protection hidden="1"/>
    </xf>
    <xf numFmtId="0" fontId="46" fillId="17" borderId="76" xfId="0" applyFont="1" applyFill="1" applyBorder="1" applyAlignment="1" applyProtection="1">
      <alignment horizontal="center" vertical="top"/>
      <protection hidden="1"/>
    </xf>
    <xf numFmtId="0" fontId="46" fillId="17" borderId="63" xfId="0" applyFont="1" applyFill="1" applyBorder="1" applyAlignment="1" applyProtection="1">
      <alignment horizontal="center" vertical="top"/>
      <protection hidden="1"/>
    </xf>
    <xf numFmtId="0" fontId="46" fillId="17" borderId="68" xfId="0" applyFont="1" applyFill="1" applyBorder="1" applyAlignment="1" applyProtection="1">
      <alignment horizontal="center" vertical="top"/>
      <protection hidden="1"/>
    </xf>
    <xf numFmtId="0" fontId="46" fillId="0" borderId="37" xfId="2" applyNumberFormat="1" applyFont="1" applyFill="1" applyBorder="1" applyAlignment="1" applyProtection="1">
      <alignment horizontal="center" vertical="top"/>
      <protection hidden="1"/>
    </xf>
    <xf numFmtId="0" fontId="46" fillId="21" borderId="19" xfId="2" applyNumberFormat="1" applyFont="1" applyFill="1" applyBorder="1" applyAlignment="1" applyProtection="1">
      <alignment horizontal="center" vertical="top"/>
      <protection locked="0"/>
    </xf>
    <xf numFmtId="0" fontId="46" fillId="21" borderId="22" xfId="2" applyNumberFormat="1" applyFont="1" applyFill="1" applyBorder="1" applyAlignment="1" applyProtection="1">
      <alignment horizontal="center" vertical="top"/>
      <protection locked="0"/>
    </xf>
    <xf numFmtId="0" fontId="46" fillId="21" borderId="23" xfId="2" applyNumberFormat="1" applyFont="1" applyFill="1" applyBorder="1" applyAlignment="1" applyProtection="1">
      <alignment horizontal="center" vertical="top"/>
      <protection locked="0"/>
    </xf>
    <xf numFmtId="0" fontId="46" fillId="21" borderId="24" xfId="2" applyNumberFormat="1" applyFont="1" applyFill="1" applyBorder="1" applyAlignment="1" applyProtection="1">
      <alignment horizontal="center" vertical="top"/>
      <protection locked="0"/>
    </xf>
    <xf numFmtId="0" fontId="26" fillId="13" borderId="48" xfId="2" applyNumberFormat="1" applyFont="1" applyFill="1" applyBorder="1" applyAlignment="1" applyProtection="1">
      <alignment horizontal="center" vertical="top"/>
      <protection hidden="1"/>
    </xf>
    <xf numFmtId="0" fontId="26" fillId="13" borderId="43" xfId="2" applyNumberFormat="1" applyFont="1" applyFill="1" applyBorder="1" applyAlignment="1" applyProtection="1">
      <alignment horizontal="center" vertical="top"/>
      <protection hidden="1"/>
    </xf>
    <xf numFmtId="0" fontId="26" fillId="21" borderId="15" xfId="1" applyNumberFormat="1" applyFont="1" applyFill="1" applyBorder="1" applyAlignment="1" applyProtection="1">
      <alignment horizontal="left" vertical="top" wrapText="1" indent="2"/>
      <protection locked="0"/>
    </xf>
    <xf numFmtId="0" fontId="46" fillId="17" borderId="13" xfId="0" applyFont="1" applyFill="1" applyBorder="1" applyAlignment="1" applyProtection="1">
      <alignment horizontal="left" vertical="top" wrapText="1"/>
      <protection hidden="1"/>
    </xf>
    <xf numFmtId="0" fontId="46" fillId="17" borderId="59" xfId="0" applyFont="1" applyFill="1" applyBorder="1" applyAlignment="1" applyProtection="1">
      <alignment horizontal="left" vertical="top" wrapText="1"/>
      <protection hidden="1"/>
    </xf>
    <xf numFmtId="0" fontId="46" fillId="17" borderId="16" xfId="0" applyFont="1" applyFill="1" applyBorder="1" applyAlignment="1" applyProtection="1">
      <alignment horizontal="left" vertical="top" wrapText="1"/>
      <protection hidden="1"/>
    </xf>
    <xf numFmtId="0" fontId="46" fillId="17" borderId="18" xfId="0" applyFont="1" applyFill="1" applyBorder="1" applyAlignment="1" applyProtection="1">
      <alignment horizontal="left" vertical="top" wrapText="1"/>
      <protection hidden="1"/>
    </xf>
    <xf numFmtId="0" fontId="46" fillId="17" borderId="12" xfId="0" applyFont="1" applyFill="1" applyBorder="1" applyAlignment="1" applyProtection="1">
      <alignment horizontal="left" vertical="top" wrapText="1"/>
      <protection hidden="1"/>
    </xf>
    <xf numFmtId="0" fontId="46" fillId="17" borderId="19" xfId="0" applyFont="1" applyFill="1" applyBorder="1" applyAlignment="1" applyProtection="1">
      <alignment horizontal="left" vertical="top" wrapText="1"/>
      <protection hidden="1"/>
    </xf>
    <xf numFmtId="0" fontId="46" fillId="17" borderId="32" xfId="0" applyFont="1" applyFill="1" applyBorder="1" applyAlignment="1" applyProtection="1">
      <alignment horizontal="center" vertical="top" wrapText="1"/>
      <protection hidden="1"/>
    </xf>
    <xf numFmtId="0" fontId="46" fillId="17" borderId="27" xfId="0" applyFont="1" applyFill="1" applyBorder="1" applyAlignment="1" applyProtection="1">
      <alignment horizontal="center" vertical="top" wrapText="1"/>
      <protection hidden="1"/>
    </xf>
    <xf numFmtId="9" fontId="46" fillId="0" borderId="17" xfId="2" applyNumberFormat="1" applyFont="1" applyFill="1" applyBorder="1" applyAlignment="1" applyProtection="1">
      <alignment horizontal="center" vertical="top"/>
      <protection hidden="1"/>
    </xf>
    <xf numFmtId="0" fontId="46" fillId="17" borderId="33" xfId="0" applyFont="1" applyFill="1" applyBorder="1" applyAlignment="1" applyProtection="1">
      <alignment horizontal="left" vertical="top" wrapText="1"/>
      <protection hidden="1"/>
    </xf>
    <xf numFmtId="0" fontId="26" fillId="17" borderId="65" xfId="0" applyFont="1" applyFill="1" applyBorder="1" applyAlignment="1" applyProtection="1">
      <alignment horizontal="center" vertical="top"/>
      <protection hidden="1"/>
    </xf>
    <xf numFmtId="0" fontId="46" fillId="0" borderId="12" xfId="0" applyNumberFormat="1" applyFont="1" applyFill="1" applyBorder="1" applyAlignment="1" applyProtection="1">
      <alignment horizontal="center" vertical="top" wrapText="1"/>
      <protection hidden="1"/>
    </xf>
    <xf numFmtId="0" fontId="26" fillId="17" borderId="21" xfId="0" applyFont="1" applyFill="1" applyBorder="1" applyAlignment="1" applyProtection="1">
      <alignment horizontal="left" vertical="top" wrapText="1"/>
      <protection hidden="1"/>
    </xf>
    <xf numFmtId="2" fontId="46" fillId="0" borderId="39" xfId="3" applyNumberFormat="1" applyFont="1" applyBorder="1" applyAlignment="1" applyProtection="1">
      <alignment horizontal="left" vertical="top" wrapText="1"/>
      <protection hidden="1"/>
    </xf>
    <xf numFmtId="2" fontId="46" fillId="0" borderId="3" xfId="3" applyNumberFormat="1" applyFont="1" applyBorder="1" applyAlignment="1" applyProtection="1">
      <alignment horizontal="left" vertical="top" wrapText="1"/>
      <protection hidden="1"/>
    </xf>
    <xf numFmtId="2" fontId="46" fillId="0" borderId="47" xfId="3" applyNumberFormat="1" applyFont="1" applyBorder="1" applyAlignment="1" applyProtection="1">
      <alignment horizontal="left" vertical="top" wrapText="1"/>
      <protection hidden="1"/>
    </xf>
    <xf numFmtId="0" fontId="46" fillId="17" borderId="74" xfId="0" applyFont="1" applyFill="1" applyBorder="1" applyAlignment="1" applyProtection="1">
      <alignment horizontal="center" vertical="top" wrapText="1"/>
      <protection hidden="1"/>
    </xf>
    <xf numFmtId="0" fontId="46" fillId="17" borderId="61" xfId="0" applyFont="1" applyFill="1" applyBorder="1" applyAlignment="1" applyProtection="1">
      <alignment horizontal="center" vertical="top" wrapText="1"/>
      <protection hidden="1"/>
    </xf>
    <xf numFmtId="0" fontId="26" fillId="17" borderId="64" xfId="0" applyFont="1" applyFill="1" applyBorder="1" applyAlignment="1" applyProtection="1">
      <alignment horizontal="center" vertical="top"/>
      <protection hidden="1"/>
    </xf>
    <xf numFmtId="0" fontId="26" fillId="17" borderId="41" xfId="0" applyFont="1" applyFill="1" applyBorder="1" applyAlignment="1" applyProtection="1">
      <alignment horizontal="center" vertical="top"/>
      <protection hidden="1"/>
    </xf>
    <xf numFmtId="168" fontId="46" fillId="0" borderId="30" xfId="3" applyNumberFormat="1" applyFont="1" applyBorder="1" applyAlignment="1" applyProtection="1">
      <alignment horizontal="center" vertical="top"/>
      <protection hidden="1"/>
    </xf>
    <xf numFmtId="168" fontId="46" fillId="0" borderId="62" xfId="3" applyNumberFormat="1" applyFont="1" applyBorder="1" applyAlignment="1" applyProtection="1">
      <alignment horizontal="center" vertical="top"/>
      <protection hidden="1"/>
    </xf>
    <xf numFmtId="168" fontId="46" fillId="0" borderId="21" xfId="3" applyNumberFormat="1" applyFont="1" applyBorder="1" applyAlignment="1" applyProtection="1">
      <alignment horizontal="center" vertical="top"/>
      <protection hidden="1"/>
    </xf>
    <xf numFmtId="0" fontId="46" fillId="21" borderId="29" xfId="0" applyNumberFormat="1" applyFont="1" applyFill="1" applyBorder="1" applyAlignment="1" applyProtection="1">
      <alignment horizontal="center" vertical="top"/>
      <protection locked="0"/>
    </xf>
    <xf numFmtId="0" fontId="46" fillId="21" borderId="23" xfId="0" applyNumberFormat="1" applyFont="1" applyFill="1" applyBorder="1" applyAlignment="1" applyProtection="1">
      <alignment horizontal="center" vertical="top"/>
      <protection locked="0"/>
    </xf>
    <xf numFmtId="0" fontId="46" fillId="21" borderId="24" xfId="0" applyNumberFormat="1" applyFont="1" applyFill="1" applyBorder="1" applyAlignment="1" applyProtection="1">
      <alignment horizontal="center" vertical="top"/>
      <protection locked="0"/>
    </xf>
    <xf numFmtId="168" fontId="46" fillId="0" borderId="76" xfId="0" applyNumberFormat="1" applyFont="1" applyFill="1" applyBorder="1" applyAlignment="1" applyProtection="1">
      <alignment horizontal="center" vertical="top"/>
      <protection hidden="1"/>
    </xf>
    <xf numFmtId="0" fontId="46" fillId="0" borderId="20" xfId="2" applyNumberFormat="1" applyFont="1" applyFill="1" applyBorder="1" applyAlignment="1" applyProtection="1">
      <alignment horizontal="center" vertical="top"/>
      <protection hidden="1"/>
    </xf>
    <xf numFmtId="168" fontId="46" fillId="0" borderId="60" xfId="0" applyNumberFormat="1" applyFont="1" applyFill="1" applyBorder="1" applyAlignment="1" applyProtection="1">
      <alignment horizontal="center" vertical="top"/>
      <protection hidden="1"/>
    </xf>
    <xf numFmtId="0" fontId="46" fillId="0" borderId="37" xfId="1" applyNumberFormat="1" applyFont="1" applyFill="1" applyBorder="1" applyAlignment="1" applyProtection="1">
      <alignment horizontal="left" vertical="top" wrapText="1" indent="2"/>
      <protection hidden="1"/>
    </xf>
    <xf numFmtId="0" fontId="46" fillId="0" borderId="60" xfId="1" applyNumberFormat="1" applyFont="1" applyFill="1" applyBorder="1" applyAlignment="1" applyProtection="1">
      <alignment horizontal="left" vertical="top" wrapText="1" indent="2"/>
      <protection hidden="1"/>
    </xf>
    <xf numFmtId="0" fontId="34" fillId="2" borderId="1" xfId="0" applyFont="1" applyFill="1" applyBorder="1" applyAlignment="1" applyProtection="1">
      <alignment horizontal="center" vertical="center" wrapText="1"/>
      <protection hidden="1"/>
    </xf>
    <xf numFmtId="168" fontId="46" fillId="0" borderId="59" xfId="0" applyNumberFormat="1" applyFont="1" applyFill="1" applyBorder="1" applyAlignment="1" applyProtection="1">
      <alignment horizontal="center" vertical="top"/>
      <protection hidden="1"/>
    </xf>
    <xf numFmtId="168" fontId="26" fillId="0" borderId="7" xfId="3" applyNumberFormat="1" applyFont="1" applyBorder="1" applyAlignment="1" applyProtection="1">
      <alignment horizontal="center" vertical="top"/>
      <protection hidden="1"/>
    </xf>
    <xf numFmtId="168" fontId="26" fillId="0" borderId="8" xfId="3" applyNumberFormat="1" applyFont="1" applyBorder="1" applyAlignment="1" applyProtection="1">
      <alignment horizontal="center" vertical="top"/>
      <protection hidden="1"/>
    </xf>
    <xf numFmtId="168" fontId="26" fillId="0" borderId="11" xfId="3" applyNumberFormat="1" applyFont="1" applyBorder="1" applyAlignment="1" applyProtection="1">
      <alignment horizontal="center" vertical="top"/>
      <protection hidden="1"/>
    </xf>
    <xf numFmtId="0" fontId="46" fillId="0" borderId="3" xfId="3" applyNumberFormat="1" applyFont="1" applyBorder="1" applyAlignment="1" applyProtection="1">
      <alignment horizontal="left" vertical="top" wrapText="1"/>
      <protection hidden="1"/>
    </xf>
    <xf numFmtId="0" fontId="46" fillId="0" borderId="9" xfId="3" applyNumberFormat="1" applyFont="1" applyBorder="1" applyAlignment="1" applyProtection="1">
      <alignment horizontal="left" vertical="top" wrapText="1"/>
      <protection hidden="1"/>
    </xf>
    <xf numFmtId="0" fontId="26" fillId="17" borderId="32" xfId="0" applyFont="1" applyFill="1" applyBorder="1" applyAlignment="1" applyProtection="1">
      <alignment horizontal="center" vertical="top" wrapText="1"/>
      <protection hidden="1"/>
    </xf>
    <xf numFmtId="168" fontId="46" fillId="0" borderId="75" xfId="3" applyNumberFormat="1" applyFont="1" applyBorder="1" applyAlignment="1" applyProtection="1">
      <alignment horizontal="center" vertical="top"/>
      <protection hidden="1"/>
    </xf>
    <xf numFmtId="168" fontId="46" fillId="0" borderId="72" xfId="3" applyNumberFormat="1" applyFont="1" applyBorder="1" applyAlignment="1" applyProtection="1">
      <alignment horizontal="center" vertical="top"/>
      <protection hidden="1"/>
    </xf>
    <xf numFmtId="170" fontId="46" fillId="0" borderId="38" xfId="3" applyNumberFormat="1" applyFont="1" applyBorder="1" applyAlignment="1" applyProtection="1">
      <alignment horizontal="center" vertical="top"/>
      <protection hidden="1"/>
    </xf>
    <xf numFmtId="170" fontId="46" fillId="0" borderId="80" xfId="3" applyNumberFormat="1" applyFont="1" applyBorder="1" applyAlignment="1" applyProtection="1">
      <alignment horizontal="center" vertical="top"/>
      <protection hidden="1"/>
    </xf>
    <xf numFmtId="170" fontId="46" fillId="0" borderId="22" xfId="3" applyNumberFormat="1" applyFont="1" applyBorder="1" applyAlignment="1" applyProtection="1">
      <alignment horizontal="center" vertical="top"/>
      <protection hidden="1"/>
    </xf>
    <xf numFmtId="170" fontId="46" fillId="0" borderId="36" xfId="3" applyNumberFormat="1" applyFont="1" applyBorder="1" applyAlignment="1" applyProtection="1">
      <alignment horizontal="center" vertical="top"/>
      <protection hidden="1"/>
    </xf>
    <xf numFmtId="170" fontId="46" fillId="0" borderId="21" xfId="3" applyNumberFormat="1" applyFont="1" applyBorder="1" applyAlignment="1" applyProtection="1">
      <alignment horizontal="center" vertical="top"/>
      <protection hidden="1"/>
    </xf>
    <xf numFmtId="170" fontId="26" fillId="21" borderId="55" xfId="3" applyNumberFormat="1" applyFont="1" applyFill="1" applyBorder="1" applyAlignment="1" applyProtection="1">
      <alignment horizontal="center" vertical="top"/>
      <protection locked="0"/>
    </xf>
    <xf numFmtId="170" fontId="26" fillId="21" borderId="56" xfId="3" applyNumberFormat="1" applyFont="1" applyFill="1" applyBorder="1" applyAlignment="1" applyProtection="1">
      <alignment horizontal="center" vertical="top"/>
      <protection locked="0"/>
    </xf>
    <xf numFmtId="170" fontId="26" fillId="21" borderId="61" xfId="3" applyNumberFormat="1" applyFont="1" applyFill="1" applyBorder="1" applyAlignment="1" applyProtection="1">
      <alignment horizontal="center" vertical="top"/>
      <protection locked="0"/>
    </xf>
    <xf numFmtId="170" fontId="46" fillId="0" borderId="57" xfId="3" applyNumberFormat="1" applyFont="1" applyBorder="1" applyAlignment="1" applyProtection="1">
      <alignment horizontal="center" vertical="top"/>
      <protection hidden="1"/>
    </xf>
    <xf numFmtId="0" fontId="46" fillId="0" borderId="46" xfId="3" applyNumberFormat="1" applyFont="1" applyBorder="1" applyAlignment="1" applyProtection="1">
      <alignment horizontal="left" vertical="top" wrapText="1"/>
      <protection hidden="1"/>
    </xf>
    <xf numFmtId="0" fontId="46" fillId="0" borderId="73" xfId="3" applyNumberFormat="1" applyFont="1" applyBorder="1" applyAlignment="1" applyProtection="1">
      <alignment horizontal="left" vertical="top" wrapText="1"/>
      <protection hidden="1"/>
    </xf>
    <xf numFmtId="0" fontId="46" fillId="0" borderId="59" xfId="3" applyNumberFormat="1" applyFont="1" applyBorder="1" applyAlignment="1" applyProtection="1">
      <alignment horizontal="left" vertical="top" wrapText="1"/>
      <protection hidden="1"/>
    </xf>
    <xf numFmtId="170" fontId="26" fillId="21" borderId="53" xfId="3" applyNumberFormat="1" applyFont="1" applyFill="1" applyBorder="1" applyAlignment="1" applyProtection="1">
      <alignment horizontal="center" vertical="top"/>
      <protection locked="0"/>
    </xf>
    <xf numFmtId="168" fontId="46" fillId="0" borderId="37" xfId="3" applyNumberFormat="1" applyFont="1" applyBorder="1" applyAlignment="1" applyProtection="1">
      <alignment horizontal="center" vertical="top"/>
      <protection hidden="1"/>
    </xf>
    <xf numFmtId="168" fontId="46" fillId="0" borderId="60" xfId="3" applyNumberFormat="1" applyFont="1" applyBorder="1" applyAlignment="1" applyProtection="1">
      <alignment horizontal="center" vertical="top"/>
      <protection hidden="1"/>
    </xf>
    <xf numFmtId="0" fontId="31" fillId="2" borderId="15" xfId="0" applyFont="1" applyFill="1" applyBorder="1" applyAlignment="1" applyProtection="1">
      <alignment horizontal="center" vertical="center" wrapText="1"/>
      <protection hidden="1"/>
    </xf>
    <xf numFmtId="0" fontId="31" fillId="2" borderId="17" xfId="0" applyFont="1" applyFill="1" applyBorder="1" applyAlignment="1" applyProtection="1">
      <alignment horizontal="center" vertical="center" wrapText="1"/>
      <protection hidden="1"/>
    </xf>
    <xf numFmtId="0" fontId="31" fillId="2" borderId="37" xfId="0" applyFont="1" applyFill="1" applyBorder="1" applyAlignment="1" applyProtection="1">
      <alignment horizontal="center" vertical="center" wrapText="1"/>
      <protection hidden="1"/>
    </xf>
    <xf numFmtId="0" fontId="31" fillId="2" borderId="66" xfId="0" applyFont="1" applyFill="1" applyBorder="1" applyAlignment="1" applyProtection="1">
      <alignment horizontal="center" vertical="center" wrapText="1"/>
      <protection hidden="1"/>
    </xf>
    <xf numFmtId="0" fontId="31" fillId="2" borderId="75" xfId="0" applyFont="1" applyFill="1" applyBorder="1" applyAlignment="1" applyProtection="1">
      <alignment horizontal="center" vertical="center" wrapText="1"/>
      <protection hidden="1"/>
    </xf>
    <xf numFmtId="0" fontId="31" fillId="2" borderId="76" xfId="0" applyFont="1" applyFill="1" applyBorder="1" applyAlignment="1" applyProtection="1">
      <alignment horizontal="center" vertical="center" wrapText="1"/>
      <protection hidden="1"/>
    </xf>
    <xf numFmtId="0" fontId="31" fillId="2" borderId="63" xfId="0" applyFont="1" applyFill="1" applyBorder="1" applyAlignment="1" applyProtection="1">
      <alignment horizontal="center" vertical="center" wrapText="1"/>
      <protection hidden="1"/>
    </xf>
    <xf numFmtId="0" fontId="31" fillId="2" borderId="46" xfId="0" applyFont="1" applyFill="1" applyBorder="1" applyAlignment="1" applyProtection="1">
      <alignment horizontal="center" vertical="center" wrapText="1"/>
      <protection hidden="1"/>
    </xf>
    <xf numFmtId="0" fontId="31" fillId="2" borderId="73" xfId="0" applyFont="1" applyFill="1" applyBorder="1" applyAlignment="1" applyProtection="1">
      <alignment horizontal="center" vertical="center" wrapText="1"/>
      <protection hidden="1"/>
    </xf>
    <xf numFmtId="0" fontId="46" fillId="0" borderId="36" xfId="0" applyFont="1" applyFill="1" applyBorder="1" applyAlignment="1" applyProtection="1">
      <alignment horizontal="center" vertical="top" wrapText="1"/>
      <protection hidden="1"/>
    </xf>
    <xf numFmtId="0" fontId="46" fillId="0" borderId="31" xfId="0" applyFont="1" applyFill="1" applyBorder="1" applyAlignment="1" applyProtection="1">
      <alignment horizontal="center" vertical="top" wrapText="1"/>
      <protection hidden="1"/>
    </xf>
    <xf numFmtId="0" fontId="31" fillId="2" borderId="30" xfId="0" applyFont="1" applyFill="1" applyBorder="1" applyAlignment="1" applyProtection="1">
      <alignment horizontal="center" vertical="center" wrapText="1"/>
      <protection hidden="1"/>
    </xf>
    <xf numFmtId="0" fontId="31" fillId="2" borderId="62" xfId="0" applyFont="1" applyFill="1" applyBorder="1" applyAlignment="1" applyProtection="1">
      <alignment horizontal="center" vertical="center" wrapText="1"/>
      <protection hidden="1"/>
    </xf>
    <xf numFmtId="170" fontId="26" fillId="21" borderId="58" xfId="3" applyNumberFormat="1" applyFont="1" applyFill="1" applyBorder="1" applyAlignment="1" applyProtection="1">
      <alignment horizontal="center" vertical="top"/>
      <protection locked="0"/>
    </xf>
    <xf numFmtId="0" fontId="31" fillId="2" borderId="9" xfId="0" applyFont="1" applyFill="1" applyBorder="1" applyAlignment="1" applyProtection="1">
      <alignment horizontal="center" vertical="center" wrapText="1"/>
      <protection hidden="1"/>
    </xf>
    <xf numFmtId="0" fontId="31" fillId="2" borderId="10" xfId="0" applyFont="1" applyFill="1" applyBorder="1" applyAlignment="1" applyProtection="1">
      <alignment horizontal="center" vertical="center" wrapText="1"/>
      <protection hidden="1"/>
    </xf>
    <xf numFmtId="0" fontId="31" fillId="2" borderId="11" xfId="0" applyFont="1" applyFill="1" applyBorder="1" applyAlignment="1" applyProtection="1">
      <alignment horizontal="center" vertical="center" wrapText="1"/>
      <protection hidden="1"/>
    </xf>
    <xf numFmtId="168" fontId="26" fillId="21" borderId="66" xfId="3" applyNumberFormat="1" applyFont="1" applyFill="1" applyBorder="1" applyAlignment="1" applyProtection="1">
      <alignment horizontal="center" vertical="top"/>
      <protection locked="0"/>
    </xf>
    <xf numFmtId="168" fontId="26" fillId="21" borderId="75" xfId="3" applyNumberFormat="1" applyFont="1" applyFill="1" applyBorder="1" applyAlignment="1" applyProtection="1">
      <alignment horizontal="center" vertical="top"/>
      <protection locked="0"/>
    </xf>
    <xf numFmtId="168" fontId="26" fillId="21" borderId="60" xfId="3" applyNumberFormat="1" applyFont="1" applyFill="1" applyBorder="1" applyAlignment="1" applyProtection="1">
      <alignment horizontal="center" vertical="top"/>
      <protection locked="0"/>
    </xf>
    <xf numFmtId="0" fontId="26" fillId="13" borderId="47" xfId="2" applyNumberFormat="1" applyFont="1" applyFill="1" applyBorder="1" applyAlignment="1" applyProtection="1">
      <alignment horizontal="center" vertical="top"/>
      <protection hidden="1"/>
    </xf>
    <xf numFmtId="0" fontId="26" fillId="13" borderId="25" xfId="2" applyNumberFormat="1" applyFont="1" applyFill="1" applyBorder="1" applyAlignment="1" applyProtection="1">
      <alignment horizontal="center" vertical="top"/>
      <protection hidden="1"/>
    </xf>
    <xf numFmtId="0" fontId="46" fillId="17" borderId="34" xfId="0" applyFont="1" applyFill="1" applyBorder="1" applyAlignment="1" applyProtection="1">
      <alignment horizontal="left" vertical="top" wrapText="1"/>
      <protection hidden="1"/>
    </xf>
    <xf numFmtId="0" fontId="46" fillId="17" borderId="44" xfId="0" applyFont="1" applyFill="1" applyBorder="1" applyAlignment="1" applyProtection="1">
      <alignment horizontal="left" vertical="top" wrapText="1"/>
      <protection hidden="1"/>
    </xf>
    <xf numFmtId="168" fontId="26" fillId="21" borderId="32" xfId="3" applyNumberFormat="1" applyFont="1" applyFill="1" applyBorder="1" applyAlignment="1" applyProtection="1">
      <alignment horizontal="center" vertical="top"/>
      <protection locked="0"/>
    </xf>
    <xf numFmtId="168" fontId="46" fillId="0" borderId="12" xfId="3" applyNumberFormat="1" applyFont="1" applyBorder="1" applyAlignment="1" applyProtection="1">
      <alignment horizontal="center" vertical="top"/>
      <protection hidden="1"/>
    </xf>
    <xf numFmtId="168" fontId="46" fillId="0" borderId="19" xfId="3" applyNumberFormat="1" applyFont="1" applyBorder="1" applyAlignment="1" applyProtection="1">
      <alignment horizontal="center" vertical="top"/>
      <protection hidden="1"/>
    </xf>
    <xf numFmtId="0" fontId="46" fillId="0" borderId="16" xfId="2" applyNumberFormat="1" applyFont="1" applyFill="1" applyBorder="1" applyAlignment="1" applyProtection="1">
      <alignment horizontal="center" vertical="top"/>
      <protection hidden="1"/>
    </xf>
    <xf numFmtId="0" fontId="46" fillId="0" borderId="31" xfId="2" applyNumberFormat="1" applyFont="1" applyFill="1" applyBorder="1" applyAlignment="1" applyProtection="1">
      <alignment horizontal="center" vertical="top"/>
      <protection hidden="1"/>
    </xf>
    <xf numFmtId="168" fontId="46" fillId="0" borderId="43" xfId="3" applyNumberFormat="1" applyFont="1" applyBorder="1" applyAlignment="1" applyProtection="1">
      <alignment horizontal="left" vertical="top" wrapText="1"/>
      <protection hidden="1"/>
    </xf>
    <xf numFmtId="168" fontId="46" fillId="0" borderId="25" xfId="3" applyNumberFormat="1" applyFont="1" applyBorder="1" applyAlignment="1" applyProtection="1">
      <alignment horizontal="left" vertical="top" wrapText="1"/>
      <protection hidden="1"/>
    </xf>
    <xf numFmtId="0" fontId="46" fillId="0" borderId="5" xfId="3" applyNumberFormat="1" applyFont="1" applyBorder="1" applyAlignment="1" applyProtection="1">
      <alignment horizontal="left" vertical="top" wrapText="1"/>
      <protection hidden="1"/>
    </xf>
    <xf numFmtId="0" fontId="46" fillId="0" borderId="3" xfId="3" applyNumberFormat="1" applyFont="1" applyBorder="1" applyAlignment="1" applyProtection="1">
      <alignment horizontal="left" vertical="top"/>
      <protection hidden="1"/>
    </xf>
    <xf numFmtId="0" fontId="46" fillId="0" borderId="47" xfId="3" applyNumberFormat="1" applyFont="1" applyBorder="1" applyAlignment="1" applyProtection="1">
      <alignment horizontal="left" vertical="top"/>
      <protection hidden="1"/>
    </xf>
    <xf numFmtId="168" fontId="26" fillId="0" borderId="6" xfId="3" applyNumberFormat="1" applyFont="1" applyBorder="1" applyAlignment="1" applyProtection="1">
      <alignment horizontal="center" vertical="top"/>
      <protection hidden="1"/>
    </xf>
    <xf numFmtId="168" fontId="26" fillId="0" borderId="0" xfId="3" applyNumberFormat="1" applyFont="1" applyBorder="1" applyAlignment="1" applyProtection="1">
      <alignment horizontal="center" vertical="top"/>
      <protection hidden="1"/>
    </xf>
    <xf numFmtId="168" fontId="26" fillId="0" borderId="10" xfId="3" applyNumberFormat="1" applyFont="1" applyBorder="1" applyAlignment="1" applyProtection="1">
      <alignment horizontal="center" vertical="top"/>
      <protection hidden="1"/>
    </xf>
    <xf numFmtId="168" fontId="46" fillId="0" borderId="79" xfId="3" applyNumberFormat="1" applyFont="1" applyBorder="1" applyAlignment="1" applyProtection="1">
      <alignment horizontal="center" vertical="top"/>
      <protection hidden="1"/>
    </xf>
    <xf numFmtId="170" fontId="26" fillId="21" borderId="37" xfId="3" applyNumberFormat="1" applyFont="1" applyFill="1" applyBorder="1" applyAlignment="1" applyProtection="1">
      <alignment horizontal="center" vertical="top"/>
      <protection locked="0"/>
    </xf>
    <xf numFmtId="170" fontId="26" fillId="21" borderId="75" xfId="3" applyNumberFormat="1" applyFont="1" applyFill="1" applyBorder="1" applyAlignment="1" applyProtection="1">
      <alignment horizontal="center" vertical="top"/>
      <protection locked="0"/>
    </xf>
    <xf numFmtId="170" fontId="26" fillId="21" borderId="72" xfId="3" applyNumberFormat="1" applyFont="1" applyFill="1" applyBorder="1" applyAlignment="1" applyProtection="1">
      <alignment horizontal="center" vertical="top"/>
      <protection locked="0"/>
    </xf>
    <xf numFmtId="170" fontId="26" fillId="21" borderId="60" xfId="3" applyNumberFormat="1" applyFont="1" applyFill="1" applyBorder="1" applyAlignment="1" applyProtection="1">
      <alignment horizontal="center" vertical="top"/>
      <protection locked="0"/>
    </xf>
    <xf numFmtId="170" fontId="46" fillId="0" borderId="31" xfId="3" applyNumberFormat="1" applyFont="1" applyBorder="1" applyAlignment="1" applyProtection="1">
      <alignment horizontal="center" vertical="top"/>
      <protection hidden="1"/>
    </xf>
    <xf numFmtId="170" fontId="46" fillId="0" borderId="59" xfId="3" applyNumberFormat="1" applyFont="1" applyBorder="1" applyAlignment="1" applyProtection="1">
      <alignment horizontal="center" vertical="top"/>
      <protection hidden="1"/>
    </xf>
    <xf numFmtId="0" fontId="26" fillId="0" borderId="15" xfId="1" applyNumberFormat="1" applyFont="1" applyFill="1" applyBorder="1" applyAlignment="1" applyProtection="1">
      <alignment horizontal="left" vertical="top" wrapText="1" indent="2"/>
      <protection hidden="1"/>
    </xf>
    <xf numFmtId="0" fontId="34" fillId="2" borderId="70" xfId="0" applyFont="1" applyFill="1" applyBorder="1" applyAlignment="1" applyProtection="1">
      <alignment horizontal="center" vertical="center" wrapText="1"/>
      <protection hidden="1"/>
    </xf>
    <xf numFmtId="0" fontId="34" fillId="2" borderId="71" xfId="0" applyFont="1" applyFill="1" applyBorder="1" applyAlignment="1" applyProtection="1">
      <alignment horizontal="center" vertical="center" wrapText="1"/>
      <protection hidden="1"/>
    </xf>
    <xf numFmtId="0" fontId="34" fillId="2" borderId="72" xfId="0" applyFont="1" applyFill="1" applyBorder="1" applyAlignment="1" applyProtection="1">
      <alignment horizontal="center" vertical="center" wrapText="1"/>
      <protection hidden="1"/>
    </xf>
    <xf numFmtId="0" fontId="46" fillId="17" borderId="26" xfId="0" applyFont="1" applyFill="1" applyBorder="1" applyAlignment="1" applyProtection="1">
      <alignment horizontal="left" vertical="top" wrapText="1"/>
      <protection hidden="1"/>
    </xf>
    <xf numFmtId="0" fontId="26" fillId="17" borderId="40" xfId="0" applyFont="1" applyFill="1" applyBorder="1" applyAlignment="1" applyProtection="1">
      <alignment horizontal="center" vertical="top"/>
      <protection hidden="1"/>
    </xf>
    <xf numFmtId="0" fontId="46" fillId="0" borderId="46" xfId="2" applyNumberFormat="1" applyFont="1" applyFill="1" applyBorder="1" applyAlignment="1" applyProtection="1">
      <alignment horizontal="center" vertical="top"/>
      <protection hidden="1"/>
    </xf>
    <xf numFmtId="0" fontId="46" fillId="0" borderId="73" xfId="2" applyNumberFormat="1" applyFont="1" applyFill="1" applyBorder="1" applyAlignment="1" applyProtection="1">
      <alignment horizontal="center" vertical="top"/>
      <protection hidden="1"/>
    </xf>
    <xf numFmtId="0" fontId="46" fillId="0" borderId="70" xfId="2" applyNumberFormat="1" applyFont="1" applyFill="1" applyBorder="1" applyAlignment="1" applyProtection="1">
      <alignment horizontal="center" vertical="top"/>
      <protection hidden="1"/>
    </xf>
    <xf numFmtId="170" fontId="46" fillId="0" borderId="46" xfId="0" applyNumberFormat="1" applyFont="1" applyBorder="1" applyAlignment="1" applyProtection="1">
      <alignment horizontal="center" vertical="top"/>
      <protection hidden="1"/>
    </xf>
    <xf numFmtId="170" fontId="46" fillId="0" borderId="73" xfId="0" applyNumberFormat="1" applyFont="1" applyBorder="1" applyAlignment="1" applyProtection="1">
      <alignment horizontal="center" vertical="top"/>
      <protection hidden="1"/>
    </xf>
    <xf numFmtId="170" fontId="46" fillId="0" borderId="59" xfId="0" applyNumberFormat="1" applyFont="1" applyBorder="1" applyAlignment="1" applyProtection="1">
      <alignment horizontal="center" vertical="top"/>
      <protection hidden="1"/>
    </xf>
    <xf numFmtId="0" fontId="34" fillId="2" borderId="2" xfId="0" applyFont="1" applyFill="1" applyBorder="1" applyAlignment="1" applyProtection="1">
      <alignment horizontal="center" vertical="center" wrapText="1"/>
      <protection hidden="1"/>
    </xf>
    <xf numFmtId="0" fontId="47" fillId="0" borderId="74" xfId="1" applyNumberFormat="1" applyFont="1" applyFill="1" applyBorder="1" applyAlignment="1" applyProtection="1">
      <alignment horizontal="left" vertical="top" wrapText="1" indent="2"/>
      <protection hidden="1"/>
    </xf>
    <xf numFmtId="0" fontId="47" fillId="0" borderId="32" xfId="1" applyNumberFormat="1" applyFont="1" applyFill="1" applyBorder="1" applyAlignment="1" applyProtection="1">
      <alignment horizontal="left" vertical="top" wrapText="1" indent="2"/>
      <protection hidden="1"/>
    </xf>
    <xf numFmtId="168" fontId="46" fillId="0" borderId="76" xfId="3" applyNumberFormat="1" applyFont="1" applyBorder="1" applyAlignment="1" applyProtection="1">
      <alignment horizontal="left" vertical="top" wrapText="1"/>
      <protection hidden="1"/>
    </xf>
    <xf numFmtId="168" fontId="46" fillId="0" borderId="63" xfId="3" applyNumberFormat="1" applyFont="1" applyBorder="1" applyAlignment="1" applyProtection="1">
      <alignment horizontal="left" vertical="top" wrapText="1"/>
      <protection hidden="1"/>
    </xf>
    <xf numFmtId="168" fontId="46" fillId="0" borderId="41" xfId="3" applyNumberFormat="1" applyFont="1" applyBorder="1" applyAlignment="1" applyProtection="1">
      <alignment horizontal="left" vertical="top" wrapText="1"/>
      <protection hidden="1"/>
    </xf>
    <xf numFmtId="168" fontId="46" fillId="0" borderId="79" xfId="3" applyNumberFormat="1" applyFont="1" applyBorder="1" applyAlignment="1" applyProtection="1">
      <alignment horizontal="left" vertical="top" wrapText="1"/>
      <protection hidden="1"/>
    </xf>
    <xf numFmtId="0" fontId="46" fillId="21" borderId="60" xfId="0" applyFont="1" applyFill="1" applyBorder="1" applyAlignment="1" applyProtection="1">
      <alignment horizontal="center" vertical="top" wrapText="1"/>
      <protection locked="0"/>
    </xf>
    <xf numFmtId="168" fontId="46" fillId="0" borderId="68" xfId="3" applyNumberFormat="1" applyFont="1" applyBorder="1" applyAlignment="1" applyProtection="1">
      <alignment horizontal="left" vertical="top" wrapText="1"/>
      <protection hidden="1"/>
    </xf>
    <xf numFmtId="0" fontId="46" fillId="21" borderId="66" xfId="0" applyFont="1" applyFill="1" applyBorder="1" applyAlignment="1" applyProtection="1">
      <alignment horizontal="center" vertical="top" wrapText="1"/>
      <protection locked="0"/>
    </xf>
    <xf numFmtId="0" fontId="46" fillId="21" borderId="75" xfId="0" applyFont="1" applyFill="1" applyBorder="1" applyAlignment="1" applyProtection="1">
      <alignment horizontal="center" vertical="top" wrapText="1"/>
      <protection locked="0"/>
    </xf>
    <xf numFmtId="0" fontId="46" fillId="21" borderId="72" xfId="0" applyFont="1" applyFill="1" applyBorder="1" applyAlignment="1" applyProtection="1">
      <alignment horizontal="center" vertical="top" wrapText="1"/>
      <protection locked="0"/>
    </xf>
    <xf numFmtId="0" fontId="46" fillId="0" borderId="71" xfId="0" applyFont="1" applyFill="1" applyBorder="1" applyAlignment="1" applyProtection="1">
      <alignment horizontal="center" vertical="top" wrapText="1"/>
      <protection hidden="1"/>
    </xf>
    <xf numFmtId="170" fontId="46" fillId="0" borderId="79" xfId="3" applyNumberFormat="1" applyFont="1" applyBorder="1" applyAlignment="1" applyProtection="1">
      <alignment horizontal="center" vertical="top"/>
      <protection hidden="1"/>
    </xf>
    <xf numFmtId="170" fontId="46" fillId="0" borderId="63" xfId="3" applyNumberFormat="1" applyFont="1" applyBorder="1" applyAlignment="1" applyProtection="1">
      <alignment horizontal="center" vertical="top"/>
      <protection hidden="1"/>
    </xf>
    <xf numFmtId="170" fontId="46" fillId="0" borderId="68" xfId="3" applyNumberFormat="1" applyFont="1" applyBorder="1" applyAlignment="1" applyProtection="1">
      <alignment horizontal="center" vertical="top"/>
      <protection hidden="1"/>
    </xf>
    <xf numFmtId="2" fontId="46" fillId="0" borderId="5" xfId="3" applyNumberFormat="1" applyFont="1" applyBorder="1" applyAlignment="1" applyProtection="1">
      <alignment horizontal="left" vertical="top" wrapText="1"/>
      <protection hidden="1"/>
    </xf>
    <xf numFmtId="2" fontId="46" fillId="0" borderId="9" xfId="3" applyNumberFormat="1" applyFont="1" applyBorder="1" applyAlignment="1" applyProtection="1">
      <alignment horizontal="left" vertical="top" wrapText="1"/>
      <protection hidden="1"/>
    </xf>
    <xf numFmtId="0" fontId="26" fillId="17" borderId="37" xfId="0" applyFont="1" applyFill="1" applyBorder="1" applyAlignment="1" applyProtection="1">
      <alignment horizontal="left" vertical="top" wrapText="1"/>
      <protection hidden="1"/>
    </xf>
    <xf numFmtId="0" fontId="26" fillId="17" borderId="72" xfId="0" applyFont="1" applyFill="1" applyBorder="1" applyAlignment="1" applyProtection="1">
      <alignment horizontal="left" vertical="top" wrapText="1"/>
      <protection hidden="1"/>
    </xf>
    <xf numFmtId="168" fontId="26" fillId="0" borderId="76" xfId="3" applyNumberFormat="1" applyFont="1" applyBorder="1" applyAlignment="1" applyProtection="1">
      <alignment horizontal="center" vertical="top"/>
      <protection hidden="1"/>
    </xf>
    <xf numFmtId="168" fontId="26" fillId="0" borderId="63" xfId="3" applyNumberFormat="1" applyFont="1" applyBorder="1" applyAlignment="1" applyProtection="1">
      <alignment horizontal="center" vertical="top"/>
      <protection hidden="1"/>
    </xf>
    <xf numFmtId="168" fontId="26" fillId="0" borderId="68" xfId="3" applyNumberFormat="1" applyFont="1" applyBorder="1" applyAlignment="1" applyProtection="1">
      <alignment horizontal="center" vertical="top"/>
      <protection hidden="1"/>
    </xf>
    <xf numFmtId="0" fontId="46" fillId="17" borderId="79" xfId="0" applyFont="1" applyFill="1" applyBorder="1" applyAlignment="1" applyProtection="1">
      <alignment horizontal="center" vertical="top" wrapText="1"/>
      <protection hidden="1"/>
    </xf>
    <xf numFmtId="170" fontId="26" fillId="21" borderId="66" xfId="3" applyNumberFormat="1" applyFont="1" applyFill="1" applyBorder="1" applyAlignment="1" applyProtection="1">
      <alignment horizontal="center" vertical="top"/>
      <protection locked="0"/>
    </xf>
    <xf numFmtId="0" fontId="26" fillId="17" borderId="14" xfId="0" applyFont="1" applyFill="1" applyBorder="1" applyAlignment="1" applyProtection="1">
      <alignment horizontal="left" vertical="top" wrapText="1"/>
      <protection hidden="1"/>
    </xf>
    <xf numFmtId="0" fontId="26" fillId="17" borderId="36" xfId="0" applyFont="1" applyFill="1" applyBorder="1" applyAlignment="1" applyProtection="1">
      <alignment horizontal="left" vertical="top" wrapText="1"/>
      <protection hidden="1"/>
    </xf>
    <xf numFmtId="0" fontId="26" fillId="17" borderId="19" xfId="0" applyFont="1" applyFill="1" applyBorder="1" applyAlignment="1" applyProtection="1">
      <alignment horizontal="left" vertical="top" wrapText="1"/>
      <protection hidden="1"/>
    </xf>
    <xf numFmtId="0" fontId="46" fillId="17" borderId="41" xfId="0" applyFont="1" applyFill="1" applyBorder="1" applyAlignment="1" applyProtection="1">
      <alignment horizontal="center" vertical="top"/>
      <protection hidden="1"/>
    </xf>
    <xf numFmtId="0" fontId="46" fillId="17" borderId="76" xfId="0" applyFont="1" applyFill="1" applyBorder="1" applyAlignment="1" applyProtection="1">
      <alignment horizontal="left" vertical="top" wrapText="1"/>
      <protection hidden="1"/>
    </xf>
    <xf numFmtId="0" fontId="46" fillId="17" borderId="63" xfId="0" applyFont="1" applyFill="1" applyBorder="1" applyAlignment="1" applyProtection="1">
      <alignment horizontal="left" vertical="top" wrapText="1"/>
      <protection hidden="1"/>
    </xf>
    <xf numFmtId="0" fontId="46" fillId="17" borderId="41" xfId="0" applyFont="1" applyFill="1" applyBorder="1" applyAlignment="1" applyProtection="1">
      <alignment horizontal="left" vertical="top" wrapText="1"/>
      <protection hidden="1"/>
    </xf>
    <xf numFmtId="0" fontId="46" fillId="0" borderId="46" xfId="0" applyFont="1" applyFill="1" applyBorder="1" applyAlignment="1" applyProtection="1">
      <alignment horizontal="center" vertical="top" wrapText="1"/>
      <protection hidden="1"/>
    </xf>
    <xf numFmtId="0" fontId="46" fillId="0" borderId="73" xfId="0" applyFont="1" applyFill="1" applyBorder="1" applyAlignment="1" applyProtection="1">
      <alignment horizontal="center" vertical="top" wrapText="1"/>
      <protection hidden="1"/>
    </xf>
    <xf numFmtId="0" fontId="46" fillId="0" borderId="59" xfId="0" applyFont="1" applyFill="1" applyBorder="1" applyAlignment="1" applyProtection="1">
      <alignment horizontal="center" vertical="top" wrapText="1"/>
      <protection hidden="1"/>
    </xf>
    <xf numFmtId="0" fontId="46" fillId="17" borderId="15" xfId="0" applyFont="1" applyFill="1" applyBorder="1" applyAlignment="1" applyProtection="1">
      <alignment horizontal="center" vertical="top" wrapText="1"/>
      <protection hidden="1"/>
    </xf>
    <xf numFmtId="0" fontId="46" fillId="17" borderId="60" xfId="0" applyFont="1" applyFill="1" applyBorder="1" applyAlignment="1" applyProtection="1">
      <alignment horizontal="center" vertical="top" wrapText="1"/>
      <protection hidden="1"/>
    </xf>
    <xf numFmtId="0" fontId="46" fillId="17" borderId="17" xfId="0" applyFont="1" applyFill="1" applyBorder="1" applyAlignment="1" applyProtection="1">
      <alignment horizontal="center" vertical="top" wrapText="1"/>
      <protection hidden="1"/>
    </xf>
    <xf numFmtId="0" fontId="46" fillId="17" borderId="20" xfId="0" applyFont="1" applyFill="1" applyBorder="1" applyAlignment="1" applyProtection="1">
      <alignment horizontal="center" vertical="top" wrapText="1"/>
      <protection hidden="1"/>
    </xf>
    <xf numFmtId="0" fontId="46" fillId="17" borderId="79" xfId="0" applyFont="1" applyFill="1" applyBorder="1" applyAlignment="1" applyProtection="1">
      <alignment horizontal="center" vertical="top"/>
      <protection hidden="1"/>
    </xf>
    <xf numFmtId="170" fontId="46" fillId="0" borderId="30" xfId="0" applyNumberFormat="1" applyFont="1" applyBorder="1" applyAlignment="1" applyProtection="1">
      <alignment horizontal="center" vertical="top"/>
      <protection hidden="1"/>
    </xf>
    <xf numFmtId="170" fontId="46" fillId="0" borderId="62" xfId="0" applyNumberFormat="1" applyFont="1" applyBorder="1" applyAlignment="1" applyProtection="1">
      <alignment horizontal="center" vertical="top"/>
      <protection hidden="1"/>
    </xf>
    <xf numFmtId="170" fontId="46" fillId="0" borderId="21" xfId="0" applyNumberFormat="1" applyFont="1" applyBorder="1" applyAlignment="1" applyProtection="1">
      <alignment horizontal="center" vertical="top"/>
      <protection hidden="1"/>
    </xf>
    <xf numFmtId="0" fontId="26" fillId="17" borderId="74" xfId="0" applyFont="1" applyFill="1" applyBorder="1" applyAlignment="1" applyProtection="1">
      <alignment horizontal="left" vertical="top" wrapText="1"/>
      <protection hidden="1"/>
    </xf>
    <xf numFmtId="0" fontId="26" fillId="17" borderId="32" xfId="0" applyFont="1" applyFill="1" applyBorder="1" applyAlignment="1" applyProtection="1">
      <alignment horizontal="left" vertical="top" wrapText="1"/>
      <protection hidden="1"/>
    </xf>
    <xf numFmtId="0" fontId="26" fillId="17" borderId="27" xfId="0" applyFont="1" applyFill="1" applyBorder="1" applyAlignment="1" applyProtection="1">
      <alignment horizontal="left" vertical="top" wrapText="1"/>
      <protection hidden="1"/>
    </xf>
    <xf numFmtId="0" fontId="46" fillId="17" borderId="64" xfId="0" applyFont="1" applyFill="1" applyBorder="1" applyAlignment="1" applyProtection="1">
      <alignment horizontal="left" vertical="top" wrapText="1"/>
      <protection hidden="1"/>
    </xf>
    <xf numFmtId="0" fontId="46" fillId="17" borderId="65" xfId="0" applyFont="1" applyFill="1" applyBorder="1" applyAlignment="1" applyProtection="1">
      <alignment horizontal="left" vertical="top" wrapText="1"/>
      <protection hidden="1"/>
    </xf>
    <xf numFmtId="0" fontId="46" fillId="17" borderId="40" xfId="0" applyFont="1" applyFill="1" applyBorder="1" applyAlignment="1" applyProtection="1">
      <alignment horizontal="left" vertical="top" wrapText="1"/>
      <protection hidden="1"/>
    </xf>
    <xf numFmtId="0" fontId="46" fillId="17" borderId="64" xfId="0" applyFont="1" applyFill="1" applyBorder="1" applyAlignment="1" applyProtection="1">
      <alignment horizontal="center" vertical="top"/>
      <protection hidden="1"/>
    </xf>
    <xf numFmtId="0" fontId="46" fillId="17" borderId="55" xfId="0" applyFont="1" applyFill="1" applyBorder="1" applyAlignment="1" applyProtection="1">
      <alignment horizontal="center" vertical="top" wrapText="1"/>
      <protection hidden="1"/>
    </xf>
    <xf numFmtId="0" fontId="46" fillId="17" borderId="35" xfId="0" applyFont="1" applyFill="1" applyBorder="1" applyAlignment="1" applyProtection="1">
      <alignment horizontal="left" vertical="top" wrapText="1"/>
      <protection hidden="1"/>
    </xf>
    <xf numFmtId="0" fontId="46" fillId="0" borderId="70" xfId="0" applyFont="1" applyFill="1" applyBorder="1" applyAlignment="1" applyProtection="1">
      <alignment horizontal="center" vertical="top" wrapText="1"/>
      <protection hidden="1"/>
    </xf>
    <xf numFmtId="0" fontId="26" fillId="17" borderId="79" xfId="0" applyFont="1" applyFill="1" applyBorder="1" applyAlignment="1" applyProtection="1">
      <alignment horizontal="center" vertical="top" wrapText="1"/>
      <protection hidden="1"/>
    </xf>
    <xf numFmtId="0" fontId="26" fillId="17" borderId="63" xfId="0" applyFont="1" applyFill="1" applyBorder="1" applyAlignment="1" applyProtection="1">
      <alignment horizontal="center" vertical="top" wrapText="1"/>
      <protection hidden="1"/>
    </xf>
    <xf numFmtId="0" fontId="26" fillId="17" borderId="68" xfId="0" applyFont="1" applyFill="1" applyBorder="1" applyAlignment="1" applyProtection="1">
      <alignment horizontal="center" vertical="top" wrapText="1"/>
      <protection hidden="1"/>
    </xf>
    <xf numFmtId="0" fontId="46" fillId="17" borderId="79" xfId="0" applyFont="1" applyFill="1" applyBorder="1" applyAlignment="1" applyProtection="1">
      <alignment horizontal="left" vertical="top" wrapText="1"/>
      <protection hidden="1"/>
    </xf>
    <xf numFmtId="0" fontId="46" fillId="17" borderId="68" xfId="0" applyFont="1" applyFill="1" applyBorder="1" applyAlignment="1" applyProtection="1">
      <alignment horizontal="left" vertical="top" wrapText="1"/>
      <protection hidden="1"/>
    </xf>
    <xf numFmtId="0" fontId="34" fillId="2" borderId="56" xfId="0" applyFont="1" applyFill="1" applyBorder="1" applyAlignment="1" applyProtection="1">
      <alignment horizontal="center" vertical="center" wrapText="1"/>
      <protection hidden="1"/>
    </xf>
    <xf numFmtId="0" fontId="34" fillId="2" borderId="48" xfId="0" applyFont="1" applyFill="1" applyBorder="1" applyAlignment="1" applyProtection="1">
      <alignment horizontal="center" vertical="center" wrapText="1"/>
      <protection hidden="1"/>
    </xf>
    <xf numFmtId="0" fontId="46" fillId="21" borderId="15" xfId="1" applyNumberFormat="1" applyFont="1" applyFill="1" applyBorder="1" applyAlignment="1" applyProtection="1">
      <alignment horizontal="left" vertical="top" wrapText="1" indent="2"/>
      <protection locked="0"/>
    </xf>
    <xf numFmtId="170" fontId="46" fillId="29" borderId="46" xfId="3" applyNumberFormat="1" applyFont="1" applyFill="1" applyBorder="1" applyAlignment="1" applyProtection="1">
      <alignment horizontal="center" vertical="top"/>
      <protection locked="0"/>
    </xf>
    <xf numFmtId="170" fontId="46" fillId="29" borderId="73" xfId="3" applyNumberFormat="1" applyFont="1" applyFill="1" applyBorder="1" applyAlignment="1" applyProtection="1">
      <alignment horizontal="center" vertical="top"/>
      <protection locked="0"/>
    </xf>
    <xf numFmtId="170" fontId="46" fillId="29" borderId="70" xfId="3" applyNumberFormat="1" applyFont="1" applyFill="1" applyBorder="1" applyAlignment="1" applyProtection="1">
      <alignment horizontal="center" vertical="top"/>
      <protection locked="0"/>
    </xf>
    <xf numFmtId="170" fontId="46" fillId="29" borderId="30" xfId="3" applyNumberFormat="1" applyFont="1" applyFill="1" applyBorder="1" applyAlignment="1" applyProtection="1">
      <alignment horizontal="center" vertical="top"/>
      <protection locked="0"/>
    </xf>
    <xf numFmtId="170" fontId="46" fillId="29" borderId="62" xfId="3" applyNumberFormat="1" applyFont="1" applyFill="1" applyBorder="1" applyAlignment="1" applyProtection="1">
      <alignment horizontal="center" vertical="top"/>
      <protection locked="0"/>
    </xf>
    <xf numFmtId="170" fontId="46" fillId="29" borderId="71" xfId="3" applyNumberFormat="1" applyFont="1" applyFill="1" applyBorder="1" applyAlignment="1" applyProtection="1">
      <alignment horizontal="center" vertical="top"/>
      <protection locked="0"/>
    </xf>
    <xf numFmtId="170" fontId="46" fillId="29" borderId="66" xfId="3" applyNumberFormat="1" applyFont="1" applyFill="1" applyBorder="1" applyAlignment="1" applyProtection="1">
      <alignment horizontal="center" vertical="top"/>
      <protection locked="0"/>
    </xf>
    <xf numFmtId="170" fontId="46" fillId="29" borderId="75" xfId="3" applyNumberFormat="1" applyFont="1" applyFill="1" applyBorder="1" applyAlignment="1" applyProtection="1">
      <alignment horizontal="center" vertical="top"/>
      <protection locked="0"/>
    </xf>
    <xf numFmtId="170" fontId="46" fillId="29" borderId="72" xfId="3" applyNumberFormat="1" applyFont="1" applyFill="1" applyBorder="1" applyAlignment="1" applyProtection="1">
      <alignment horizontal="center" vertical="top"/>
      <protection locked="0"/>
    </xf>
    <xf numFmtId="0" fontId="46" fillId="17" borderId="32" xfId="0" applyFont="1" applyFill="1" applyBorder="1" applyAlignment="1" applyProtection="1">
      <alignment horizontal="left" vertical="top" wrapText="1"/>
      <protection hidden="1"/>
    </xf>
    <xf numFmtId="0" fontId="46" fillId="17" borderId="48" xfId="0" applyFont="1" applyFill="1" applyBorder="1" applyAlignment="1" applyProtection="1">
      <alignment horizontal="center" vertical="top" wrapText="1"/>
      <protection hidden="1"/>
    </xf>
    <xf numFmtId="0" fontId="46" fillId="17" borderId="43" xfId="0" applyFont="1" applyFill="1" applyBorder="1" applyAlignment="1" applyProtection="1">
      <alignment horizontal="center" vertical="top" wrapText="1"/>
      <protection hidden="1"/>
    </xf>
    <xf numFmtId="0" fontId="46" fillId="17" borderId="25" xfId="0" applyFont="1" applyFill="1" applyBorder="1" applyAlignment="1" applyProtection="1">
      <alignment horizontal="center" vertical="top" wrapText="1"/>
      <protection hidden="1"/>
    </xf>
    <xf numFmtId="0" fontId="26" fillId="17" borderId="16" xfId="0" applyFont="1" applyFill="1" applyBorder="1" applyAlignment="1" applyProtection="1">
      <alignment horizontal="left" vertical="top" wrapText="1"/>
      <protection hidden="1"/>
    </xf>
    <xf numFmtId="0" fontId="26" fillId="17" borderId="18" xfId="0" applyFont="1" applyFill="1" applyBorder="1" applyAlignment="1" applyProtection="1">
      <alignment horizontal="left" vertical="top" wrapText="1"/>
      <protection hidden="1"/>
    </xf>
    <xf numFmtId="0" fontId="46" fillId="17" borderId="48" xfId="0" applyFont="1" applyFill="1" applyBorder="1" applyAlignment="1" applyProtection="1">
      <alignment horizontal="left" vertical="top" wrapText="1"/>
      <protection hidden="1"/>
    </xf>
    <xf numFmtId="0" fontId="46" fillId="17" borderId="47" xfId="0" applyFont="1" applyFill="1" applyBorder="1" applyAlignment="1" applyProtection="1">
      <alignment horizontal="left" vertical="top" wrapText="1"/>
      <protection hidden="1"/>
    </xf>
    <xf numFmtId="0" fontId="46" fillId="17" borderId="43" xfId="0" applyFont="1" applyFill="1" applyBorder="1" applyAlignment="1" applyProtection="1">
      <alignment horizontal="left" vertical="top" wrapText="1"/>
      <protection hidden="1"/>
    </xf>
    <xf numFmtId="0" fontId="46" fillId="17" borderId="25" xfId="0" applyFont="1" applyFill="1" applyBorder="1" applyAlignment="1" applyProtection="1">
      <alignment horizontal="left" vertical="top" wrapText="1"/>
      <protection hidden="1"/>
    </xf>
    <xf numFmtId="0" fontId="26" fillId="17" borderId="61" xfId="0" applyFont="1" applyFill="1" applyBorder="1" applyAlignment="1" applyProtection="1">
      <alignment horizontal="left" vertical="top" wrapText="1"/>
      <protection hidden="1"/>
    </xf>
    <xf numFmtId="168" fontId="48" fillId="0" borderId="12" xfId="3" applyNumberFormat="1" applyFont="1" applyBorder="1" applyAlignment="1" applyProtection="1">
      <alignment horizontal="center" vertical="top"/>
      <protection hidden="1"/>
    </xf>
    <xf numFmtId="168" fontId="48" fillId="21" borderId="12" xfId="3" applyNumberFormat="1" applyFont="1" applyFill="1" applyBorder="1" applyAlignment="1" applyProtection="1">
      <alignment horizontal="center" vertical="top"/>
      <protection locked="0"/>
    </xf>
    <xf numFmtId="49" fontId="48" fillId="21" borderId="12" xfId="3" applyNumberFormat="1" applyFont="1" applyFill="1" applyBorder="1" applyAlignment="1" applyProtection="1">
      <alignment horizontal="center" vertical="top"/>
      <protection locked="0"/>
    </xf>
    <xf numFmtId="0" fontId="48" fillId="0" borderId="32" xfId="3" applyNumberFormat="1" applyFont="1" applyBorder="1" applyAlignment="1" applyProtection="1">
      <alignment horizontal="center" vertical="top"/>
      <protection hidden="1"/>
    </xf>
    <xf numFmtId="170" fontId="48" fillId="0" borderId="15" xfId="0" applyNumberFormat="1" applyFont="1" applyBorder="1" applyAlignment="1" applyProtection="1">
      <alignment horizontal="center" vertical="top"/>
      <protection hidden="1"/>
    </xf>
    <xf numFmtId="170" fontId="48" fillId="0" borderId="17" xfId="0" applyNumberFormat="1" applyFont="1" applyBorder="1" applyAlignment="1" applyProtection="1">
      <alignment horizontal="center" vertical="top"/>
      <protection hidden="1"/>
    </xf>
    <xf numFmtId="170" fontId="48" fillId="0" borderId="20" xfId="0" applyNumberFormat="1" applyFont="1" applyBorder="1" applyAlignment="1" applyProtection="1">
      <alignment horizontal="center" vertical="top"/>
      <protection hidden="1"/>
    </xf>
    <xf numFmtId="0" fontId="26" fillId="17" borderId="13" xfId="0" applyFont="1" applyFill="1" applyBorder="1" applyAlignment="1" applyProtection="1">
      <alignment horizontal="left" vertical="top" wrapText="1"/>
      <protection hidden="1"/>
    </xf>
    <xf numFmtId="0" fontId="26" fillId="17" borderId="74" xfId="0" applyFont="1" applyFill="1" applyBorder="1" applyAlignment="1" applyProtection="1">
      <alignment horizontal="center" vertical="top" wrapText="1"/>
      <protection hidden="1"/>
    </xf>
    <xf numFmtId="0" fontId="26" fillId="17" borderId="27" xfId="0" applyFont="1" applyFill="1" applyBorder="1" applyAlignment="1" applyProtection="1">
      <alignment horizontal="center" vertical="top" wrapText="1"/>
      <protection hidden="1"/>
    </xf>
    <xf numFmtId="168" fontId="48" fillId="0" borderId="32" xfId="3" applyNumberFormat="1" applyFont="1" applyBorder="1" applyAlignment="1" applyProtection="1">
      <alignment horizontal="center" vertical="top"/>
      <protection hidden="1"/>
    </xf>
    <xf numFmtId="168" fontId="48" fillId="0" borderId="23" xfId="3" applyNumberFormat="1" applyFont="1" applyBorder="1" applyAlignment="1" applyProtection="1">
      <alignment horizontal="center" vertical="top"/>
      <protection hidden="1"/>
    </xf>
    <xf numFmtId="0" fontId="26" fillId="17" borderId="61" xfId="0" applyFont="1" applyFill="1" applyBorder="1" applyAlignment="1" applyProtection="1">
      <alignment horizontal="center" vertical="top" wrapText="1"/>
      <protection hidden="1"/>
    </xf>
    <xf numFmtId="0" fontId="26" fillId="17" borderId="55" xfId="0" applyFont="1" applyFill="1" applyBorder="1" applyAlignment="1" applyProtection="1">
      <alignment horizontal="center" vertical="top" wrapText="1"/>
      <protection hidden="1"/>
    </xf>
    <xf numFmtId="49" fontId="48" fillId="21" borderId="32" xfId="3" applyNumberFormat="1" applyFont="1" applyFill="1" applyBorder="1" applyAlignment="1" applyProtection="1">
      <alignment horizontal="center" vertical="top"/>
      <protection locked="0"/>
    </xf>
    <xf numFmtId="168" fontId="48" fillId="29" borderId="13" xfId="3" applyNumberFormat="1" applyFont="1" applyFill="1" applyBorder="1" applyAlignment="1" applyProtection="1">
      <alignment horizontal="center" vertical="top"/>
      <protection locked="0"/>
    </xf>
    <xf numFmtId="168" fontId="48" fillId="29" borderId="16" xfId="3" applyNumberFormat="1" applyFont="1" applyFill="1" applyBorder="1" applyAlignment="1" applyProtection="1">
      <alignment horizontal="center" vertical="top"/>
      <protection locked="0"/>
    </xf>
    <xf numFmtId="168" fontId="48" fillId="29" borderId="31" xfId="3" applyNumberFormat="1" applyFont="1" applyFill="1" applyBorder="1" applyAlignment="1" applyProtection="1">
      <alignment horizontal="center" vertical="top"/>
      <protection locked="0"/>
    </xf>
    <xf numFmtId="0" fontId="46" fillId="21" borderId="29" xfId="2" applyNumberFormat="1" applyFont="1" applyFill="1" applyBorder="1" applyAlignment="1" applyProtection="1">
      <alignment horizontal="center" vertical="top"/>
      <protection locked="0"/>
    </xf>
    <xf numFmtId="168" fontId="26" fillId="21" borderId="27" xfId="3" applyNumberFormat="1" applyFont="1" applyFill="1" applyBorder="1" applyAlignment="1" applyProtection="1">
      <alignment horizontal="center" vertical="top"/>
      <protection locked="0"/>
    </xf>
    <xf numFmtId="0" fontId="46" fillId="0" borderId="13" xfId="2" applyNumberFormat="1" applyFont="1" applyFill="1" applyBorder="1" applyAlignment="1" applyProtection="1">
      <alignment horizontal="center" vertical="top"/>
      <protection hidden="1"/>
    </xf>
    <xf numFmtId="0" fontId="46" fillId="0" borderId="59" xfId="2" applyNumberFormat="1" applyFont="1" applyFill="1" applyBorder="1" applyAlignment="1" applyProtection="1">
      <alignment horizontal="center" vertical="top"/>
      <protection hidden="1"/>
    </xf>
    <xf numFmtId="0" fontId="46" fillId="0" borderId="18" xfId="2" applyNumberFormat="1" applyFont="1" applyFill="1" applyBorder="1" applyAlignment="1" applyProtection="1">
      <alignment horizontal="center" vertical="top"/>
      <protection hidden="1"/>
    </xf>
    <xf numFmtId="0" fontId="46" fillId="0" borderId="53" xfId="2" applyNumberFormat="1" applyFont="1" applyFill="1" applyBorder="1" applyAlignment="1" applyProtection="1">
      <alignment horizontal="center" vertical="top"/>
      <protection hidden="1"/>
    </xf>
    <xf numFmtId="168" fontId="46" fillId="0" borderId="16" xfId="3" applyNumberFormat="1" applyFont="1" applyBorder="1" applyAlignment="1" applyProtection="1">
      <alignment horizontal="center" vertical="top"/>
      <protection hidden="1"/>
    </xf>
    <xf numFmtId="168" fontId="46" fillId="0" borderId="18" xfId="3" applyNumberFormat="1" applyFont="1" applyBorder="1" applyAlignment="1" applyProtection="1">
      <alignment horizontal="center" vertical="top"/>
      <protection hidden="1"/>
    </xf>
    <xf numFmtId="170" fontId="46" fillId="0" borderId="76" xfId="0" applyNumberFormat="1" applyFont="1" applyBorder="1" applyAlignment="1" applyProtection="1">
      <alignment horizontal="center" vertical="top"/>
      <protection hidden="1"/>
    </xf>
    <xf numFmtId="170" fontId="46" fillId="0" borderId="63" xfId="0" applyNumberFormat="1" applyFont="1" applyBorder="1" applyAlignment="1" applyProtection="1">
      <alignment horizontal="center" vertical="top"/>
      <protection hidden="1"/>
    </xf>
    <xf numFmtId="170" fontId="46" fillId="0" borderId="41" xfId="0" applyNumberFormat="1" applyFont="1" applyBorder="1" applyAlignment="1" applyProtection="1">
      <alignment horizontal="center" vertical="top"/>
      <protection hidden="1"/>
    </xf>
    <xf numFmtId="170" fontId="46" fillId="0" borderId="41" xfId="3" applyNumberFormat="1" applyFont="1" applyBorder="1" applyAlignment="1" applyProtection="1">
      <alignment horizontal="center" vertical="top"/>
      <protection hidden="1"/>
    </xf>
    <xf numFmtId="170" fontId="26" fillId="21" borderId="66" xfId="0" applyNumberFormat="1" applyFont="1" applyFill="1" applyBorder="1" applyAlignment="1" applyProtection="1">
      <alignment horizontal="center" vertical="top"/>
      <protection locked="0"/>
    </xf>
    <xf numFmtId="170" fontId="26" fillId="21" borderId="75" xfId="0" applyNumberFormat="1" applyFont="1" applyFill="1" applyBorder="1" applyAlignment="1" applyProtection="1">
      <alignment horizontal="center" vertical="top"/>
      <protection locked="0"/>
    </xf>
    <xf numFmtId="170" fontId="26" fillId="21" borderId="60" xfId="0" applyNumberFormat="1" applyFont="1" applyFill="1" applyBorder="1" applyAlignment="1" applyProtection="1">
      <alignment horizontal="center" vertical="top"/>
      <protection locked="0"/>
    </xf>
    <xf numFmtId="0" fontId="7" fillId="15" borderId="10" xfId="0" applyFont="1" applyFill="1" applyBorder="1" applyAlignment="1" applyProtection="1">
      <alignment horizontal="center" vertical="top" wrapText="1"/>
      <protection hidden="1"/>
    </xf>
    <xf numFmtId="0" fontId="26" fillId="21" borderId="60" xfId="1" applyNumberFormat="1" applyFont="1" applyFill="1" applyBorder="1" applyAlignment="1" applyProtection="1">
      <alignment horizontal="left" vertical="top" wrapText="1" indent="2"/>
      <protection locked="0"/>
    </xf>
    <xf numFmtId="0" fontId="26" fillId="21" borderId="17" xfId="1" applyNumberFormat="1" applyFont="1" applyFill="1" applyBorder="1" applyAlignment="1" applyProtection="1">
      <alignment horizontal="left" vertical="top" wrapText="1" indent="2"/>
      <protection locked="0"/>
    </xf>
    <xf numFmtId="168" fontId="46" fillId="21" borderId="8" xfId="0" applyNumberFormat="1" applyFont="1" applyFill="1" applyBorder="1" applyAlignment="1" applyProtection="1">
      <alignment horizontal="left" vertical="top" indent="1"/>
      <protection locked="0"/>
    </xf>
    <xf numFmtId="168" fontId="46" fillId="21" borderId="45" xfId="0" applyNumberFormat="1" applyFont="1" applyFill="1" applyBorder="1" applyAlignment="1" applyProtection="1">
      <alignment horizontal="left" vertical="top" indent="1"/>
      <protection locked="0"/>
    </xf>
    <xf numFmtId="0" fontId="7" fillId="15" borderId="4" xfId="0" applyFont="1" applyFill="1" applyBorder="1" applyAlignment="1" applyProtection="1">
      <alignment horizontal="center" vertical="top" wrapText="1"/>
      <protection hidden="1"/>
    </xf>
    <xf numFmtId="170" fontId="26" fillId="21" borderId="7" xfId="2" applyNumberFormat="1" applyFont="1" applyFill="1" applyBorder="1" applyAlignment="1" applyProtection="1">
      <alignment horizontal="left" vertical="top" indent="1"/>
      <protection locked="0"/>
    </xf>
    <xf numFmtId="170" fontId="46" fillId="0" borderId="54" xfId="3" applyNumberFormat="1" applyFont="1" applyBorder="1" applyAlignment="1" applyProtection="1">
      <alignment horizontal="center" vertical="top"/>
      <protection hidden="1"/>
    </xf>
    <xf numFmtId="0" fontId="34" fillId="2" borderId="64" xfId="0" applyFont="1" applyFill="1" applyBorder="1" applyAlignment="1" applyProtection="1">
      <alignment horizontal="center" vertical="center" wrapText="1"/>
      <protection hidden="1"/>
    </xf>
    <xf numFmtId="0" fontId="34" fillId="2" borderId="40" xfId="0" applyFont="1" applyFill="1" applyBorder="1" applyAlignment="1" applyProtection="1">
      <alignment horizontal="center" vertical="center" wrapText="1"/>
      <protection hidden="1"/>
    </xf>
    <xf numFmtId="0" fontId="46" fillId="0" borderId="31" xfId="3" applyNumberFormat="1" applyFont="1" applyBorder="1" applyAlignment="1" applyProtection="1">
      <alignment horizontal="left" vertical="top" wrapText="1"/>
      <protection hidden="1"/>
    </xf>
    <xf numFmtId="0" fontId="46" fillId="0" borderId="70" xfId="3" applyNumberFormat="1" applyFont="1" applyBorder="1" applyAlignment="1" applyProtection="1">
      <alignment horizontal="left" vertical="top" wrapText="1"/>
      <protection hidden="1"/>
    </xf>
    <xf numFmtId="168" fontId="46" fillId="0" borderId="41" xfId="3" applyNumberFormat="1" applyFont="1" applyBorder="1" applyAlignment="1" applyProtection="1">
      <alignment horizontal="center" vertical="top"/>
      <protection hidden="1"/>
    </xf>
    <xf numFmtId="168" fontId="46" fillId="0" borderId="66" xfId="3" applyNumberFormat="1" applyFont="1" applyBorder="1" applyAlignment="1" applyProtection="1">
      <alignment horizontal="center" vertical="top"/>
      <protection hidden="1"/>
    </xf>
    <xf numFmtId="0" fontId="47" fillId="0" borderId="15" xfId="1" applyNumberFormat="1" applyFont="1" applyFill="1" applyBorder="1" applyAlignment="1" applyProtection="1">
      <alignment horizontal="left" vertical="top" wrapText="1" indent="2"/>
      <protection hidden="1"/>
    </xf>
    <xf numFmtId="0" fontId="27" fillId="22" borderId="5" xfId="0" applyFont="1" applyFill="1" applyBorder="1" applyAlignment="1" applyProtection="1">
      <alignment horizontal="center" vertical="center"/>
      <protection hidden="1"/>
    </xf>
    <xf numFmtId="0" fontId="27" fillId="22" borderId="6" xfId="0" applyFont="1" applyFill="1" applyBorder="1" applyAlignment="1" applyProtection="1">
      <alignment horizontal="center" vertical="center"/>
      <protection hidden="1"/>
    </xf>
    <xf numFmtId="0" fontId="27" fillId="22" borderId="7" xfId="0" applyFont="1" applyFill="1" applyBorder="1" applyAlignment="1" applyProtection="1">
      <alignment horizontal="center" vertical="center"/>
      <protection hidden="1"/>
    </xf>
    <xf numFmtId="9" fontId="46" fillId="15" borderId="76" xfId="1" applyFont="1" applyFill="1" applyBorder="1" applyAlignment="1" applyProtection="1">
      <alignment horizontal="center" vertical="top"/>
      <protection hidden="1"/>
    </xf>
    <xf numFmtId="9" fontId="46" fillId="15" borderId="63" xfId="1" applyFont="1" applyFill="1" applyBorder="1" applyAlignment="1" applyProtection="1">
      <alignment horizontal="center" vertical="top"/>
      <protection hidden="1"/>
    </xf>
    <xf numFmtId="9" fontId="46" fillId="15" borderId="41" xfId="1" applyFont="1" applyFill="1" applyBorder="1" applyAlignment="1" applyProtection="1">
      <alignment horizontal="center" vertical="top"/>
      <protection hidden="1"/>
    </xf>
    <xf numFmtId="9" fontId="46" fillId="15" borderId="68" xfId="1" applyFont="1" applyFill="1" applyBorder="1" applyAlignment="1" applyProtection="1">
      <alignment horizontal="center" vertical="top"/>
      <protection hidden="1"/>
    </xf>
    <xf numFmtId="168" fontId="46" fillId="29" borderId="63" xfId="0" applyNumberFormat="1" applyFont="1" applyFill="1" applyBorder="1" applyAlignment="1" applyProtection="1">
      <alignment horizontal="center" vertical="top"/>
      <protection locked="0"/>
    </xf>
    <xf numFmtId="168" fontId="46" fillId="29" borderId="68" xfId="0" applyNumberFormat="1" applyFont="1" applyFill="1" applyBorder="1" applyAlignment="1" applyProtection="1">
      <alignment horizontal="center" vertical="top"/>
      <protection locked="0"/>
    </xf>
    <xf numFmtId="168" fontId="46" fillId="29" borderId="46" xfId="0" applyNumberFormat="1" applyFont="1" applyFill="1" applyBorder="1" applyAlignment="1" applyProtection="1">
      <alignment horizontal="center" vertical="top"/>
      <protection locked="0"/>
    </xf>
    <xf numFmtId="168" fontId="46" fillId="29" borderId="73" xfId="0" applyNumberFormat="1" applyFont="1" applyFill="1" applyBorder="1" applyAlignment="1" applyProtection="1">
      <alignment horizontal="center" vertical="top"/>
      <protection locked="0"/>
    </xf>
    <xf numFmtId="168" fontId="46" fillId="29" borderId="70" xfId="0" applyNumberFormat="1" applyFont="1" applyFill="1" applyBorder="1" applyAlignment="1" applyProtection="1">
      <alignment horizontal="center" vertical="top"/>
      <protection locked="0"/>
    </xf>
    <xf numFmtId="9" fontId="46" fillId="15" borderId="5" xfId="1" applyFont="1" applyFill="1" applyBorder="1" applyAlignment="1" applyProtection="1">
      <alignment horizontal="center" vertical="top"/>
      <protection hidden="1"/>
    </xf>
    <xf numFmtId="9" fontId="46" fillId="15" borderId="3" xfId="1" applyFont="1" applyFill="1" applyBorder="1" applyAlignment="1" applyProtection="1">
      <alignment horizontal="center" vertical="top"/>
      <protection hidden="1"/>
    </xf>
    <xf numFmtId="9" fontId="46" fillId="15" borderId="9" xfId="1" applyFont="1" applyFill="1" applyBorder="1" applyAlignment="1" applyProtection="1">
      <alignment horizontal="center" vertical="top"/>
      <protection hidden="1"/>
    </xf>
    <xf numFmtId="0" fontId="46" fillId="21" borderId="60" xfId="2" applyNumberFormat="1" applyFont="1" applyFill="1" applyBorder="1" applyAlignment="1" applyProtection="1">
      <alignment horizontal="center" vertical="top"/>
      <protection locked="0"/>
    </xf>
    <xf numFmtId="0" fontId="46" fillId="21" borderId="17" xfId="2" applyNumberFormat="1" applyFont="1" applyFill="1" applyBorder="1" applyAlignment="1" applyProtection="1">
      <alignment horizontal="center" vertical="top"/>
      <protection locked="0"/>
    </xf>
    <xf numFmtId="0" fontId="46" fillId="21" borderId="20" xfId="2" applyNumberFormat="1" applyFont="1" applyFill="1" applyBorder="1" applyAlignment="1" applyProtection="1">
      <alignment horizontal="center" vertical="top"/>
      <protection locked="0"/>
    </xf>
    <xf numFmtId="0" fontId="46" fillId="21" borderId="15" xfId="2" applyNumberFormat="1" applyFont="1" applyFill="1" applyBorder="1" applyAlignment="1" applyProtection="1">
      <alignment horizontal="center" vertical="top"/>
      <protection locked="0"/>
    </xf>
    <xf numFmtId="168" fontId="46" fillId="0" borderId="46" xfId="3" applyNumberFormat="1" applyFont="1" applyBorder="1" applyAlignment="1" applyProtection="1">
      <alignment horizontal="center" vertical="top"/>
      <protection hidden="1"/>
    </xf>
    <xf numFmtId="168" fontId="46" fillId="0" borderId="73" xfId="3" applyNumberFormat="1" applyFont="1" applyBorder="1" applyAlignment="1" applyProtection="1">
      <alignment horizontal="center" vertical="top"/>
      <protection hidden="1"/>
    </xf>
    <xf numFmtId="168" fontId="46" fillId="0" borderId="59" xfId="3" applyNumberFormat="1" applyFont="1" applyBorder="1" applyAlignment="1" applyProtection="1">
      <alignment horizontal="center" vertical="top"/>
      <protection hidden="1"/>
    </xf>
    <xf numFmtId="168" fontId="46" fillId="21" borderId="7" xfId="0" applyNumberFormat="1" applyFont="1" applyFill="1" applyBorder="1" applyAlignment="1" applyProtection="1">
      <alignment horizontal="left" vertical="top" indent="1"/>
      <protection locked="0"/>
    </xf>
    <xf numFmtId="168" fontId="46" fillId="21" borderId="11" xfId="0" applyNumberFormat="1" applyFont="1" applyFill="1" applyBorder="1" applyAlignment="1" applyProtection="1">
      <alignment horizontal="left" vertical="top" indent="1"/>
      <protection locked="0"/>
    </xf>
    <xf numFmtId="0" fontId="34" fillId="2" borderId="68" xfId="0" applyFont="1" applyFill="1" applyBorder="1" applyAlignment="1" applyProtection="1">
      <alignment horizontal="center" vertical="center" wrapText="1"/>
      <protection hidden="1"/>
    </xf>
    <xf numFmtId="0" fontId="34" fillId="2" borderId="49" xfId="0" applyFont="1" applyFill="1" applyBorder="1" applyAlignment="1" applyProtection="1">
      <alignment horizontal="center" vertical="center" wrapText="1"/>
      <protection hidden="1"/>
    </xf>
    <xf numFmtId="0" fontId="27" fillId="23" borderId="2" xfId="0" applyFont="1" applyFill="1" applyBorder="1" applyAlignment="1" applyProtection="1">
      <alignment horizontal="center" vertical="center"/>
      <protection hidden="1"/>
    </xf>
    <xf numFmtId="0" fontId="27" fillId="22" borderId="1" xfId="0" applyFont="1" applyFill="1" applyBorder="1" applyAlignment="1" applyProtection="1">
      <alignment horizontal="center" vertical="center"/>
      <protection hidden="1"/>
    </xf>
    <xf numFmtId="0" fontId="27" fillId="22" borderId="2" xfId="0" applyFont="1" applyFill="1" applyBorder="1" applyAlignment="1" applyProtection="1">
      <alignment horizontal="center" vertical="center"/>
      <protection hidden="1"/>
    </xf>
    <xf numFmtId="0" fontId="28" fillId="12" borderId="76" xfId="0" applyFont="1" applyFill="1" applyBorder="1" applyAlignment="1" applyProtection="1">
      <alignment horizontal="center" vertical="center"/>
      <protection hidden="1"/>
    </xf>
    <xf numFmtId="0" fontId="28" fillId="12" borderId="63" xfId="0" applyFont="1" applyFill="1" applyBorder="1" applyAlignment="1" applyProtection="1">
      <alignment horizontal="center" vertical="center"/>
      <protection hidden="1"/>
    </xf>
    <xf numFmtId="0" fontId="28" fillId="12" borderId="68" xfId="0" applyFont="1" applyFill="1" applyBorder="1" applyAlignment="1" applyProtection="1">
      <alignment horizontal="center" vertical="center"/>
      <protection hidden="1"/>
    </xf>
    <xf numFmtId="0" fontId="46" fillId="21" borderId="60" xfId="1" applyNumberFormat="1" applyFont="1" applyFill="1" applyBorder="1" applyAlignment="1" applyProtection="1">
      <alignment horizontal="left" vertical="top" wrapText="1" indent="2"/>
      <protection locked="0"/>
    </xf>
    <xf numFmtId="9" fontId="46" fillId="15" borderId="47" xfId="1" applyFont="1" applyFill="1" applyBorder="1" applyAlignment="1" applyProtection="1">
      <alignment horizontal="center" vertical="top"/>
      <protection hidden="1"/>
    </xf>
    <xf numFmtId="0" fontId="43" fillId="20" borderId="1" xfId="0" applyFont="1" applyFill="1" applyBorder="1" applyAlignment="1" applyProtection="1">
      <alignment horizontal="center" vertical="center"/>
      <protection hidden="1"/>
    </xf>
    <xf numFmtId="0" fontId="43" fillId="20" borderId="4" xfId="0" applyFont="1" applyFill="1" applyBorder="1" applyAlignment="1" applyProtection="1">
      <alignment horizontal="center" vertical="center"/>
      <protection hidden="1"/>
    </xf>
    <xf numFmtId="0" fontId="43" fillId="20" borderId="2" xfId="0" applyFont="1" applyFill="1" applyBorder="1" applyAlignment="1" applyProtection="1">
      <alignment horizontal="center" vertical="center"/>
      <protection hidden="1"/>
    </xf>
    <xf numFmtId="0" fontId="45" fillId="28" borderId="1" xfId="0" applyFont="1" applyFill="1" applyBorder="1" applyAlignment="1" applyProtection="1">
      <alignment horizontal="center" vertical="center"/>
      <protection hidden="1"/>
    </xf>
    <xf numFmtId="0" fontId="30" fillId="22" borderId="76" xfId="0" applyFont="1" applyFill="1" applyBorder="1" applyAlignment="1" applyProtection="1">
      <alignment horizontal="center" vertical="center" wrapText="1"/>
      <protection hidden="1"/>
    </xf>
    <xf numFmtId="0" fontId="30" fillId="22" borderId="63" xfId="0" applyFont="1" applyFill="1" applyBorder="1" applyAlignment="1" applyProtection="1">
      <alignment horizontal="center" vertical="center" wrapText="1"/>
      <protection hidden="1"/>
    </xf>
    <xf numFmtId="0" fontId="30" fillId="22" borderId="68" xfId="0" applyFont="1" applyFill="1" applyBorder="1" applyAlignment="1" applyProtection="1">
      <alignment horizontal="center" vertical="center" wrapText="1"/>
      <protection hidden="1"/>
    </xf>
    <xf numFmtId="0" fontId="31" fillId="12" borderId="76" xfId="0" applyFont="1" applyFill="1" applyBorder="1" applyAlignment="1" applyProtection="1">
      <alignment horizontal="center" vertical="center"/>
      <protection hidden="1"/>
    </xf>
    <xf numFmtId="0" fontId="31" fillId="12" borderId="63" xfId="0" applyFont="1" applyFill="1" applyBorder="1" applyAlignment="1" applyProtection="1">
      <alignment horizontal="center" vertical="center"/>
      <protection hidden="1"/>
    </xf>
    <xf numFmtId="0" fontId="31" fillId="12" borderId="68" xfId="0" applyFont="1" applyFill="1" applyBorder="1" applyAlignment="1" applyProtection="1">
      <alignment horizontal="center" vertical="center"/>
      <protection hidden="1"/>
    </xf>
    <xf numFmtId="0" fontId="7" fillId="15" borderId="0" xfId="0" applyFont="1" applyFill="1" applyBorder="1" applyAlignment="1" applyProtection="1">
      <alignment horizontal="center" vertical="top" wrapText="1"/>
      <protection hidden="1"/>
    </xf>
    <xf numFmtId="0" fontId="30" fillId="23" borderId="76" xfId="0" applyFont="1" applyFill="1" applyBorder="1" applyAlignment="1" applyProtection="1">
      <alignment horizontal="center" vertical="center" wrapText="1"/>
      <protection hidden="1"/>
    </xf>
    <xf numFmtId="0" fontId="30" fillId="23" borderId="63" xfId="0" applyFont="1" applyFill="1" applyBorder="1" applyAlignment="1" applyProtection="1">
      <alignment horizontal="center" vertical="center" wrapText="1"/>
      <protection hidden="1"/>
    </xf>
    <xf numFmtId="0" fontId="30" fillId="23" borderId="68" xfId="0" applyFont="1" applyFill="1" applyBorder="1" applyAlignment="1" applyProtection="1">
      <alignment horizontal="center" vertical="center" wrapText="1"/>
      <protection hidden="1"/>
    </xf>
    <xf numFmtId="0" fontId="30" fillId="12" borderId="76" xfId="0" applyFont="1" applyFill="1" applyBorder="1" applyAlignment="1" applyProtection="1">
      <alignment horizontal="center" vertical="center" wrapText="1"/>
      <protection hidden="1"/>
    </xf>
    <xf numFmtId="0" fontId="30" fillId="12" borderId="63" xfId="0" applyFont="1" applyFill="1" applyBorder="1" applyAlignment="1" applyProtection="1">
      <alignment horizontal="center" vertical="center" wrapText="1"/>
      <protection hidden="1"/>
    </xf>
    <xf numFmtId="0" fontId="30" fillId="12" borderId="68" xfId="0" applyFont="1" applyFill="1" applyBorder="1" applyAlignment="1" applyProtection="1">
      <alignment horizontal="center" vertical="center" wrapText="1"/>
      <protection hidden="1"/>
    </xf>
    <xf numFmtId="0" fontId="34" fillId="22" borderId="76" xfId="0" applyFont="1" applyFill="1" applyBorder="1" applyAlignment="1" applyProtection="1">
      <alignment horizontal="center" vertical="center" wrapText="1"/>
      <protection hidden="1"/>
    </xf>
    <xf numFmtId="0" fontId="34" fillId="22" borderId="63" xfId="0" applyFont="1" applyFill="1" applyBorder="1" applyAlignment="1" applyProtection="1">
      <alignment horizontal="center" vertical="center" wrapText="1"/>
      <protection hidden="1"/>
    </xf>
    <xf numFmtId="0" fontId="34" fillId="22" borderId="68" xfId="0" applyFont="1" applyFill="1" applyBorder="1" applyAlignment="1" applyProtection="1">
      <alignment horizontal="center" vertical="center" wrapText="1"/>
      <protection hidden="1"/>
    </xf>
    <xf numFmtId="0" fontId="34" fillId="12" borderId="76" xfId="0" applyFont="1" applyFill="1" applyBorder="1" applyAlignment="1" applyProtection="1">
      <alignment horizontal="center" vertical="center" wrapText="1"/>
      <protection hidden="1"/>
    </xf>
    <xf numFmtId="0" fontId="34" fillId="12" borderId="63" xfId="0" applyFont="1" applyFill="1" applyBorder="1" applyAlignment="1" applyProtection="1">
      <alignment horizontal="center" vertical="center" wrapText="1"/>
      <protection hidden="1"/>
    </xf>
    <xf numFmtId="0" fontId="34" fillId="12" borderId="68" xfId="0" applyFont="1" applyFill="1" applyBorder="1" applyAlignment="1" applyProtection="1">
      <alignment horizontal="center" vertical="center" wrapText="1"/>
      <protection hidden="1"/>
    </xf>
    <xf numFmtId="0" fontId="44" fillId="22" borderId="76" xfId="0" applyFont="1" applyFill="1" applyBorder="1" applyAlignment="1" applyProtection="1">
      <alignment horizontal="center" vertical="center" wrapText="1"/>
      <protection hidden="1"/>
    </xf>
    <xf numFmtId="0" fontId="44" fillId="22" borderId="63" xfId="0" applyFont="1" applyFill="1" applyBorder="1" applyAlignment="1" applyProtection="1">
      <alignment horizontal="center" vertical="center" wrapText="1"/>
      <protection hidden="1"/>
    </xf>
    <xf numFmtId="0" fontId="44" fillId="22" borderId="68" xfId="0" applyFont="1" applyFill="1" applyBorder="1" applyAlignment="1" applyProtection="1">
      <alignment horizontal="center" vertical="center" wrapText="1"/>
      <protection hidden="1"/>
    </xf>
    <xf numFmtId="0" fontId="44" fillId="20" borderId="1" xfId="0" applyFont="1" applyFill="1" applyBorder="1" applyAlignment="1" applyProtection="1">
      <alignment horizontal="center" vertical="center"/>
      <protection hidden="1"/>
    </xf>
    <xf numFmtId="0" fontId="44" fillId="20" borderId="4" xfId="0" applyFont="1" applyFill="1" applyBorder="1" applyAlignment="1" applyProtection="1">
      <alignment horizontal="center" vertical="center"/>
      <protection hidden="1"/>
    </xf>
    <xf numFmtId="0" fontId="44" fillId="20" borderId="2"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wrapText="1"/>
      <protection hidden="1"/>
    </xf>
    <xf numFmtId="168" fontId="46" fillId="15" borderId="6" xfId="0" applyNumberFormat="1" applyFont="1" applyFill="1" applyBorder="1" applyAlignment="1" applyProtection="1">
      <alignment horizontal="center"/>
      <protection hidden="1"/>
    </xf>
    <xf numFmtId="0" fontId="46" fillId="15" borderId="0" xfId="0" applyFont="1" applyFill="1" applyAlignment="1" applyProtection="1">
      <alignment horizontal="center"/>
      <protection hidden="1"/>
    </xf>
    <xf numFmtId="168" fontId="7" fillId="15" borderId="6" xfId="0" applyNumberFormat="1" applyFont="1" applyFill="1" applyBorder="1" applyAlignment="1" applyProtection="1">
      <alignment horizontal="center" vertical="center"/>
      <protection hidden="1"/>
    </xf>
    <xf numFmtId="0" fontId="7" fillId="15" borderId="0" xfId="0" applyFont="1" applyFill="1" applyAlignment="1" applyProtection="1">
      <alignment horizontal="center" vertical="center"/>
      <protection hidden="1"/>
    </xf>
    <xf numFmtId="170" fontId="46" fillId="15" borderId="0" xfId="0" applyNumberFormat="1" applyFont="1" applyFill="1" applyAlignment="1" applyProtection="1">
      <alignment horizontal="center" vertical="center"/>
      <protection hidden="1"/>
    </xf>
    <xf numFmtId="0" fontId="4" fillId="15" borderId="13" xfId="0" applyFont="1" applyFill="1" applyBorder="1" applyAlignment="1" applyProtection="1">
      <alignment horizontal="center" vertical="center" wrapText="1"/>
    </xf>
    <xf numFmtId="0" fontId="4" fillId="15" borderId="14" xfId="0" applyFont="1" applyFill="1" applyBorder="1" applyAlignment="1" applyProtection="1">
      <alignment horizontal="center" vertical="center" wrapText="1"/>
    </xf>
    <xf numFmtId="0" fontId="4" fillId="15" borderId="74" xfId="0" applyFont="1" applyFill="1" applyBorder="1" applyAlignment="1" applyProtection="1">
      <alignment horizontal="center" vertical="center" wrapText="1"/>
    </xf>
    <xf numFmtId="0" fontId="4" fillId="15" borderId="15" xfId="0" applyFont="1" applyFill="1" applyBorder="1" applyAlignment="1" applyProtection="1">
      <alignment horizontal="center" vertical="center" wrapText="1"/>
    </xf>
    <xf numFmtId="0" fontId="4" fillId="15" borderId="36" xfId="0" applyFont="1" applyFill="1" applyBorder="1" applyAlignment="1" applyProtection="1">
      <alignment horizontal="center" vertical="center" wrapText="1"/>
    </xf>
    <xf numFmtId="0" fontId="4" fillId="15" borderId="21" xfId="0" applyFont="1" applyFill="1" applyBorder="1" applyAlignment="1" applyProtection="1">
      <alignment horizontal="center" vertical="center" wrapText="1"/>
    </xf>
    <xf numFmtId="0" fontId="4" fillId="15" borderId="37" xfId="0" applyFont="1" applyFill="1" applyBorder="1" applyAlignment="1" applyProtection="1">
      <alignment horizontal="center" vertical="center" wrapText="1"/>
    </xf>
    <xf numFmtId="0" fontId="4" fillId="15" borderId="60" xfId="0" applyFont="1" applyFill="1" applyBorder="1" applyAlignment="1" applyProtection="1">
      <alignment horizontal="center" vertical="center" wrapText="1"/>
    </xf>
    <xf numFmtId="0" fontId="4" fillId="0" borderId="0" xfId="0" applyFont="1" applyFill="1" applyBorder="1" applyAlignment="1">
      <alignment horizontal="center" vertical="center" wrapText="1"/>
    </xf>
    <xf numFmtId="0" fontId="10" fillId="15" borderId="43" xfId="0" applyFont="1" applyFill="1" applyBorder="1" applyAlignment="1" applyProtection="1">
      <alignment horizontal="center" vertical="center" wrapText="1"/>
    </xf>
    <xf numFmtId="0" fontId="10" fillId="15" borderId="42" xfId="0" applyFont="1" applyFill="1" applyBorder="1" applyAlignment="1" applyProtection="1">
      <alignment horizontal="center" vertical="center" wrapText="1"/>
    </xf>
    <xf numFmtId="0" fontId="0" fillId="14" borderId="18" xfId="0" applyFont="1" applyFill="1" applyBorder="1" applyAlignment="1" applyProtection="1">
      <alignment horizontal="center" vertical="center" wrapText="1"/>
    </xf>
    <xf numFmtId="0" fontId="0" fillId="14" borderId="20" xfId="0" applyFont="1" applyFill="1" applyBorder="1" applyAlignment="1" applyProtection="1">
      <alignment horizontal="center" vertical="center" wrapText="1"/>
    </xf>
    <xf numFmtId="0" fontId="11" fillId="24" borderId="12" xfId="0" applyFont="1" applyFill="1" applyBorder="1" applyAlignment="1" applyProtection="1">
      <alignment horizontal="left" vertical="top" wrapText="1"/>
      <protection locked="0"/>
    </xf>
    <xf numFmtId="164" fontId="11" fillId="24" borderId="12" xfId="10" applyFont="1" applyFill="1" applyBorder="1" applyAlignment="1" applyProtection="1">
      <alignment horizontal="left" vertical="top" wrapText="1"/>
      <protection locked="0"/>
    </xf>
    <xf numFmtId="0" fontId="4" fillId="25" borderId="48" xfId="0" applyFont="1" applyFill="1" applyBorder="1" applyAlignment="1" applyProtection="1">
      <alignment horizontal="center" vertical="center" wrapText="1"/>
    </xf>
    <xf numFmtId="0" fontId="4" fillId="25" borderId="34" xfId="0" applyFont="1" applyFill="1" applyBorder="1" applyAlignment="1" applyProtection="1">
      <alignment horizontal="center" vertical="center" wrapText="1"/>
    </xf>
    <xf numFmtId="0" fontId="4" fillId="25" borderId="49" xfId="0" applyFont="1" applyFill="1" applyBorder="1" applyAlignment="1" applyProtection="1">
      <alignment horizontal="center" vertical="center" wrapText="1"/>
    </xf>
    <xf numFmtId="0" fontId="11" fillId="15" borderId="31" xfId="0" applyFont="1" applyFill="1" applyBorder="1" applyAlignment="1" applyProtection="1">
      <alignment horizontal="center" vertical="center" wrapText="1"/>
    </xf>
    <xf numFmtId="0" fontId="11" fillId="15" borderId="59" xfId="0" applyFont="1" applyFill="1" applyBorder="1" applyAlignment="1" applyProtection="1">
      <alignment horizontal="center" vertical="center" wrapText="1"/>
    </xf>
    <xf numFmtId="164" fontId="4" fillId="15" borderId="37" xfId="10" applyFont="1" applyFill="1" applyBorder="1" applyAlignment="1" applyProtection="1">
      <alignment horizontal="center" vertical="center" wrapText="1"/>
    </xf>
    <xf numFmtId="164" fontId="4" fillId="15" borderId="60" xfId="10" applyFont="1" applyFill="1" applyBorder="1" applyAlignment="1" applyProtection="1">
      <alignment horizontal="center" vertical="center" wrapText="1"/>
    </xf>
    <xf numFmtId="0" fontId="4" fillId="24" borderId="12" xfId="0" applyFont="1" applyFill="1" applyBorder="1" applyAlignment="1" applyProtection="1">
      <alignment horizontal="left" vertical="top" wrapText="1"/>
      <protection locked="0"/>
    </xf>
    <xf numFmtId="164" fontId="4" fillId="24" borderId="12" xfId="10" applyFont="1" applyFill="1" applyBorder="1" applyAlignment="1" applyProtection="1">
      <alignment horizontal="left" vertical="top" wrapText="1"/>
      <protection locked="0"/>
    </xf>
    <xf numFmtId="0" fontId="11" fillId="24" borderId="12" xfId="0" applyFont="1" applyFill="1" applyBorder="1" applyAlignment="1" applyProtection="1">
      <alignment horizontal="left" vertical="center" wrapText="1"/>
      <protection locked="0"/>
    </xf>
    <xf numFmtId="164" fontId="11" fillId="24" borderId="12" xfId="10" applyFont="1" applyFill="1" applyBorder="1" applyAlignment="1" applyProtection="1">
      <alignment horizontal="left" vertical="center" wrapText="1"/>
      <protection locked="0"/>
    </xf>
    <xf numFmtId="0" fontId="20" fillId="0" borderId="0" xfId="0" applyFont="1" applyBorder="1" applyAlignment="1">
      <alignment horizontal="left" vertical="top" wrapText="1"/>
    </xf>
    <xf numFmtId="0" fontId="5" fillId="27" borderId="9" xfId="0" applyFont="1" applyFill="1" applyBorder="1" applyAlignment="1">
      <alignment horizontal="left" wrapText="1"/>
    </xf>
    <xf numFmtId="0" fontId="5" fillId="27" borderId="10" xfId="0" applyFont="1" applyFill="1" applyBorder="1" applyAlignment="1">
      <alignment horizontal="left" wrapText="1"/>
    </xf>
    <xf numFmtId="164" fontId="5" fillId="27" borderId="10" xfId="10" applyFont="1" applyFill="1" applyBorder="1" applyAlignment="1">
      <alignment horizontal="left" wrapText="1"/>
    </xf>
    <xf numFmtId="0" fontId="5" fillId="27" borderId="11" xfId="0" applyFont="1" applyFill="1" applyBorder="1" applyAlignment="1">
      <alignment horizontal="left" wrapText="1"/>
    </xf>
    <xf numFmtId="0" fontId="15" fillId="27" borderId="1" xfId="0" applyFont="1" applyFill="1" applyBorder="1" applyAlignment="1">
      <alignment horizontal="left" wrapText="1"/>
    </xf>
    <xf numFmtId="0" fontId="15" fillId="27" borderId="4" xfId="0" applyFont="1" applyFill="1" applyBorder="1" applyAlignment="1">
      <alignment horizontal="left" wrapText="1"/>
    </xf>
    <xf numFmtId="0" fontId="15" fillId="27" borderId="2" xfId="0" applyFont="1" applyFill="1" applyBorder="1" applyAlignment="1">
      <alignment horizontal="left" wrapText="1"/>
    </xf>
    <xf numFmtId="49" fontId="4" fillId="24" borderId="12" xfId="0" applyNumberFormat="1" applyFont="1" applyFill="1" applyBorder="1" applyAlignment="1" applyProtection="1">
      <alignment horizontal="left" vertical="center" wrapText="1"/>
      <protection locked="0"/>
    </xf>
    <xf numFmtId="164" fontId="4" fillId="24" borderId="12" xfId="10" applyFont="1" applyFill="1" applyBorder="1" applyAlignment="1" applyProtection="1">
      <alignment horizontal="left" vertical="center" wrapText="1"/>
      <protection locked="0"/>
    </xf>
    <xf numFmtId="49" fontId="11" fillId="24" borderId="32" xfId="0" applyNumberFormat="1" applyFont="1" applyFill="1" applyBorder="1" applyAlignment="1" applyProtection="1">
      <alignment horizontal="left" vertical="center" wrapText="1"/>
      <protection locked="0"/>
    </xf>
    <xf numFmtId="49" fontId="11" fillId="24" borderId="33" xfId="0" applyNumberFormat="1" applyFont="1" applyFill="1" applyBorder="1" applyAlignment="1" applyProtection="1">
      <alignment horizontal="left" vertical="center" wrapText="1"/>
      <protection locked="0"/>
    </xf>
    <xf numFmtId="49" fontId="11" fillId="24" borderId="23" xfId="0" applyNumberFormat="1" applyFont="1" applyFill="1" applyBorder="1" applyAlignment="1" applyProtection="1">
      <alignment horizontal="left" vertical="center" wrapText="1"/>
      <protection locked="0"/>
    </xf>
    <xf numFmtId="0" fontId="4" fillId="15" borderId="75" xfId="0" applyFont="1" applyFill="1" applyBorder="1" applyAlignment="1">
      <alignment horizontal="center" vertical="center" wrapText="1"/>
    </xf>
    <xf numFmtId="0" fontId="4" fillId="15" borderId="60" xfId="0" applyFont="1" applyFill="1" applyBorder="1" applyAlignment="1">
      <alignment horizontal="center" vertical="center" wrapText="1"/>
    </xf>
    <xf numFmtId="0" fontId="4" fillId="15" borderId="32" xfId="0" applyFont="1" applyFill="1" applyBorder="1" applyAlignment="1">
      <alignment horizontal="left" wrapText="1"/>
    </xf>
    <xf numFmtId="0" fontId="4" fillId="15" borderId="33" xfId="0" applyFont="1" applyFill="1" applyBorder="1" applyAlignment="1">
      <alignment horizontal="left" wrapText="1"/>
    </xf>
    <xf numFmtId="0" fontId="4" fillId="15" borderId="23" xfId="0" applyFont="1" applyFill="1" applyBorder="1" applyAlignment="1">
      <alignment horizontal="left" wrapText="1"/>
    </xf>
    <xf numFmtId="0" fontId="4" fillId="15" borderId="1" xfId="0" applyFont="1" applyFill="1" applyBorder="1" applyAlignment="1">
      <alignment horizontal="center" wrapText="1"/>
    </xf>
    <xf numFmtId="0" fontId="4" fillId="15" borderId="4" xfId="0" applyFont="1" applyFill="1" applyBorder="1" applyAlignment="1">
      <alignment horizontal="center" wrapText="1"/>
    </xf>
    <xf numFmtId="0" fontId="4" fillId="15" borderId="2" xfId="0" applyFont="1" applyFill="1" applyBorder="1" applyAlignment="1">
      <alignment horizontal="center" wrapText="1"/>
    </xf>
    <xf numFmtId="0" fontId="17" fillId="27" borderId="5" xfId="0" applyFont="1" applyFill="1" applyBorder="1" applyAlignment="1">
      <alignment horizontal="left" wrapText="1"/>
    </xf>
    <xf numFmtId="0" fontId="17" fillId="27" borderId="6" xfId="0" applyFont="1" applyFill="1" applyBorder="1" applyAlignment="1">
      <alignment horizontal="left" wrapText="1"/>
    </xf>
    <xf numFmtId="0" fontId="17" fillId="27" borderId="83" xfId="0" applyFont="1" applyFill="1" applyBorder="1" applyAlignment="1">
      <alignment horizontal="left" wrapText="1"/>
    </xf>
    <xf numFmtId="0" fontId="5" fillId="27" borderId="3" xfId="0" applyFont="1" applyFill="1" applyBorder="1" applyAlignment="1">
      <alignment horizontal="left" vertical="center" wrapText="1"/>
    </xf>
    <xf numFmtId="0" fontId="5" fillId="27" borderId="0" xfId="0" applyFont="1" applyFill="1" applyBorder="1" applyAlignment="1">
      <alignment horizontal="left" vertical="center" wrapText="1"/>
    </xf>
    <xf numFmtId="0" fontId="5" fillId="27" borderId="82" xfId="0" applyFont="1" applyFill="1" applyBorder="1" applyAlignment="1">
      <alignment horizontal="left" vertical="center" wrapText="1"/>
    </xf>
    <xf numFmtId="0" fontId="5" fillId="27" borderId="9" xfId="0" applyFont="1" applyFill="1" applyBorder="1" applyAlignment="1">
      <alignment horizontal="left" vertical="center" wrapText="1"/>
    </xf>
    <xf numFmtId="0" fontId="5" fillId="27" borderId="10" xfId="0" applyFont="1" applyFill="1" applyBorder="1" applyAlignment="1">
      <alignment horizontal="left" vertical="center" wrapText="1"/>
    </xf>
    <xf numFmtId="0" fontId="5" fillId="27" borderId="81" xfId="0" applyFont="1" applyFill="1" applyBorder="1" applyAlignment="1">
      <alignment horizontal="left" vertical="center" wrapText="1"/>
    </xf>
    <xf numFmtId="0" fontId="4" fillId="27" borderId="1" xfId="0" applyFont="1" applyFill="1" applyBorder="1" applyAlignment="1">
      <alignment horizontal="left" wrapText="1"/>
    </xf>
    <xf numFmtId="0" fontId="4" fillId="27" borderId="4" xfId="0" applyFont="1" applyFill="1" applyBorder="1" applyAlignment="1">
      <alignment horizontal="left" wrapText="1"/>
    </xf>
    <xf numFmtId="0" fontId="4" fillId="27" borderId="2" xfId="0" applyFont="1" applyFill="1" applyBorder="1" applyAlignment="1">
      <alignment horizontal="left" wrapText="1"/>
    </xf>
    <xf numFmtId="0" fontId="4" fillId="15" borderId="36" xfId="0" applyFont="1" applyFill="1" applyBorder="1" applyAlignment="1">
      <alignment horizontal="center" vertical="center" wrapText="1"/>
    </xf>
    <xf numFmtId="0" fontId="4" fillId="15" borderId="21" xfId="0" applyFont="1" applyFill="1" applyBorder="1" applyAlignment="1">
      <alignment horizontal="center" vertical="center" wrapText="1"/>
    </xf>
    <xf numFmtId="164" fontId="10" fillId="15" borderId="32" xfId="0" applyNumberFormat="1" applyFont="1" applyFill="1" applyBorder="1" applyAlignment="1">
      <alignment horizontal="center"/>
    </xf>
    <xf numFmtId="164" fontId="10" fillId="15" borderId="42" xfId="0" applyNumberFormat="1" applyFont="1" applyFill="1" applyBorder="1" applyAlignment="1">
      <alignment horizontal="center"/>
    </xf>
    <xf numFmtId="0" fontId="10" fillId="15" borderId="48" xfId="0" applyFont="1" applyFill="1" applyBorder="1" applyAlignment="1">
      <alignment horizontal="left"/>
    </xf>
    <xf numFmtId="0" fontId="10" fillId="15" borderId="34" xfId="0" applyFont="1" applyFill="1" applyBorder="1" applyAlignment="1">
      <alignment horizontal="left"/>
    </xf>
    <xf numFmtId="0" fontId="10" fillId="15" borderId="49" xfId="0" applyFont="1" applyFill="1" applyBorder="1" applyAlignment="1">
      <alignment horizontal="left"/>
    </xf>
    <xf numFmtId="49" fontId="0" fillId="15" borderId="25" xfId="0" applyNumberFormat="1" applyFill="1" applyBorder="1" applyAlignment="1">
      <alignment horizontal="center" wrapText="1"/>
    </xf>
    <xf numFmtId="49" fontId="0" fillId="15" borderId="26" xfId="0" applyNumberFormat="1" applyFill="1" applyBorder="1" applyAlignment="1">
      <alignment horizontal="center" wrapText="1"/>
    </xf>
    <xf numFmtId="49" fontId="0" fillId="15" borderId="28" xfId="0" applyNumberFormat="1" applyFill="1" applyBorder="1" applyAlignment="1">
      <alignment horizontal="center" wrapText="1"/>
    </xf>
    <xf numFmtId="164" fontId="10" fillId="15" borderId="61" xfId="0" applyNumberFormat="1" applyFont="1" applyFill="1" applyBorder="1" applyAlignment="1">
      <alignment horizontal="center"/>
    </xf>
    <xf numFmtId="164" fontId="10" fillId="15" borderId="45" xfId="0" applyNumberFormat="1" applyFont="1" applyFill="1" applyBorder="1" applyAlignment="1">
      <alignment horizontal="center"/>
    </xf>
    <xf numFmtId="0" fontId="10" fillId="27" borderId="5" xfId="0" applyFont="1" applyFill="1" applyBorder="1" applyAlignment="1">
      <alignment horizontal="center" vertical="center"/>
    </xf>
    <xf numFmtId="0" fontId="10" fillId="27" borderId="6" xfId="0" applyFont="1" applyFill="1" applyBorder="1" applyAlignment="1">
      <alignment horizontal="center" vertical="center"/>
    </xf>
    <xf numFmtId="0" fontId="10" fillId="27" borderId="7" xfId="0" applyFont="1" applyFill="1" applyBorder="1" applyAlignment="1">
      <alignment horizontal="center" vertical="center"/>
    </xf>
    <xf numFmtId="0" fontId="10" fillId="27" borderId="9" xfId="0" applyFont="1" applyFill="1" applyBorder="1" applyAlignment="1">
      <alignment horizontal="center" vertical="center"/>
    </xf>
    <xf numFmtId="0" fontId="10" fillId="27" borderId="10" xfId="0" applyFont="1" applyFill="1" applyBorder="1" applyAlignment="1">
      <alignment horizontal="center" vertical="center"/>
    </xf>
    <xf numFmtId="0" fontId="10" fillId="27" borderId="11" xfId="0" applyFont="1" applyFill="1" applyBorder="1" applyAlignment="1">
      <alignment horizontal="center" vertical="center"/>
    </xf>
    <xf numFmtId="0" fontId="0" fillId="15" borderId="25" xfId="0" applyNumberFormat="1" applyFill="1" applyBorder="1" applyAlignment="1">
      <alignment horizontal="center" wrapText="1"/>
    </xf>
    <xf numFmtId="0" fontId="0" fillId="15" borderId="26" xfId="0" applyNumberFormat="1" applyFill="1" applyBorder="1" applyAlignment="1">
      <alignment horizontal="center" wrapText="1"/>
    </xf>
    <xf numFmtId="0" fontId="0" fillId="15" borderId="28" xfId="0" applyNumberFormat="1" applyFill="1" applyBorder="1" applyAlignment="1">
      <alignment horizontal="center" wrapText="1"/>
    </xf>
    <xf numFmtId="0" fontId="4" fillId="27" borderId="5" xfId="0" applyFont="1" applyFill="1" applyBorder="1" applyAlignment="1">
      <alignment horizontal="center" vertical="center"/>
    </xf>
    <xf numFmtId="0" fontId="4" fillId="27" borderId="6" xfId="0" applyFont="1" applyFill="1" applyBorder="1" applyAlignment="1">
      <alignment horizontal="center" vertical="center"/>
    </xf>
    <xf numFmtId="0" fontId="4" fillId="27" borderId="7" xfId="0" applyFont="1" applyFill="1" applyBorder="1" applyAlignment="1">
      <alignment horizontal="center" vertical="center"/>
    </xf>
    <xf numFmtId="0" fontId="4" fillId="27" borderId="9" xfId="0" applyFont="1" applyFill="1" applyBorder="1" applyAlignment="1">
      <alignment horizontal="center" vertical="center"/>
    </xf>
    <xf numFmtId="0" fontId="4" fillId="27" borderId="10" xfId="0" applyFont="1" applyFill="1" applyBorder="1" applyAlignment="1">
      <alignment horizontal="center" vertical="center"/>
    </xf>
    <xf numFmtId="0" fontId="4" fillId="27" borderId="11" xfId="0" applyFont="1" applyFill="1" applyBorder="1" applyAlignment="1">
      <alignment horizontal="center" vertical="center"/>
    </xf>
    <xf numFmtId="0" fontId="4" fillId="15" borderId="13" xfId="0" applyFont="1" applyFill="1" applyBorder="1" applyAlignment="1">
      <alignment horizontal="center" vertical="center" wrapText="1"/>
    </xf>
    <xf numFmtId="0" fontId="4" fillId="15" borderId="14" xfId="0" applyFont="1" applyFill="1" applyBorder="1" applyAlignment="1">
      <alignment horizontal="center" vertical="center" wrapText="1"/>
    </xf>
    <xf numFmtId="0" fontId="4" fillId="15" borderId="15" xfId="0" applyFont="1" applyFill="1" applyBorder="1" applyAlignment="1">
      <alignment horizontal="center" vertical="center" wrapText="1"/>
    </xf>
  </cellXfs>
  <cellStyles count="11">
    <cellStyle name="Comma" xfId="2" builtinId="3"/>
    <cellStyle name="Comma 2" xfId="7" xr:uid="{00000000-0005-0000-0000-000000000000}"/>
    <cellStyle name="Currency" xfId="3" builtinId="4"/>
    <cellStyle name="Currency 2" xfId="8" xr:uid="{00000000-0005-0000-0000-000001000000}"/>
    <cellStyle name="Currency 3" xfId="10" xr:uid="{00000000-0005-0000-0000-000002000000}"/>
    <cellStyle name="Normal" xfId="0" builtinId="0"/>
    <cellStyle name="Normal 2" xfId="4" xr:uid="{00000000-0005-0000-0000-000006000000}"/>
    <cellStyle name="Normal 3" xfId="6" xr:uid="{00000000-0005-0000-0000-000007000000}"/>
    <cellStyle name="Normal 3 2" xfId="9" xr:uid="{00000000-0005-0000-0000-000008000000}"/>
    <cellStyle name="Percent" xfId="1" builtinId="5"/>
    <cellStyle name="Percent 2" xfId="5" xr:uid="{00000000-0005-0000-0000-000009000000}"/>
  </cellStyles>
  <dxfs count="4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00B050"/>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66FF"/>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
      <fill>
        <patternFill>
          <bgColor rgb="FFFF0000"/>
        </patternFill>
      </fill>
    </dxf>
    <dxf>
      <fill>
        <patternFill>
          <bgColor rgb="FFFFFF00"/>
        </patternFill>
      </fill>
    </dxf>
    <dxf>
      <fill>
        <patternFill>
          <bgColor rgb="FF00B050"/>
        </patternFill>
      </fill>
    </dxf>
    <dxf>
      <fill>
        <patternFill>
          <bgColor rgb="FFCC66FF"/>
        </patternFill>
      </fill>
    </dxf>
  </dxfs>
  <tableStyles count="0" defaultTableStyle="TableStyleMedium2" defaultPivotStyle="PivotStyleLight16"/>
  <colors>
    <mruColors>
      <color rgb="FFFF99FF"/>
      <color rgb="FF406A92"/>
      <color rgb="FFFF66FF"/>
      <color rgb="FFFFFFFF"/>
      <color rgb="FF5C005C"/>
      <color rgb="FFFF66CC"/>
      <color rgb="FFFF99CC"/>
      <color rgb="FFFF33CC"/>
      <color rgb="FFC4A7FF"/>
      <color rgb="FF4D8F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0</xdr:colOff>
      <xdr:row>134</xdr:row>
      <xdr:rowOff>0</xdr:rowOff>
    </xdr:from>
    <xdr:to>
      <xdr:col>38</xdr:col>
      <xdr:colOff>758210</xdr:colOff>
      <xdr:row>152</xdr:row>
      <xdr:rowOff>52703</xdr:rowOff>
    </xdr:to>
    <xdr:grpSp>
      <xdr:nvGrpSpPr>
        <xdr:cNvPr id="2" name="Group 1">
          <a:extLst>
            <a:ext uri="{FF2B5EF4-FFF2-40B4-BE49-F238E27FC236}">
              <a16:creationId xmlns:a16="http://schemas.microsoft.com/office/drawing/2014/main" id="{C12B7596-0706-4F06-918E-619327A6B411}"/>
            </a:ext>
          </a:extLst>
        </xdr:cNvPr>
        <xdr:cNvGrpSpPr/>
      </xdr:nvGrpSpPr>
      <xdr:grpSpPr>
        <a:xfrm>
          <a:off x="33194625" y="31051500"/>
          <a:ext cx="758210" cy="3981766"/>
          <a:chOff x="37558673" y="1816257"/>
          <a:chExt cx="1786440" cy="2620559"/>
        </a:xfrm>
      </xdr:grpSpPr>
      <xdr:sp macro="" textlink="">
        <xdr:nvSpPr>
          <xdr:cNvPr id="3" name="Rectangle 2">
            <a:extLst>
              <a:ext uri="{FF2B5EF4-FFF2-40B4-BE49-F238E27FC236}">
                <a16:creationId xmlns:a16="http://schemas.microsoft.com/office/drawing/2014/main" id="{66079F29-A5C2-4916-96A1-04ECADB156DD}"/>
              </a:ext>
            </a:extLst>
          </xdr:cNvPr>
          <xdr:cNvSpPr/>
        </xdr:nvSpPr>
        <xdr:spPr>
          <a:xfrm>
            <a:off x="37558673" y="1816257"/>
            <a:ext cx="1783718" cy="102144"/>
          </a:xfrm>
          <a:prstGeom prst="rect">
            <a:avLst/>
          </a:prstGeom>
          <a:gradFill>
            <a:gsLst>
              <a:gs pos="0">
                <a:srgbClr val="4D8FCB"/>
              </a:gs>
              <a:gs pos="90000">
                <a:srgbClr val="FFFFFF"/>
              </a:gs>
              <a:gs pos="100000">
                <a:srgbClr val="4D8FCB"/>
              </a:gs>
              <a:gs pos="79000">
                <a:srgbClr val="4D8FCB"/>
              </a:gs>
              <a:gs pos="40000">
                <a:srgbClr val="4D8FCB"/>
              </a:gs>
              <a:gs pos="20000">
                <a:schemeClr val="bg1"/>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sp macro="" textlink="">
        <xdr:nvSpPr>
          <xdr:cNvPr id="4" name="Rectangle 3">
            <a:extLst>
              <a:ext uri="{FF2B5EF4-FFF2-40B4-BE49-F238E27FC236}">
                <a16:creationId xmlns:a16="http://schemas.microsoft.com/office/drawing/2014/main" id="{5A369174-10AF-4A19-84A3-83F4BA3A82A7}"/>
              </a:ext>
            </a:extLst>
          </xdr:cNvPr>
          <xdr:cNvSpPr/>
        </xdr:nvSpPr>
        <xdr:spPr>
          <a:xfrm>
            <a:off x="37561393" y="4337484"/>
            <a:ext cx="1783718" cy="99332"/>
          </a:xfrm>
          <a:prstGeom prst="rect">
            <a:avLst/>
          </a:prstGeom>
          <a:gradFill>
            <a:gsLst>
              <a:gs pos="0">
                <a:srgbClr val="4D8FCB"/>
              </a:gs>
              <a:gs pos="90000">
                <a:srgbClr val="FFFFFF"/>
              </a:gs>
              <a:gs pos="100000">
                <a:srgbClr val="4D8FCB"/>
              </a:gs>
              <a:gs pos="79000">
                <a:srgbClr val="4D8FCB"/>
              </a:gs>
              <a:gs pos="40000">
                <a:srgbClr val="4D8FCB"/>
              </a:gs>
              <a:gs pos="20000">
                <a:schemeClr val="bg1"/>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sp macro="" textlink="">
        <xdr:nvSpPr>
          <xdr:cNvPr id="5" name="Rectangle 4">
            <a:extLst>
              <a:ext uri="{FF2B5EF4-FFF2-40B4-BE49-F238E27FC236}">
                <a16:creationId xmlns:a16="http://schemas.microsoft.com/office/drawing/2014/main" id="{B0665C8E-4E50-45F9-8538-23C6BCB35E1E}"/>
              </a:ext>
            </a:extLst>
          </xdr:cNvPr>
          <xdr:cNvSpPr/>
        </xdr:nvSpPr>
        <xdr:spPr>
          <a:xfrm>
            <a:off x="37561395" y="1903971"/>
            <a:ext cx="1783718" cy="2436115"/>
          </a:xfrm>
          <a:prstGeom prst="rect">
            <a:avLst/>
          </a:prstGeom>
          <a:gradFill>
            <a:gsLst>
              <a:gs pos="0">
                <a:srgbClr val="4D8FCB"/>
              </a:gs>
              <a:gs pos="90000">
                <a:srgbClr val="FFFFFF">
                  <a:alpha val="25000"/>
                </a:srgbClr>
              </a:gs>
              <a:gs pos="100000">
                <a:srgbClr val="4D8FCB"/>
              </a:gs>
              <a:gs pos="79000">
                <a:srgbClr val="4D8FCB">
                  <a:alpha val="8000"/>
                </a:srgbClr>
              </a:gs>
              <a:gs pos="40000">
                <a:srgbClr val="4D8FCB">
                  <a:alpha val="25000"/>
                </a:srgbClr>
              </a:gs>
              <a:gs pos="20000">
                <a:schemeClr val="bg1">
                  <a:alpha val="25000"/>
                </a:schemeClr>
              </a:gs>
            </a:gsLst>
            <a:lin ang="0" scaled="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GT" sz="11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los.paredes/OneDrive%20-%20United%20Nations%20Development%20Programme/M&amp;E/MATRICES/MATRICES%20DE%20TRABAJO/Matriz%20Proyec%20Sepur%20Zar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os.Paredes/OneDrive%20-%20United%20Nations%20Development%20Programme/M&amp;E/2019/INFORMES/ANUAL/Finales/Transformando/3.%20PBF%20Project%20Document%20Template%202019-%20Annex%20D-%20Project%20Budget%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arlos.Paredes\OneDrive%20-%20United%20Nations%20Development%20Programme\M&amp;E\2019\INFORMES\ANUAL\Finales\Transformando\3.%20PBF%20Project%20Document%20Template%202019-%20Annex%20D-%20Project%20Budget%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Datos Dashboard"/>
      <sheetName val="1. RESULTADOS "/>
      <sheetName val="2. PRODUCTOS"/>
      <sheetName val="3. FICHAS DE INDICADORES"/>
      <sheetName val="TablasFormulas "/>
      <sheetName val="4.a. R1 INFORME AVANCES "/>
      <sheetName val="4.b. R2 INFORME AVANCES "/>
      <sheetName val="4.c. R3 INFORME AVANCES"/>
      <sheetName val="1) Budget Table"/>
      <sheetName val="2) By Category"/>
      <sheetName val="3) Explanatory Notes"/>
      <sheetName val="4) -For PBSO Use-"/>
      <sheetName val="5) -For MPTF Use-"/>
    </sheetNames>
    <sheetDataSet>
      <sheetData sheetId="0"/>
      <sheetData sheetId="1"/>
      <sheetData sheetId="2"/>
      <sheetData sheetId="3"/>
      <sheetData sheetId="4"/>
      <sheetData sheetId="5">
        <row r="47">
          <cell r="AN47" t="str">
            <v>Meta planificada</v>
          </cell>
        </row>
        <row r="48">
          <cell r="AM48" t="str">
            <v>Ind. 1.1.1</v>
          </cell>
        </row>
        <row r="49">
          <cell r="AM49" t="str">
            <v>Ind. 1.1.2</v>
          </cell>
        </row>
        <row r="50">
          <cell r="AM50" t="str">
            <v>Ind. 1.1.3</v>
          </cell>
        </row>
      </sheetData>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2) By Category"/>
      <sheetName val="3) Explanatory Notes"/>
      <sheetName val="4) -For PBSO Use-"/>
      <sheetName val="5) -For MPTF Use-"/>
      <sheetName val="Dropdowns"/>
      <sheetName val="Sheet2"/>
    </sheetNames>
    <sheetDataSet>
      <sheetData sheetId="0" refreshError="1">
        <row r="13">
          <cell r="D13" t="str">
            <v>UNDP</v>
          </cell>
          <cell r="E13" t="str">
            <v>ONUMUJERES</v>
          </cell>
          <cell r="F13" t="str">
            <v>OACNUDH</v>
          </cell>
        </row>
        <row r="24">
          <cell r="D24">
            <v>370816.74</v>
          </cell>
          <cell r="E24">
            <v>0</v>
          </cell>
          <cell r="F24">
            <v>0</v>
          </cell>
        </row>
        <row r="34">
          <cell r="D34">
            <v>300600</v>
          </cell>
          <cell r="E34">
            <v>172240</v>
          </cell>
          <cell r="F34">
            <v>0</v>
          </cell>
        </row>
        <row r="44">
          <cell r="D44">
            <v>156283</v>
          </cell>
          <cell r="E44">
            <v>125600</v>
          </cell>
          <cell r="F44">
            <v>0</v>
          </cell>
        </row>
        <row r="54">
          <cell r="D54">
            <v>0</v>
          </cell>
          <cell r="E54">
            <v>73001</v>
          </cell>
          <cell r="F54">
            <v>284500</v>
          </cell>
        </row>
        <row r="66">
          <cell r="D66">
            <v>240000</v>
          </cell>
          <cell r="E66">
            <v>114000</v>
          </cell>
          <cell r="F66">
            <v>57500</v>
          </cell>
        </row>
        <row r="76">
          <cell r="D76">
            <v>0</v>
          </cell>
          <cell r="E76">
            <v>0</v>
          </cell>
          <cell r="F76">
            <v>0</v>
          </cell>
        </row>
        <row r="86">
          <cell r="D86">
            <v>0</v>
          </cell>
          <cell r="E86">
            <v>0</v>
          </cell>
          <cell r="F86">
            <v>0</v>
          </cell>
        </row>
        <row r="96">
          <cell r="D96">
            <v>0</v>
          </cell>
          <cell r="E96">
            <v>0</v>
          </cell>
          <cell r="F96">
            <v>0</v>
          </cell>
        </row>
        <row r="108">
          <cell r="D108">
            <v>0</v>
          </cell>
          <cell r="E108">
            <v>0</v>
          </cell>
          <cell r="F108">
            <v>0</v>
          </cell>
        </row>
        <row r="118">
          <cell r="D118">
            <v>0</v>
          </cell>
          <cell r="E118">
            <v>0</v>
          </cell>
          <cell r="F118">
            <v>0</v>
          </cell>
        </row>
        <row r="128">
          <cell r="D128">
            <v>0</v>
          </cell>
          <cell r="E128">
            <v>0</v>
          </cell>
          <cell r="F128">
            <v>0</v>
          </cell>
        </row>
        <row r="138">
          <cell r="D138">
            <v>0</v>
          </cell>
          <cell r="E138">
            <v>0</v>
          </cell>
          <cell r="F138">
            <v>0</v>
          </cell>
        </row>
        <row r="150">
          <cell r="D150">
            <v>0</v>
          </cell>
          <cell r="E150">
            <v>0</v>
          </cell>
          <cell r="F150">
            <v>0</v>
          </cell>
        </row>
        <row r="160">
          <cell r="D160">
            <v>0</v>
          </cell>
          <cell r="E160">
            <v>0</v>
          </cell>
          <cell r="F160">
            <v>0</v>
          </cell>
        </row>
        <row r="170">
          <cell r="D170">
            <v>0</v>
          </cell>
          <cell r="E170">
            <v>0</v>
          </cell>
          <cell r="F170">
            <v>0</v>
          </cell>
        </row>
        <row r="180">
          <cell r="D180">
            <v>0</v>
          </cell>
          <cell r="E180">
            <v>0</v>
          </cell>
          <cell r="F180">
            <v>0</v>
          </cell>
        </row>
        <row r="187">
          <cell r="D187">
            <v>242000</v>
          </cell>
          <cell r="E187">
            <v>0</v>
          </cell>
          <cell r="F187">
            <v>0</v>
          </cell>
        </row>
        <row r="201">
          <cell r="D201">
            <v>570523.72</v>
          </cell>
          <cell r="E201">
            <v>363145.90899999999</v>
          </cell>
          <cell r="F201">
            <v>256157.99999999997</v>
          </cell>
          <cell r="H201">
            <v>0.7</v>
          </cell>
        </row>
        <row r="202">
          <cell r="D202">
            <v>581598.5</v>
          </cell>
          <cell r="E202">
            <v>155633.96099999998</v>
          </cell>
          <cell r="F202">
            <v>109782</v>
          </cell>
          <cell r="H202">
            <v>0.3</v>
          </cell>
        </row>
        <row r="203">
          <cell r="D203">
            <v>249256.5</v>
          </cell>
          <cell r="E203">
            <v>0</v>
          </cell>
          <cell r="F203">
            <v>0</v>
          </cell>
          <cell r="H203">
            <v>0</v>
          </cell>
        </row>
      </sheetData>
      <sheetData sheetId="1">
        <row r="207">
          <cell r="D207">
            <v>291000</v>
          </cell>
          <cell r="E207">
            <v>127100</v>
          </cell>
          <cell r="F207">
            <v>161500</v>
          </cell>
        </row>
        <row r="208">
          <cell r="D208">
            <v>135000</v>
          </cell>
          <cell r="E208">
            <v>75000</v>
          </cell>
          <cell r="F208">
            <v>28000</v>
          </cell>
        </row>
        <row r="209">
          <cell r="D209">
            <v>20000</v>
          </cell>
          <cell r="E209">
            <v>10000</v>
          </cell>
          <cell r="F209">
            <v>8000</v>
          </cell>
        </row>
        <row r="210">
          <cell r="D210">
            <v>669200</v>
          </cell>
          <cell r="E210">
            <v>145500</v>
          </cell>
          <cell r="F210">
            <v>63000</v>
          </cell>
        </row>
        <row r="211">
          <cell r="D211">
            <v>62630</v>
          </cell>
          <cell r="E211">
            <v>32500</v>
          </cell>
          <cell r="F211">
            <v>30000</v>
          </cell>
        </row>
        <row r="212">
          <cell r="D212">
            <v>35000</v>
          </cell>
          <cell r="E212">
            <v>103000</v>
          </cell>
          <cell r="F212">
            <v>8000</v>
          </cell>
        </row>
        <row r="213">
          <cell r="D213">
            <v>96869.739999999991</v>
          </cell>
          <cell r="E213">
            <v>17240</v>
          </cell>
          <cell r="F213">
            <v>18001</v>
          </cell>
        </row>
      </sheetData>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Budget Table"/>
      <sheetName val="Sheet2"/>
      <sheetName val="Dropdown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5:CX689"/>
  <sheetViews>
    <sheetView showGridLines="0" topLeftCell="A136" zoomScale="40" zoomScaleNormal="40" workbookViewId="0">
      <selection activeCell="CE24" sqref="CE24"/>
    </sheetView>
  </sheetViews>
  <sheetFormatPr defaultColWidth="9.140625" defaultRowHeight="16.5" x14ac:dyDescent="0.3"/>
  <cols>
    <col min="1" max="1" width="2.5703125" style="1" customWidth="1"/>
    <col min="2" max="2" width="5.85546875" style="1" customWidth="1"/>
    <col min="3" max="3" width="6" style="1" customWidth="1"/>
    <col min="4" max="4" width="22.5703125" style="1" bestFit="1" customWidth="1"/>
    <col min="5" max="5" width="15.5703125" style="1" customWidth="1"/>
    <col min="6" max="6" width="11.5703125" style="1" bestFit="1" customWidth="1"/>
    <col min="7" max="7" width="10.5703125" style="1" bestFit="1" customWidth="1"/>
    <col min="8" max="8" width="11.28515625" style="1" customWidth="1"/>
    <col min="9" max="9" width="12.28515625" style="1" bestFit="1" customWidth="1"/>
    <col min="10" max="10" width="9.85546875" style="1" bestFit="1" customWidth="1"/>
    <col min="11" max="11" width="11.7109375" style="1" bestFit="1" customWidth="1"/>
    <col min="12" max="12" width="11.7109375" style="1" customWidth="1"/>
    <col min="13" max="13" width="13.28515625" style="1" customWidth="1"/>
    <col min="14" max="14" width="9.140625" style="1"/>
    <col min="15" max="15" width="10" style="1" customWidth="1"/>
    <col min="16" max="16" width="2.85546875" style="1" customWidth="1"/>
    <col min="17" max="17" width="20.28515625" style="1" bestFit="1" customWidth="1"/>
    <col min="18" max="18" width="18.7109375" style="205" bestFit="1" customWidth="1"/>
    <col min="19" max="19" width="14.42578125" style="1" bestFit="1" customWidth="1"/>
    <col min="20" max="20" width="23.140625" style="1" customWidth="1"/>
    <col min="21" max="21" width="15.140625" style="1" bestFit="1" customWidth="1"/>
    <col min="22" max="22" width="12.7109375" style="1" customWidth="1"/>
    <col min="23" max="23" width="12.85546875" style="1" bestFit="1" customWidth="1"/>
    <col min="24" max="24" width="11.7109375" style="1" customWidth="1"/>
    <col min="25" max="25" width="13.7109375" style="1" customWidth="1"/>
    <col min="26" max="26" width="8.7109375" style="1" customWidth="1"/>
    <col min="27" max="27" width="9.140625" style="1" customWidth="1"/>
    <col min="28" max="28" width="4" style="1" customWidth="1"/>
    <col min="29" max="29" width="15.85546875" style="1" bestFit="1" customWidth="1"/>
    <col min="30" max="30" width="22.28515625" style="1" bestFit="1" customWidth="1"/>
    <col min="31" max="31" width="21.42578125" style="1" bestFit="1" customWidth="1"/>
    <col min="32" max="32" width="25.28515625" style="1" customWidth="1"/>
    <col min="33" max="33" width="21.7109375" style="1" bestFit="1" customWidth="1"/>
    <col min="34" max="34" width="28.28515625" style="1" bestFit="1" customWidth="1"/>
    <col min="35" max="35" width="9.140625" style="1" customWidth="1"/>
    <col min="36" max="36" width="6.85546875" style="1" customWidth="1"/>
    <col min="37" max="37" width="9.140625" style="1"/>
    <col min="38" max="38" width="6.28515625" style="1" customWidth="1"/>
    <col min="39" max="39" width="16.140625" style="1" bestFit="1" customWidth="1"/>
    <col min="40" max="40" width="22.28515625" style="1" bestFit="1" customWidth="1"/>
    <col min="41" max="41" width="21.140625" style="1" bestFit="1" customWidth="1"/>
    <col min="42" max="42" width="12.42578125" style="1" bestFit="1" customWidth="1"/>
    <col min="43" max="43" width="16.5703125" style="1" bestFit="1" customWidth="1"/>
    <col min="44" max="44" width="14" style="1" bestFit="1" customWidth="1"/>
    <col min="45" max="46" width="9.140625" style="1"/>
    <col min="47" max="47" width="4" style="1" customWidth="1"/>
    <col min="48" max="48" width="16.140625" style="1" bestFit="1" customWidth="1"/>
    <col min="49" max="49" width="22.28515625" style="1" bestFit="1" customWidth="1"/>
    <col min="50" max="50" width="26" style="1" bestFit="1" customWidth="1"/>
    <col min="51" max="51" width="9" style="1" customWidth="1"/>
    <col min="52" max="52" width="15.42578125" style="1" customWidth="1"/>
    <col min="53" max="54" width="26" style="1" bestFit="1" customWidth="1"/>
    <col min="55" max="55" width="20.7109375" style="1" bestFit="1" customWidth="1"/>
    <col min="56" max="56" width="15.42578125" style="1" bestFit="1" customWidth="1"/>
    <col min="57" max="57" width="22.28515625" style="1" bestFit="1" customWidth="1"/>
    <col min="58" max="58" width="26" style="1" bestFit="1" customWidth="1"/>
    <col min="59" max="59" width="12.42578125" style="1" customWidth="1"/>
    <col min="60" max="60" width="15" style="1" bestFit="1" customWidth="1"/>
    <col min="61" max="61" width="20.7109375" style="1" bestFit="1" customWidth="1"/>
    <col min="62" max="62" width="26" style="1" bestFit="1" customWidth="1"/>
    <col min="63" max="65" width="9.140625" style="1"/>
    <col min="66" max="66" width="4" style="1" customWidth="1"/>
    <col min="67" max="67" width="21.42578125" style="1" customWidth="1"/>
    <col min="68" max="68" width="12.5703125" style="1" bestFit="1" customWidth="1"/>
    <col min="69" max="69" width="14" style="1" bestFit="1" customWidth="1"/>
    <col min="70" max="70" width="16.7109375" style="1" customWidth="1"/>
    <col min="71" max="71" width="12.28515625" style="1" bestFit="1" customWidth="1"/>
    <col min="72" max="76" width="9.140625" style="1"/>
    <col min="77" max="77" width="4" style="1" customWidth="1"/>
    <col min="78" max="78" width="9.140625" style="1"/>
    <col min="79" max="79" width="13.7109375" style="1" bestFit="1" customWidth="1"/>
    <col min="80" max="80" width="16.5703125" style="1" bestFit="1" customWidth="1"/>
    <col min="81" max="81" width="14" style="1" bestFit="1" customWidth="1"/>
    <col min="82" max="82" width="17.28515625" style="1" customWidth="1"/>
    <col min="83" max="83" width="14.7109375" style="1" customWidth="1"/>
    <col min="84" max="84" width="10.85546875" style="1" customWidth="1"/>
    <col min="85" max="85" width="15.140625" style="1" customWidth="1"/>
    <col min="86" max="86" width="19" style="1" customWidth="1"/>
    <col min="87" max="87" width="17.42578125" style="1" customWidth="1"/>
    <col min="88" max="88" width="13.7109375" style="1" bestFit="1" customWidth="1"/>
    <col min="89" max="89" width="16.42578125" style="1" customWidth="1"/>
    <col min="90" max="90" width="9.140625" style="1"/>
    <col min="91" max="91" width="15.140625" style="1" bestFit="1" customWidth="1"/>
    <col min="92" max="92" width="15.42578125" style="1" bestFit="1" customWidth="1"/>
    <col min="93" max="93" width="12.7109375" style="1" bestFit="1" customWidth="1"/>
    <col min="94" max="94" width="13.7109375" style="1" bestFit="1" customWidth="1"/>
    <col min="95" max="95" width="10.140625" style="1" bestFit="1" customWidth="1"/>
    <col min="96" max="96" width="9.140625" style="1"/>
    <col min="97" max="97" width="15.140625" style="1" bestFit="1" customWidth="1"/>
    <col min="98" max="98" width="15.5703125" style="1" customWidth="1"/>
    <col min="99" max="99" width="12.7109375" style="1" bestFit="1" customWidth="1"/>
    <col min="100" max="100" width="13.7109375" style="1" bestFit="1" customWidth="1"/>
    <col min="101" max="101" width="10.140625" style="1" bestFit="1" customWidth="1"/>
    <col min="102" max="102" width="4" style="1" customWidth="1"/>
    <col min="103" max="16384" width="9.140625" style="1"/>
  </cols>
  <sheetData>
    <row r="5" spans="4:102" ht="17.25" thickBot="1" x14ac:dyDescent="0.35"/>
    <row r="6" spans="4:102" ht="70.5" customHeight="1" thickBot="1" x14ac:dyDescent="0.35">
      <c r="D6" s="861" t="s">
        <v>34</v>
      </c>
      <c r="E6" s="862"/>
      <c r="F6" s="862"/>
      <c r="G6" s="862"/>
      <c r="H6" s="862"/>
      <c r="I6" s="862"/>
      <c r="J6" s="862"/>
      <c r="K6" s="862"/>
      <c r="L6" s="862"/>
      <c r="M6" s="862"/>
      <c r="N6" s="862"/>
      <c r="O6" s="862"/>
      <c r="P6" s="206"/>
      <c r="Q6" s="855" t="s">
        <v>35</v>
      </c>
      <c r="R6" s="856"/>
      <c r="S6" s="856"/>
      <c r="T6" s="856"/>
      <c r="U6" s="856"/>
      <c r="V6" s="856"/>
      <c r="W6" s="856"/>
      <c r="X6" s="856"/>
      <c r="Y6" s="856"/>
      <c r="Z6" s="856"/>
      <c r="AA6" s="857"/>
      <c r="AB6" s="207"/>
      <c r="AC6" s="899" t="s">
        <v>36</v>
      </c>
      <c r="AD6" s="900"/>
      <c r="AE6" s="900"/>
      <c r="AF6" s="900"/>
      <c r="AG6" s="900"/>
      <c r="AH6" s="900"/>
      <c r="AI6" s="901"/>
      <c r="AJ6" s="208"/>
      <c r="AK6" s="893" t="s">
        <v>37</v>
      </c>
      <c r="AL6" s="894"/>
      <c r="AM6" s="894"/>
      <c r="AN6" s="894"/>
      <c r="AO6" s="894"/>
      <c r="AP6" s="894"/>
      <c r="AQ6" s="894"/>
      <c r="AR6" s="894"/>
      <c r="AS6" s="894"/>
      <c r="AT6" s="895"/>
      <c r="AU6" s="207"/>
      <c r="AV6" s="848" t="s">
        <v>38</v>
      </c>
      <c r="AW6" s="849"/>
      <c r="AX6" s="849"/>
      <c r="AY6" s="849"/>
      <c r="AZ6" s="849"/>
      <c r="BA6" s="849"/>
      <c r="BB6" s="849"/>
      <c r="BC6" s="849"/>
      <c r="BD6" s="849"/>
      <c r="BE6" s="849"/>
      <c r="BF6" s="849"/>
      <c r="BG6" s="849"/>
      <c r="BH6" s="849"/>
      <c r="BI6" s="849"/>
      <c r="BJ6" s="849"/>
      <c r="BK6" s="849"/>
      <c r="BL6" s="849"/>
      <c r="BM6" s="850"/>
      <c r="BN6" s="207"/>
      <c r="BO6" s="939" t="s">
        <v>39</v>
      </c>
      <c r="BP6" s="940"/>
      <c r="BQ6" s="940"/>
      <c r="BR6" s="940"/>
      <c r="BS6" s="940"/>
      <c r="BT6" s="940"/>
      <c r="BU6" s="940"/>
      <c r="BV6" s="940"/>
      <c r="BW6" s="940"/>
      <c r="BX6" s="941"/>
      <c r="BY6" s="209"/>
      <c r="BZ6" s="875" t="s">
        <v>40</v>
      </c>
      <c r="CA6" s="876"/>
      <c r="CB6" s="876"/>
      <c r="CC6" s="876"/>
      <c r="CD6" s="876"/>
      <c r="CE6" s="876"/>
      <c r="CF6" s="876"/>
      <c r="CG6" s="876"/>
      <c r="CH6" s="876"/>
      <c r="CI6" s="876"/>
      <c r="CJ6" s="876"/>
      <c r="CK6" s="876"/>
      <c r="CL6" s="876"/>
      <c r="CM6" s="876"/>
      <c r="CN6" s="876"/>
      <c r="CO6" s="876"/>
      <c r="CP6" s="876"/>
      <c r="CQ6" s="876"/>
      <c r="CR6" s="876"/>
      <c r="CS6" s="876"/>
      <c r="CT6" s="876"/>
      <c r="CU6" s="876"/>
      <c r="CV6" s="876"/>
      <c r="CW6" s="877"/>
      <c r="CX6" s="210"/>
    </row>
    <row r="7" spans="4:102" ht="17.25" thickBot="1" x14ac:dyDescent="0.35">
      <c r="D7" s="211"/>
      <c r="E7" s="212"/>
      <c r="F7" s="212"/>
      <c r="G7" s="212"/>
      <c r="H7" s="212"/>
      <c r="I7" s="212"/>
      <c r="J7" s="212"/>
      <c r="K7" s="212"/>
      <c r="L7" s="212"/>
      <c r="M7" s="212"/>
      <c r="N7" s="212"/>
      <c r="O7" s="213"/>
      <c r="P7" s="206"/>
      <c r="Q7" s="214"/>
      <c r="R7" s="215"/>
      <c r="S7" s="216"/>
      <c r="T7" s="216"/>
      <c r="U7" s="216"/>
      <c r="V7" s="216"/>
      <c r="W7" s="216"/>
      <c r="X7" s="217"/>
      <c r="Y7" s="217"/>
      <c r="Z7" s="217"/>
      <c r="AA7" s="218"/>
      <c r="AB7" s="207"/>
      <c r="AC7" s="219"/>
      <c r="AD7" s="220"/>
      <c r="AE7" s="220"/>
      <c r="AF7" s="220"/>
      <c r="AG7" s="220"/>
      <c r="AH7" s="220"/>
      <c r="AI7" s="221"/>
      <c r="AJ7" s="208"/>
      <c r="AK7" s="219"/>
      <c r="AL7" s="220"/>
      <c r="AM7" s="220"/>
      <c r="AN7" s="220"/>
      <c r="AO7" s="220"/>
      <c r="AP7" s="220"/>
      <c r="AQ7" s="220"/>
      <c r="AR7" s="220"/>
      <c r="AS7" s="220"/>
      <c r="AT7" s="221"/>
      <c r="AU7" s="207"/>
      <c r="AV7" s="219"/>
      <c r="AW7" s="220"/>
      <c r="AX7" s="220"/>
      <c r="AY7" s="220"/>
      <c r="AZ7" s="220"/>
      <c r="BA7" s="220"/>
      <c r="BB7" s="220"/>
      <c r="BC7" s="220"/>
      <c r="BD7" s="220"/>
      <c r="BE7" s="220"/>
      <c r="BF7" s="220"/>
      <c r="BG7" s="220"/>
      <c r="BH7" s="220"/>
      <c r="BI7" s="220"/>
      <c r="BJ7" s="220"/>
      <c r="BK7" s="220"/>
      <c r="BL7" s="220"/>
      <c r="BM7" s="221"/>
      <c r="BN7" s="207"/>
      <c r="BO7" s="219"/>
      <c r="BP7" s="220"/>
      <c r="BQ7" s="220"/>
      <c r="BR7" s="220"/>
      <c r="BS7" s="220"/>
      <c r="BT7" s="220"/>
      <c r="BU7" s="220"/>
      <c r="BV7" s="220"/>
      <c r="BW7" s="220"/>
      <c r="BX7" s="221"/>
      <c r="BY7" s="209"/>
      <c r="BZ7" s="219"/>
      <c r="CA7" s="220"/>
      <c r="CB7" s="220"/>
      <c r="CC7" s="220"/>
      <c r="CD7" s="220"/>
      <c r="CE7" s="220"/>
      <c r="CF7" s="220"/>
      <c r="CG7" s="220"/>
      <c r="CH7" s="220"/>
      <c r="CI7" s="220"/>
      <c r="CJ7" s="220"/>
      <c r="CK7" s="220"/>
      <c r="CL7" s="220"/>
      <c r="CM7" s="220"/>
      <c r="CN7" s="220"/>
      <c r="CO7" s="220"/>
      <c r="CP7" s="220"/>
      <c r="CQ7" s="220"/>
      <c r="CR7" s="220"/>
      <c r="CS7" s="220"/>
      <c r="CT7" s="220"/>
      <c r="CU7" s="220"/>
      <c r="CV7" s="220"/>
      <c r="CW7" s="221"/>
      <c r="CX7" s="210"/>
    </row>
    <row r="8" spans="4:102" ht="23.25" thickBot="1" x14ac:dyDescent="0.35">
      <c r="D8" s="863" t="s">
        <v>41</v>
      </c>
      <c r="E8" s="864"/>
      <c r="F8" s="864"/>
      <c r="G8" s="864"/>
      <c r="H8" s="864"/>
      <c r="I8" s="864"/>
      <c r="J8" s="864"/>
      <c r="K8" s="864"/>
      <c r="L8" s="864"/>
      <c r="M8" s="864"/>
      <c r="N8" s="864"/>
      <c r="O8" s="865"/>
      <c r="P8" s="206"/>
      <c r="Q8" s="851" t="s">
        <v>41</v>
      </c>
      <c r="R8" s="852"/>
      <c r="S8" s="852"/>
      <c r="T8" s="852"/>
      <c r="U8" s="852"/>
      <c r="V8" s="852"/>
      <c r="W8" s="852"/>
      <c r="X8" s="852"/>
      <c r="Y8" s="852"/>
      <c r="Z8" s="852"/>
      <c r="AA8" s="853"/>
      <c r="AB8" s="207"/>
      <c r="AC8" s="902" t="s">
        <v>42</v>
      </c>
      <c r="AD8" s="903"/>
      <c r="AE8" s="903"/>
      <c r="AF8" s="903"/>
      <c r="AG8" s="903"/>
      <c r="AH8" s="903"/>
      <c r="AI8" s="904"/>
      <c r="AJ8" s="208"/>
      <c r="AK8" s="905" t="s">
        <v>43</v>
      </c>
      <c r="AL8" s="906"/>
      <c r="AM8" s="906"/>
      <c r="AN8" s="906"/>
      <c r="AO8" s="906"/>
      <c r="AP8" s="906"/>
      <c r="AQ8" s="906"/>
      <c r="AR8" s="906"/>
      <c r="AS8" s="906"/>
      <c r="AT8" s="907"/>
      <c r="AU8" s="207"/>
      <c r="AV8" s="965" t="s">
        <v>43</v>
      </c>
      <c r="AW8" s="966"/>
      <c r="AX8" s="966"/>
      <c r="AY8" s="966"/>
      <c r="AZ8" s="966"/>
      <c r="BA8" s="966"/>
      <c r="BB8" s="966"/>
      <c r="BC8" s="966"/>
      <c r="BD8" s="966"/>
      <c r="BE8" s="966"/>
      <c r="BF8" s="966"/>
      <c r="BG8" s="966"/>
      <c r="BH8" s="966"/>
      <c r="BI8" s="966"/>
      <c r="BJ8" s="966"/>
      <c r="BK8" s="966"/>
      <c r="BL8" s="966"/>
      <c r="BM8" s="967"/>
      <c r="BN8" s="207"/>
      <c r="BO8" s="219"/>
      <c r="BP8" s="220"/>
      <c r="BQ8" s="220"/>
      <c r="BR8" s="220"/>
      <c r="BS8" s="220"/>
      <c r="BT8" s="220"/>
      <c r="BU8" s="220"/>
      <c r="BV8" s="220"/>
      <c r="BW8" s="220"/>
      <c r="BX8" s="221"/>
      <c r="BY8" s="209"/>
      <c r="BZ8" s="219"/>
      <c r="CA8" s="220"/>
      <c r="CB8" s="220"/>
      <c r="CC8" s="220"/>
      <c r="CD8" s="220"/>
      <c r="CE8" s="220"/>
      <c r="CF8" s="220"/>
      <c r="CG8" s="220"/>
      <c r="CH8" s="220"/>
      <c r="CI8" s="220"/>
      <c r="CJ8" s="220"/>
      <c r="CK8" s="220"/>
      <c r="CL8" s="220"/>
      <c r="CM8" s="220"/>
      <c r="CN8" s="220"/>
      <c r="CO8" s="220"/>
      <c r="CP8" s="220"/>
      <c r="CQ8" s="220"/>
      <c r="CR8" s="220"/>
      <c r="CS8" s="220"/>
      <c r="CT8" s="220"/>
      <c r="CU8" s="220"/>
      <c r="CV8" s="220"/>
      <c r="CW8" s="221"/>
      <c r="CX8" s="210"/>
    </row>
    <row r="9" spans="4:102" ht="17.25" thickBot="1" x14ac:dyDescent="0.35">
      <c r="D9" s="211"/>
      <c r="E9" s="212"/>
      <c r="F9" s="212"/>
      <c r="G9" s="212"/>
      <c r="H9" s="212"/>
      <c r="I9" s="212"/>
      <c r="J9" s="212"/>
      <c r="K9" s="212"/>
      <c r="L9" s="212"/>
      <c r="M9" s="212"/>
      <c r="N9" s="212"/>
      <c r="O9" s="213"/>
      <c r="P9" s="206"/>
      <c r="Q9" s="211"/>
      <c r="R9" s="222"/>
      <c r="S9" s="212"/>
      <c r="T9" s="212"/>
      <c r="U9" s="212"/>
      <c r="V9" s="212"/>
      <c r="W9" s="212"/>
      <c r="X9" s="212"/>
      <c r="Y9" s="212"/>
      <c r="Z9" s="212"/>
      <c r="AA9" s="213"/>
      <c r="AB9" s="207"/>
      <c r="AC9" s="219"/>
      <c r="AD9" s="220"/>
      <c r="AE9" s="220"/>
      <c r="AF9" s="220"/>
      <c r="AG9" s="220"/>
      <c r="AH9" s="220"/>
      <c r="AI9" s="221"/>
      <c r="AJ9" s="208"/>
      <c r="AK9" s="908"/>
      <c r="AL9" s="909"/>
      <c r="AM9" s="909"/>
      <c r="AN9" s="909"/>
      <c r="AO9" s="909"/>
      <c r="AP9" s="909"/>
      <c r="AQ9" s="909"/>
      <c r="AR9" s="909"/>
      <c r="AS9" s="909"/>
      <c r="AT9" s="910"/>
      <c r="AU9" s="207"/>
      <c r="AV9" s="223"/>
      <c r="AW9" s="224"/>
      <c r="AX9" s="224"/>
      <c r="AY9" s="224"/>
      <c r="AZ9" s="224"/>
      <c r="BA9" s="224"/>
      <c r="BB9" s="224"/>
      <c r="BC9" s="224"/>
      <c r="BD9" s="224"/>
      <c r="BE9" s="224"/>
      <c r="BF9" s="224"/>
      <c r="BG9" s="224"/>
      <c r="BH9" s="224"/>
      <c r="BI9" s="224"/>
      <c r="BJ9" s="224"/>
      <c r="BK9" s="224"/>
      <c r="BL9" s="224"/>
      <c r="BM9" s="225"/>
      <c r="BN9" s="207"/>
      <c r="BO9" s="219"/>
      <c r="BP9" s="220"/>
      <c r="BQ9" s="220"/>
      <c r="BR9" s="220"/>
      <c r="BS9" s="220"/>
      <c r="BT9" s="220"/>
      <c r="BU9" s="220"/>
      <c r="BV9" s="220"/>
      <c r="BW9" s="220"/>
      <c r="BX9" s="221"/>
      <c r="BY9" s="209"/>
      <c r="BZ9" s="219"/>
      <c r="CA9" s="220"/>
      <c r="CB9" s="220"/>
      <c r="CC9" s="220"/>
      <c r="CD9" s="220"/>
      <c r="CE9" s="220"/>
      <c r="CF9" s="220"/>
      <c r="CG9" s="220"/>
      <c r="CH9" s="220"/>
      <c r="CI9" s="220"/>
      <c r="CJ9" s="220"/>
      <c r="CK9" s="220"/>
      <c r="CL9" s="220"/>
      <c r="CM9" s="220"/>
      <c r="CN9" s="220"/>
      <c r="CO9" s="220"/>
      <c r="CP9" s="220"/>
      <c r="CQ9" s="220"/>
      <c r="CR9" s="220"/>
      <c r="CS9" s="220"/>
      <c r="CT9" s="220"/>
      <c r="CU9" s="220"/>
      <c r="CV9" s="220"/>
      <c r="CW9" s="221"/>
      <c r="CX9" s="210"/>
    </row>
    <row r="10" spans="4:102" ht="17.25" thickBot="1" x14ac:dyDescent="0.35">
      <c r="D10" s="226"/>
      <c r="E10" s="227"/>
      <c r="F10" s="220"/>
      <c r="G10" s="224"/>
      <c r="H10" s="224"/>
      <c r="I10" s="224"/>
      <c r="J10" s="224"/>
      <c r="K10" s="220"/>
      <c r="L10" s="220"/>
      <c r="M10" s="220"/>
      <c r="N10" s="220"/>
      <c r="O10" s="221"/>
      <c r="P10" s="206"/>
      <c r="Q10" s="223"/>
      <c r="R10" s="228" t="s">
        <v>44</v>
      </c>
      <c r="S10" s="229" t="s">
        <v>45</v>
      </c>
      <c r="T10" s="220"/>
      <c r="U10" s="854">
        <v>2017</v>
      </c>
      <c r="V10" s="854"/>
      <c r="W10" s="854"/>
      <c r="X10" s="854"/>
      <c r="Y10" s="220"/>
      <c r="Z10" s="220"/>
      <c r="AA10" s="221"/>
      <c r="AB10" s="207"/>
      <c r="AC10" s="219"/>
      <c r="AD10" s="220"/>
      <c r="AE10" s="220"/>
      <c r="AF10" s="220"/>
      <c r="AG10" s="220"/>
      <c r="AH10" s="220"/>
      <c r="AI10" s="221"/>
      <c r="AJ10" s="208"/>
      <c r="AK10" s="219"/>
      <c r="AL10" s="220"/>
      <c r="AM10" s="220"/>
      <c r="AN10" s="220"/>
      <c r="AO10" s="220"/>
      <c r="AP10" s="220"/>
      <c r="AQ10" s="220"/>
      <c r="AR10" s="220"/>
      <c r="AS10" s="220"/>
      <c r="AT10" s="221"/>
      <c r="AU10" s="207"/>
      <c r="AV10" s="219"/>
      <c r="AW10" s="224"/>
      <c r="AX10" s="224"/>
      <c r="AY10" s="224"/>
      <c r="AZ10" s="220"/>
      <c r="BA10" s="220"/>
      <c r="BB10" s="220"/>
      <c r="BC10" s="220"/>
      <c r="BD10" s="220"/>
      <c r="BE10" s="220"/>
      <c r="BF10" s="220"/>
      <c r="BG10" s="220"/>
      <c r="BH10" s="220"/>
      <c r="BI10" s="220"/>
      <c r="BJ10" s="220"/>
      <c r="BK10" s="220"/>
      <c r="BL10" s="220"/>
      <c r="BM10" s="221"/>
      <c r="BN10" s="207"/>
      <c r="BO10" s="219"/>
      <c r="BP10" s="220"/>
      <c r="BQ10" s="220"/>
      <c r="BR10" s="220"/>
      <c r="BS10" s="220"/>
      <c r="BT10" s="220"/>
      <c r="BU10" s="220"/>
      <c r="BV10" s="220"/>
      <c r="BW10" s="220"/>
      <c r="BX10" s="221"/>
      <c r="BY10" s="209"/>
      <c r="BZ10" s="219"/>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1"/>
      <c r="CX10" s="210"/>
    </row>
    <row r="11" spans="4:102" ht="21" thickBot="1" x14ac:dyDescent="0.35">
      <c r="D11" s="226"/>
      <c r="E11" s="230" t="s">
        <v>46</v>
      </c>
      <c r="F11" s="231" t="e">
        <f>#REF!</f>
        <v>#REF!</v>
      </c>
      <c r="G11" s="220"/>
      <c r="H11" s="842" t="s">
        <v>47</v>
      </c>
      <c r="I11" s="843"/>
      <c r="J11" s="843"/>
      <c r="K11" s="844"/>
      <c r="L11" s="220"/>
      <c r="M11" s="220"/>
      <c r="N11" s="220"/>
      <c r="O11" s="221"/>
      <c r="P11" s="206"/>
      <c r="Q11" s="230" t="s">
        <v>46</v>
      </c>
      <c r="R11" s="232" t="e">
        <f>#REF!</f>
        <v>#REF!</v>
      </c>
      <c r="S11" s="233" t="e">
        <f>#REF!</f>
        <v>#REF!</v>
      </c>
      <c r="T11" s="220"/>
      <c r="U11" s="951" t="s">
        <v>47</v>
      </c>
      <c r="V11" s="952"/>
      <c r="W11" s="952"/>
      <c r="X11" s="953"/>
      <c r="Y11" s="220"/>
      <c r="Z11" s="220"/>
      <c r="AA11" s="221"/>
      <c r="AB11" s="207"/>
      <c r="AC11" s="887" t="s">
        <v>48</v>
      </c>
      <c r="AD11" s="888"/>
      <c r="AE11" s="888"/>
      <c r="AF11" s="888"/>
      <c r="AG11" s="888"/>
      <c r="AH11" s="888"/>
      <c r="AI11" s="889"/>
      <c r="AJ11" s="208"/>
      <c r="AK11" s="911" t="s">
        <v>49</v>
      </c>
      <c r="AL11" s="912"/>
      <c r="AM11" s="912"/>
      <c r="AN11" s="912"/>
      <c r="AO11" s="912"/>
      <c r="AP11" s="912"/>
      <c r="AQ11" s="912"/>
      <c r="AR11" s="912"/>
      <c r="AS11" s="912"/>
      <c r="AT11" s="913"/>
      <c r="AU11" s="207"/>
      <c r="AV11" s="911" t="s">
        <v>49</v>
      </c>
      <c r="AW11" s="912"/>
      <c r="AX11" s="912"/>
      <c r="AY11" s="912"/>
      <c r="AZ11" s="912"/>
      <c r="BA11" s="912"/>
      <c r="BB11" s="912"/>
      <c r="BC11" s="912"/>
      <c r="BD11" s="912"/>
      <c r="BE11" s="912"/>
      <c r="BF11" s="912"/>
      <c r="BG11" s="912"/>
      <c r="BH11" s="912"/>
      <c r="BI11" s="912"/>
      <c r="BJ11" s="912"/>
      <c r="BK11" s="912"/>
      <c r="BL11" s="912"/>
      <c r="BM11" s="913"/>
      <c r="BN11" s="207"/>
      <c r="BO11" s="890" t="s">
        <v>50</v>
      </c>
      <c r="BP11" s="891"/>
      <c r="BQ11" s="891"/>
      <c r="BR11" s="891"/>
      <c r="BS11" s="891"/>
      <c r="BT11" s="891"/>
      <c r="BU11" s="891"/>
      <c r="BV11" s="891"/>
      <c r="BW11" s="891"/>
      <c r="BX11" s="892"/>
      <c r="BY11" s="209"/>
      <c r="BZ11" s="875" t="s">
        <v>51</v>
      </c>
      <c r="CA11" s="876"/>
      <c r="CB11" s="876"/>
      <c r="CC11" s="876"/>
      <c r="CD11" s="876"/>
      <c r="CE11" s="876"/>
      <c r="CF11" s="876"/>
      <c r="CG11" s="876"/>
      <c r="CH11" s="876"/>
      <c r="CI11" s="876"/>
      <c r="CJ11" s="876"/>
      <c r="CK11" s="876"/>
      <c r="CL11" s="876"/>
      <c r="CM11" s="876"/>
      <c r="CN11" s="876"/>
      <c r="CO11" s="876"/>
      <c r="CP11" s="876"/>
      <c r="CQ11" s="876"/>
      <c r="CR11" s="876"/>
      <c r="CS11" s="876"/>
      <c r="CT11" s="876"/>
      <c r="CU11" s="876"/>
      <c r="CV11" s="876"/>
      <c r="CW11" s="877"/>
      <c r="CX11" s="210"/>
    </row>
    <row r="12" spans="4:102" ht="17.25" thickBot="1" x14ac:dyDescent="0.35">
      <c r="D12" s="226"/>
      <c r="E12" s="234" t="s">
        <v>52</v>
      </c>
      <c r="F12" s="235" t="e">
        <f>#REF!</f>
        <v>#REF!</v>
      </c>
      <c r="G12" s="220"/>
      <c r="H12" s="236">
        <v>0</v>
      </c>
      <c r="I12" s="236">
        <v>0.5</v>
      </c>
      <c r="J12" s="236">
        <v>0.75</v>
      </c>
      <c r="K12" s="236">
        <v>1.0009999999999999</v>
      </c>
      <c r="L12" s="220"/>
      <c r="M12" s="220"/>
      <c r="N12" s="220"/>
      <c r="O12" s="221"/>
      <c r="P12" s="206"/>
      <c r="Q12" s="234" t="s">
        <v>52</v>
      </c>
      <c r="R12" s="237" t="e">
        <f>#REF!</f>
        <v>#REF!</v>
      </c>
      <c r="S12" s="237" t="e">
        <f>#REF!</f>
        <v>#REF!</v>
      </c>
      <c r="T12" s="220"/>
      <c r="U12" s="236">
        <v>0</v>
      </c>
      <c r="V12" s="236">
        <v>0.5</v>
      </c>
      <c r="W12" s="236">
        <v>0.75</v>
      </c>
      <c r="X12" s="236">
        <v>1.0009999999999999</v>
      </c>
      <c r="Y12" s="220"/>
      <c r="Z12" s="220"/>
      <c r="AA12" s="221"/>
      <c r="AB12" s="207"/>
      <c r="AC12" s="219"/>
      <c r="AD12" s="220"/>
      <c r="AE12" s="220"/>
      <c r="AF12" s="220"/>
      <c r="AG12" s="220"/>
      <c r="AH12" s="220"/>
      <c r="AI12" s="221"/>
      <c r="AJ12" s="208"/>
      <c r="AK12" s="219"/>
      <c r="AL12" s="220"/>
      <c r="AM12" s="220"/>
      <c r="AN12" s="220"/>
      <c r="AO12" s="220"/>
      <c r="AP12" s="220"/>
      <c r="AQ12" s="220"/>
      <c r="AR12" s="220"/>
      <c r="AS12" s="220"/>
      <c r="AT12" s="221"/>
      <c r="AU12" s="207"/>
      <c r="AV12" s="219"/>
      <c r="AW12" s="220"/>
      <c r="AX12" s="220"/>
      <c r="AY12" s="220"/>
      <c r="AZ12" s="220"/>
      <c r="BA12" s="220"/>
      <c r="BB12" s="220"/>
      <c r="BC12" s="220"/>
      <c r="BD12" s="220"/>
      <c r="BE12" s="220"/>
      <c r="BF12" s="220"/>
      <c r="BG12" s="220"/>
      <c r="BH12" s="220"/>
      <c r="BI12" s="220"/>
      <c r="BJ12" s="220"/>
      <c r="BK12" s="220"/>
      <c r="BL12" s="220"/>
      <c r="BM12" s="221"/>
      <c r="BN12" s="207"/>
      <c r="BO12" s="219"/>
      <c r="BP12" s="220"/>
      <c r="BQ12" s="220"/>
      <c r="BR12" s="220"/>
      <c r="BS12" s="220"/>
      <c r="BT12" s="220"/>
      <c r="BU12" s="220"/>
      <c r="BV12" s="220"/>
      <c r="BW12" s="220"/>
      <c r="BX12" s="221"/>
      <c r="BY12" s="209"/>
      <c r="BZ12" s="219"/>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1"/>
      <c r="CX12" s="210"/>
    </row>
    <row r="13" spans="4:102" ht="17.25" thickBot="1" x14ac:dyDescent="0.35">
      <c r="D13" s="226"/>
      <c r="E13" s="234" t="s">
        <v>53</v>
      </c>
      <c r="F13" s="235" t="e">
        <f>#REF!</f>
        <v>#REF!</v>
      </c>
      <c r="G13" s="220"/>
      <c r="H13" s="238">
        <v>0.499</v>
      </c>
      <c r="I13" s="238">
        <v>0.749</v>
      </c>
      <c r="J13" s="238">
        <v>1</v>
      </c>
      <c r="K13" s="238">
        <v>4</v>
      </c>
      <c r="L13" s="220"/>
      <c r="M13" s="220"/>
      <c r="N13" s="220"/>
      <c r="O13" s="221"/>
      <c r="P13" s="206"/>
      <c r="Q13" s="234" t="s">
        <v>53</v>
      </c>
      <c r="R13" s="237" t="e">
        <f>#REF!</f>
        <v>#REF!</v>
      </c>
      <c r="S13" s="237" t="e">
        <f>#REF!</f>
        <v>#REF!</v>
      </c>
      <c r="T13" s="220"/>
      <c r="U13" s="238">
        <v>0.499</v>
      </c>
      <c r="V13" s="238">
        <v>0.749</v>
      </c>
      <c r="W13" s="238">
        <v>1</v>
      </c>
      <c r="X13" s="238">
        <v>4</v>
      </c>
      <c r="Y13" s="220"/>
      <c r="Z13" s="220"/>
      <c r="AA13" s="221"/>
      <c r="AB13" s="207"/>
      <c r="AC13" s="239" t="s">
        <v>54</v>
      </c>
      <c r="AD13" s="240" t="s">
        <v>55</v>
      </c>
      <c r="AE13" s="241" t="s">
        <v>56</v>
      </c>
      <c r="AF13" s="220" t="s">
        <v>57</v>
      </c>
      <c r="AG13" s="242" t="s">
        <v>58</v>
      </c>
      <c r="AH13" s="243" t="s">
        <v>57</v>
      </c>
      <c r="AI13" s="221" t="s">
        <v>59</v>
      </c>
      <c r="AJ13" s="208"/>
      <c r="AK13" s="223"/>
      <c r="AL13" s="220"/>
      <c r="AM13" s="244" t="s">
        <v>1</v>
      </c>
      <c r="AN13" s="245" t="s">
        <v>60</v>
      </c>
      <c r="AO13" s="246" t="s">
        <v>61</v>
      </c>
      <c r="AP13" s="224"/>
      <c r="AQ13" s="247" t="s">
        <v>58</v>
      </c>
      <c r="AR13" s="242" t="s">
        <v>62</v>
      </c>
      <c r="AS13" s="224"/>
      <c r="AT13" s="225"/>
      <c r="AU13" s="207"/>
      <c r="AV13" s="247" t="s">
        <v>1</v>
      </c>
      <c r="AW13" s="248" t="s">
        <v>60</v>
      </c>
      <c r="AX13" s="246" t="s">
        <v>63</v>
      </c>
      <c r="AY13" s="220"/>
      <c r="AZ13" s="244" t="s">
        <v>1</v>
      </c>
      <c r="BA13" s="245" t="s">
        <v>60</v>
      </c>
      <c r="BB13" s="246" t="s">
        <v>64</v>
      </c>
      <c r="BC13" s="220"/>
      <c r="BD13" s="247" t="s">
        <v>1</v>
      </c>
      <c r="BE13" s="248" t="s">
        <v>60</v>
      </c>
      <c r="BF13" s="246" t="s">
        <v>65</v>
      </c>
      <c r="BG13" s="220"/>
      <c r="BH13" s="247" t="s">
        <v>1</v>
      </c>
      <c r="BI13" s="248" t="s">
        <v>60</v>
      </c>
      <c r="BJ13" s="246" t="s">
        <v>491</v>
      </c>
      <c r="BK13" s="220"/>
      <c r="BL13" s="220"/>
      <c r="BM13" s="221"/>
      <c r="BN13" s="207"/>
      <c r="BO13" s="249" t="s">
        <v>54</v>
      </c>
      <c r="BP13" s="250" t="s">
        <v>66</v>
      </c>
      <c r="BQ13" s="220"/>
      <c r="BR13" s="251" t="s">
        <v>47</v>
      </c>
      <c r="BS13" s="252"/>
      <c r="BT13" s="252"/>
      <c r="BU13" s="253"/>
      <c r="BV13" s="220"/>
      <c r="BW13" s="220"/>
      <c r="BX13" s="221"/>
      <c r="BY13" s="209"/>
      <c r="BZ13" s="219"/>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1"/>
      <c r="CX13" s="210"/>
    </row>
    <row r="14" spans="4:102" ht="17.25" thickBot="1" x14ac:dyDescent="0.35">
      <c r="D14" s="226"/>
      <c r="E14" s="254" t="s">
        <v>495</v>
      </c>
      <c r="F14" s="255" t="e">
        <f>#REF!</f>
        <v>#REF!</v>
      </c>
      <c r="G14" s="220"/>
      <c r="H14" s="256" t="s">
        <v>68</v>
      </c>
      <c r="I14" s="257" t="s">
        <v>69</v>
      </c>
      <c r="J14" s="258" t="s">
        <v>70</v>
      </c>
      <c r="K14" s="259" t="s">
        <v>71</v>
      </c>
      <c r="L14" s="220"/>
      <c r="M14" s="220"/>
      <c r="N14" s="220"/>
      <c r="O14" s="221"/>
      <c r="P14" s="206"/>
      <c r="Q14" s="254" t="s">
        <v>495</v>
      </c>
      <c r="R14" s="260">
        <f>'2. PRODUCTOS'!$J$8</f>
        <v>4</v>
      </c>
      <c r="S14" s="261" t="e">
        <f>#REF!</f>
        <v>#REF!</v>
      </c>
      <c r="T14" s="220"/>
      <c r="U14" s="262" t="s">
        <v>68</v>
      </c>
      <c r="V14" s="263" t="s">
        <v>69</v>
      </c>
      <c r="W14" s="264" t="s">
        <v>70</v>
      </c>
      <c r="X14" s="265" t="s">
        <v>71</v>
      </c>
      <c r="Y14" s="220"/>
      <c r="Z14" s="220"/>
      <c r="AA14" s="221"/>
      <c r="AB14" s="207"/>
      <c r="AC14" s="266" t="s">
        <v>0</v>
      </c>
      <c r="AD14" s="267" t="e">
        <f>#REF!</f>
        <v>#REF!</v>
      </c>
      <c r="AE14" s="268" t="e">
        <f>#REF!</f>
        <v>#REF!</v>
      </c>
      <c r="AF14" s="269" t="e">
        <f>AD14-AE14</f>
        <v>#REF!</v>
      </c>
      <c r="AG14" s="270">
        <f>IFERROR(AE14/AD14,0)</f>
        <v>0</v>
      </c>
      <c r="AH14" s="271" t="e">
        <f>AF14/AD14</f>
        <v>#REF!</v>
      </c>
      <c r="AI14" s="272">
        <f>AG14</f>
        <v>0</v>
      </c>
      <c r="AJ14" s="208"/>
      <c r="AK14" s="219"/>
      <c r="AL14" s="220"/>
      <c r="AM14" s="273" t="s">
        <v>41</v>
      </c>
      <c r="AN14" s="274" t="e">
        <f>#REF!</f>
        <v>#REF!</v>
      </c>
      <c r="AO14" s="275" t="e">
        <f>#REF!</f>
        <v>#REF!</v>
      </c>
      <c r="AP14" s="220"/>
      <c r="AQ14" s="276">
        <f>IFERROR(AO14/AN14,0)</f>
        <v>0</v>
      </c>
      <c r="AR14" s="896">
        <f>AVERAGE(AQ14:AQ16)</f>
        <v>0</v>
      </c>
      <c r="AS14" s="220"/>
      <c r="AT14" s="221"/>
      <c r="AU14" s="207"/>
      <c r="AV14" s="273" t="s">
        <v>41</v>
      </c>
      <c r="AW14" s="274" t="e">
        <f>#REF!</f>
        <v>#REF!</v>
      </c>
      <c r="AX14" s="275" t="e">
        <f>#REF!</f>
        <v>#REF!</v>
      </c>
      <c r="AY14" s="220"/>
      <c r="AZ14" s="273" t="s">
        <v>41</v>
      </c>
      <c r="BA14" s="277" t="e">
        <f>#REF!</f>
        <v>#REF!</v>
      </c>
      <c r="BB14" s="278" t="e">
        <f>#REF!</f>
        <v>#REF!</v>
      </c>
      <c r="BC14" s="220"/>
      <c r="BD14" s="273" t="s">
        <v>41</v>
      </c>
      <c r="BE14" s="277" t="e">
        <f>#REF!</f>
        <v>#REF!</v>
      </c>
      <c r="BF14" s="278" t="e">
        <f>#REF!</f>
        <v>#REF!</v>
      </c>
      <c r="BG14" s="220"/>
      <c r="BH14" s="273" t="s">
        <v>41</v>
      </c>
      <c r="BI14" s="277" t="e">
        <f>#REF!</f>
        <v>#REF!</v>
      </c>
      <c r="BJ14" s="278" t="e">
        <f>#REF!</f>
        <v>#REF!</v>
      </c>
      <c r="BK14" s="220"/>
      <c r="BL14" s="220"/>
      <c r="BM14" s="221"/>
      <c r="BN14" s="207"/>
      <c r="BO14" s="279" t="s">
        <v>0</v>
      </c>
      <c r="BP14" s="280">
        <f>$AR$14</f>
        <v>0</v>
      </c>
      <c r="BQ14" s="220"/>
      <c r="BR14" s="281">
        <v>0</v>
      </c>
      <c r="BS14" s="282">
        <v>0.5</v>
      </c>
      <c r="BT14" s="282">
        <v>0.75</v>
      </c>
      <c r="BU14" s="283">
        <v>1.01</v>
      </c>
      <c r="BV14" s="220"/>
      <c r="BW14" s="220"/>
      <c r="BX14" s="221"/>
      <c r="BY14" s="209"/>
      <c r="BZ14" s="219"/>
      <c r="CA14" s="220"/>
      <c r="CB14" s="220"/>
      <c r="CC14" s="220"/>
      <c r="CD14" s="954" t="s">
        <v>72</v>
      </c>
      <c r="CE14" s="954"/>
      <c r="CF14" s="220"/>
      <c r="CG14" s="942" t="s">
        <v>73</v>
      </c>
      <c r="CH14" s="943"/>
      <c r="CI14" s="943"/>
      <c r="CJ14" s="943"/>
      <c r="CK14" s="944"/>
      <c r="CL14" s="220"/>
      <c r="CM14" s="942" t="s">
        <v>74</v>
      </c>
      <c r="CN14" s="943"/>
      <c r="CO14" s="943"/>
      <c r="CP14" s="943"/>
      <c r="CQ14" s="944"/>
      <c r="CR14" s="220"/>
      <c r="CS14" s="942" t="s">
        <v>75</v>
      </c>
      <c r="CT14" s="943"/>
      <c r="CU14" s="943"/>
      <c r="CV14" s="943"/>
      <c r="CW14" s="944"/>
      <c r="CX14" s="210"/>
    </row>
    <row r="15" spans="4:102" ht="17.25" thickBot="1" x14ac:dyDescent="0.35">
      <c r="D15" s="226"/>
      <c r="E15" s="284" t="s">
        <v>67</v>
      </c>
      <c r="F15" s="285" t="e">
        <f>#REF!</f>
        <v>#REF!</v>
      </c>
      <c r="G15" s="220"/>
      <c r="H15" s="286">
        <f>IF($F22&gt;=H12,IF($F22&lt;=H13,$F22,NA()),NA())</f>
        <v>0</v>
      </c>
      <c r="I15" s="286" t="e">
        <f>IF($F22&gt;=I12,IF($F22&lt;=I13,$F22,NA()),NA())</f>
        <v>#N/A</v>
      </c>
      <c r="J15" s="286" t="e">
        <f>IF($F22&gt;=J12,IF($F22&lt;=J13,$F22,NA()),NA())</f>
        <v>#N/A</v>
      </c>
      <c r="K15" s="286" t="e">
        <f>IF($F22&gt;=K12,IF($F22&lt;=K13,$F22,NA()),NA())</f>
        <v>#N/A</v>
      </c>
      <c r="L15" s="220"/>
      <c r="M15" s="220"/>
      <c r="N15" s="220"/>
      <c r="O15" s="221"/>
      <c r="P15" s="206"/>
      <c r="Q15" s="287" t="s">
        <v>67</v>
      </c>
      <c r="R15" s="285" t="e">
        <f>#REF!</f>
        <v>#REF!</v>
      </c>
      <c r="S15" s="288" t="e">
        <f>SUM(S11:S13)</f>
        <v>#REF!</v>
      </c>
      <c r="T15" s="230" t="s">
        <v>46</v>
      </c>
      <c r="U15" s="289">
        <f>IF($S22&gt;=U$12,IF($S22&lt;=U$13,$S22,NA()),NA())</f>
        <v>0</v>
      </c>
      <c r="V15" s="290" t="e">
        <f t="shared" ref="U15:X18" si="0">IF($S22&gt;=V$12,IF($S22&lt;=V$13,$S22,NA()),NA())</f>
        <v>#N/A</v>
      </c>
      <c r="W15" s="290" t="e">
        <f t="shared" si="0"/>
        <v>#N/A</v>
      </c>
      <c r="X15" s="291" t="e">
        <f t="shared" si="0"/>
        <v>#N/A</v>
      </c>
      <c r="Y15" s="220"/>
      <c r="Z15" s="220"/>
      <c r="AA15" s="221"/>
      <c r="AB15" s="207"/>
      <c r="AC15" s="292" t="s">
        <v>19</v>
      </c>
      <c r="AD15" s="293" t="e">
        <f>SUM(AD14)</f>
        <v>#REF!</v>
      </c>
      <c r="AE15" s="293" t="e">
        <f>SUM(AE14)</f>
        <v>#REF!</v>
      </c>
      <c r="AF15" s="269"/>
      <c r="AG15" s="294">
        <f>IFERROR(AE15/AD15,0)</f>
        <v>0</v>
      </c>
      <c r="AH15" s="295">
        <f>IFERROR(AF15/#REF!,0)</f>
        <v>0</v>
      </c>
      <c r="AI15" s="296">
        <v>1</v>
      </c>
      <c r="AJ15" s="208"/>
      <c r="AK15" s="219"/>
      <c r="AL15" s="220"/>
      <c r="AM15" s="297" t="s">
        <v>76</v>
      </c>
      <c r="AN15" s="298" t="e">
        <f>#REF!</f>
        <v>#REF!</v>
      </c>
      <c r="AO15" s="299" t="e">
        <f>#REF!</f>
        <v>#REF!</v>
      </c>
      <c r="AP15" s="220"/>
      <c r="AQ15" s="270">
        <f>IFERROR(AO15/AN15,0)</f>
        <v>0</v>
      </c>
      <c r="AR15" s="897"/>
      <c r="AS15" s="220"/>
      <c r="AT15" s="221"/>
      <c r="AU15" s="207"/>
      <c r="AV15" s="297" t="s">
        <v>76</v>
      </c>
      <c r="AW15" s="300" t="e">
        <f>#REF!</f>
        <v>#REF!</v>
      </c>
      <c r="AX15" s="299" t="e">
        <f>#REF!</f>
        <v>#REF!</v>
      </c>
      <c r="AY15" s="220"/>
      <c r="AZ15" s="297" t="s">
        <v>76</v>
      </c>
      <c r="BA15" s="300" t="e">
        <f>#REF!</f>
        <v>#REF!</v>
      </c>
      <c r="BB15" s="301" t="e">
        <f>#REF!</f>
        <v>#REF!</v>
      </c>
      <c r="BC15" s="220"/>
      <c r="BD15" s="297" t="s">
        <v>76</v>
      </c>
      <c r="BE15" s="298" t="e">
        <f>#REF!</f>
        <v>#REF!</v>
      </c>
      <c r="BF15" s="301" t="e">
        <f>#REF!</f>
        <v>#REF!</v>
      </c>
      <c r="BG15" s="220"/>
      <c r="BH15" s="297" t="s">
        <v>76</v>
      </c>
      <c r="BI15" s="298" t="e">
        <f>#REF!</f>
        <v>#REF!</v>
      </c>
      <c r="BJ15" s="301" t="e">
        <f>#REF!</f>
        <v>#REF!</v>
      </c>
      <c r="BK15" s="220"/>
      <c r="BL15" s="220"/>
      <c r="BM15" s="221"/>
      <c r="BN15" s="207"/>
      <c r="BO15" s="302" t="s">
        <v>62</v>
      </c>
      <c r="BP15" s="303">
        <f>IFERROR(AVERAGE(BP14),0)</f>
        <v>0</v>
      </c>
      <c r="BQ15" s="220"/>
      <c r="BR15" s="304">
        <v>0.499</v>
      </c>
      <c r="BS15" s="305">
        <v>0.749</v>
      </c>
      <c r="BT15" s="305">
        <v>1</v>
      </c>
      <c r="BU15" s="306">
        <v>2</v>
      </c>
      <c r="BV15" s="220"/>
      <c r="BW15" s="220"/>
      <c r="BX15" s="221"/>
      <c r="BY15" s="209"/>
      <c r="BZ15" s="219"/>
      <c r="CA15" s="307" t="s">
        <v>59</v>
      </c>
      <c r="CB15" s="308" t="s">
        <v>77</v>
      </c>
      <c r="CC15" s="220"/>
      <c r="CD15" s="307" t="s">
        <v>78</v>
      </c>
      <c r="CE15" s="308" t="s">
        <v>66</v>
      </c>
      <c r="CF15" s="220"/>
      <c r="CG15" s="307" t="s">
        <v>78</v>
      </c>
      <c r="CH15" s="308" t="s">
        <v>66</v>
      </c>
      <c r="CI15" s="220"/>
      <c r="CJ15" s="309" t="s">
        <v>59</v>
      </c>
      <c r="CK15" s="310" t="s">
        <v>77</v>
      </c>
      <c r="CL15" s="220"/>
      <c r="CM15" s="307" t="s">
        <v>78</v>
      </c>
      <c r="CN15" s="308" t="s">
        <v>66</v>
      </c>
      <c r="CO15" s="220"/>
      <c r="CP15" s="309" t="s">
        <v>59</v>
      </c>
      <c r="CQ15" s="310" t="s">
        <v>77</v>
      </c>
      <c r="CR15" s="220"/>
      <c r="CS15" s="307" t="s">
        <v>78</v>
      </c>
      <c r="CT15" s="308" t="s">
        <v>66</v>
      </c>
      <c r="CU15" s="220"/>
      <c r="CV15" s="309" t="s">
        <v>59</v>
      </c>
      <c r="CW15" s="310" t="s">
        <v>77</v>
      </c>
      <c r="CX15" s="210"/>
    </row>
    <row r="16" spans="4:102" ht="17.25" thickBot="1" x14ac:dyDescent="0.35">
      <c r="D16" s="226"/>
      <c r="E16" s="311"/>
      <c r="F16" s="227"/>
      <c r="G16" s="220"/>
      <c r="H16" s="312"/>
      <c r="I16" s="312"/>
      <c r="J16" s="312"/>
      <c r="K16" s="220"/>
      <c r="L16" s="220"/>
      <c r="M16" s="220"/>
      <c r="N16" s="220"/>
      <c r="O16" s="221"/>
      <c r="P16" s="206"/>
      <c r="Q16" s="313"/>
      <c r="R16" s="311"/>
      <c r="S16" s="227"/>
      <c r="T16" s="234" t="s">
        <v>52</v>
      </c>
      <c r="U16" s="314">
        <f t="shared" si="0"/>
        <v>0</v>
      </c>
      <c r="V16" s="315" t="e">
        <f t="shared" si="0"/>
        <v>#N/A</v>
      </c>
      <c r="W16" s="315" t="e">
        <f t="shared" si="0"/>
        <v>#N/A</v>
      </c>
      <c r="X16" s="316" t="e">
        <f>IF($S23&gt;=X$12,IF($S23&lt;=X$13,$S23,NA()),NA())</f>
        <v>#N/A</v>
      </c>
      <c r="Y16" s="220"/>
      <c r="Z16" s="220"/>
      <c r="AA16" s="221"/>
      <c r="AB16" s="207"/>
      <c r="AC16" s="219"/>
      <c r="AD16" s="220"/>
      <c r="AE16" s="220"/>
      <c r="AF16" s="220"/>
      <c r="AG16" s="220"/>
      <c r="AH16" s="224"/>
      <c r="AI16" s="225"/>
      <c r="AJ16" s="208"/>
      <c r="AK16" s="219"/>
      <c r="AL16" s="220"/>
      <c r="AM16" s="317" t="s">
        <v>79</v>
      </c>
      <c r="AN16" s="318" t="e">
        <f>#REF!</f>
        <v>#REF!</v>
      </c>
      <c r="AO16" s="319" t="e">
        <f>#REF!</f>
        <v>#REF!</v>
      </c>
      <c r="AP16" s="220"/>
      <c r="AQ16" s="270">
        <f>IFERROR(AO16/AN16,0)</f>
        <v>0</v>
      </c>
      <c r="AR16" s="897"/>
      <c r="AS16" s="220"/>
      <c r="AT16" s="221"/>
      <c r="AU16" s="207"/>
      <c r="AV16" s="317" t="s">
        <v>79</v>
      </c>
      <c r="AW16" s="320" t="e">
        <f>#REF!</f>
        <v>#REF!</v>
      </c>
      <c r="AX16" s="321" t="e">
        <f>#REF!</f>
        <v>#REF!</v>
      </c>
      <c r="AY16" s="220"/>
      <c r="AZ16" s="317" t="s">
        <v>79</v>
      </c>
      <c r="BA16" s="322" t="e">
        <f>#REF!</f>
        <v>#REF!</v>
      </c>
      <c r="BB16" s="321" t="e">
        <f>#REF!</f>
        <v>#REF!</v>
      </c>
      <c r="BC16" s="220"/>
      <c r="BD16" s="317" t="s">
        <v>79</v>
      </c>
      <c r="BE16" s="322" t="e">
        <f>#REF!</f>
        <v>#REF!</v>
      </c>
      <c r="BF16" s="321" t="e">
        <f>#REF!</f>
        <v>#REF!</v>
      </c>
      <c r="BG16" s="220"/>
      <c r="BH16" s="317" t="s">
        <v>79</v>
      </c>
      <c r="BI16" s="322" t="e">
        <f>#REF!</f>
        <v>#REF!</v>
      </c>
      <c r="BJ16" s="321" t="e">
        <f>#REF!</f>
        <v>#REF!</v>
      </c>
      <c r="BK16" s="220"/>
      <c r="BL16" s="220"/>
      <c r="BM16" s="221"/>
      <c r="BN16" s="207"/>
      <c r="BO16" s="219"/>
      <c r="BP16" s="220"/>
      <c r="BQ16" s="220"/>
      <c r="BR16" s="323" t="s">
        <v>68</v>
      </c>
      <c r="BS16" s="324" t="s">
        <v>69</v>
      </c>
      <c r="BT16" s="325" t="s">
        <v>70</v>
      </c>
      <c r="BU16" s="326" t="s">
        <v>71</v>
      </c>
      <c r="BV16" s="220"/>
      <c r="BW16" s="220"/>
      <c r="BX16" s="221"/>
      <c r="BY16" s="209"/>
      <c r="BZ16" s="219">
        <v>1</v>
      </c>
      <c r="CA16" s="327">
        <v>0</v>
      </c>
      <c r="CB16" s="233">
        <v>1</v>
      </c>
      <c r="CC16" s="220"/>
      <c r="CD16" s="837" t="str">
        <f t="shared" ref="CD16:CE20" si="1">BO66</f>
        <v>Producto 1.1</v>
      </c>
      <c r="CE16" s="291">
        <f t="shared" si="1"/>
        <v>0.70833333333333326</v>
      </c>
      <c r="CF16" s="220"/>
      <c r="CG16" s="233" t="s">
        <v>111</v>
      </c>
      <c r="CH16" s="328">
        <f>BP81</f>
        <v>2</v>
      </c>
      <c r="CI16" s="220">
        <v>1</v>
      </c>
      <c r="CJ16" s="289">
        <v>0</v>
      </c>
      <c r="CK16" s="278">
        <v>1</v>
      </c>
      <c r="CL16" s="220"/>
      <c r="CM16" s="233" t="s">
        <v>111</v>
      </c>
      <c r="CN16" s="328">
        <f>BP93</f>
        <v>0.5</v>
      </c>
      <c r="CO16" s="220">
        <v>1</v>
      </c>
      <c r="CP16" s="289">
        <v>0</v>
      </c>
      <c r="CQ16" s="278">
        <v>1</v>
      </c>
      <c r="CR16" s="220"/>
      <c r="CS16" s="233" t="s">
        <v>111</v>
      </c>
      <c r="CT16" s="328">
        <f>BP105</f>
        <v>0.375</v>
      </c>
      <c r="CU16" s="220">
        <v>1</v>
      </c>
      <c r="CV16" s="289">
        <v>0</v>
      </c>
      <c r="CW16" s="278">
        <v>1</v>
      </c>
      <c r="CX16" s="210"/>
    </row>
    <row r="17" spans="4:102" ht="17.25" thickBot="1" x14ac:dyDescent="0.35">
      <c r="D17" s="226"/>
      <c r="E17" s="311"/>
      <c r="F17" s="227"/>
      <c r="G17" s="220"/>
      <c r="H17" s="312"/>
      <c r="I17" s="312"/>
      <c r="J17" s="312"/>
      <c r="K17" s="220"/>
      <c r="L17" s="220"/>
      <c r="M17" s="220"/>
      <c r="N17" s="220"/>
      <c r="O17" s="221"/>
      <c r="P17" s="206"/>
      <c r="Q17" s="313"/>
      <c r="R17" s="311"/>
      <c r="S17" s="227"/>
      <c r="T17" s="234" t="s">
        <v>53</v>
      </c>
      <c r="U17" s="329">
        <f t="shared" si="0"/>
        <v>0</v>
      </c>
      <c r="V17" s="330" t="e">
        <f>IF($S24&gt;=V$12,IF($S24&lt;=V$13,$S24,NA()),NA())</f>
        <v>#N/A</v>
      </c>
      <c r="W17" s="330" t="e">
        <f t="shared" si="0"/>
        <v>#N/A</v>
      </c>
      <c r="X17" s="331" t="e">
        <f>IF($S24&gt;=X$12,IF($S24&lt;=X$13,$S24,NA()),NA())</f>
        <v>#N/A</v>
      </c>
      <c r="Y17" s="220"/>
      <c r="Z17" s="220"/>
      <c r="AA17" s="221"/>
      <c r="AB17" s="207"/>
      <c r="AC17" s="219"/>
      <c r="AD17" s="220"/>
      <c r="AE17" s="845" t="s">
        <v>47</v>
      </c>
      <c r="AF17" s="846"/>
      <c r="AG17" s="846"/>
      <c r="AH17" s="847"/>
      <c r="AI17" s="221"/>
      <c r="AJ17" s="208"/>
      <c r="AK17" s="219"/>
      <c r="AL17" s="220"/>
      <c r="AM17" s="220"/>
      <c r="AN17" s="332"/>
      <c r="AO17" s="227"/>
      <c r="AP17" s="220"/>
      <c r="AQ17" s="270">
        <f>IFERROR(AO17/AN17,0)</f>
        <v>0</v>
      </c>
      <c r="AR17" s="897"/>
      <c r="AS17" s="220"/>
      <c r="AT17" s="221"/>
      <c r="AU17" s="207"/>
      <c r="AV17" s="219"/>
      <c r="AW17" s="333"/>
      <c r="AX17" s="334"/>
      <c r="AY17" s="220"/>
      <c r="AZ17" s="220"/>
      <c r="BA17" s="334"/>
      <c r="BB17" s="334"/>
      <c r="BC17" s="220"/>
      <c r="BD17" s="220"/>
      <c r="BE17" s="220"/>
      <c r="BF17" s="220"/>
      <c r="BG17" s="220"/>
      <c r="BH17" s="220"/>
      <c r="BI17" s="220"/>
      <c r="BJ17" s="220"/>
      <c r="BK17" s="220"/>
      <c r="BL17" s="220"/>
      <c r="BM17" s="221"/>
      <c r="BN17" s="207"/>
      <c r="BO17" s="335"/>
      <c r="BP17" s="336"/>
      <c r="BQ17" s="311" t="s">
        <v>80</v>
      </c>
      <c r="BR17" s="337">
        <f>IF($BP14&gt;=BR$14,IF($BP14&lt;=BR$15,$BP14,NA()),NA())</f>
        <v>0</v>
      </c>
      <c r="BS17" s="337" t="e">
        <f t="shared" ref="BS17:BU18" si="2">IF($BP14&gt;=BS$14,IF($BP14&lt;=BS$15,$BP14,NA()),NA())</f>
        <v>#N/A</v>
      </c>
      <c r="BT17" s="337" t="e">
        <f t="shared" si="2"/>
        <v>#N/A</v>
      </c>
      <c r="BU17" s="338" t="e">
        <f t="shared" si="2"/>
        <v>#N/A</v>
      </c>
      <c r="BV17" s="220"/>
      <c r="BW17" s="220"/>
      <c r="BX17" s="221"/>
      <c r="BY17" s="209"/>
      <c r="BZ17" s="219">
        <v>2</v>
      </c>
      <c r="CA17" s="339">
        <v>0.1</v>
      </c>
      <c r="CB17" s="237">
        <v>1</v>
      </c>
      <c r="CC17" s="220"/>
      <c r="CD17" s="838" t="str">
        <f t="shared" si="1"/>
        <v>Producto 1.2</v>
      </c>
      <c r="CE17" s="316">
        <f t="shared" si="1"/>
        <v>0.88749999999999996</v>
      </c>
      <c r="CF17" s="220"/>
      <c r="CG17" s="237" t="s">
        <v>103</v>
      </c>
      <c r="CH17" s="340">
        <f>BP82</f>
        <v>0.5</v>
      </c>
      <c r="CI17" s="220">
        <v>2</v>
      </c>
      <c r="CJ17" s="314">
        <v>0.1</v>
      </c>
      <c r="CK17" s="301">
        <v>1</v>
      </c>
      <c r="CL17" s="220"/>
      <c r="CM17" s="237" t="s">
        <v>103</v>
      </c>
      <c r="CN17" s="340">
        <f>BP94</f>
        <v>0.45833333333333331</v>
      </c>
      <c r="CO17" s="220">
        <v>2</v>
      </c>
      <c r="CP17" s="314">
        <v>0.1</v>
      </c>
      <c r="CQ17" s="301">
        <v>1</v>
      </c>
      <c r="CR17" s="220"/>
      <c r="CS17" s="237" t="s">
        <v>103</v>
      </c>
      <c r="CT17" s="340">
        <f>BP106</f>
        <v>0.5625</v>
      </c>
      <c r="CU17" s="220">
        <v>2</v>
      </c>
      <c r="CV17" s="314">
        <v>0.1</v>
      </c>
      <c r="CW17" s="301">
        <v>1</v>
      </c>
      <c r="CX17" s="210"/>
    </row>
    <row r="18" spans="4:102" ht="17.25" thickBot="1" x14ac:dyDescent="0.35">
      <c r="D18" s="226"/>
      <c r="E18" s="230" t="s">
        <v>46</v>
      </c>
      <c r="F18" s="315">
        <f>IFERROR(F11/$F$15,0)</f>
        <v>0</v>
      </c>
      <c r="G18" s="220"/>
      <c r="H18" s="312"/>
      <c r="I18" s="312"/>
      <c r="J18" s="312"/>
      <c r="K18" s="220"/>
      <c r="L18" s="220"/>
      <c r="M18" s="220"/>
      <c r="N18" s="220"/>
      <c r="O18" s="221"/>
      <c r="P18" s="206"/>
      <c r="Q18" s="313"/>
      <c r="R18" s="227"/>
      <c r="S18" s="220"/>
      <c r="T18" s="254" t="s">
        <v>495</v>
      </c>
      <c r="U18" s="329">
        <f t="shared" si="0"/>
        <v>0</v>
      </c>
      <c r="V18" s="330" t="e">
        <f>IF($S25&gt;=V$12,IF($S25&lt;=V$13,$S25,NA()),NA())</f>
        <v>#N/A</v>
      </c>
      <c r="W18" s="330" t="e">
        <f t="shared" si="0"/>
        <v>#N/A</v>
      </c>
      <c r="X18" s="331" t="e">
        <f>IF($S25&gt;=X$12,IF($S25&lt;=X$13,$S25,NA()),NA())</f>
        <v>#N/A</v>
      </c>
      <c r="Y18" s="220"/>
      <c r="Z18" s="220"/>
      <c r="AA18" s="221"/>
      <c r="AB18" s="207"/>
      <c r="AC18" s="223"/>
      <c r="AD18" s="224"/>
      <c r="AE18" s="236">
        <v>0</v>
      </c>
      <c r="AF18" s="236">
        <v>0.5</v>
      </c>
      <c r="AG18" s="236">
        <v>0.75</v>
      </c>
      <c r="AH18" s="236">
        <v>1.0009999999999999</v>
      </c>
      <c r="AI18" s="221"/>
      <c r="AJ18" s="208"/>
      <c r="AK18" s="223"/>
      <c r="AL18" s="224"/>
      <c r="AM18" s="220"/>
      <c r="AN18" s="332"/>
      <c r="AO18" s="341"/>
      <c r="AP18" s="224"/>
      <c r="AQ18" s="342">
        <f>IFERROR(AO18/AN18,0)</f>
        <v>0</v>
      </c>
      <c r="AR18" s="898"/>
      <c r="AS18" s="224"/>
      <c r="AT18" s="225"/>
      <c r="AU18" s="207"/>
      <c r="AV18" s="247" t="s">
        <v>1</v>
      </c>
      <c r="AW18" s="247" t="s">
        <v>58</v>
      </c>
      <c r="AX18" s="247" t="s">
        <v>62</v>
      </c>
      <c r="AY18" s="220"/>
      <c r="AZ18" s="244" t="s">
        <v>1</v>
      </c>
      <c r="BA18" s="245" t="s">
        <v>58</v>
      </c>
      <c r="BB18" s="247" t="s">
        <v>62</v>
      </c>
      <c r="BC18" s="220"/>
      <c r="BD18" s="247" t="s">
        <v>1</v>
      </c>
      <c r="BE18" s="247" t="s">
        <v>58</v>
      </c>
      <c r="BF18" s="247" t="s">
        <v>62</v>
      </c>
      <c r="BG18" s="220"/>
      <c r="BH18" s="247" t="s">
        <v>1</v>
      </c>
      <c r="BI18" s="247" t="s">
        <v>58</v>
      </c>
      <c r="BJ18" s="247" t="s">
        <v>62</v>
      </c>
      <c r="BK18" s="224"/>
      <c r="BL18" s="224"/>
      <c r="BM18" s="225"/>
      <c r="BN18" s="207"/>
      <c r="BO18" s="219"/>
      <c r="BP18" s="343"/>
      <c r="BQ18" s="344" t="s">
        <v>62</v>
      </c>
      <c r="BR18" s="345">
        <f>IF($BP15&gt;=BR$14,IF($BP15&lt;=BR$15,$BP15,NA()),NA())</f>
        <v>0</v>
      </c>
      <c r="BS18" s="345" t="e">
        <f t="shared" si="2"/>
        <v>#N/A</v>
      </c>
      <c r="BT18" s="345" t="e">
        <f t="shared" si="2"/>
        <v>#N/A</v>
      </c>
      <c r="BU18" s="286" t="e">
        <f t="shared" si="2"/>
        <v>#N/A</v>
      </c>
      <c r="BV18" s="220"/>
      <c r="BW18" s="220"/>
      <c r="BX18" s="221"/>
      <c r="BY18" s="209"/>
      <c r="BZ18" s="219">
        <v>3</v>
      </c>
      <c r="CA18" s="339">
        <v>0.2</v>
      </c>
      <c r="CB18" s="237">
        <v>1</v>
      </c>
      <c r="CC18" s="220"/>
      <c r="CD18" s="838" t="str">
        <f t="shared" si="1"/>
        <v>Producto 1.3</v>
      </c>
      <c r="CE18" s="316">
        <f t="shared" si="1"/>
        <v>0.66666666666666663</v>
      </c>
      <c r="CF18" s="220"/>
      <c r="CG18" s="237" t="s">
        <v>112</v>
      </c>
      <c r="CH18" s="340">
        <f>BP83</f>
        <v>0.75</v>
      </c>
      <c r="CI18" s="220">
        <v>3</v>
      </c>
      <c r="CJ18" s="314">
        <v>0.2</v>
      </c>
      <c r="CK18" s="301">
        <v>1</v>
      </c>
      <c r="CL18" s="220"/>
      <c r="CM18" s="237" t="s">
        <v>112</v>
      </c>
      <c r="CN18" s="340">
        <f>BP95</f>
        <v>0.33333333333333331</v>
      </c>
      <c r="CO18" s="220">
        <v>3</v>
      </c>
      <c r="CP18" s="314">
        <v>0.2</v>
      </c>
      <c r="CQ18" s="301">
        <v>1</v>
      </c>
      <c r="CR18" s="220"/>
      <c r="CS18" s="237" t="s">
        <v>112</v>
      </c>
      <c r="CT18" s="340">
        <f>BP107</f>
        <v>0.41666666666666663</v>
      </c>
      <c r="CU18" s="220">
        <v>3</v>
      </c>
      <c r="CV18" s="314">
        <v>0.2</v>
      </c>
      <c r="CW18" s="301">
        <v>1</v>
      </c>
      <c r="CX18" s="210"/>
    </row>
    <row r="19" spans="4:102" x14ac:dyDescent="0.3">
      <c r="D19" s="226"/>
      <c r="E19" s="234" t="s">
        <v>52</v>
      </c>
      <c r="F19" s="315">
        <f>IFERROR(F12/$F$15,0)</f>
        <v>0</v>
      </c>
      <c r="G19" s="220"/>
      <c r="H19" s="312"/>
      <c r="I19" s="312"/>
      <c r="J19" s="312"/>
      <c r="K19" s="220"/>
      <c r="L19" s="220"/>
      <c r="M19" s="220"/>
      <c r="N19" s="220"/>
      <c r="O19" s="221"/>
      <c r="P19" s="206"/>
      <c r="Q19" s="313"/>
      <c r="R19" s="227"/>
      <c r="S19" s="220"/>
      <c r="T19" s="220"/>
      <c r="U19" s="312"/>
      <c r="V19" s="312"/>
      <c r="W19" s="312"/>
      <c r="X19" s="220"/>
      <c r="Y19" s="220"/>
      <c r="Z19" s="220"/>
      <c r="AA19" s="221"/>
      <c r="AB19" s="207"/>
      <c r="AC19" s="219"/>
      <c r="AD19" s="220"/>
      <c r="AE19" s="238">
        <v>0.499</v>
      </c>
      <c r="AF19" s="238">
        <v>0.749</v>
      </c>
      <c r="AG19" s="238">
        <v>1</v>
      </c>
      <c r="AH19" s="238">
        <v>4</v>
      </c>
      <c r="AI19" s="221"/>
      <c r="AJ19" s="208"/>
      <c r="AK19" s="219"/>
      <c r="AL19" s="220"/>
      <c r="AM19" s="220"/>
      <c r="AN19" s="220"/>
      <c r="AO19" s="220"/>
      <c r="AP19" s="220"/>
      <c r="AQ19" s="220"/>
      <c r="AR19" s="220"/>
      <c r="AS19" s="220"/>
      <c r="AT19" s="221"/>
      <c r="AU19" s="207"/>
      <c r="AV19" s="273" t="s">
        <v>41</v>
      </c>
      <c r="AW19" s="346">
        <f>IFERROR(AX14/AW14,0)</f>
        <v>0</v>
      </c>
      <c r="AX19" s="961">
        <f>AVERAGE(AW19:AW21)</f>
        <v>0</v>
      </c>
      <c r="AY19" s="220"/>
      <c r="AZ19" s="273" t="s">
        <v>41</v>
      </c>
      <c r="BA19" s="346">
        <f>IFERROR(BB14/BA14,0)</f>
        <v>0</v>
      </c>
      <c r="BB19" s="935">
        <f>AVERAGE(BA19:BA21)</f>
        <v>0</v>
      </c>
      <c r="BC19" s="220"/>
      <c r="BD19" s="273" t="s">
        <v>41</v>
      </c>
      <c r="BE19" s="346">
        <f>IFERROR(BF14/BE14,0)</f>
        <v>0</v>
      </c>
      <c r="BF19" s="935">
        <f>AVERAGE(BE19:BE21)</f>
        <v>0</v>
      </c>
      <c r="BG19" s="220"/>
      <c r="BH19" s="273" t="s">
        <v>41</v>
      </c>
      <c r="BI19" s="346">
        <f>IFERROR(BJ14/BI14,0)</f>
        <v>0</v>
      </c>
      <c r="BJ19" s="935">
        <f>AVERAGE(BI19:BI21)</f>
        <v>0</v>
      </c>
      <c r="BK19" s="220"/>
      <c r="BL19" s="220"/>
      <c r="BM19" s="221"/>
      <c r="BN19" s="207"/>
      <c r="BO19" s="219"/>
      <c r="BP19" s="347"/>
      <c r="BQ19" s="220"/>
      <c r="BR19" s="312"/>
      <c r="BS19" s="312"/>
      <c r="BT19" s="312"/>
      <c r="BU19" s="312"/>
      <c r="BV19" s="220"/>
      <c r="BW19" s="220"/>
      <c r="BX19" s="221"/>
      <c r="BY19" s="209"/>
      <c r="BZ19" s="219">
        <v>4</v>
      </c>
      <c r="CA19" s="339">
        <v>0.3</v>
      </c>
      <c r="CB19" s="237">
        <v>1</v>
      </c>
      <c r="CC19" s="220"/>
      <c r="CD19" s="838" t="str">
        <f t="shared" si="1"/>
        <v>Producto 1.4</v>
      </c>
      <c r="CE19" s="316">
        <f t="shared" si="1"/>
        <v>0.40888888888888886</v>
      </c>
      <c r="CF19" s="220"/>
      <c r="CG19" s="237" t="s">
        <v>115</v>
      </c>
      <c r="CH19" s="340">
        <f>BP84</f>
        <v>5.6666666666666671E-2</v>
      </c>
      <c r="CI19" s="220">
        <v>4</v>
      </c>
      <c r="CJ19" s="314">
        <v>0.3</v>
      </c>
      <c r="CK19" s="301">
        <v>1</v>
      </c>
      <c r="CL19" s="220"/>
      <c r="CM19" s="237" t="s">
        <v>115</v>
      </c>
      <c r="CN19" s="340">
        <f>BP96</f>
        <v>0</v>
      </c>
      <c r="CO19" s="220">
        <v>4</v>
      </c>
      <c r="CP19" s="314">
        <v>0.3</v>
      </c>
      <c r="CQ19" s="301">
        <v>1</v>
      </c>
      <c r="CR19" s="220"/>
      <c r="CS19" s="237" t="s">
        <v>115</v>
      </c>
      <c r="CT19" s="340">
        <f>BP108</f>
        <v>0.57777777777777783</v>
      </c>
      <c r="CU19" s="220">
        <v>4</v>
      </c>
      <c r="CV19" s="314">
        <v>0.3</v>
      </c>
      <c r="CW19" s="301">
        <v>1</v>
      </c>
      <c r="CX19" s="210"/>
    </row>
    <row r="20" spans="4:102" ht="17.25" thickBot="1" x14ac:dyDescent="0.35">
      <c r="D20" s="226"/>
      <c r="E20" s="234" t="s">
        <v>53</v>
      </c>
      <c r="F20" s="315">
        <f>IFERROR(F13/$F$15,0)</f>
        <v>0</v>
      </c>
      <c r="G20" s="220"/>
      <c r="H20" s="312"/>
      <c r="I20" s="312"/>
      <c r="J20" s="312"/>
      <c r="K20" s="220"/>
      <c r="L20" s="220"/>
      <c r="M20" s="220"/>
      <c r="N20" s="220"/>
      <c r="O20" s="221"/>
      <c r="P20" s="206"/>
      <c r="Q20" s="313"/>
      <c r="R20" s="227"/>
      <c r="S20" s="220"/>
      <c r="T20" s="220"/>
      <c r="U20" s="312"/>
      <c r="V20" s="312"/>
      <c r="W20" s="312"/>
      <c r="X20" s="220"/>
      <c r="Y20" s="220"/>
      <c r="Z20" s="220"/>
      <c r="AA20" s="221"/>
      <c r="AB20" s="207"/>
      <c r="AC20" s="219"/>
      <c r="AD20" s="220"/>
      <c r="AE20" s="256" t="s">
        <v>68</v>
      </c>
      <c r="AF20" s="257" t="s">
        <v>69</v>
      </c>
      <c r="AG20" s="258" t="s">
        <v>70</v>
      </c>
      <c r="AH20" s="259" t="s">
        <v>71</v>
      </c>
      <c r="AI20" s="221"/>
      <c r="AJ20" s="208"/>
      <c r="AK20" s="219"/>
      <c r="AL20" s="220"/>
      <c r="AM20" s="220"/>
      <c r="AN20" s="220"/>
      <c r="AO20" s="220"/>
      <c r="AP20" s="220"/>
      <c r="AQ20" s="220"/>
      <c r="AR20" s="220"/>
      <c r="AS20" s="220"/>
      <c r="AT20" s="221"/>
      <c r="AU20" s="207"/>
      <c r="AV20" s="297" t="s">
        <v>76</v>
      </c>
      <c r="AW20" s="348">
        <f>IFERROR(AX15/AW15,0)</f>
        <v>0</v>
      </c>
      <c r="AX20" s="962"/>
      <c r="AY20" s="220"/>
      <c r="AZ20" s="297" t="s">
        <v>76</v>
      </c>
      <c r="BA20" s="348">
        <f>IFERROR(BB15/BA15,0)</f>
        <v>0</v>
      </c>
      <c r="BB20" s="964"/>
      <c r="BC20" s="220"/>
      <c r="BD20" s="297" t="s">
        <v>76</v>
      </c>
      <c r="BE20" s="348">
        <f>IFERROR(BF15/BE15,0)</f>
        <v>0</v>
      </c>
      <c r="BF20" s="964"/>
      <c r="BG20" s="220"/>
      <c r="BH20" s="297" t="s">
        <v>76</v>
      </c>
      <c r="BI20" s="348">
        <f>IFERROR(BJ15/BI15,0)</f>
        <v>0</v>
      </c>
      <c r="BJ20" s="964"/>
      <c r="BK20" s="220"/>
      <c r="BL20" s="220"/>
      <c r="BM20" s="221"/>
      <c r="BN20" s="207"/>
      <c r="BO20" s="219"/>
      <c r="BP20" s="220"/>
      <c r="BQ20" s="220"/>
      <c r="BR20" s="220"/>
      <c r="BS20" s="220"/>
      <c r="BT20" s="220"/>
      <c r="BU20" s="220"/>
      <c r="BV20" s="220"/>
      <c r="BW20" s="220"/>
      <c r="BX20" s="221"/>
      <c r="BY20" s="209"/>
      <c r="BZ20" s="219">
        <v>5</v>
      </c>
      <c r="CA20" s="339">
        <v>0.4</v>
      </c>
      <c r="CB20" s="237">
        <v>1</v>
      </c>
      <c r="CC20" s="220"/>
      <c r="CD20" s="838" t="str">
        <f t="shared" si="1"/>
        <v>Producto 1.5</v>
      </c>
      <c r="CE20" s="316">
        <f t="shared" si="1"/>
        <v>1.518</v>
      </c>
      <c r="CF20" s="220"/>
      <c r="CG20" s="260" t="s">
        <v>502</v>
      </c>
      <c r="CH20" s="349">
        <f>BP85</f>
        <v>0</v>
      </c>
      <c r="CI20" s="220">
        <v>5</v>
      </c>
      <c r="CJ20" s="314">
        <v>0.4</v>
      </c>
      <c r="CK20" s="301">
        <v>1</v>
      </c>
      <c r="CL20" s="220"/>
      <c r="CM20" s="260" t="s">
        <v>502</v>
      </c>
      <c r="CN20" s="349">
        <f>BP97</f>
        <v>0</v>
      </c>
      <c r="CO20" s="220">
        <v>5</v>
      </c>
      <c r="CP20" s="314">
        <v>0.4</v>
      </c>
      <c r="CQ20" s="301">
        <v>1</v>
      </c>
      <c r="CR20" s="220"/>
      <c r="CS20" s="260" t="s">
        <v>502</v>
      </c>
      <c r="CT20" s="349">
        <f>BP109</f>
        <v>1.3026666666666666</v>
      </c>
      <c r="CU20" s="220">
        <v>5</v>
      </c>
      <c r="CV20" s="314">
        <v>0.4</v>
      </c>
      <c r="CW20" s="301">
        <v>1</v>
      </c>
      <c r="CX20" s="210"/>
    </row>
    <row r="21" spans="4:102" ht="17.25" thickBot="1" x14ac:dyDescent="0.35">
      <c r="D21" s="226"/>
      <c r="E21" s="254" t="s">
        <v>495</v>
      </c>
      <c r="F21" s="315">
        <f>IFERROR(F14/$F$15,0)</f>
        <v>0</v>
      </c>
      <c r="G21" s="220"/>
      <c r="H21" s="312"/>
      <c r="I21" s="312"/>
      <c r="J21" s="312"/>
      <c r="K21" s="220"/>
      <c r="L21" s="220"/>
      <c r="M21" s="220"/>
      <c r="N21" s="220"/>
      <c r="O21" s="221"/>
      <c r="P21" s="206"/>
      <c r="Q21" s="219"/>
      <c r="R21" s="227"/>
      <c r="S21" s="220"/>
      <c r="T21" s="350"/>
      <c r="U21" s="351"/>
      <c r="V21" s="351"/>
      <c r="W21" s="351"/>
      <c r="X21" s="351"/>
      <c r="Y21" s="220"/>
      <c r="Z21" s="220"/>
      <c r="AA21" s="221"/>
      <c r="AB21" s="207"/>
      <c r="AC21" s="226"/>
      <c r="AD21" s="220"/>
      <c r="AE21" s="286">
        <f>IF($AG14&gt;=AE$18,IF($AG14&lt;=AE$19,$AG14,NA()),NA())</f>
        <v>0</v>
      </c>
      <c r="AF21" s="286" t="e">
        <f>IF($AG14&gt;=AF$18,IF($AG14&lt;=AF$19,$AG14,NA()),NA())</f>
        <v>#N/A</v>
      </c>
      <c r="AG21" s="286" t="e">
        <f>IF($AG14&gt;=AG$18,IF($AG14&lt;=AG$19,$AG14,NA()),NA())</f>
        <v>#N/A</v>
      </c>
      <c r="AH21" s="286" t="e">
        <f>IF($AG14&gt;=AH$18,IF($AG14&lt;=AH$19,$AG14,NA()),NA())</f>
        <v>#N/A</v>
      </c>
      <c r="AI21" s="221"/>
      <c r="AJ21" s="208"/>
      <c r="AK21" s="219"/>
      <c r="AL21" s="220"/>
      <c r="AM21" s="220"/>
      <c r="AN21" s="220"/>
      <c r="AO21" s="220"/>
      <c r="AP21" s="220"/>
      <c r="AQ21" s="220"/>
      <c r="AR21" s="220"/>
      <c r="AS21" s="220"/>
      <c r="AT21" s="221"/>
      <c r="AU21" s="207"/>
      <c r="AV21" s="317" t="s">
        <v>79</v>
      </c>
      <c r="AW21" s="352">
        <f>IFERROR(AX16/AW16,0)</f>
        <v>0</v>
      </c>
      <c r="AX21" s="963"/>
      <c r="AY21" s="220"/>
      <c r="AZ21" s="317" t="s">
        <v>79</v>
      </c>
      <c r="BA21" s="352">
        <f>IFERROR(BB16/BA16,0)</f>
        <v>0</v>
      </c>
      <c r="BB21" s="936"/>
      <c r="BC21" s="220"/>
      <c r="BD21" s="317" t="s">
        <v>79</v>
      </c>
      <c r="BE21" s="352">
        <f>IFERROR(BF16/BE16,0)</f>
        <v>0</v>
      </c>
      <c r="BF21" s="936"/>
      <c r="BG21" s="220"/>
      <c r="BH21" s="317" t="s">
        <v>79</v>
      </c>
      <c r="BI21" s="352">
        <f>IFERROR(BJ16/BI16,0)</f>
        <v>0</v>
      </c>
      <c r="BJ21" s="936"/>
      <c r="BK21" s="220"/>
      <c r="BL21" s="220"/>
      <c r="BM21" s="221"/>
      <c r="BN21" s="207"/>
      <c r="BO21" s="219"/>
      <c r="BP21" s="220"/>
      <c r="BQ21" s="220"/>
      <c r="BR21" s="220"/>
      <c r="BS21" s="220"/>
      <c r="BT21" s="220"/>
      <c r="BU21" s="220"/>
      <c r="BV21" s="220"/>
      <c r="BW21" s="220"/>
      <c r="BX21" s="221"/>
      <c r="BY21" s="209"/>
      <c r="BZ21" s="219">
        <v>6</v>
      </c>
      <c r="CA21" s="339">
        <v>0.5</v>
      </c>
      <c r="CB21" s="237">
        <v>1</v>
      </c>
      <c r="CC21" s="220"/>
      <c r="CD21" s="839" t="s">
        <v>150</v>
      </c>
      <c r="CE21" s="572">
        <f>$AR$14</f>
        <v>0</v>
      </c>
      <c r="CF21" s="220"/>
      <c r="CG21" s="355" t="s">
        <v>62</v>
      </c>
      <c r="CH21" s="356">
        <f>AVERAGE(CH16:CH20)</f>
        <v>0.66133333333333333</v>
      </c>
      <c r="CI21" s="220">
        <v>6</v>
      </c>
      <c r="CJ21" s="314">
        <v>0.5</v>
      </c>
      <c r="CK21" s="301">
        <v>1</v>
      </c>
      <c r="CL21" s="220"/>
      <c r="CM21" s="355" t="s">
        <v>62</v>
      </c>
      <c r="CN21" s="356">
        <f>AVERAGE(CN16:CN20)</f>
        <v>0.2583333333333333</v>
      </c>
      <c r="CO21" s="220">
        <v>6</v>
      </c>
      <c r="CP21" s="314">
        <v>0.5</v>
      </c>
      <c r="CQ21" s="301">
        <v>1</v>
      </c>
      <c r="CR21" s="220"/>
      <c r="CS21" s="309" t="s">
        <v>62</v>
      </c>
      <c r="CT21" s="354">
        <f>AVERAGE(CT16:CT19)</f>
        <v>0.48298611111111112</v>
      </c>
      <c r="CU21" s="220">
        <v>6</v>
      </c>
      <c r="CV21" s="314">
        <v>0.5</v>
      </c>
      <c r="CW21" s="301">
        <v>1</v>
      </c>
      <c r="CX21" s="210"/>
    </row>
    <row r="22" spans="4:102" ht="17.25" thickBot="1" x14ac:dyDescent="0.35">
      <c r="D22" s="219"/>
      <c r="E22" s="287" t="s">
        <v>67</v>
      </c>
      <c r="F22" s="357">
        <f>IFERROR(SUM(F18:F21),0)</f>
        <v>0</v>
      </c>
      <c r="G22" s="220"/>
      <c r="H22" s="220"/>
      <c r="I22" s="220"/>
      <c r="J22" s="220"/>
      <c r="K22" s="220"/>
      <c r="L22" s="220"/>
      <c r="M22" s="220"/>
      <c r="N22" s="220"/>
      <c r="O22" s="221"/>
      <c r="P22" s="206"/>
      <c r="Q22" s="358"/>
      <c r="R22" s="230" t="s">
        <v>46</v>
      </c>
      <c r="S22" s="328">
        <f>IFERROR(S11/R11,0)</f>
        <v>0</v>
      </c>
      <c r="T22" s="350"/>
      <c r="U22" s="359"/>
      <c r="V22" s="359"/>
      <c r="W22" s="359"/>
      <c r="X22" s="359"/>
      <c r="Y22" s="220"/>
      <c r="Z22" s="220"/>
      <c r="AA22" s="221"/>
      <c r="AB22" s="207"/>
      <c r="AC22" s="219"/>
      <c r="AD22" s="220"/>
      <c r="AE22" s="220"/>
      <c r="AF22" s="220"/>
      <c r="AG22" s="220"/>
      <c r="AH22" s="220"/>
      <c r="AI22" s="221"/>
      <c r="AJ22" s="208"/>
      <c r="AK22" s="219"/>
      <c r="AL22" s="220"/>
      <c r="AM22" s="220"/>
      <c r="AN22" s="220"/>
      <c r="AO22" s="220"/>
      <c r="AP22" s="220"/>
      <c r="AQ22" s="220"/>
      <c r="AR22" s="220"/>
      <c r="AS22" s="220"/>
      <c r="AT22" s="221"/>
      <c r="AU22" s="207"/>
      <c r="AV22" s="219"/>
      <c r="AW22" s="220"/>
      <c r="AX22" s="220"/>
      <c r="AY22" s="220"/>
      <c r="AZ22" s="220"/>
      <c r="BA22" s="220"/>
      <c r="BB22" s="220"/>
      <c r="BC22" s="220"/>
      <c r="BD22" s="220"/>
      <c r="BE22" s="220"/>
      <c r="BF22" s="220"/>
      <c r="BG22" s="220"/>
      <c r="BH22" s="220"/>
      <c r="BI22" s="220"/>
      <c r="BJ22" s="220"/>
      <c r="BK22" s="220"/>
      <c r="BL22" s="220"/>
      <c r="BM22" s="221"/>
      <c r="BN22" s="207"/>
      <c r="BO22" s="226"/>
      <c r="BP22" s="220"/>
      <c r="BQ22" s="220"/>
      <c r="BR22" s="220"/>
      <c r="BS22" s="220"/>
      <c r="BT22" s="220"/>
      <c r="BU22" s="220"/>
      <c r="BV22" s="220"/>
      <c r="BW22" s="220"/>
      <c r="BX22" s="221"/>
      <c r="BY22" s="209"/>
      <c r="BZ22" s="219">
        <v>7</v>
      </c>
      <c r="CA22" s="339">
        <v>0.6</v>
      </c>
      <c r="CB22" s="237">
        <v>1</v>
      </c>
      <c r="CC22" s="220"/>
      <c r="CD22" s="840" t="s">
        <v>656</v>
      </c>
      <c r="CE22" s="541">
        <f>$AG$14</f>
        <v>0</v>
      </c>
      <c r="CF22" s="220"/>
      <c r="CG22" s="220"/>
      <c r="CH22" s="220"/>
      <c r="CI22" s="220">
        <v>7</v>
      </c>
      <c r="CJ22" s="314">
        <v>0.6</v>
      </c>
      <c r="CK22" s="301">
        <v>1</v>
      </c>
      <c r="CL22" s="220"/>
      <c r="CM22" s="220"/>
      <c r="CN22" s="220"/>
      <c r="CO22" s="220">
        <v>7</v>
      </c>
      <c r="CP22" s="314">
        <v>0.6</v>
      </c>
      <c r="CQ22" s="301">
        <v>1</v>
      </c>
      <c r="CR22" s="220"/>
      <c r="CS22" s="220"/>
      <c r="CT22" s="220"/>
      <c r="CU22" s="220">
        <v>7</v>
      </c>
      <c r="CV22" s="314">
        <v>0.6</v>
      </c>
      <c r="CW22" s="301">
        <v>1</v>
      </c>
      <c r="CX22" s="210"/>
    </row>
    <row r="23" spans="4:102" ht="29.25" thickBot="1" x14ac:dyDescent="0.35">
      <c r="D23" s="866"/>
      <c r="E23" s="867"/>
      <c r="F23" s="867"/>
      <c r="G23" s="867"/>
      <c r="H23" s="867"/>
      <c r="I23" s="867"/>
      <c r="J23" s="867"/>
      <c r="K23" s="867"/>
      <c r="L23" s="867"/>
      <c r="M23" s="867"/>
      <c r="N23" s="867"/>
      <c r="O23" s="868"/>
      <c r="P23" s="206"/>
      <c r="Q23" s="358"/>
      <c r="R23" s="234" t="s">
        <v>52</v>
      </c>
      <c r="S23" s="340">
        <f>IFERROR(S12/R12,0)</f>
        <v>0</v>
      </c>
      <c r="T23" s="360"/>
      <c r="U23" s="361"/>
      <c r="V23" s="361"/>
      <c r="W23" s="361"/>
      <c r="X23" s="361"/>
      <c r="Y23" s="362"/>
      <c r="Z23" s="362"/>
      <c r="AA23" s="363"/>
      <c r="AB23" s="207"/>
      <c r="AC23" s="887" t="s">
        <v>81</v>
      </c>
      <c r="AD23" s="888"/>
      <c r="AE23" s="888"/>
      <c r="AF23" s="888"/>
      <c r="AG23" s="888"/>
      <c r="AH23" s="888"/>
      <c r="AI23" s="889"/>
      <c r="AJ23" s="208"/>
      <c r="AK23" s="914" t="s">
        <v>92</v>
      </c>
      <c r="AL23" s="915"/>
      <c r="AM23" s="915"/>
      <c r="AN23" s="915"/>
      <c r="AO23" s="915"/>
      <c r="AP23" s="915"/>
      <c r="AQ23" s="915"/>
      <c r="AR23" s="915"/>
      <c r="AS23" s="915"/>
      <c r="AT23" s="916"/>
      <c r="AU23" s="207"/>
      <c r="AV23" s="965" t="s">
        <v>511</v>
      </c>
      <c r="AW23" s="966"/>
      <c r="AX23" s="966"/>
      <c r="AY23" s="966"/>
      <c r="AZ23" s="966"/>
      <c r="BA23" s="966"/>
      <c r="BB23" s="966"/>
      <c r="BC23" s="966"/>
      <c r="BD23" s="966"/>
      <c r="BE23" s="966"/>
      <c r="BF23" s="966"/>
      <c r="BG23" s="966"/>
      <c r="BH23" s="966"/>
      <c r="BI23" s="966"/>
      <c r="BJ23" s="966"/>
      <c r="BK23" s="966"/>
      <c r="BL23" s="966"/>
      <c r="BM23" s="967"/>
      <c r="BN23" s="207"/>
      <c r="BO23" s="890" t="s">
        <v>82</v>
      </c>
      <c r="BP23" s="891"/>
      <c r="BQ23" s="891"/>
      <c r="BR23" s="891"/>
      <c r="BS23" s="891"/>
      <c r="BT23" s="891"/>
      <c r="BU23" s="891"/>
      <c r="BV23" s="891"/>
      <c r="BW23" s="891"/>
      <c r="BX23" s="892"/>
      <c r="BY23" s="209"/>
      <c r="BZ23" s="219">
        <v>8</v>
      </c>
      <c r="CA23" s="339">
        <v>0.7</v>
      </c>
      <c r="CB23" s="237">
        <v>1</v>
      </c>
      <c r="CC23" s="220"/>
      <c r="CD23" s="353" t="s">
        <v>62</v>
      </c>
      <c r="CE23" s="354">
        <f>AVERAGE(CE16:CE22)</f>
        <v>0.59848412698412701</v>
      </c>
      <c r="CF23" s="220"/>
      <c r="CG23" s="220"/>
      <c r="CH23" s="220"/>
      <c r="CI23" s="220">
        <v>8</v>
      </c>
      <c r="CJ23" s="314">
        <v>0.7</v>
      </c>
      <c r="CK23" s="301">
        <v>1</v>
      </c>
      <c r="CL23" s="220"/>
      <c r="CM23" s="220"/>
      <c r="CN23" s="220"/>
      <c r="CO23" s="220">
        <v>8</v>
      </c>
      <c r="CP23" s="314">
        <v>0.7</v>
      </c>
      <c r="CQ23" s="301">
        <v>1</v>
      </c>
      <c r="CR23" s="220"/>
      <c r="CS23" s="220"/>
      <c r="CT23" s="220"/>
      <c r="CU23" s="220">
        <v>8</v>
      </c>
      <c r="CV23" s="314">
        <v>0.7</v>
      </c>
      <c r="CW23" s="301">
        <v>1</v>
      </c>
      <c r="CX23" s="210"/>
    </row>
    <row r="24" spans="4:102" ht="17.25" thickBot="1" x14ac:dyDescent="0.35">
      <c r="D24" s="364"/>
      <c r="E24" s="365"/>
      <c r="F24" s="365"/>
      <c r="G24" s="365"/>
      <c r="H24" s="365"/>
      <c r="I24" s="365"/>
      <c r="J24" s="365"/>
      <c r="K24" s="365"/>
      <c r="L24" s="365"/>
      <c r="M24" s="365"/>
      <c r="N24" s="365"/>
      <c r="O24" s="366"/>
      <c r="P24" s="206"/>
      <c r="Q24" s="358"/>
      <c r="R24" s="234" t="s">
        <v>53</v>
      </c>
      <c r="S24" s="340">
        <f>IFERROR(S13/R13,0)</f>
        <v>0</v>
      </c>
      <c r="T24" s="360"/>
      <c r="U24" s="367"/>
      <c r="V24" s="367"/>
      <c r="W24" s="368"/>
      <c r="X24" s="368"/>
      <c r="Y24" s="362"/>
      <c r="Z24" s="362"/>
      <c r="AA24" s="363"/>
      <c r="AB24" s="207"/>
      <c r="AC24" s="219"/>
      <c r="AD24" s="220"/>
      <c r="AE24" s="220"/>
      <c r="AF24" s="220"/>
      <c r="AG24" s="220"/>
      <c r="AH24" s="220"/>
      <c r="AI24" s="221"/>
      <c r="AJ24" s="208"/>
      <c r="AK24" s="369"/>
      <c r="AL24" s="370"/>
      <c r="AM24" s="370"/>
      <c r="AN24" s="370"/>
      <c r="AO24" s="343"/>
      <c r="AP24" s="371"/>
      <c r="AQ24" s="371"/>
      <c r="AR24" s="371"/>
      <c r="AS24" s="220"/>
      <c r="AT24" s="221"/>
      <c r="AU24" s="207"/>
      <c r="AV24" s="372"/>
      <c r="AW24" s="350"/>
      <c r="AX24" s="350"/>
      <c r="AY24" s="350"/>
      <c r="AZ24" s="350"/>
      <c r="BA24" s="350"/>
      <c r="BB24" s="350"/>
      <c r="BC24" s="350"/>
      <c r="BD24" s="350"/>
      <c r="BE24" s="350"/>
      <c r="BF24" s="350"/>
      <c r="BG24" s="350"/>
      <c r="BH24" s="350"/>
      <c r="BI24" s="350"/>
      <c r="BJ24" s="350"/>
      <c r="BK24" s="350"/>
      <c r="BL24" s="350"/>
      <c r="BM24" s="373"/>
      <c r="BN24" s="207"/>
      <c r="BO24" s="219"/>
      <c r="BP24" s="220"/>
      <c r="BQ24" s="220"/>
      <c r="BR24" s="220"/>
      <c r="BS24" s="220"/>
      <c r="BT24" s="220"/>
      <c r="BU24" s="220"/>
      <c r="BV24" s="220"/>
      <c r="BW24" s="220"/>
      <c r="BX24" s="221"/>
      <c r="BY24" s="209"/>
      <c r="BZ24" s="219">
        <v>9</v>
      </c>
      <c r="CA24" s="339">
        <v>0.8</v>
      </c>
      <c r="CB24" s="237">
        <v>1</v>
      </c>
      <c r="CC24" s="220"/>
      <c r="CD24" s="220"/>
      <c r="CE24" s="220"/>
      <c r="CF24" s="220"/>
      <c r="CG24" s="220"/>
      <c r="CH24" s="220"/>
      <c r="CI24" s="220">
        <v>9</v>
      </c>
      <c r="CJ24" s="314">
        <v>0.8</v>
      </c>
      <c r="CK24" s="301">
        <v>1</v>
      </c>
      <c r="CL24" s="220"/>
      <c r="CM24" s="220"/>
      <c r="CN24" s="220"/>
      <c r="CO24" s="220">
        <v>9</v>
      </c>
      <c r="CP24" s="314">
        <v>0.8</v>
      </c>
      <c r="CQ24" s="301">
        <v>1</v>
      </c>
      <c r="CR24" s="220"/>
      <c r="CS24" s="220"/>
      <c r="CT24" s="220"/>
      <c r="CU24" s="220">
        <v>9</v>
      </c>
      <c r="CV24" s="314">
        <v>0.8</v>
      </c>
      <c r="CW24" s="301">
        <v>1</v>
      </c>
      <c r="CX24" s="210"/>
    </row>
    <row r="25" spans="4:102" ht="17.25" thickBot="1" x14ac:dyDescent="0.35">
      <c r="D25" s="364"/>
      <c r="E25" s="365"/>
      <c r="F25" s="365"/>
      <c r="G25" s="365"/>
      <c r="H25" s="365"/>
      <c r="I25" s="365"/>
      <c r="J25" s="365"/>
      <c r="K25" s="365"/>
      <c r="L25" s="365"/>
      <c r="M25" s="365"/>
      <c r="N25" s="365"/>
      <c r="O25" s="366"/>
      <c r="P25" s="206"/>
      <c r="Q25" s="374" t="e">
        <f>S11/R15</f>
        <v>#REF!</v>
      </c>
      <c r="R25" s="254" t="s">
        <v>495</v>
      </c>
      <c r="S25" s="349">
        <f>IFERROR(S14/R14,0)</f>
        <v>0</v>
      </c>
      <c r="T25" s="375"/>
      <c r="U25" s="376"/>
      <c r="V25" s="376"/>
      <c r="W25" s="376"/>
      <c r="X25" s="376"/>
      <c r="Y25" s="362"/>
      <c r="Z25" s="362"/>
      <c r="AA25" s="363"/>
      <c r="AB25" s="207"/>
      <c r="AC25" s="239" t="s">
        <v>54</v>
      </c>
      <c r="AD25" s="245" t="s">
        <v>55</v>
      </c>
      <c r="AE25" s="377" t="s">
        <v>83</v>
      </c>
      <c r="AF25" s="224"/>
      <c r="AG25" s="242" t="s">
        <v>86</v>
      </c>
      <c r="AH25" s="220"/>
      <c r="AI25" s="221"/>
      <c r="AJ25" s="208"/>
      <c r="AK25" s="917" t="s">
        <v>96</v>
      </c>
      <c r="AL25" s="918"/>
      <c r="AM25" s="918"/>
      <c r="AN25" s="918"/>
      <c r="AO25" s="918"/>
      <c r="AP25" s="918"/>
      <c r="AQ25" s="918"/>
      <c r="AR25" s="918"/>
      <c r="AS25" s="918"/>
      <c r="AT25" s="919"/>
      <c r="AU25" s="207"/>
      <c r="AV25" s="911" t="s">
        <v>512</v>
      </c>
      <c r="AW25" s="912"/>
      <c r="AX25" s="912"/>
      <c r="AY25" s="912"/>
      <c r="AZ25" s="912"/>
      <c r="BA25" s="912"/>
      <c r="BB25" s="912"/>
      <c r="BC25" s="912"/>
      <c r="BD25" s="912"/>
      <c r="BE25" s="912"/>
      <c r="BF25" s="912"/>
      <c r="BG25" s="912"/>
      <c r="BH25" s="912"/>
      <c r="BI25" s="912"/>
      <c r="BJ25" s="912"/>
      <c r="BK25" s="912"/>
      <c r="BL25" s="912"/>
      <c r="BM25" s="913"/>
      <c r="BN25" s="207"/>
      <c r="BO25" s="955">
        <v>2017</v>
      </c>
      <c r="BP25" s="956"/>
      <c r="BQ25" s="956"/>
      <c r="BR25" s="956"/>
      <c r="BS25" s="956"/>
      <c r="BT25" s="956"/>
      <c r="BU25" s="956"/>
      <c r="BV25" s="956"/>
      <c r="BW25" s="956"/>
      <c r="BX25" s="957"/>
      <c r="BY25" s="209"/>
      <c r="BZ25" s="219">
        <v>10</v>
      </c>
      <c r="CA25" s="339">
        <v>0.9</v>
      </c>
      <c r="CB25" s="237">
        <v>1</v>
      </c>
      <c r="CC25" s="220"/>
      <c r="CD25" s="220"/>
      <c r="CE25" s="220"/>
      <c r="CF25" s="220"/>
      <c r="CG25" s="220"/>
      <c r="CH25" s="220"/>
      <c r="CI25" s="220">
        <v>10</v>
      </c>
      <c r="CJ25" s="314">
        <v>0.9</v>
      </c>
      <c r="CK25" s="301">
        <v>1</v>
      </c>
      <c r="CL25" s="220"/>
      <c r="CM25" s="220"/>
      <c r="CN25" s="220"/>
      <c r="CO25" s="220">
        <v>10</v>
      </c>
      <c r="CP25" s="314">
        <v>0.9</v>
      </c>
      <c r="CQ25" s="301">
        <v>1</v>
      </c>
      <c r="CR25" s="220"/>
      <c r="CS25" s="220"/>
      <c r="CT25" s="220"/>
      <c r="CU25" s="220">
        <v>10</v>
      </c>
      <c r="CV25" s="314">
        <v>0.9</v>
      </c>
      <c r="CW25" s="301">
        <v>1</v>
      </c>
      <c r="CX25" s="210"/>
    </row>
    <row r="26" spans="4:102" ht="17.25" thickBot="1" x14ac:dyDescent="0.35">
      <c r="D26" s="364"/>
      <c r="E26" s="365"/>
      <c r="F26" s="365"/>
      <c r="G26" s="365"/>
      <c r="H26" s="365"/>
      <c r="I26" s="365"/>
      <c r="J26" s="365"/>
      <c r="K26" s="365"/>
      <c r="L26" s="365"/>
      <c r="M26" s="365"/>
      <c r="N26" s="365"/>
      <c r="O26" s="366"/>
      <c r="P26" s="206"/>
      <c r="Q26" s="378"/>
      <c r="R26" s="287" t="s">
        <v>67</v>
      </c>
      <c r="S26" s="357">
        <f>IFERROR(S15/R15,0)</f>
        <v>0</v>
      </c>
      <c r="T26" s="375"/>
      <c r="U26" s="376"/>
      <c r="V26" s="376"/>
      <c r="W26" s="376"/>
      <c r="X26" s="376"/>
      <c r="Y26" s="362"/>
      <c r="Z26" s="362"/>
      <c r="AA26" s="363"/>
      <c r="AB26" s="207"/>
      <c r="AC26" s="379" t="s">
        <v>0</v>
      </c>
      <c r="AD26" s="380" t="e">
        <f>#REF!</f>
        <v>#REF!</v>
      </c>
      <c r="AE26" s="381" t="e">
        <f>#REF!</f>
        <v>#REF!</v>
      </c>
      <c r="AF26" s="220"/>
      <c r="AG26" s="270">
        <f>IFERROR(AE26/AD26,0)</f>
        <v>0</v>
      </c>
      <c r="AH26" s="220"/>
      <c r="AI26" s="221"/>
      <c r="AJ26" s="208"/>
      <c r="AK26" s="372"/>
      <c r="AL26" s="350"/>
      <c r="AM26" s="368"/>
      <c r="AN26" s="368"/>
      <c r="AO26" s="368"/>
      <c r="AP26" s="350"/>
      <c r="AQ26" s="382"/>
      <c r="AR26" s="382"/>
      <c r="AS26" s="350"/>
      <c r="AT26" s="373"/>
      <c r="AU26" s="207"/>
      <c r="AV26" s="372"/>
      <c r="AW26" s="383"/>
      <c r="AX26" s="384"/>
      <c r="AY26" s="350"/>
      <c r="AZ26" s="350"/>
      <c r="BA26" s="383"/>
      <c r="BB26" s="384"/>
      <c r="BC26" s="350"/>
      <c r="BD26" s="350"/>
      <c r="BE26" s="383"/>
      <c r="BF26" s="384"/>
      <c r="BG26" s="350"/>
      <c r="BH26" s="350"/>
      <c r="BI26" s="350"/>
      <c r="BJ26" s="350"/>
      <c r="BK26" s="350"/>
      <c r="BL26" s="350"/>
      <c r="BM26" s="373"/>
      <c r="BN26" s="207"/>
      <c r="BO26" s="219"/>
      <c r="BP26" s="220"/>
      <c r="BQ26" s="220"/>
      <c r="BR26" s="220"/>
      <c r="BS26" s="220"/>
      <c r="BT26" s="220"/>
      <c r="BU26" s="220"/>
      <c r="BV26" s="220"/>
      <c r="BW26" s="220"/>
      <c r="BX26" s="221"/>
      <c r="BY26" s="209"/>
      <c r="BZ26" s="219">
        <v>11</v>
      </c>
      <c r="CA26" s="385">
        <v>1</v>
      </c>
      <c r="CB26" s="386">
        <v>10</v>
      </c>
      <c r="CC26" s="220"/>
      <c r="CD26" s="220"/>
      <c r="CE26" s="220"/>
      <c r="CF26" s="220"/>
      <c r="CG26" s="220"/>
      <c r="CH26" s="220"/>
      <c r="CI26" s="220">
        <v>11</v>
      </c>
      <c r="CJ26" s="387">
        <v>1</v>
      </c>
      <c r="CK26" s="388">
        <v>9</v>
      </c>
      <c r="CL26" s="220"/>
      <c r="CM26" s="220"/>
      <c r="CN26" s="220"/>
      <c r="CO26" s="220">
        <v>11</v>
      </c>
      <c r="CP26" s="387">
        <v>1</v>
      </c>
      <c r="CQ26" s="388">
        <v>9</v>
      </c>
      <c r="CR26" s="220"/>
      <c r="CS26" s="220"/>
      <c r="CT26" s="220"/>
      <c r="CU26" s="220">
        <v>11</v>
      </c>
      <c r="CV26" s="387">
        <v>1</v>
      </c>
      <c r="CW26" s="388">
        <v>9</v>
      </c>
      <c r="CX26" s="210"/>
    </row>
    <row r="27" spans="4:102" ht="17.25" thickBot="1" x14ac:dyDescent="0.35">
      <c r="D27" s="364"/>
      <c r="E27" s="365"/>
      <c r="F27" s="365"/>
      <c r="G27" s="365"/>
      <c r="H27" s="365"/>
      <c r="I27" s="365"/>
      <c r="J27" s="365"/>
      <c r="K27" s="365"/>
      <c r="L27" s="365"/>
      <c r="M27" s="365"/>
      <c r="N27" s="365"/>
      <c r="O27" s="366"/>
      <c r="P27" s="206"/>
      <c r="Q27" s="378"/>
      <c r="R27" s="227"/>
      <c r="S27" s="220"/>
      <c r="T27" s="375"/>
      <c r="U27" s="376"/>
      <c r="V27" s="376"/>
      <c r="W27" s="376"/>
      <c r="X27" s="376"/>
      <c r="Y27" s="362"/>
      <c r="Z27" s="362"/>
      <c r="AA27" s="363"/>
      <c r="AB27" s="207"/>
      <c r="AC27" s="292" t="s">
        <v>19</v>
      </c>
      <c r="AD27" s="293" t="e">
        <f>SUM(AD26)</f>
        <v>#REF!</v>
      </c>
      <c r="AE27" s="293" t="e">
        <f>SUM(AE26)</f>
        <v>#REF!</v>
      </c>
      <c r="AF27" s="220"/>
      <c r="AG27" s="294"/>
      <c r="AH27" s="220"/>
      <c r="AI27" s="221"/>
      <c r="AJ27" s="208"/>
      <c r="AK27" s="372"/>
      <c r="AL27" s="920" t="s">
        <v>97</v>
      </c>
      <c r="AM27" s="389" t="s">
        <v>1</v>
      </c>
      <c r="AN27" s="390" t="s">
        <v>60</v>
      </c>
      <c r="AO27" s="391" t="s">
        <v>61</v>
      </c>
      <c r="AP27" s="224"/>
      <c r="AQ27" s="247" t="s">
        <v>58</v>
      </c>
      <c r="AR27" s="247" t="s">
        <v>62</v>
      </c>
      <c r="AS27" s="350"/>
      <c r="AT27" s="373"/>
      <c r="AU27" s="207"/>
      <c r="AV27" s="392" t="s">
        <v>1</v>
      </c>
      <c r="AW27" s="390" t="s">
        <v>60</v>
      </c>
      <c r="AX27" s="391" t="s">
        <v>63</v>
      </c>
      <c r="AY27" s="393"/>
      <c r="AZ27" s="392" t="s">
        <v>1</v>
      </c>
      <c r="BA27" s="390" t="s">
        <v>60</v>
      </c>
      <c r="BB27" s="391" t="s">
        <v>64</v>
      </c>
      <c r="BC27" s="350"/>
      <c r="BD27" s="392" t="s">
        <v>1</v>
      </c>
      <c r="BE27" s="390" t="s">
        <v>60</v>
      </c>
      <c r="BF27" s="391" t="s">
        <v>65</v>
      </c>
      <c r="BG27" s="350"/>
      <c r="BH27" s="392" t="s">
        <v>1</v>
      </c>
      <c r="BI27" s="390" t="s">
        <v>60</v>
      </c>
      <c r="BJ27" s="391" t="s">
        <v>491</v>
      </c>
      <c r="BK27" s="350"/>
      <c r="BL27" s="350"/>
      <c r="BM27" s="373"/>
      <c r="BN27" s="207"/>
      <c r="BO27" s="394" t="s">
        <v>54</v>
      </c>
      <c r="BP27" s="395" t="s">
        <v>66</v>
      </c>
      <c r="BQ27" s="220"/>
      <c r="BR27" s="251" t="s">
        <v>47</v>
      </c>
      <c r="BS27" s="252"/>
      <c r="BT27" s="252"/>
      <c r="BU27" s="253"/>
      <c r="BV27" s="220"/>
      <c r="BW27" s="220"/>
      <c r="BX27" s="221"/>
      <c r="BY27" s="209"/>
      <c r="BZ27" s="219"/>
      <c r="CA27" s="396" t="s">
        <v>84</v>
      </c>
      <c r="CB27" s="303">
        <f>$CE$23</f>
        <v>0.59848412698412701</v>
      </c>
      <c r="CC27" s="220"/>
      <c r="CD27" s="220"/>
      <c r="CE27" s="220"/>
      <c r="CF27" s="220"/>
      <c r="CG27" s="220"/>
      <c r="CH27" s="220"/>
      <c r="CI27" s="220"/>
      <c r="CJ27" s="397" t="s">
        <v>84</v>
      </c>
      <c r="CK27" s="303">
        <f>$CH$21</f>
        <v>0.66133333333333333</v>
      </c>
      <c r="CL27" s="220"/>
      <c r="CM27" s="220"/>
      <c r="CN27" s="220"/>
      <c r="CO27" s="220"/>
      <c r="CP27" s="397" t="s">
        <v>84</v>
      </c>
      <c r="CQ27" s="303">
        <f>CN21</f>
        <v>0.2583333333333333</v>
      </c>
      <c r="CR27" s="220"/>
      <c r="CS27" s="220"/>
      <c r="CT27" s="220"/>
      <c r="CU27" s="220"/>
      <c r="CV27" s="397" t="s">
        <v>84</v>
      </c>
      <c r="CW27" s="303">
        <f>CT21</f>
        <v>0.48298611111111112</v>
      </c>
      <c r="CX27" s="210"/>
    </row>
    <row r="28" spans="4:102" ht="18" thickTop="1" thickBot="1" x14ac:dyDescent="0.35">
      <c r="D28" s="364"/>
      <c r="E28" s="365"/>
      <c r="F28" s="365"/>
      <c r="G28" s="365"/>
      <c r="H28" s="365"/>
      <c r="I28" s="365"/>
      <c r="J28" s="365"/>
      <c r="K28" s="365"/>
      <c r="L28" s="365"/>
      <c r="M28" s="365"/>
      <c r="N28" s="365"/>
      <c r="O28" s="366"/>
      <c r="P28" s="206"/>
      <c r="Q28" s="378"/>
      <c r="R28" s="227"/>
      <c r="S28" s="220"/>
      <c r="T28" s="375"/>
      <c r="U28" s="376"/>
      <c r="V28" s="376"/>
      <c r="W28" s="376"/>
      <c r="X28" s="376"/>
      <c r="Y28" s="362"/>
      <c r="Z28" s="362"/>
      <c r="AA28" s="363"/>
      <c r="AB28" s="207"/>
      <c r="AC28" s="219"/>
      <c r="AD28" s="220"/>
      <c r="AE28" s="220"/>
      <c r="AF28" s="398"/>
      <c r="AG28" s="220"/>
      <c r="AH28" s="220"/>
      <c r="AI28" s="221"/>
      <c r="AJ28" s="208"/>
      <c r="AK28" s="372"/>
      <c r="AL28" s="921"/>
      <c r="AM28" s="399" t="s">
        <v>98</v>
      </c>
      <c r="AN28" s="400">
        <f>'2. PRODUCTOS'!$E$8</f>
        <v>4</v>
      </c>
      <c r="AO28" s="278">
        <f>'2. PRODUCTOS'!$BT$8</f>
        <v>3</v>
      </c>
      <c r="AP28" s="401" t="s">
        <v>151</v>
      </c>
      <c r="AQ28" s="402">
        <f>IFERROR(AO28/AN28,0)</f>
        <v>0.75</v>
      </c>
      <c r="AR28" s="935">
        <f>AVERAGE(AQ28:AQ29)</f>
        <v>0.70833333333333326</v>
      </c>
      <c r="AS28" s="350"/>
      <c r="AT28" s="373"/>
      <c r="AU28" s="207"/>
      <c r="AV28" s="399" t="s">
        <v>98</v>
      </c>
      <c r="AW28" s="400">
        <f>'2. PRODUCTOS'!$G$8</f>
        <v>1</v>
      </c>
      <c r="AX28" s="278">
        <f>'2. PRODUCTOS'!$W$8</f>
        <v>2</v>
      </c>
      <c r="AY28" s="384"/>
      <c r="AZ28" s="399" t="s">
        <v>98</v>
      </c>
      <c r="BA28" s="400">
        <f>'2. PRODUCTOS'!$H$8</f>
        <v>2</v>
      </c>
      <c r="BB28" s="278">
        <f>'2. PRODUCTOS'!$AJ$8</f>
        <v>2</v>
      </c>
      <c r="BC28" s="350"/>
      <c r="BD28" s="399" t="s">
        <v>98</v>
      </c>
      <c r="BE28" s="400">
        <f>'2. PRODUCTOS'!$I$8</f>
        <v>4</v>
      </c>
      <c r="BF28" s="278">
        <f>'2. PRODUCTOS'!$AW$8</f>
        <v>3</v>
      </c>
      <c r="BG28" s="350"/>
      <c r="BH28" s="399" t="s">
        <v>98</v>
      </c>
      <c r="BI28" s="400">
        <f>'2. PRODUCTOS'!$J$8</f>
        <v>4</v>
      </c>
      <c r="BJ28" s="278">
        <f>'2. PRODUCTOS'!$BJ$8</f>
        <v>0</v>
      </c>
      <c r="BK28" s="350"/>
      <c r="BL28" s="350"/>
      <c r="BM28" s="373"/>
      <c r="BN28" s="207"/>
      <c r="BO28" s="403" t="s">
        <v>0</v>
      </c>
      <c r="BP28" s="404">
        <f>AX19</f>
        <v>0</v>
      </c>
      <c r="BQ28" s="220"/>
      <c r="BR28" s="405">
        <v>0</v>
      </c>
      <c r="BS28" s="406">
        <v>0.5</v>
      </c>
      <c r="BT28" s="406">
        <v>0.75</v>
      </c>
      <c r="BU28" s="407">
        <v>1.01</v>
      </c>
      <c r="BV28" s="220"/>
      <c r="BW28" s="220"/>
      <c r="BX28" s="221"/>
      <c r="BY28" s="209"/>
      <c r="BZ28" s="219"/>
      <c r="CA28" s="295"/>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1"/>
      <c r="CX28" s="210"/>
    </row>
    <row r="29" spans="4:102" ht="17.25" thickBot="1" x14ac:dyDescent="0.35">
      <c r="D29" s="364"/>
      <c r="E29" s="365"/>
      <c r="F29" s="365"/>
      <c r="G29" s="365"/>
      <c r="H29" s="365"/>
      <c r="I29" s="365"/>
      <c r="J29" s="365"/>
      <c r="K29" s="365"/>
      <c r="L29" s="365"/>
      <c r="M29" s="365"/>
      <c r="N29" s="365"/>
      <c r="O29" s="366"/>
      <c r="P29" s="206"/>
      <c r="Q29" s="378"/>
      <c r="R29" s="227"/>
      <c r="S29" s="220"/>
      <c r="T29" s="362"/>
      <c r="U29" s="362"/>
      <c r="V29" s="362"/>
      <c r="W29" s="362"/>
      <c r="X29" s="362"/>
      <c r="Y29" s="362"/>
      <c r="Z29" s="362"/>
      <c r="AA29" s="363"/>
      <c r="AB29" s="207"/>
      <c r="AC29" s="408" t="s">
        <v>54</v>
      </c>
      <c r="AD29" s="390" t="s">
        <v>55</v>
      </c>
      <c r="AE29" s="391" t="s">
        <v>85</v>
      </c>
      <c r="AF29" s="224"/>
      <c r="AG29" s="409" t="s">
        <v>95</v>
      </c>
      <c r="AH29" s="220"/>
      <c r="AI29" s="221"/>
      <c r="AJ29" s="208"/>
      <c r="AK29" s="372"/>
      <c r="AL29" s="922"/>
      <c r="AM29" s="410" t="s">
        <v>99</v>
      </c>
      <c r="AN29" s="411">
        <f>'2. PRODUCTOS'!$E$44</f>
        <v>3</v>
      </c>
      <c r="AO29" s="412">
        <f>'2. PRODUCTOS'!$BT$44</f>
        <v>2</v>
      </c>
      <c r="AP29" s="401" t="s">
        <v>153</v>
      </c>
      <c r="AQ29" s="413">
        <f>IFERROR(AO29/AN29,0)</f>
        <v>0.66666666666666663</v>
      </c>
      <c r="AR29" s="936"/>
      <c r="AS29" s="350"/>
      <c r="AT29" s="373"/>
      <c r="AU29" s="207"/>
      <c r="AV29" s="410" t="s">
        <v>99</v>
      </c>
      <c r="AW29" s="411">
        <f>'2. PRODUCTOS'!$G$44</f>
        <v>1</v>
      </c>
      <c r="AX29" s="412">
        <f>'2. PRODUCTOS'!$W$44</f>
        <v>2</v>
      </c>
      <c r="AY29" s="414"/>
      <c r="AZ29" s="410" t="s">
        <v>99</v>
      </c>
      <c r="BA29" s="411">
        <f>'2. PRODUCTOS'!$H$44</f>
        <v>2</v>
      </c>
      <c r="BB29" s="412">
        <f>'2. PRODUCTOS'!$AJ$44</f>
        <v>0</v>
      </c>
      <c r="BC29" s="350"/>
      <c r="BD29" s="410" t="s">
        <v>99</v>
      </c>
      <c r="BE29" s="411">
        <f>'2. PRODUCTOS'!$I$44</f>
        <v>3</v>
      </c>
      <c r="BF29" s="412">
        <f>'2. PRODUCTOS'!$AW$44</f>
        <v>0</v>
      </c>
      <c r="BG29" s="350"/>
      <c r="BH29" s="410" t="s">
        <v>99</v>
      </c>
      <c r="BI29" s="411">
        <f>'2. PRODUCTOS'!$J$44</f>
        <v>3</v>
      </c>
      <c r="BJ29" s="412">
        <f>'2. PRODUCTOS'!$BJ$44</f>
        <v>0</v>
      </c>
      <c r="BK29" s="350"/>
      <c r="BL29" s="350"/>
      <c r="BM29" s="373"/>
      <c r="BN29" s="207"/>
      <c r="BO29" s="415" t="s">
        <v>62</v>
      </c>
      <c r="BP29" s="416">
        <f>IFERROR(AVERAGE(BP28),0)</f>
        <v>0</v>
      </c>
      <c r="BQ29" s="220"/>
      <c r="BR29" s="304">
        <v>0.499</v>
      </c>
      <c r="BS29" s="305">
        <v>0.749</v>
      </c>
      <c r="BT29" s="305">
        <v>1</v>
      </c>
      <c r="BU29" s="306">
        <v>2</v>
      </c>
      <c r="BV29" s="220"/>
      <c r="BW29" s="220"/>
      <c r="BX29" s="221"/>
      <c r="BY29" s="209"/>
      <c r="BZ29" s="219"/>
      <c r="CA29" s="220"/>
      <c r="CB29" s="220"/>
      <c r="CC29" s="220"/>
      <c r="CD29" s="220"/>
      <c r="CE29" s="220"/>
      <c r="CF29" s="220"/>
      <c r="CG29" s="220"/>
      <c r="CH29" s="220"/>
      <c r="CI29" s="220"/>
      <c r="CJ29" s="220"/>
      <c r="CK29" s="220"/>
      <c r="CL29" s="220"/>
      <c r="CM29" s="220"/>
      <c r="CN29" s="220"/>
      <c r="CO29" s="220"/>
      <c r="CP29" s="220"/>
      <c r="CQ29" s="220"/>
      <c r="CR29" s="220"/>
      <c r="CS29" s="220"/>
      <c r="CT29" s="220"/>
      <c r="CU29" s="220"/>
      <c r="CV29" s="220"/>
      <c r="CW29" s="221"/>
      <c r="CX29" s="210"/>
    </row>
    <row r="30" spans="4:102" ht="17.25" thickBot="1" x14ac:dyDescent="0.35">
      <c r="D30" s="364"/>
      <c r="E30" s="365"/>
      <c r="F30" s="365"/>
      <c r="G30" s="365"/>
      <c r="H30" s="365"/>
      <c r="I30" s="365"/>
      <c r="J30" s="365"/>
      <c r="K30" s="365"/>
      <c r="L30" s="365"/>
      <c r="M30" s="365"/>
      <c r="N30" s="365"/>
      <c r="O30" s="366"/>
      <c r="P30" s="206"/>
      <c r="Q30" s="378"/>
      <c r="R30" s="227"/>
      <c r="S30" s="220"/>
      <c r="T30" s="362"/>
      <c r="U30" s="362"/>
      <c r="V30" s="362"/>
      <c r="W30" s="362"/>
      <c r="X30" s="362"/>
      <c r="Y30" s="362"/>
      <c r="Z30" s="362"/>
      <c r="AA30" s="363"/>
      <c r="AB30" s="207"/>
      <c r="AC30" s="379" t="s">
        <v>0</v>
      </c>
      <c r="AD30" s="380" t="e">
        <f>#REF!</f>
        <v>#REF!</v>
      </c>
      <c r="AE30" s="381" t="e">
        <f>#REF!</f>
        <v>#REF!</v>
      </c>
      <c r="AF30" s="220"/>
      <c r="AG30" s="270">
        <f>IFERROR(AE30/AD30,0)</f>
        <v>0</v>
      </c>
      <c r="AH30" s="220"/>
      <c r="AI30" s="221"/>
      <c r="AJ30" s="208"/>
      <c r="AK30" s="372"/>
      <c r="AL30" s="220"/>
      <c r="AM30" s="220"/>
      <c r="AN30" s="220"/>
      <c r="AO30" s="220"/>
      <c r="AP30" s="401"/>
      <c r="AQ30" s="220"/>
      <c r="AR30" s="220"/>
      <c r="AS30" s="350"/>
      <c r="AT30" s="373"/>
      <c r="AU30" s="207"/>
      <c r="AV30" s="417"/>
      <c r="AW30" s="382"/>
      <c r="AX30" s="382"/>
      <c r="AY30" s="350"/>
      <c r="AZ30" s="382"/>
      <c r="BA30" s="382"/>
      <c r="BB30" s="382"/>
      <c r="BC30" s="350"/>
      <c r="BD30" s="382"/>
      <c r="BE30" s="382"/>
      <c r="BF30" s="382"/>
      <c r="BG30" s="350"/>
      <c r="BH30" s="382"/>
      <c r="BI30" s="382"/>
      <c r="BJ30" s="382"/>
      <c r="BK30" s="350"/>
      <c r="BL30" s="350"/>
      <c r="BM30" s="373"/>
      <c r="BN30" s="207"/>
      <c r="BO30" s="219"/>
      <c r="BP30" s="220"/>
      <c r="BQ30" s="220"/>
      <c r="BR30" s="418" t="s">
        <v>68</v>
      </c>
      <c r="BS30" s="419" t="s">
        <v>69</v>
      </c>
      <c r="BT30" s="420" t="s">
        <v>70</v>
      </c>
      <c r="BU30" s="421" t="s">
        <v>71</v>
      </c>
      <c r="BV30" s="220"/>
      <c r="BW30" s="220"/>
      <c r="BX30" s="221"/>
      <c r="BY30" s="209"/>
      <c r="BZ30" s="219"/>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1"/>
      <c r="CX30" s="210"/>
    </row>
    <row r="31" spans="4:102" ht="17.25" thickBot="1" x14ac:dyDescent="0.35">
      <c r="D31" s="364"/>
      <c r="E31" s="365"/>
      <c r="F31" s="365"/>
      <c r="G31" s="365"/>
      <c r="H31" s="365"/>
      <c r="I31" s="365"/>
      <c r="J31" s="365"/>
      <c r="K31" s="365"/>
      <c r="L31" s="365"/>
      <c r="M31" s="365"/>
      <c r="N31" s="365"/>
      <c r="O31" s="366"/>
      <c r="P31" s="206"/>
      <c r="Q31" s="378"/>
      <c r="R31" s="227"/>
      <c r="S31" s="220"/>
      <c r="T31" s="362"/>
      <c r="U31" s="362"/>
      <c r="V31" s="362"/>
      <c r="W31" s="362"/>
      <c r="X31" s="362"/>
      <c r="Y31" s="362"/>
      <c r="Z31" s="362"/>
      <c r="AA31" s="363"/>
      <c r="AB31" s="207"/>
      <c r="AC31" s="292" t="s">
        <v>19</v>
      </c>
      <c r="AD31" s="293" t="e">
        <f>SUM(AD30)</f>
        <v>#REF!</v>
      </c>
      <c r="AE31" s="293" t="e">
        <f>SUM(AE30)</f>
        <v>#REF!</v>
      </c>
      <c r="AF31" s="220"/>
      <c r="AG31" s="294"/>
      <c r="AH31" s="220"/>
      <c r="AI31" s="221"/>
      <c r="AJ31" s="208"/>
      <c r="AK31" s="372"/>
      <c r="AL31" s="920" t="s">
        <v>103</v>
      </c>
      <c r="AM31" s="392" t="s">
        <v>1</v>
      </c>
      <c r="AN31" s="390" t="s">
        <v>60</v>
      </c>
      <c r="AO31" s="391" t="s">
        <v>61</v>
      </c>
      <c r="AP31" s="422"/>
      <c r="AQ31" s="247" t="s">
        <v>58</v>
      </c>
      <c r="AR31" s="247" t="s">
        <v>62</v>
      </c>
      <c r="AS31" s="350"/>
      <c r="AT31" s="373"/>
      <c r="AU31" s="207"/>
      <c r="AV31" s="392" t="s">
        <v>1</v>
      </c>
      <c r="AW31" s="247" t="s">
        <v>58</v>
      </c>
      <c r="AX31" s="247" t="s">
        <v>62</v>
      </c>
      <c r="AY31" s="350"/>
      <c r="AZ31" s="392" t="s">
        <v>1</v>
      </c>
      <c r="BA31" s="247" t="s">
        <v>58</v>
      </c>
      <c r="BB31" s="247" t="s">
        <v>62</v>
      </c>
      <c r="BC31" s="350"/>
      <c r="BD31" s="392" t="s">
        <v>1</v>
      </c>
      <c r="BE31" s="247" t="s">
        <v>58</v>
      </c>
      <c r="BF31" s="247" t="s">
        <v>62</v>
      </c>
      <c r="BG31" s="350"/>
      <c r="BH31" s="392" t="s">
        <v>1</v>
      </c>
      <c r="BI31" s="247" t="s">
        <v>58</v>
      </c>
      <c r="BJ31" s="247" t="s">
        <v>62</v>
      </c>
      <c r="BK31" s="350"/>
      <c r="BL31" s="350"/>
      <c r="BM31" s="373"/>
      <c r="BN31" s="207"/>
      <c r="BO31" s="219"/>
      <c r="BP31" s="343"/>
      <c r="BQ31" s="311" t="s">
        <v>80</v>
      </c>
      <c r="BR31" s="337">
        <f t="shared" ref="BR31:BU32" si="3">IF($BP28&gt;=BR$28,IF($BP28&lt;=BR$29,$BP28,NA()),NA())</f>
        <v>0</v>
      </c>
      <c r="BS31" s="337" t="e">
        <f t="shared" si="3"/>
        <v>#N/A</v>
      </c>
      <c r="BT31" s="337" t="e">
        <f t="shared" si="3"/>
        <v>#N/A</v>
      </c>
      <c r="BU31" s="337" t="e">
        <f t="shared" si="3"/>
        <v>#N/A</v>
      </c>
      <c r="BV31" s="220"/>
      <c r="BW31" s="220"/>
      <c r="BX31" s="221"/>
      <c r="BY31" s="209"/>
      <c r="BZ31" s="219"/>
      <c r="CA31" s="423" t="s">
        <v>87</v>
      </c>
      <c r="CB31" s="424">
        <f>CB27*PI()</f>
        <v>1.8801933366234342</v>
      </c>
      <c r="CC31" s="220"/>
      <c r="CD31" s="220"/>
      <c r="CE31" s="220"/>
      <c r="CF31" s="220"/>
      <c r="CG31" s="423" t="s">
        <v>87</v>
      </c>
      <c r="CH31" s="424">
        <f>CK27*PI()</f>
        <v>2.0776399415740499</v>
      </c>
      <c r="CI31" s="220"/>
      <c r="CJ31" s="220"/>
      <c r="CK31" s="220"/>
      <c r="CL31" s="220"/>
      <c r="CM31" s="423" t="s">
        <v>87</v>
      </c>
      <c r="CN31" s="424">
        <f>CQ27*PI()</f>
        <v>0.81157810217736315</v>
      </c>
      <c r="CO31" s="220"/>
      <c r="CP31" s="220"/>
      <c r="CQ31" s="220"/>
      <c r="CR31" s="220"/>
      <c r="CS31" s="423" t="s">
        <v>87</v>
      </c>
      <c r="CT31" s="424">
        <f>CW27*PI()</f>
        <v>1.5173456184525702</v>
      </c>
      <c r="CU31" s="220"/>
      <c r="CV31" s="220"/>
      <c r="CW31" s="221"/>
      <c r="CX31" s="210"/>
    </row>
    <row r="32" spans="4:102" ht="18" thickTop="1" thickBot="1" x14ac:dyDescent="0.35">
      <c r="D32" s="364"/>
      <c r="E32" s="365"/>
      <c r="F32" s="365"/>
      <c r="G32" s="365"/>
      <c r="H32" s="365"/>
      <c r="I32" s="365"/>
      <c r="J32" s="365"/>
      <c r="K32" s="365"/>
      <c r="L32" s="365"/>
      <c r="M32" s="365"/>
      <c r="N32" s="365"/>
      <c r="O32" s="366"/>
      <c r="P32" s="206"/>
      <c r="Q32" s="378"/>
      <c r="R32" s="227"/>
      <c r="S32" s="220"/>
      <c r="T32" s="362"/>
      <c r="U32" s="362"/>
      <c r="V32" s="362"/>
      <c r="W32" s="362"/>
      <c r="X32" s="362"/>
      <c r="Y32" s="362"/>
      <c r="Z32" s="362"/>
      <c r="AA32" s="363"/>
      <c r="AB32" s="207"/>
      <c r="AC32" s="219"/>
      <c r="AD32" s="220"/>
      <c r="AE32" s="220"/>
      <c r="AF32" s="220"/>
      <c r="AG32" s="220"/>
      <c r="AH32" s="220"/>
      <c r="AI32" s="221"/>
      <c r="AJ32" s="208"/>
      <c r="AK32" s="372"/>
      <c r="AL32" s="921"/>
      <c r="AM32" s="273" t="s">
        <v>104</v>
      </c>
      <c r="AN32" s="277">
        <f>'2. PRODUCTOS'!$E$62</f>
        <v>4</v>
      </c>
      <c r="AO32" s="278">
        <f>'2. PRODUCTOS'!$BT$62</f>
        <v>3</v>
      </c>
      <c r="AP32" s="425" t="s">
        <v>154</v>
      </c>
      <c r="AQ32" s="276">
        <f>IFERROR(AO32/AN32,0)</f>
        <v>0.75</v>
      </c>
      <c r="AR32" s="896">
        <f>AVERAGE(AQ32:AQ35)</f>
        <v>0.88749999999999996</v>
      </c>
      <c r="AS32" s="350"/>
      <c r="AT32" s="373"/>
      <c r="AU32" s="207"/>
      <c r="AV32" s="426" t="s">
        <v>98</v>
      </c>
      <c r="AW32" s="402">
        <f>IFERROR(AX28/AW28,0)</f>
        <v>2</v>
      </c>
      <c r="AX32" s="935">
        <f>AVERAGE(AW32:AW33)</f>
        <v>2</v>
      </c>
      <c r="AY32" s="350"/>
      <c r="AZ32" s="426" t="s">
        <v>98</v>
      </c>
      <c r="BA32" s="402">
        <f>IFERROR(BB28/BA28,0)</f>
        <v>1</v>
      </c>
      <c r="BB32" s="961">
        <f>AVERAGE(BA32:BA33)</f>
        <v>0.5</v>
      </c>
      <c r="BC32" s="350"/>
      <c r="BD32" s="426" t="s">
        <v>98</v>
      </c>
      <c r="BE32" s="402">
        <f>IFERROR(BF28/BE28,0)</f>
        <v>0.75</v>
      </c>
      <c r="BF32" s="961">
        <f>AVERAGE(BE32:BE33)</f>
        <v>0.375</v>
      </c>
      <c r="BG32" s="350"/>
      <c r="BH32" s="426" t="s">
        <v>98</v>
      </c>
      <c r="BI32" s="402">
        <f>IFERROR(BJ28/BI28,0)</f>
        <v>0</v>
      </c>
      <c r="BJ32" s="961">
        <f>AVERAGE(BI32:BI33)</f>
        <v>0</v>
      </c>
      <c r="BK32" s="350"/>
      <c r="BL32" s="350"/>
      <c r="BM32" s="373"/>
      <c r="BN32" s="207"/>
      <c r="BO32" s="219"/>
      <c r="BP32" s="347"/>
      <c r="BQ32" s="344" t="s">
        <v>62</v>
      </c>
      <c r="BR32" s="337">
        <f t="shared" si="3"/>
        <v>0</v>
      </c>
      <c r="BS32" s="337" t="e">
        <f t="shared" si="3"/>
        <v>#N/A</v>
      </c>
      <c r="BT32" s="337" t="e">
        <f t="shared" si="3"/>
        <v>#N/A</v>
      </c>
      <c r="BU32" s="337" t="e">
        <f t="shared" si="3"/>
        <v>#N/A</v>
      </c>
      <c r="BV32" s="220"/>
      <c r="BW32" s="220"/>
      <c r="BX32" s="221"/>
      <c r="BY32" s="209"/>
      <c r="BZ32" s="427"/>
      <c r="CA32" s="220"/>
      <c r="CB32" s="220"/>
      <c r="CC32" s="220"/>
      <c r="CD32" s="220"/>
      <c r="CE32" s="220"/>
      <c r="CF32" s="220"/>
      <c r="CG32" s="220"/>
      <c r="CH32" s="220"/>
      <c r="CI32" s="220"/>
      <c r="CJ32" s="428"/>
      <c r="CK32" s="220"/>
      <c r="CL32" s="220"/>
      <c r="CM32" s="220"/>
      <c r="CN32" s="220"/>
      <c r="CO32" s="220"/>
      <c r="CP32" s="220"/>
      <c r="CQ32" s="220"/>
      <c r="CR32" s="220"/>
      <c r="CS32" s="220"/>
      <c r="CT32" s="220"/>
      <c r="CU32" s="220"/>
      <c r="CV32" s="220"/>
      <c r="CW32" s="221"/>
      <c r="CX32" s="210"/>
    </row>
    <row r="33" spans="4:102" ht="17.25" thickBot="1" x14ac:dyDescent="0.35">
      <c r="D33" s="364"/>
      <c r="E33" s="365"/>
      <c r="F33" s="365"/>
      <c r="G33" s="365"/>
      <c r="H33" s="365"/>
      <c r="I33" s="365"/>
      <c r="J33" s="365"/>
      <c r="K33" s="365"/>
      <c r="L33" s="365"/>
      <c r="M33" s="365"/>
      <c r="N33" s="365"/>
      <c r="O33" s="366"/>
      <c r="P33" s="206"/>
      <c r="Q33" s="378"/>
      <c r="R33" s="227"/>
      <c r="S33" s="220"/>
      <c r="T33" s="362"/>
      <c r="U33" s="362"/>
      <c r="V33" s="362"/>
      <c r="W33" s="362"/>
      <c r="X33" s="362"/>
      <c r="Y33" s="362"/>
      <c r="Z33" s="362"/>
      <c r="AA33" s="363"/>
      <c r="AB33" s="207"/>
      <c r="AC33" s="239" t="s">
        <v>54</v>
      </c>
      <c r="AD33" s="245" t="s">
        <v>55</v>
      </c>
      <c r="AE33" s="246" t="s">
        <v>94</v>
      </c>
      <c r="AF33" s="224"/>
      <c r="AG33" s="242" t="s">
        <v>493</v>
      </c>
      <c r="AH33" s="220"/>
      <c r="AI33" s="221"/>
      <c r="AJ33" s="208"/>
      <c r="AK33" s="372"/>
      <c r="AL33" s="921"/>
      <c r="AM33" s="297" t="s">
        <v>106</v>
      </c>
      <c r="AN33" s="298">
        <f>'2. PRODUCTOS'!$E$74</f>
        <v>3</v>
      </c>
      <c r="AO33" s="429">
        <f>'2. PRODUCTOS'!$BT$74</f>
        <v>3</v>
      </c>
      <c r="AP33" s="425" t="s">
        <v>155</v>
      </c>
      <c r="AQ33" s="270">
        <f>IFERROR(AO33/AN33,0)</f>
        <v>1</v>
      </c>
      <c r="AR33" s="897"/>
      <c r="AS33" s="350"/>
      <c r="AT33" s="373"/>
      <c r="AU33" s="207"/>
      <c r="AV33" s="430" t="s">
        <v>99</v>
      </c>
      <c r="AW33" s="413">
        <f>IFERROR(AX29/AW29,0)</f>
        <v>2</v>
      </c>
      <c r="AX33" s="936"/>
      <c r="AY33" s="350"/>
      <c r="AZ33" s="430" t="s">
        <v>99</v>
      </c>
      <c r="BA33" s="413">
        <f>IFERROR(BB29/BA29,0)</f>
        <v>0</v>
      </c>
      <c r="BB33" s="963"/>
      <c r="BC33" s="350"/>
      <c r="BD33" s="430" t="s">
        <v>99</v>
      </c>
      <c r="BE33" s="413">
        <f>IFERROR(BF29/BE29,0)</f>
        <v>0</v>
      </c>
      <c r="BF33" s="963"/>
      <c r="BG33" s="350"/>
      <c r="BH33" s="430" t="s">
        <v>99</v>
      </c>
      <c r="BI33" s="413">
        <f>IFERROR(BJ29/BI29,0)</f>
        <v>0</v>
      </c>
      <c r="BJ33" s="963"/>
      <c r="BK33" s="350"/>
      <c r="BL33" s="350"/>
      <c r="BM33" s="373"/>
      <c r="BN33" s="207"/>
      <c r="BO33" s="219"/>
      <c r="BP33" s="343"/>
      <c r="BQ33" s="220"/>
      <c r="BR33" s="220"/>
      <c r="BS33" s="220"/>
      <c r="BT33" s="220"/>
      <c r="BU33" s="220"/>
      <c r="BV33" s="220"/>
      <c r="BW33" s="220"/>
      <c r="BX33" s="221"/>
      <c r="BY33" s="209"/>
      <c r="BZ33" s="219"/>
      <c r="CA33" s="431" t="s">
        <v>88</v>
      </c>
      <c r="CB33" s="432" t="s">
        <v>89</v>
      </c>
      <c r="CC33" s="433" t="s">
        <v>90</v>
      </c>
      <c r="CD33" s="220"/>
      <c r="CE33" s="220"/>
      <c r="CF33" s="220"/>
      <c r="CG33" s="431" t="s">
        <v>88</v>
      </c>
      <c r="CH33" s="432" t="s">
        <v>89</v>
      </c>
      <c r="CI33" s="433" t="s">
        <v>90</v>
      </c>
      <c r="CJ33" s="220"/>
      <c r="CK33" s="220"/>
      <c r="CL33" s="220"/>
      <c r="CM33" s="431" t="s">
        <v>88</v>
      </c>
      <c r="CN33" s="432" t="s">
        <v>89</v>
      </c>
      <c r="CO33" s="433" t="s">
        <v>90</v>
      </c>
      <c r="CP33" s="220"/>
      <c r="CQ33" s="220"/>
      <c r="CR33" s="220"/>
      <c r="CS33" s="431" t="s">
        <v>88</v>
      </c>
      <c r="CT33" s="432" t="s">
        <v>89</v>
      </c>
      <c r="CU33" s="433" t="s">
        <v>90</v>
      </c>
      <c r="CV33" s="220"/>
      <c r="CW33" s="221"/>
      <c r="CX33" s="210"/>
    </row>
    <row r="34" spans="4:102" ht="17.25" thickBot="1" x14ac:dyDescent="0.35">
      <c r="D34" s="364"/>
      <c r="E34" s="365"/>
      <c r="F34" s="365"/>
      <c r="G34" s="365"/>
      <c r="H34" s="365"/>
      <c r="I34" s="365"/>
      <c r="J34" s="365"/>
      <c r="K34" s="365"/>
      <c r="L34" s="365"/>
      <c r="M34" s="365"/>
      <c r="N34" s="365"/>
      <c r="O34" s="366"/>
      <c r="P34" s="206"/>
      <c r="Q34" s="378"/>
      <c r="R34" s="227"/>
      <c r="S34" s="220"/>
      <c r="T34" s="362"/>
      <c r="U34" s="362"/>
      <c r="V34" s="362"/>
      <c r="W34" s="362"/>
      <c r="X34" s="362"/>
      <c r="Y34" s="362"/>
      <c r="Z34" s="362"/>
      <c r="AA34" s="363"/>
      <c r="AB34" s="207"/>
      <c r="AC34" s="279" t="s">
        <v>0</v>
      </c>
      <c r="AD34" s="434" t="e">
        <f>#REF!</f>
        <v>#REF!</v>
      </c>
      <c r="AE34" s="435" t="e">
        <f>#REF!</f>
        <v>#REF!</v>
      </c>
      <c r="AF34" s="220"/>
      <c r="AG34" s="270">
        <f>IFERROR(AE34/AD34,0)</f>
        <v>0</v>
      </c>
      <c r="AH34" s="220"/>
      <c r="AI34" s="221"/>
      <c r="AJ34" s="208"/>
      <c r="AK34" s="372"/>
      <c r="AL34" s="921"/>
      <c r="AM34" s="297" t="s">
        <v>107</v>
      </c>
      <c r="AN34" s="298">
        <f>'2. PRODUCTOS'!$E$86</f>
        <v>50</v>
      </c>
      <c r="AO34" s="301">
        <f>'2. PRODUCTOS'!$BT$86</f>
        <v>40</v>
      </c>
      <c r="AP34" s="425" t="s">
        <v>156</v>
      </c>
      <c r="AQ34" s="270">
        <f>IFERROR(AO34/AN34,0)</f>
        <v>0.8</v>
      </c>
      <c r="AR34" s="897"/>
      <c r="AS34" s="350"/>
      <c r="AT34" s="373"/>
      <c r="AU34" s="207"/>
      <c r="AV34" s="372"/>
      <c r="AW34" s="350"/>
      <c r="AX34" s="350"/>
      <c r="AY34" s="350"/>
      <c r="AZ34" s="350"/>
      <c r="BA34" s="350"/>
      <c r="BB34" s="350"/>
      <c r="BC34" s="350"/>
      <c r="BD34" s="350"/>
      <c r="BE34" s="350"/>
      <c r="BF34" s="350"/>
      <c r="BG34" s="350"/>
      <c r="BH34" s="350"/>
      <c r="BI34" s="350"/>
      <c r="BJ34" s="350"/>
      <c r="BK34" s="350"/>
      <c r="BL34" s="350"/>
      <c r="BM34" s="373"/>
      <c r="BN34" s="207"/>
      <c r="BO34" s="955">
        <v>2018</v>
      </c>
      <c r="BP34" s="956"/>
      <c r="BQ34" s="956"/>
      <c r="BR34" s="956"/>
      <c r="BS34" s="956"/>
      <c r="BT34" s="956"/>
      <c r="BU34" s="956"/>
      <c r="BV34" s="956"/>
      <c r="BW34" s="956"/>
      <c r="BX34" s="957"/>
      <c r="BY34" s="209"/>
      <c r="BZ34" s="219"/>
      <c r="CA34" s="436" t="s">
        <v>91</v>
      </c>
      <c r="CB34" s="437">
        <v>0</v>
      </c>
      <c r="CC34" s="438">
        <v>0</v>
      </c>
      <c r="CD34" s="220"/>
      <c r="CE34" s="220"/>
      <c r="CF34" s="220"/>
      <c r="CG34" s="436" t="s">
        <v>91</v>
      </c>
      <c r="CH34" s="437">
        <v>0</v>
      </c>
      <c r="CI34" s="438">
        <v>0</v>
      </c>
      <c r="CJ34" s="220"/>
      <c r="CK34" s="220"/>
      <c r="CL34" s="220"/>
      <c r="CM34" s="436" t="s">
        <v>91</v>
      </c>
      <c r="CN34" s="437">
        <v>0</v>
      </c>
      <c r="CO34" s="438">
        <v>0</v>
      </c>
      <c r="CP34" s="220"/>
      <c r="CQ34" s="220"/>
      <c r="CR34" s="220"/>
      <c r="CS34" s="436" t="s">
        <v>91</v>
      </c>
      <c r="CT34" s="437">
        <v>0</v>
      </c>
      <c r="CU34" s="438">
        <v>0</v>
      </c>
      <c r="CV34" s="220"/>
      <c r="CW34" s="221"/>
      <c r="CX34" s="210"/>
    </row>
    <row r="35" spans="4:102" ht="21" thickBot="1" x14ac:dyDescent="0.35">
      <c r="D35" s="863" t="s">
        <v>76</v>
      </c>
      <c r="E35" s="864"/>
      <c r="F35" s="864"/>
      <c r="G35" s="864"/>
      <c r="H35" s="864"/>
      <c r="I35" s="864"/>
      <c r="J35" s="864"/>
      <c r="K35" s="864"/>
      <c r="L35" s="864"/>
      <c r="M35" s="864"/>
      <c r="N35" s="864"/>
      <c r="O35" s="865"/>
      <c r="P35" s="206"/>
      <c r="Q35" s="851" t="s">
        <v>76</v>
      </c>
      <c r="R35" s="852"/>
      <c r="S35" s="852"/>
      <c r="T35" s="852"/>
      <c r="U35" s="852"/>
      <c r="V35" s="852"/>
      <c r="W35" s="852"/>
      <c r="X35" s="852"/>
      <c r="Y35" s="852"/>
      <c r="Z35" s="852"/>
      <c r="AA35" s="853"/>
      <c r="AB35" s="207"/>
      <c r="AC35" s="292" t="s">
        <v>19</v>
      </c>
      <c r="AD35" s="293" t="e">
        <f>SUM(AD34)</f>
        <v>#REF!</v>
      </c>
      <c r="AE35" s="293" t="e">
        <f>SUM(AE34)</f>
        <v>#REF!</v>
      </c>
      <c r="AF35" s="220"/>
      <c r="AG35" s="294"/>
      <c r="AH35" s="220"/>
      <c r="AI35" s="221"/>
      <c r="AJ35" s="208"/>
      <c r="AK35" s="372"/>
      <c r="AL35" s="922"/>
      <c r="AM35" s="317" t="s">
        <v>110</v>
      </c>
      <c r="AN35" s="439">
        <f>'2. PRODUCTOS'!$E$98</f>
        <v>2</v>
      </c>
      <c r="AO35" s="440">
        <f>'2. PRODUCTOS'!$BT$98</f>
        <v>2</v>
      </c>
      <c r="AP35" s="425" t="s">
        <v>157</v>
      </c>
      <c r="AQ35" s="342">
        <f>IFERROR(AO35/AN35,0)</f>
        <v>1</v>
      </c>
      <c r="AR35" s="898"/>
      <c r="AS35" s="350"/>
      <c r="AT35" s="373"/>
      <c r="AU35" s="207"/>
      <c r="AV35" s="372"/>
      <c r="AW35" s="350"/>
      <c r="AX35" s="350"/>
      <c r="AY35" s="350"/>
      <c r="AZ35" s="350"/>
      <c r="BA35" s="350"/>
      <c r="BB35" s="350"/>
      <c r="BC35" s="350"/>
      <c r="BD35" s="350"/>
      <c r="BE35" s="350"/>
      <c r="BF35" s="350"/>
      <c r="BG35" s="350"/>
      <c r="BH35" s="350"/>
      <c r="BI35" s="350"/>
      <c r="BJ35" s="350"/>
      <c r="BK35" s="350"/>
      <c r="BL35" s="350"/>
      <c r="BM35" s="373"/>
      <c r="BN35" s="207"/>
      <c r="BO35" s="219"/>
      <c r="BP35" s="220"/>
      <c r="BQ35" s="220"/>
      <c r="BR35" s="220"/>
      <c r="BS35" s="220"/>
      <c r="BT35" s="220"/>
      <c r="BU35" s="220"/>
      <c r="BV35" s="220"/>
      <c r="BW35" s="220"/>
      <c r="BX35" s="221"/>
      <c r="BY35" s="209"/>
      <c r="BZ35" s="219"/>
      <c r="CA35" s="441" t="s">
        <v>93</v>
      </c>
      <c r="CB35" s="439">
        <f>-COS(CB31)</f>
        <v>0.30448433323642465</v>
      </c>
      <c r="CC35" s="442">
        <f>SIN(CB31)</f>
        <v>0.95251734410118216</v>
      </c>
      <c r="CD35" s="220"/>
      <c r="CE35" s="220"/>
      <c r="CF35" s="220"/>
      <c r="CG35" s="441" t="s">
        <v>93</v>
      </c>
      <c r="CH35" s="439">
        <f>-COS(CH31)</f>
        <v>0.4854201017952739</v>
      </c>
      <c r="CI35" s="442">
        <f>SIN(CH31)</f>
        <v>0.87428103306263361</v>
      </c>
      <c r="CJ35" s="220"/>
      <c r="CK35" s="220"/>
      <c r="CL35" s="220"/>
      <c r="CM35" s="441" t="s">
        <v>93</v>
      </c>
      <c r="CN35" s="439">
        <f>-COS(CN31)</f>
        <v>-0.68835457569375402</v>
      </c>
      <c r="CO35" s="442">
        <f>SIN(CN31)</f>
        <v>0.72537437101228752</v>
      </c>
      <c r="CP35" s="220"/>
      <c r="CQ35" s="220"/>
      <c r="CR35" s="220"/>
      <c r="CS35" s="441" t="s">
        <v>93</v>
      </c>
      <c r="CT35" s="439">
        <f>-COS(CT31)</f>
        <v>-5.3425260726145965E-2</v>
      </c>
      <c r="CU35" s="442">
        <f>SIN(CT31)</f>
        <v>0.9985718509533219</v>
      </c>
      <c r="CV35" s="220"/>
      <c r="CW35" s="221"/>
      <c r="CX35" s="210"/>
    </row>
    <row r="36" spans="4:102" ht="17.25" thickBot="1" x14ac:dyDescent="0.35">
      <c r="D36" s="364"/>
      <c r="E36" s="365"/>
      <c r="F36" s="365"/>
      <c r="G36" s="365"/>
      <c r="H36" s="365"/>
      <c r="I36" s="365"/>
      <c r="J36" s="365"/>
      <c r="K36" s="365"/>
      <c r="L36" s="365"/>
      <c r="M36" s="365"/>
      <c r="N36" s="365"/>
      <c r="O36" s="366"/>
      <c r="P36" s="206"/>
      <c r="Q36" s="378"/>
      <c r="R36" s="227"/>
      <c r="S36" s="220"/>
      <c r="T36" s="362"/>
      <c r="U36" s="362"/>
      <c r="V36" s="362"/>
      <c r="W36" s="362"/>
      <c r="X36" s="362"/>
      <c r="Y36" s="362"/>
      <c r="Z36" s="362"/>
      <c r="AA36" s="363"/>
      <c r="AB36" s="207"/>
      <c r="AC36" s="226"/>
      <c r="AD36" s="398"/>
      <c r="AE36" s="398"/>
      <c r="AF36" s="398"/>
      <c r="AG36" s="443"/>
      <c r="AH36" s="220"/>
      <c r="AI36" s="221"/>
      <c r="AJ36" s="208"/>
      <c r="AK36" s="372"/>
      <c r="AL36" s="220"/>
      <c r="AM36" s="220"/>
      <c r="AN36" s="220"/>
      <c r="AO36" s="220"/>
      <c r="AP36" s="401"/>
      <c r="AQ36" s="220"/>
      <c r="AR36" s="220"/>
      <c r="AS36" s="350"/>
      <c r="AT36" s="373"/>
      <c r="AU36" s="207"/>
      <c r="AV36" s="372"/>
      <c r="AW36" s="350"/>
      <c r="AX36" s="350"/>
      <c r="AY36" s="350"/>
      <c r="AZ36" s="350"/>
      <c r="BA36" s="350"/>
      <c r="BB36" s="350"/>
      <c r="BC36" s="350"/>
      <c r="BD36" s="350"/>
      <c r="BE36" s="350"/>
      <c r="BF36" s="350"/>
      <c r="BG36" s="350"/>
      <c r="BH36" s="350"/>
      <c r="BI36" s="350"/>
      <c r="BJ36" s="350"/>
      <c r="BK36" s="350"/>
      <c r="BL36" s="350"/>
      <c r="BM36" s="373"/>
      <c r="BN36" s="207"/>
      <c r="BO36" s="249" t="s">
        <v>54</v>
      </c>
      <c r="BP36" s="250" t="s">
        <v>66</v>
      </c>
      <c r="BQ36" s="220"/>
      <c r="BR36" s="251" t="s">
        <v>47</v>
      </c>
      <c r="BS36" s="252"/>
      <c r="BT36" s="252"/>
      <c r="BU36" s="253"/>
      <c r="BV36" s="220"/>
      <c r="BW36" s="220"/>
      <c r="BX36" s="221"/>
      <c r="BY36" s="209"/>
      <c r="BZ36" s="219"/>
      <c r="CA36" s="227"/>
      <c r="CB36" s="227"/>
      <c r="CC36" s="444"/>
      <c r="CD36" s="220"/>
      <c r="CE36" s="220"/>
      <c r="CF36" s="227"/>
      <c r="CG36" s="227"/>
      <c r="CH36" s="444"/>
      <c r="CI36" s="220"/>
      <c r="CJ36" s="220"/>
      <c r="CK36" s="220"/>
      <c r="CL36" s="220"/>
      <c r="CM36" s="220"/>
      <c r="CN36" s="220"/>
      <c r="CO36" s="220"/>
      <c r="CP36" s="220"/>
      <c r="CQ36" s="220"/>
      <c r="CR36" s="220"/>
      <c r="CS36" s="220"/>
      <c r="CT36" s="220"/>
      <c r="CU36" s="220"/>
      <c r="CV36" s="220"/>
      <c r="CW36" s="221"/>
      <c r="CX36" s="210"/>
    </row>
    <row r="37" spans="4:102" ht="24.75" customHeight="1" thickBot="1" x14ac:dyDescent="0.35">
      <c r="D37" s="364"/>
      <c r="E37" s="220"/>
      <c r="F37" s="220"/>
      <c r="G37" s="220"/>
      <c r="H37" s="220"/>
      <c r="I37" s="220"/>
      <c r="J37" s="220"/>
      <c r="K37" s="220"/>
      <c r="L37" s="365"/>
      <c r="M37" s="365"/>
      <c r="N37" s="365"/>
      <c r="O37" s="366"/>
      <c r="P37" s="206"/>
      <c r="Q37" s="223"/>
      <c r="R37" s="228" t="s">
        <v>44</v>
      </c>
      <c r="S37" s="229" t="s">
        <v>45</v>
      </c>
      <c r="T37" s="220"/>
      <c r="U37" s="854"/>
      <c r="V37" s="854"/>
      <c r="W37" s="854"/>
      <c r="X37" s="854"/>
      <c r="Y37" s="362"/>
      <c r="Z37" s="362"/>
      <c r="AA37" s="363"/>
      <c r="AB37" s="207"/>
      <c r="AC37" s="239" t="s">
        <v>54</v>
      </c>
      <c r="AD37" s="245" t="s">
        <v>55</v>
      </c>
      <c r="AE37" s="246" t="s">
        <v>492</v>
      </c>
      <c r="AF37" s="224"/>
      <c r="AG37" s="242" t="s">
        <v>494</v>
      </c>
      <c r="AH37" s="220"/>
      <c r="AI37" s="221"/>
      <c r="AJ37" s="208"/>
      <c r="AK37" s="372"/>
      <c r="AL37" s="923" t="s">
        <v>113</v>
      </c>
      <c r="AM37" s="392" t="s">
        <v>1</v>
      </c>
      <c r="AN37" s="390" t="s">
        <v>60</v>
      </c>
      <c r="AO37" s="391" t="s">
        <v>61</v>
      </c>
      <c r="AP37" s="445"/>
      <c r="AQ37" s="247" t="s">
        <v>58</v>
      </c>
      <c r="AR37" s="247" t="s">
        <v>62</v>
      </c>
      <c r="AS37" s="350"/>
      <c r="AT37" s="373"/>
      <c r="AU37" s="207"/>
      <c r="AV37" s="971" t="s">
        <v>513</v>
      </c>
      <c r="AW37" s="972"/>
      <c r="AX37" s="972"/>
      <c r="AY37" s="972"/>
      <c r="AZ37" s="972"/>
      <c r="BA37" s="972"/>
      <c r="BB37" s="972"/>
      <c r="BC37" s="972"/>
      <c r="BD37" s="972"/>
      <c r="BE37" s="972"/>
      <c r="BF37" s="972"/>
      <c r="BG37" s="972"/>
      <c r="BH37" s="972"/>
      <c r="BI37" s="972"/>
      <c r="BJ37" s="972"/>
      <c r="BK37" s="972"/>
      <c r="BL37" s="972"/>
      <c r="BM37" s="973"/>
      <c r="BN37" s="207"/>
      <c r="BO37" s="279" t="s">
        <v>0</v>
      </c>
      <c r="BP37" s="280">
        <f>$BB$19</f>
        <v>0</v>
      </c>
      <c r="BQ37" s="220"/>
      <c r="BR37" s="281">
        <v>0</v>
      </c>
      <c r="BS37" s="282">
        <v>0.5</v>
      </c>
      <c r="BT37" s="282">
        <v>0.75</v>
      </c>
      <c r="BU37" s="283">
        <v>1.01</v>
      </c>
      <c r="BV37" s="220"/>
      <c r="BW37" s="220"/>
      <c r="BX37" s="221"/>
      <c r="BY37" s="209"/>
      <c r="BZ37" s="446"/>
      <c r="CA37" s="447"/>
      <c r="CB37" s="447"/>
      <c r="CC37" s="448"/>
      <c r="CD37" s="449"/>
      <c r="CE37" s="449"/>
      <c r="CF37" s="447"/>
      <c r="CG37" s="447"/>
      <c r="CH37" s="448"/>
      <c r="CI37" s="449"/>
      <c r="CJ37" s="449"/>
      <c r="CK37" s="449"/>
      <c r="CL37" s="449"/>
      <c r="CM37" s="449"/>
      <c r="CN37" s="449"/>
      <c r="CO37" s="449"/>
      <c r="CP37" s="449"/>
      <c r="CQ37" s="449"/>
      <c r="CR37" s="449"/>
      <c r="CS37" s="449"/>
      <c r="CT37" s="449"/>
      <c r="CU37" s="449"/>
      <c r="CV37" s="449"/>
      <c r="CW37" s="450"/>
      <c r="CX37" s="210"/>
    </row>
    <row r="38" spans="4:102" ht="17.25" thickBot="1" x14ac:dyDescent="0.35">
      <c r="D38" s="364"/>
      <c r="E38" s="230" t="s">
        <v>46</v>
      </c>
      <c r="F38" s="451" t="e">
        <f>#REF!</f>
        <v>#REF!</v>
      </c>
      <c r="G38" s="220"/>
      <c r="H38" s="869" t="s">
        <v>47</v>
      </c>
      <c r="I38" s="870"/>
      <c r="J38" s="870"/>
      <c r="K38" s="871"/>
      <c r="L38" s="365"/>
      <c r="M38" s="365"/>
      <c r="N38" s="365"/>
      <c r="O38" s="366"/>
      <c r="P38" s="206"/>
      <c r="Q38" s="230" t="s">
        <v>46</v>
      </c>
      <c r="R38" s="232" t="e">
        <f>#REF!</f>
        <v>#REF!</v>
      </c>
      <c r="S38" s="451" t="e">
        <f>#REF!</f>
        <v>#REF!</v>
      </c>
      <c r="T38" s="220"/>
      <c r="U38" s="845" t="s">
        <v>47</v>
      </c>
      <c r="V38" s="846"/>
      <c r="W38" s="846"/>
      <c r="X38" s="847"/>
      <c r="Y38" s="362"/>
      <c r="Z38" s="362"/>
      <c r="AA38" s="363"/>
      <c r="AB38" s="207"/>
      <c r="AC38" s="279" t="s">
        <v>0</v>
      </c>
      <c r="AD38" s="434" t="e">
        <f>#REF!</f>
        <v>#REF!</v>
      </c>
      <c r="AE38" s="435" t="e">
        <f>#REF!</f>
        <v>#REF!</v>
      </c>
      <c r="AF38" s="220"/>
      <c r="AG38" s="294">
        <f>IFERROR(AE38/AD38,0)</f>
        <v>0</v>
      </c>
      <c r="AH38" s="220"/>
      <c r="AI38" s="221"/>
      <c r="AJ38" s="208"/>
      <c r="AK38" s="372"/>
      <c r="AL38" s="924"/>
      <c r="AM38" s="273" t="s">
        <v>116</v>
      </c>
      <c r="AN38" s="277">
        <f>'2. PRODUCTOS'!$E$116</f>
        <v>4</v>
      </c>
      <c r="AO38" s="278">
        <f>'2. PRODUCTOS'!$BT$116</f>
        <v>4</v>
      </c>
      <c r="AP38" s="425" t="s">
        <v>158</v>
      </c>
      <c r="AQ38" s="276">
        <f>IFERROR(AO38/AN38,0)</f>
        <v>1</v>
      </c>
      <c r="AR38" s="926">
        <f>AVERAGE(AQ38:AQ41)</f>
        <v>0.66666666666666663</v>
      </c>
      <c r="AS38" s="350"/>
      <c r="AT38" s="373"/>
      <c r="AU38" s="207"/>
      <c r="AV38" s="372"/>
      <c r="AW38" s="350"/>
      <c r="AX38" s="350"/>
      <c r="AY38" s="350"/>
      <c r="AZ38" s="350"/>
      <c r="BA38" s="350"/>
      <c r="BB38" s="350"/>
      <c r="BC38" s="350"/>
      <c r="BD38" s="350"/>
      <c r="BE38" s="350"/>
      <c r="BF38" s="350"/>
      <c r="BG38" s="350"/>
      <c r="BH38" s="350"/>
      <c r="BI38" s="350"/>
      <c r="BJ38" s="350"/>
      <c r="BK38" s="350"/>
      <c r="BL38" s="350"/>
      <c r="BM38" s="373"/>
      <c r="BN38" s="207"/>
      <c r="BO38" s="302" t="s">
        <v>62</v>
      </c>
      <c r="BP38" s="303">
        <f>IFERROR(AVERAGE(BP37),0)</f>
        <v>0</v>
      </c>
      <c r="BQ38" s="220"/>
      <c r="BR38" s="304">
        <v>0.499</v>
      </c>
      <c r="BS38" s="305">
        <v>0.749</v>
      </c>
      <c r="BT38" s="305">
        <v>1</v>
      </c>
      <c r="BU38" s="306">
        <v>2</v>
      </c>
      <c r="BV38" s="220"/>
      <c r="BW38" s="220"/>
      <c r="BX38" s="221"/>
      <c r="BY38" s="209"/>
      <c r="BZ38" s="210"/>
      <c r="CA38" s="452"/>
      <c r="CB38" s="452"/>
      <c r="CC38" s="453"/>
      <c r="CD38" s="210"/>
      <c r="CE38" s="210"/>
      <c r="CF38" s="452"/>
      <c r="CG38" s="452"/>
      <c r="CH38" s="453"/>
      <c r="CI38" s="210"/>
      <c r="CJ38" s="210"/>
      <c r="CK38" s="210"/>
      <c r="CL38" s="210"/>
      <c r="CM38" s="210"/>
      <c r="CN38" s="210"/>
      <c r="CO38" s="210"/>
      <c r="CP38" s="210"/>
      <c r="CQ38" s="210"/>
      <c r="CR38" s="210"/>
      <c r="CS38" s="210"/>
      <c r="CT38" s="210"/>
      <c r="CU38" s="210"/>
      <c r="CV38" s="210"/>
      <c r="CW38" s="210"/>
      <c r="CX38" s="210"/>
    </row>
    <row r="39" spans="4:102" ht="17.25" thickBot="1" x14ac:dyDescent="0.35">
      <c r="D39" s="364"/>
      <c r="E39" s="234" t="s">
        <v>52</v>
      </c>
      <c r="F39" s="454" t="e">
        <f>#REF!</f>
        <v>#REF!</v>
      </c>
      <c r="G39" s="220"/>
      <c r="H39" s="236">
        <v>0</v>
      </c>
      <c r="I39" s="236">
        <v>0.5</v>
      </c>
      <c r="J39" s="236">
        <v>0.75</v>
      </c>
      <c r="K39" s="236">
        <v>1.0009999999999999</v>
      </c>
      <c r="L39" s="365"/>
      <c r="M39" s="365"/>
      <c r="N39" s="365"/>
      <c r="O39" s="366"/>
      <c r="P39" s="206"/>
      <c r="Q39" s="234" t="s">
        <v>52</v>
      </c>
      <c r="R39" s="237" t="e">
        <f>#REF!</f>
        <v>#REF!</v>
      </c>
      <c r="S39" s="454" t="e">
        <f>#REF!</f>
        <v>#REF!</v>
      </c>
      <c r="T39" s="220"/>
      <c r="U39" s="236">
        <v>0</v>
      </c>
      <c r="V39" s="236">
        <v>0.5</v>
      </c>
      <c r="W39" s="236">
        <v>0.75</v>
      </c>
      <c r="X39" s="236">
        <v>1.0009999999999999</v>
      </c>
      <c r="Y39" s="362"/>
      <c r="Z39" s="362"/>
      <c r="AA39" s="363"/>
      <c r="AB39" s="207"/>
      <c r="AC39" s="292" t="s">
        <v>19</v>
      </c>
      <c r="AD39" s="293" t="e">
        <f>SUM(AD38)</f>
        <v>#REF!</v>
      </c>
      <c r="AE39" s="293" t="e">
        <f>SUM(AE38)</f>
        <v>#REF!</v>
      </c>
      <c r="AF39" s="220"/>
      <c r="AH39" s="220"/>
      <c r="AI39" s="221"/>
      <c r="AJ39" s="208"/>
      <c r="AK39" s="372"/>
      <c r="AL39" s="924"/>
      <c r="AM39" s="297" t="s">
        <v>119</v>
      </c>
      <c r="AN39" s="298">
        <f>'2. PRODUCTOS'!$E$128</f>
        <v>3</v>
      </c>
      <c r="AO39" s="301">
        <f>'2. PRODUCTOS'!$BT$128</f>
        <v>2</v>
      </c>
      <c r="AP39" s="425" t="s">
        <v>159</v>
      </c>
      <c r="AQ39" s="270">
        <f>IFERROR(AO39/AN39,0)</f>
        <v>0.66666666666666663</v>
      </c>
      <c r="AR39" s="927"/>
      <c r="AS39" s="350"/>
      <c r="AT39" s="373"/>
      <c r="AU39" s="207"/>
      <c r="AV39" s="392" t="s">
        <v>1</v>
      </c>
      <c r="AW39" s="390" t="s">
        <v>60</v>
      </c>
      <c r="AX39" s="391" t="s">
        <v>63</v>
      </c>
      <c r="AY39" s="350"/>
      <c r="AZ39" s="392" t="s">
        <v>1</v>
      </c>
      <c r="BA39" s="390" t="s">
        <v>60</v>
      </c>
      <c r="BB39" s="391" t="s">
        <v>64</v>
      </c>
      <c r="BC39" s="350"/>
      <c r="BD39" s="392" t="s">
        <v>1</v>
      </c>
      <c r="BE39" s="390" t="s">
        <v>60</v>
      </c>
      <c r="BF39" s="391" t="s">
        <v>65</v>
      </c>
      <c r="BG39" s="350"/>
      <c r="BH39" s="392" t="s">
        <v>1</v>
      </c>
      <c r="BI39" s="390" t="s">
        <v>60</v>
      </c>
      <c r="BJ39" s="391" t="s">
        <v>491</v>
      </c>
      <c r="BK39" s="350"/>
      <c r="BL39" s="350"/>
      <c r="BM39" s="373"/>
      <c r="BN39" s="207"/>
      <c r="BO39" s="219"/>
      <c r="BP39" s="220"/>
      <c r="BQ39" s="220"/>
      <c r="BR39" s="323" t="s">
        <v>68</v>
      </c>
      <c r="BS39" s="324" t="s">
        <v>69</v>
      </c>
      <c r="BT39" s="325" t="s">
        <v>70</v>
      </c>
      <c r="BU39" s="326" t="s">
        <v>71</v>
      </c>
      <c r="BV39" s="220"/>
      <c r="BW39" s="220"/>
      <c r="BX39" s="221"/>
      <c r="BY39" s="209"/>
      <c r="CA39" s="205"/>
      <c r="CB39" s="205"/>
      <c r="CC39" s="455"/>
      <c r="CF39" s="205"/>
      <c r="CG39" s="205"/>
      <c r="CH39" s="455"/>
    </row>
    <row r="40" spans="4:102" ht="17.25" customHeight="1" thickTop="1" x14ac:dyDescent="0.3">
      <c r="D40" s="364"/>
      <c r="E40" s="234" t="s">
        <v>53</v>
      </c>
      <c r="F40" s="454" t="e">
        <f>#REF!</f>
        <v>#REF!</v>
      </c>
      <c r="G40" s="220"/>
      <c r="H40" s="238">
        <v>0.499</v>
      </c>
      <c r="I40" s="238">
        <v>0.749</v>
      </c>
      <c r="J40" s="238">
        <v>1</v>
      </c>
      <c r="K40" s="238">
        <v>4</v>
      </c>
      <c r="L40" s="365"/>
      <c r="M40" s="365"/>
      <c r="N40" s="365"/>
      <c r="O40" s="366"/>
      <c r="P40" s="206"/>
      <c r="Q40" s="234" t="s">
        <v>53</v>
      </c>
      <c r="R40" s="237" t="e">
        <f>#REF!</f>
        <v>#REF!</v>
      </c>
      <c r="S40" s="454" t="e">
        <f>#REF!</f>
        <v>#REF!</v>
      </c>
      <c r="T40" s="220"/>
      <c r="U40" s="238">
        <v>0.499</v>
      </c>
      <c r="V40" s="238">
        <v>0.749</v>
      </c>
      <c r="W40" s="238">
        <v>1</v>
      </c>
      <c r="X40" s="238">
        <v>4</v>
      </c>
      <c r="Y40" s="362"/>
      <c r="Z40" s="362"/>
      <c r="AA40" s="363"/>
      <c r="AB40" s="207"/>
      <c r="AC40" s="219"/>
      <c r="AD40" s="220"/>
      <c r="AE40" s="220"/>
      <c r="AF40" s="220"/>
      <c r="AG40" s="220"/>
      <c r="AH40" s="456"/>
      <c r="AI40" s="221"/>
      <c r="AJ40" s="208"/>
      <c r="AK40" s="372"/>
      <c r="AL40" s="924"/>
      <c r="AM40" s="297" t="s">
        <v>120</v>
      </c>
      <c r="AN40" s="298">
        <f>'2. PRODUCTOS'!$E$140</f>
        <v>10</v>
      </c>
      <c r="AO40" s="301">
        <f>'2. PRODUCTOS'!$BT$140</f>
        <v>10</v>
      </c>
      <c r="AP40" s="425" t="s">
        <v>160</v>
      </c>
      <c r="AQ40" s="270">
        <f>IFERROR(AO40/AN40,0)</f>
        <v>1</v>
      </c>
      <c r="AR40" s="927"/>
      <c r="AS40" s="350"/>
      <c r="AT40" s="373"/>
      <c r="AU40" s="207"/>
      <c r="AV40" s="273" t="s">
        <v>104</v>
      </c>
      <c r="AW40" s="277">
        <f>'2. PRODUCTOS'!$G$62</f>
        <v>1</v>
      </c>
      <c r="AX40" s="278">
        <f>'2. PRODUCTOS'!$W$62</f>
        <v>1</v>
      </c>
      <c r="AY40" s="350"/>
      <c r="AZ40" s="273" t="s">
        <v>104</v>
      </c>
      <c r="BA40" s="277">
        <f>'2. PRODUCTOS'!$H$62</f>
        <v>3</v>
      </c>
      <c r="BB40" s="278">
        <f>'2. PRODUCTOS'!$AJ$62</f>
        <v>1</v>
      </c>
      <c r="BC40" s="350"/>
      <c r="BD40" s="273" t="s">
        <v>104</v>
      </c>
      <c r="BE40" s="277">
        <f>'2. PRODUCTOS'!$I$62</f>
        <v>4</v>
      </c>
      <c r="BF40" s="278">
        <f>'2. PRODUCTOS'!$AW$62</f>
        <v>1</v>
      </c>
      <c r="BG40" s="350"/>
      <c r="BH40" s="273" t="s">
        <v>104</v>
      </c>
      <c r="BI40" s="277">
        <f>'2. PRODUCTOS'!$J$62</f>
        <v>4</v>
      </c>
      <c r="BJ40" s="278">
        <f>'2. PRODUCTOS'!$BJ$62</f>
        <v>1</v>
      </c>
      <c r="BK40" s="350"/>
      <c r="BL40" s="350"/>
      <c r="BM40" s="373"/>
      <c r="BN40" s="207"/>
      <c r="BO40" s="335"/>
      <c r="BP40" s="336"/>
      <c r="BQ40" s="311" t="s">
        <v>80</v>
      </c>
      <c r="BR40" s="337">
        <f>IF($BP37&gt;=BR$37,IF($BP37&lt;=BR$38,$BP37,NA()),NA())</f>
        <v>0</v>
      </c>
      <c r="BS40" s="457" t="e">
        <f>IF($BP37&gt;=BS$37,IF($BP37&lt;=BS$38,$BP37,NA()),NA())</f>
        <v>#N/A</v>
      </c>
      <c r="BT40" s="457" t="e">
        <f>IF($BP37&gt;=BT$37,IF($BP37&lt;=BT$38,$BP37,NA()),NA())</f>
        <v>#N/A</v>
      </c>
      <c r="BU40" s="458" t="e">
        <f>IF($BP37&gt;=BU$37,IF($BP37&lt;=BU$38,$BP37,NA()),NA())</f>
        <v>#N/A</v>
      </c>
      <c r="BV40" s="220"/>
      <c r="BW40" s="220"/>
      <c r="BX40" s="221"/>
      <c r="BY40" s="209"/>
      <c r="BZ40" s="459"/>
      <c r="CA40" s="459"/>
      <c r="CB40" s="459"/>
      <c r="CC40" s="459"/>
      <c r="CD40" s="459"/>
      <c r="CE40" s="459"/>
      <c r="CF40" s="459"/>
      <c r="CG40" s="459"/>
      <c r="CH40" s="459"/>
      <c r="CI40" s="459"/>
      <c r="CJ40" s="459"/>
      <c r="CK40" s="459"/>
      <c r="CL40" s="459"/>
      <c r="CM40" s="459"/>
      <c r="CN40" s="459"/>
      <c r="CO40" s="459"/>
      <c r="CP40" s="459"/>
      <c r="CQ40" s="459"/>
      <c r="CR40" s="459"/>
      <c r="CS40" s="459"/>
      <c r="CT40" s="459"/>
      <c r="CU40" s="459"/>
      <c r="CV40" s="459"/>
      <c r="CW40" s="459"/>
    </row>
    <row r="41" spans="4:102" ht="17.25" thickBot="1" x14ac:dyDescent="0.35">
      <c r="D41" s="364"/>
      <c r="E41" s="254" t="s">
        <v>495</v>
      </c>
      <c r="F41" s="261" t="e">
        <f>#REF!</f>
        <v>#REF!</v>
      </c>
      <c r="G41" s="220"/>
      <c r="H41" s="256" t="s">
        <v>68</v>
      </c>
      <c r="I41" s="257" t="s">
        <v>69</v>
      </c>
      <c r="J41" s="258" t="s">
        <v>70</v>
      </c>
      <c r="K41" s="259" t="s">
        <v>71</v>
      </c>
      <c r="L41" s="365"/>
      <c r="M41" s="365"/>
      <c r="N41" s="365"/>
      <c r="O41" s="366"/>
      <c r="P41" s="206"/>
      <c r="Q41" s="254" t="s">
        <v>495</v>
      </c>
      <c r="R41" s="260" t="e">
        <f>#REF!</f>
        <v>#REF!</v>
      </c>
      <c r="S41" s="261" t="e">
        <f>#REF!</f>
        <v>#REF!</v>
      </c>
      <c r="T41" s="220"/>
      <c r="U41" s="262" t="s">
        <v>68</v>
      </c>
      <c r="V41" s="263" t="s">
        <v>69</v>
      </c>
      <c r="W41" s="264" t="s">
        <v>70</v>
      </c>
      <c r="X41" s="265" t="s">
        <v>71</v>
      </c>
      <c r="Y41" s="362"/>
      <c r="Z41" s="362"/>
      <c r="AA41" s="363"/>
      <c r="AB41" s="207"/>
      <c r="AC41" s="226"/>
      <c r="AD41" s="398"/>
      <c r="AE41" s="398"/>
      <c r="AF41" s="398"/>
      <c r="AG41" s="443"/>
      <c r="AH41" s="220"/>
      <c r="AI41" s="221"/>
      <c r="AJ41" s="208"/>
      <c r="AK41" s="372"/>
      <c r="AL41" s="925"/>
      <c r="AM41" s="317" t="s">
        <v>505</v>
      </c>
      <c r="AN41" s="322">
        <f>'2. PRODUCTOS'!$E$152</f>
        <v>15</v>
      </c>
      <c r="AO41" s="321">
        <f>'2. PRODUCTOS'!$BT$152</f>
        <v>0</v>
      </c>
      <c r="AP41" s="425" t="s">
        <v>161</v>
      </c>
      <c r="AQ41" s="342">
        <f>IFERROR(AO41/AN41,0)</f>
        <v>0</v>
      </c>
      <c r="AR41" s="928"/>
      <c r="AS41" s="350"/>
      <c r="AT41" s="373"/>
      <c r="AU41" s="207"/>
      <c r="AV41" s="297" t="s">
        <v>106</v>
      </c>
      <c r="AW41" s="298">
        <f>'2. PRODUCTOS'!$G$74</f>
        <v>1</v>
      </c>
      <c r="AX41" s="429">
        <f>'2. PRODUCTOS'!$W$74</f>
        <v>1</v>
      </c>
      <c r="AY41" s="350"/>
      <c r="AZ41" s="297" t="s">
        <v>106</v>
      </c>
      <c r="BA41" s="298">
        <f>'2. PRODUCTOS'!$H$74</f>
        <v>2</v>
      </c>
      <c r="BB41" s="429">
        <f>'2. PRODUCTOS'!$AJ$74</f>
        <v>2</v>
      </c>
      <c r="BC41" s="350"/>
      <c r="BD41" s="297" t="s">
        <v>106</v>
      </c>
      <c r="BE41" s="298">
        <f>'2. PRODUCTOS'!$I$74</f>
        <v>3</v>
      </c>
      <c r="BF41" s="429">
        <f>'2. PRODUCTOS'!$AW$74</f>
        <v>3</v>
      </c>
      <c r="BG41" s="350"/>
      <c r="BH41" s="297" t="s">
        <v>106</v>
      </c>
      <c r="BI41" s="298">
        <f>'2. PRODUCTOS'!$J$74</f>
        <v>3</v>
      </c>
      <c r="BJ41" s="429">
        <f>'2. PRODUCTOS'!$BJ$74</f>
        <v>0</v>
      </c>
      <c r="BK41" s="350"/>
      <c r="BL41" s="350"/>
      <c r="BM41" s="373"/>
      <c r="BN41" s="207"/>
      <c r="BO41" s="219"/>
      <c r="BP41" s="343"/>
      <c r="BQ41" s="344" t="s">
        <v>62</v>
      </c>
      <c r="BR41" s="460">
        <f>IF($BP$38&gt;=BR$37,IF($BP$38&lt;=BR$38,$BP$38,NA()),NA())</f>
        <v>0</v>
      </c>
      <c r="BS41" s="461" t="e">
        <f>IF($BP$38&gt;=BS$37,IF($BP$38&lt;=BS$38,$BP$38,NA()),NA())</f>
        <v>#N/A</v>
      </c>
      <c r="BT41" s="461" t="e">
        <f>IF($BP$38&gt;=BT$37,IF($BP$38&lt;=BT$38,$BP$38,NA()),NA())</f>
        <v>#N/A</v>
      </c>
      <c r="BU41" s="462" t="e">
        <f>IF($BP$38&gt;=BU$37,IF($BP$38&lt;=BU$38,$BP$38,NA()),NA())</f>
        <v>#N/A</v>
      </c>
      <c r="BV41" s="220"/>
      <c r="BW41" s="220"/>
      <c r="BX41" s="221"/>
      <c r="BY41" s="209"/>
      <c r="BZ41" s="350"/>
      <c r="CA41" s="350"/>
      <c r="CB41" s="350"/>
      <c r="CC41" s="350"/>
      <c r="CD41" s="350"/>
      <c r="CE41" s="350"/>
      <c r="CF41" s="350"/>
      <c r="CG41" s="350"/>
      <c r="CH41" s="350"/>
      <c r="CI41" s="350"/>
      <c r="CJ41" s="350"/>
      <c r="CK41" s="350"/>
      <c r="CL41" s="350"/>
      <c r="CM41" s="350"/>
      <c r="CN41" s="350"/>
      <c r="CO41" s="350"/>
      <c r="CP41" s="350"/>
      <c r="CQ41" s="350"/>
      <c r="CR41" s="350"/>
      <c r="CS41" s="350"/>
      <c r="CT41" s="350"/>
      <c r="CU41" s="350"/>
      <c r="CV41" s="350"/>
      <c r="CW41" s="350"/>
    </row>
    <row r="42" spans="4:102" ht="17.25" thickBot="1" x14ac:dyDescent="0.35">
      <c r="D42" s="364"/>
      <c r="E42" s="287" t="s">
        <v>67</v>
      </c>
      <c r="F42" s="463" t="e">
        <f>#REF!</f>
        <v>#REF!</v>
      </c>
      <c r="G42" s="220"/>
      <c r="H42" s="286">
        <f>IF($F49&gt;=H39,IF($F49&lt;=H40,$F49,NA()),NA())</f>
        <v>0</v>
      </c>
      <c r="I42" s="286" t="e">
        <f>IF($F49&gt;=I39,IF($F49&lt;=I40,$F49,NA()),NA())</f>
        <v>#N/A</v>
      </c>
      <c r="J42" s="286" t="e">
        <f>IF($F49&gt;=J39,IF($F49&lt;=J40,$F49,NA()),NA())</f>
        <v>#N/A</v>
      </c>
      <c r="K42" s="286" t="e">
        <f>IF($F49&gt;=K39,IF($F49&lt;=K40,$F49,NA()),NA())</f>
        <v>#N/A</v>
      </c>
      <c r="L42" s="365"/>
      <c r="M42" s="365"/>
      <c r="N42" s="365"/>
      <c r="O42" s="366"/>
      <c r="P42" s="206"/>
      <c r="Q42" s="464" t="s">
        <v>67</v>
      </c>
      <c r="R42" s="463" t="e">
        <f>#REF!</f>
        <v>#REF!</v>
      </c>
      <c r="S42" s="288" t="e">
        <f>SUM(S38:S40)</f>
        <v>#REF!</v>
      </c>
      <c r="T42" s="230" t="s">
        <v>46</v>
      </c>
      <c r="U42" s="289">
        <f t="shared" ref="U42:X45" si="4">IF($S49&gt;=U$12,IF($S49&lt;=U$13,$S49,NA()),NA())</f>
        <v>0</v>
      </c>
      <c r="V42" s="290" t="e">
        <f t="shared" si="4"/>
        <v>#N/A</v>
      </c>
      <c r="W42" s="290" t="e">
        <f t="shared" si="4"/>
        <v>#N/A</v>
      </c>
      <c r="X42" s="291" t="e">
        <f t="shared" si="4"/>
        <v>#N/A</v>
      </c>
      <c r="Y42" s="362"/>
      <c r="Z42" s="362"/>
      <c r="AA42" s="363"/>
      <c r="AB42" s="207"/>
      <c r="AC42" s="226"/>
      <c r="AD42" s="398"/>
      <c r="AE42" s="398"/>
      <c r="AF42" s="398"/>
      <c r="AG42" s="443"/>
      <c r="AH42" s="220"/>
      <c r="AI42" s="221"/>
      <c r="AJ42" s="208"/>
      <c r="AK42" s="372"/>
      <c r="AL42" s="220"/>
      <c r="AM42" s="220"/>
      <c r="AN42" s="220"/>
      <c r="AO42" s="220"/>
      <c r="AP42" s="401"/>
      <c r="AQ42" s="220"/>
      <c r="AR42" s="220"/>
      <c r="AS42" s="350"/>
      <c r="AT42" s="373"/>
      <c r="AU42" s="207"/>
      <c r="AV42" s="297" t="s">
        <v>107</v>
      </c>
      <c r="AW42" s="298">
        <f>'2. PRODUCTOS'!$G$86</f>
        <v>0</v>
      </c>
      <c r="AX42" s="301">
        <f>'2. PRODUCTOS'!$W$86</f>
        <v>0</v>
      </c>
      <c r="AY42" s="350"/>
      <c r="AZ42" s="297" t="s">
        <v>107</v>
      </c>
      <c r="BA42" s="298">
        <f>'2. PRODUCTOS'!$H$86</f>
        <v>50</v>
      </c>
      <c r="BB42" s="301">
        <f>'2. PRODUCTOS'!$AJ$86</f>
        <v>0</v>
      </c>
      <c r="BC42" s="350"/>
      <c r="BD42" s="297" t="s">
        <v>107</v>
      </c>
      <c r="BE42" s="298">
        <f>'2. PRODUCTOS'!$I$86</f>
        <v>50</v>
      </c>
      <c r="BF42" s="301">
        <f>'2. PRODUCTOS'!$AW$86</f>
        <v>25</v>
      </c>
      <c r="BG42" s="350"/>
      <c r="BH42" s="297" t="s">
        <v>107</v>
      </c>
      <c r="BI42" s="298">
        <f>'2. PRODUCTOS'!$J$86</f>
        <v>50</v>
      </c>
      <c r="BJ42" s="301">
        <f>'2. PRODUCTOS'!$BJ$86</f>
        <v>15</v>
      </c>
      <c r="BK42" s="350"/>
      <c r="BL42" s="350"/>
      <c r="BM42" s="373"/>
      <c r="BN42" s="207"/>
      <c r="BO42" s="219"/>
      <c r="BP42" s="220"/>
      <c r="BQ42" s="220"/>
      <c r="BR42" s="220"/>
      <c r="BS42" s="220"/>
      <c r="BT42" s="220"/>
      <c r="BU42" s="220"/>
      <c r="BV42" s="220"/>
      <c r="BW42" s="220"/>
      <c r="BX42" s="221"/>
      <c r="BY42" s="209"/>
      <c r="BZ42" s="350"/>
      <c r="CA42" s="350"/>
      <c r="CB42" s="350"/>
      <c r="CC42" s="350"/>
      <c r="CD42" s="350"/>
      <c r="CE42" s="350"/>
      <c r="CF42" s="350"/>
      <c r="CG42" s="350"/>
      <c r="CH42" s="350"/>
      <c r="CI42" s="350"/>
      <c r="CJ42" s="350"/>
      <c r="CK42" s="350"/>
      <c r="CL42" s="350"/>
      <c r="CM42" s="350"/>
      <c r="CN42" s="350"/>
      <c r="CO42" s="350"/>
      <c r="CP42" s="350"/>
      <c r="CQ42" s="350"/>
      <c r="CR42" s="350"/>
      <c r="CS42" s="350"/>
      <c r="CT42" s="350"/>
      <c r="CU42" s="350"/>
      <c r="CV42" s="350"/>
      <c r="CW42" s="350"/>
    </row>
    <row r="43" spans="4:102" ht="29.25" thickBot="1" x14ac:dyDescent="0.35">
      <c r="D43" s="364"/>
      <c r="E43" s="311"/>
      <c r="F43" s="227"/>
      <c r="G43" s="220"/>
      <c r="H43" s="312"/>
      <c r="I43" s="312"/>
      <c r="J43" s="312"/>
      <c r="K43" s="220"/>
      <c r="L43" s="365"/>
      <c r="M43" s="365"/>
      <c r="N43" s="365"/>
      <c r="O43" s="366"/>
      <c r="P43" s="206"/>
      <c r="Q43" s="313"/>
      <c r="R43" s="311"/>
      <c r="S43" s="227"/>
      <c r="T43" s="234" t="s">
        <v>52</v>
      </c>
      <c r="U43" s="314">
        <f t="shared" si="4"/>
        <v>0</v>
      </c>
      <c r="V43" s="315" t="e">
        <f t="shared" si="4"/>
        <v>#N/A</v>
      </c>
      <c r="W43" s="315" t="e">
        <f t="shared" si="4"/>
        <v>#N/A</v>
      </c>
      <c r="X43" s="316" t="e">
        <f t="shared" si="4"/>
        <v>#N/A</v>
      </c>
      <c r="Y43" s="362"/>
      <c r="Z43" s="362"/>
      <c r="AA43" s="363"/>
      <c r="AB43" s="207"/>
      <c r="AC43" s="929" t="s">
        <v>100</v>
      </c>
      <c r="AD43" s="930"/>
      <c r="AE43" s="930"/>
      <c r="AF43" s="930"/>
      <c r="AG43" s="930"/>
      <c r="AH43" s="930"/>
      <c r="AI43" s="931"/>
      <c r="AJ43" s="208"/>
      <c r="AK43" s="219"/>
      <c r="AL43" s="220"/>
      <c r="AM43" s="220"/>
      <c r="AN43" s="220"/>
      <c r="AO43" s="220"/>
      <c r="AP43" s="401"/>
      <c r="AQ43" s="220"/>
      <c r="AR43" s="220"/>
      <c r="AS43" s="220"/>
      <c r="AT43" s="221"/>
      <c r="AU43" s="207"/>
      <c r="AV43" s="317" t="s">
        <v>110</v>
      </c>
      <c r="AW43" s="439">
        <f>'2. PRODUCTOS'!$G$98</f>
        <v>0</v>
      </c>
      <c r="AX43" s="440">
        <f>'2. PRODUCTOS'!$W$98</f>
        <v>0</v>
      </c>
      <c r="AY43" s="220"/>
      <c r="AZ43" s="317" t="s">
        <v>110</v>
      </c>
      <c r="BA43" s="439">
        <f>'2. PRODUCTOS'!$H$98</f>
        <v>2</v>
      </c>
      <c r="BB43" s="440">
        <f>'2. PRODUCTOS'!$AJ$98</f>
        <v>1</v>
      </c>
      <c r="BC43" s="220"/>
      <c r="BD43" s="317" t="s">
        <v>110</v>
      </c>
      <c r="BE43" s="439">
        <f>'2. PRODUCTOS'!$I$98</f>
        <v>2</v>
      </c>
      <c r="BF43" s="440">
        <f>'2. PRODUCTOS'!$AW$98</f>
        <v>1</v>
      </c>
      <c r="BG43" s="220"/>
      <c r="BH43" s="317" t="s">
        <v>110</v>
      </c>
      <c r="BI43" s="439">
        <f>'2. PRODUCTOS'!$J$98</f>
        <v>2</v>
      </c>
      <c r="BJ43" s="440">
        <f>'2. PRODUCTOS'!$BJ$98</f>
        <v>0</v>
      </c>
      <c r="BK43" s="220"/>
      <c r="BL43" s="220"/>
      <c r="BM43" s="221"/>
      <c r="BN43" s="207"/>
      <c r="BO43" s="958">
        <v>2019</v>
      </c>
      <c r="BP43" s="959"/>
      <c r="BQ43" s="959"/>
      <c r="BR43" s="959"/>
      <c r="BS43" s="959"/>
      <c r="BT43" s="959"/>
      <c r="BU43" s="959"/>
      <c r="BV43" s="959"/>
      <c r="BW43" s="959"/>
      <c r="BX43" s="960"/>
      <c r="BY43" s="209"/>
      <c r="BZ43" s="350"/>
      <c r="CA43" s="350"/>
      <c r="CB43" s="350"/>
      <c r="CC43" s="350"/>
      <c r="CD43" s="351"/>
      <c r="CE43" s="351"/>
      <c r="CF43" s="350"/>
      <c r="CG43" s="351"/>
      <c r="CH43" s="351"/>
      <c r="CI43" s="351"/>
      <c r="CJ43" s="351"/>
      <c r="CK43" s="351"/>
      <c r="CL43" s="350"/>
      <c r="CM43" s="351"/>
      <c r="CN43" s="351"/>
      <c r="CO43" s="351"/>
      <c r="CP43" s="351"/>
      <c r="CQ43" s="351"/>
      <c r="CR43" s="350"/>
      <c r="CS43" s="351"/>
      <c r="CT43" s="351"/>
      <c r="CU43" s="351"/>
      <c r="CV43" s="351"/>
      <c r="CW43" s="351"/>
    </row>
    <row r="44" spans="4:102" ht="24.75" customHeight="1" thickBot="1" x14ac:dyDescent="0.35">
      <c r="D44" s="364"/>
      <c r="E44" s="311"/>
      <c r="F44" s="227"/>
      <c r="G44" s="220"/>
      <c r="H44" s="312"/>
      <c r="I44" s="312"/>
      <c r="J44" s="312"/>
      <c r="K44" s="220"/>
      <c r="L44" s="365"/>
      <c r="M44" s="365"/>
      <c r="N44" s="365"/>
      <c r="O44" s="366"/>
      <c r="P44" s="206"/>
      <c r="Q44" s="313"/>
      <c r="R44" s="311"/>
      <c r="S44" s="227"/>
      <c r="T44" s="234" t="s">
        <v>53</v>
      </c>
      <c r="U44" s="329">
        <f t="shared" si="4"/>
        <v>0</v>
      </c>
      <c r="V44" s="330" t="e">
        <f t="shared" si="4"/>
        <v>#N/A</v>
      </c>
      <c r="W44" s="330" t="e">
        <f t="shared" si="4"/>
        <v>#N/A</v>
      </c>
      <c r="X44" s="331" t="e">
        <f t="shared" si="4"/>
        <v>#N/A</v>
      </c>
      <c r="Y44" s="362"/>
      <c r="Z44" s="362"/>
      <c r="AA44" s="363"/>
      <c r="AB44" s="207"/>
      <c r="AC44" s="219"/>
      <c r="AD44" s="220"/>
      <c r="AE44" s="220"/>
      <c r="AF44" s="220"/>
      <c r="AG44" s="220"/>
      <c r="AH44" s="220"/>
      <c r="AI44" s="221"/>
      <c r="AJ44" s="208"/>
      <c r="AK44" s="219"/>
      <c r="AL44" s="923" t="s">
        <v>122</v>
      </c>
      <c r="AM44" s="389" t="s">
        <v>1</v>
      </c>
      <c r="AN44" s="390" t="s">
        <v>60</v>
      </c>
      <c r="AO44" s="391" t="s">
        <v>61</v>
      </c>
      <c r="AP44" s="445"/>
      <c r="AQ44" s="247" t="s">
        <v>58</v>
      </c>
      <c r="AR44" s="247" t="s">
        <v>62</v>
      </c>
      <c r="AS44" s="220"/>
      <c r="AT44" s="221"/>
      <c r="AU44" s="207"/>
      <c r="AV44" s="219"/>
      <c r="AW44" s="220"/>
      <c r="AX44" s="220"/>
      <c r="AY44" s="220"/>
      <c r="AZ44" s="220"/>
      <c r="BA44" s="220"/>
      <c r="BB44" s="220"/>
      <c r="BC44" s="220"/>
      <c r="BD44" s="220"/>
      <c r="BE44" s="220"/>
      <c r="BF44" s="220"/>
      <c r="BG44" s="220"/>
      <c r="BH44" s="220"/>
      <c r="BI44" s="220"/>
      <c r="BJ44" s="220"/>
      <c r="BK44" s="220"/>
      <c r="BL44" s="220"/>
      <c r="BM44" s="221"/>
      <c r="BN44" s="207"/>
      <c r="BO44" s="219"/>
      <c r="BP44" s="220"/>
      <c r="BQ44" s="220"/>
      <c r="BR44" s="220"/>
      <c r="BS44" s="220"/>
      <c r="BT44" s="220"/>
      <c r="BU44" s="220"/>
      <c r="BV44" s="220"/>
      <c r="BW44" s="220"/>
      <c r="BX44" s="221"/>
      <c r="BY44" s="209"/>
      <c r="BZ44" s="350"/>
      <c r="CA44" s="393"/>
      <c r="CB44" s="393"/>
      <c r="CC44" s="350"/>
      <c r="CD44" s="393"/>
      <c r="CE44" s="393"/>
      <c r="CF44" s="350"/>
      <c r="CG44" s="393"/>
      <c r="CH44" s="393"/>
      <c r="CI44" s="350"/>
      <c r="CJ44" s="393"/>
      <c r="CK44" s="393"/>
      <c r="CL44" s="350"/>
      <c r="CM44" s="393"/>
      <c r="CN44" s="393"/>
      <c r="CO44" s="350"/>
      <c r="CP44" s="393"/>
      <c r="CQ44" s="393"/>
      <c r="CR44" s="350"/>
      <c r="CS44" s="393"/>
      <c r="CT44" s="393"/>
      <c r="CU44" s="350"/>
      <c r="CV44" s="393"/>
      <c r="CW44" s="393"/>
    </row>
    <row r="45" spans="4:102" ht="21" thickBot="1" x14ac:dyDescent="0.35">
      <c r="D45" s="364"/>
      <c r="E45" s="230" t="s">
        <v>46</v>
      </c>
      <c r="F45" s="328">
        <f>IFERROR(F38/$F$42,0)</f>
        <v>0</v>
      </c>
      <c r="G45" s="220"/>
      <c r="H45" s="312"/>
      <c r="I45" s="312"/>
      <c r="J45" s="312"/>
      <c r="K45" s="220"/>
      <c r="L45" s="365"/>
      <c r="M45" s="365"/>
      <c r="N45" s="365"/>
      <c r="O45" s="366"/>
      <c r="P45" s="206"/>
      <c r="Q45" s="378"/>
      <c r="R45" s="227"/>
      <c r="S45" s="220"/>
      <c r="T45" s="254" t="s">
        <v>495</v>
      </c>
      <c r="U45" s="329">
        <f t="shared" si="4"/>
        <v>0</v>
      </c>
      <c r="V45" s="330" t="e">
        <f t="shared" si="4"/>
        <v>#N/A</v>
      </c>
      <c r="W45" s="330" t="e">
        <f t="shared" si="4"/>
        <v>#N/A</v>
      </c>
      <c r="X45" s="331" t="e">
        <f t="shared" si="4"/>
        <v>#N/A</v>
      </c>
      <c r="Y45" s="362"/>
      <c r="Z45" s="362"/>
      <c r="AA45" s="363"/>
      <c r="AB45" s="207"/>
      <c r="AC45" s="932" t="s">
        <v>101</v>
      </c>
      <c r="AD45" s="933"/>
      <c r="AE45" s="933"/>
      <c r="AF45" s="933"/>
      <c r="AG45" s="933"/>
      <c r="AH45" s="933"/>
      <c r="AI45" s="934"/>
      <c r="AJ45" s="208"/>
      <c r="AK45" s="219"/>
      <c r="AL45" s="937"/>
      <c r="AM45" s="273" t="s">
        <v>123</v>
      </c>
      <c r="AN45" s="277">
        <f>'2. PRODUCTOS'!$E$170</f>
        <v>5</v>
      </c>
      <c r="AO45" s="278">
        <f>'2. PRODUCTOS'!$BT$170</f>
        <v>1</v>
      </c>
      <c r="AP45" s="425" t="s">
        <v>523</v>
      </c>
      <c r="AQ45" s="276">
        <f>IFERROR(AO45/AN45,0)</f>
        <v>0.2</v>
      </c>
      <c r="AR45" s="896">
        <f>AVERAGE(AQ45:AQ47)</f>
        <v>0.40888888888888886</v>
      </c>
      <c r="AS45" s="220"/>
      <c r="AT45" s="221"/>
      <c r="AU45" s="207"/>
      <c r="AV45" s="392" t="s">
        <v>1</v>
      </c>
      <c r="AW45" s="247" t="s">
        <v>58</v>
      </c>
      <c r="AX45" s="247" t="s">
        <v>62</v>
      </c>
      <c r="AY45" s="220"/>
      <c r="AZ45" s="392" t="s">
        <v>1</v>
      </c>
      <c r="BA45" s="247" t="s">
        <v>58</v>
      </c>
      <c r="BB45" s="247" t="s">
        <v>62</v>
      </c>
      <c r="BC45" s="220"/>
      <c r="BD45" s="392" t="s">
        <v>1</v>
      </c>
      <c r="BE45" s="247" t="s">
        <v>58</v>
      </c>
      <c r="BF45" s="247" t="s">
        <v>62</v>
      </c>
      <c r="BG45" s="220"/>
      <c r="BH45" s="392" t="s">
        <v>1</v>
      </c>
      <c r="BI45" s="247" t="s">
        <v>58</v>
      </c>
      <c r="BJ45" s="247" t="s">
        <v>62</v>
      </c>
      <c r="BK45" s="220"/>
      <c r="BL45" s="220"/>
      <c r="BM45" s="221"/>
      <c r="BN45" s="207"/>
      <c r="BO45" s="249" t="s">
        <v>54</v>
      </c>
      <c r="BP45" s="250" t="s">
        <v>66</v>
      </c>
      <c r="BQ45" s="220"/>
      <c r="BR45" s="251" t="s">
        <v>47</v>
      </c>
      <c r="BS45" s="252"/>
      <c r="BT45" s="252"/>
      <c r="BU45" s="253"/>
      <c r="BV45" s="220"/>
      <c r="BW45" s="220"/>
      <c r="BX45" s="221"/>
      <c r="BY45" s="209"/>
      <c r="BZ45" s="350"/>
      <c r="CA45" s="376"/>
      <c r="CB45" s="384"/>
      <c r="CC45" s="350"/>
      <c r="CD45" s="350"/>
      <c r="CE45" s="376"/>
      <c r="CF45" s="350"/>
      <c r="CG45" s="350"/>
      <c r="CH45" s="376"/>
      <c r="CI45" s="350"/>
      <c r="CJ45" s="376"/>
      <c r="CK45" s="384"/>
      <c r="CL45" s="350"/>
      <c r="CM45" s="350"/>
      <c r="CN45" s="376"/>
      <c r="CO45" s="350"/>
      <c r="CP45" s="376"/>
      <c r="CQ45" s="384"/>
      <c r="CR45" s="350"/>
      <c r="CS45" s="350"/>
      <c r="CT45" s="376"/>
      <c r="CU45" s="350"/>
      <c r="CV45" s="376"/>
      <c r="CW45" s="384"/>
    </row>
    <row r="46" spans="4:102" ht="17.25" customHeight="1" thickBot="1" x14ac:dyDescent="0.35">
      <c r="D46" s="364"/>
      <c r="E46" s="234" t="s">
        <v>52</v>
      </c>
      <c r="F46" s="340">
        <f>IFERROR(F39/$F$42,0)</f>
        <v>0</v>
      </c>
      <c r="G46" s="220"/>
      <c r="H46" s="312"/>
      <c r="I46" s="312"/>
      <c r="J46" s="312"/>
      <c r="K46" s="220"/>
      <c r="L46" s="365"/>
      <c r="M46" s="365"/>
      <c r="N46" s="365"/>
      <c r="O46" s="366"/>
      <c r="P46" s="206"/>
      <c r="Q46" s="378"/>
      <c r="R46" s="227"/>
      <c r="S46" s="220"/>
      <c r="T46" s="362"/>
      <c r="U46" s="362"/>
      <c r="V46" s="362"/>
      <c r="W46" s="362"/>
      <c r="X46" s="362"/>
      <c r="Y46" s="362"/>
      <c r="Z46" s="362"/>
      <c r="AA46" s="363"/>
      <c r="AB46" s="207"/>
      <c r="AC46" s="219"/>
      <c r="AD46" s="220"/>
      <c r="AE46" s="220"/>
      <c r="AF46" s="220"/>
      <c r="AG46" s="220"/>
      <c r="AH46" s="220"/>
      <c r="AI46" s="221"/>
      <c r="AJ46" s="208"/>
      <c r="AK46" s="369"/>
      <c r="AL46" s="937"/>
      <c r="AM46" s="297" t="s">
        <v>124</v>
      </c>
      <c r="AN46" s="298">
        <f>'2. PRODUCTOS'!$E$182</f>
        <v>300</v>
      </c>
      <c r="AO46" s="301">
        <f>'2. PRODUCTOS'!$BT$182</f>
        <v>176</v>
      </c>
      <c r="AP46" s="425" t="s">
        <v>524</v>
      </c>
      <c r="AQ46" s="270">
        <f>IFERROR(AO46/AN46,0)</f>
        <v>0.58666666666666667</v>
      </c>
      <c r="AR46" s="897"/>
      <c r="AS46" s="220"/>
      <c r="AT46" s="221"/>
      <c r="AU46" s="207"/>
      <c r="AV46" s="426" t="s">
        <v>104</v>
      </c>
      <c r="AW46" s="402">
        <f>IFERROR(AX40/AW40,0)</f>
        <v>1</v>
      </c>
      <c r="AX46" s="961">
        <f>AVERAGE(AW46:AW49)</f>
        <v>0.5</v>
      </c>
      <c r="AY46" s="220"/>
      <c r="AZ46" s="426" t="s">
        <v>104</v>
      </c>
      <c r="BA46" s="402">
        <f>IFERROR(BB40/BA40,0)</f>
        <v>0.33333333333333331</v>
      </c>
      <c r="BB46" s="961">
        <f>AVERAGE(BA46:BA49)</f>
        <v>0.45833333333333331</v>
      </c>
      <c r="BC46" s="220"/>
      <c r="BD46" s="426" t="s">
        <v>104</v>
      </c>
      <c r="BE46" s="402">
        <f>IFERROR(BF40/BE40,0)</f>
        <v>0.25</v>
      </c>
      <c r="BF46" s="961">
        <f>AVERAGE(BE46:BE49)</f>
        <v>0.5625</v>
      </c>
      <c r="BG46" s="220"/>
      <c r="BH46" s="426" t="s">
        <v>104</v>
      </c>
      <c r="BI46" s="402">
        <f>IFERROR(BJ40/BI40,0)</f>
        <v>0.25</v>
      </c>
      <c r="BJ46" s="961">
        <f>AVERAGE(BI46:BI49)</f>
        <v>0.13750000000000001</v>
      </c>
      <c r="BK46" s="220"/>
      <c r="BL46" s="220"/>
      <c r="BM46" s="221"/>
      <c r="BN46" s="207"/>
      <c r="BO46" s="279" t="s">
        <v>0</v>
      </c>
      <c r="BP46" s="280">
        <f>$BF$19</f>
        <v>0</v>
      </c>
      <c r="BQ46" s="220"/>
      <c r="BR46" s="281">
        <v>0</v>
      </c>
      <c r="BS46" s="282">
        <v>0.5</v>
      </c>
      <c r="BT46" s="282">
        <v>0.75</v>
      </c>
      <c r="BU46" s="283">
        <v>1.01</v>
      </c>
      <c r="BV46" s="220"/>
      <c r="BW46" s="220"/>
      <c r="BX46" s="221"/>
      <c r="BY46" s="209"/>
      <c r="BZ46" s="350"/>
      <c r="CA46" s="376"/>
      <c r="CB46" s="384"/>
      <c r="CC46" s="350"/>
      <c r="CD46" s="350"/>
      <c r="CE46" s="376"/>
      <c r="CF46" s="350"/>
      <c r="CG46" s="350"/>
      <c r="CH46" s="376"/>
      <c r="CI46" s="350"/>
      <c r="CJ46" s="376"/>
      <c r="CK46" s="384"/>
      <c r="CL46" s="350"/>
      <c r="CM46" s="350"/>
      <c r="CN46" s="376"/>
      <c r="CO46" s="350"/>
      <c r="CP46" s="376"/>
      <c r="CQ46" s="384"/>
      <c r="CR46" s="350"/>
      <c r="CS46" s="350"/>
      <c r="CT46" s="376"/>
      <c r="CU46" s="350"/>
      <c r="CV46" s="376"/>
      <c r="CW46" s="384"/>
    </row>
    <row r="47" spans="4:102" ht="21" thickBot="1" x14ac:dyDescent="0.35">
      <c r="D47" s="364"/>
      <c r="E47" s="234" t="s">
        <v>53</v>
      </c>
      <c r="F47" s="340">
        <f>IFERROR(F40/$F$42,0)</f>
        <v>0</v>
      </c>
      <c r="G47" s="220"/>
      <c r="H47" s="312"/>
      <c r="I47" s="312"/>
      <c r="J47" s="312"/>
      <c r="K47" s="220"/>
      <c r="L47" s="365"/>
      <c r="M47" s="365"/>
      <c r="N47" s="365"/>
      <c r="O47" s="366"/>
      <c r="P47" s="206"/>
      <c r="Q47" s="378"/>
      <c r="R47" s="227"/>
      <c r="S47" s="220"/>
      <c r="T47" s="362"/>
      <c r="U47" s="362"/>
      <c r="V47" s="362"/>
      <c r="W47" s="362"/>
      <c r="X47" s="362"/>
      <c r="Y47" s="362"/>
      <c r="Z47" s="362"/>
      <c r="AA47" s="363"/>
      <c r="AB47" s="207"/>
      <c r="AC47" s="902" t="s">
        <v>102</v>
      </c>
      <c r="AD47" s="903"/>
      <c r="AE47" s="903"/>
      <c r="AF47" s="903"/>
      <c r="AG47" s="903"/>
      <c r="AH47" s="903"/>
      <c r="AI47" s="904"/>
      <c r="AJ47" s="208"/>
      <c r="AK47" s="219"/>
      <c r="AL47" s="938"/>
      <c r="AM47" s="317" t="s">
        <v>125</v>
      </c>
      <c r="AN47" s="439">
        <f>'2. PRODUCTOS'!$E$194</f>
        <v>50</v>
      </c>
      <c r="AO47" s="465">
        <f>'2. PRODUCTOS'!$BT$194</f>
        <v>22</v>
      </c>
      <c r="AP47" s="425" t="s">
        <v>525</v>
      </c>
      <c r="AQ47" s="342">
        <f>IFERROR(AO47/AN47,0)</f>
        <v>0.44</v>
      </c>
      <c r="AR47" s="898"/>
      <c r="AS47" s="220"/>
      <c r="AT47" s="221"/>
      <c r="AU47" s="207"/>
      <c r="AV47" s="466" t="s">
        <v>106</v>
      </c>
      <c r="AW47" s="467">
        <f>IFERROR(AX41/AW41,0)</f>
        <v>1</v>
      </c>
      <c r="AX47" s="962"/>
      <c r="AY47" s="220"/>
      <c r="AZ47" s="466" t="s">
        <v>106</v>
      </c>
      <c r="BA47" s="467">
        <f>IFERROR(BB41/BA41,0)</f>
        <v>1</v>
      </c>
      <c r="BB47" s="962"/>
      <c r="BC47" s="220"/>
      <c r="BD47" s="466" t="s">
        <v>106</v>
      </c>
      <c r="BE47" s="467">
        <f>IFERROR(BF41/BE41,0)</f>
        <v>1</v>
      </c>
      <c r="BF47" s="962"/>
      <c r="BG47" s="220"/>
      <c r="BH47" s="466" t="s">
        <v>106</v>
      </c>
      <c r="BI47" s="467">
        <f>IFERROR(BJ41/BI41,0)</f>
        <v>0</v>
      </c>
      <c r="BJ47" s="962"/>
      <c r="BK47" s="220"/>
      <c r="BL47" s="220"/>
      <c r="BM47" s="221"/>
      <c r="BN47" s="207"/>
      <c r="BO47" s="302" t="s">
        <v>62</v>
      </c>
      <c r="BP47" s="303">
        <f>IFERROR(AVERAGE(BP46),0)</f>
        <v>0</v>
      </c>
      <c r="BQ47" s="220"/>
      <c r="BR47" s="304">
        <v>0.499</v>
      </c>
      <c r="BS47" s="305">
        <v>0.749</v>
      </c>
      <c r="BT47" s="305">
        <v>1</v>
      </c>
      <c r="BU47" s="306">
        <v>2</v>
      </c>
      <c r="BV47" s="220"/>
      <c r="BW47" s="220"/>
      <c r="BX47" s="221"/>
      <c r="BY47" s="209"/>
      <c r="BZ47" s="350"/>
      <c r="CA47" s="376"/>
      <c r="CB47" s="384"/>
      <c r="CC47" s="350"/>
      <c r="CD47" s="350"/>
      <c r="CE47" s="376"/>
      <c r="CF47" s="350"/>
      <c r="CG47" s="350"/>
      <c r="CH47" s="376"/>
      <c r="CI47" s="350"/>
      <c r="CJ47" s="376"/>
      <c r="CK47" s="384"/>
      <c r="CL47" s="350"/>
      <c r="CM47" s="350"/>
      <c r="CN47" s="376"/>
      <c r="CO47" s="350"/>
      <c r="CP47" s="376"/>
      <c r="CQ47" s="384"/>
      <c r="CR47" s="350"/>
      <c r="CS47" s="350"/>
      <c r="CT47" s="376"/>
      <c r="CU47" s="350"/>
      <c r="CV47" s="376"/>
      <c r="CW47" s="384"/>
    </row>
    <row r="48" spans="4:102" ht="17.25" thickBot="1" x14ac:dyDescent="0.35">
      <c r="D48" s="364"/>
      <c r="E48" s="254" t="s">
        <v>495</v>
      </c>
      <c r="F48" s="349">
        <f>IFERROR(F41/$F$42,0)</f>
        <v>0</v>
      </c>
      <c r="G48" s="220"/>
      <c r="H48" s="312"/>
      <c r="I48" s="312"/>
      <c r="J48" s="312"/>
      <c r="K48" s="220"/>
      <c r="L48" s="365"/>
      <c r="M48" s="365"/>
      <c r="N48" s="365"/>
      <c r="O48" s="366"/>
      <c r="P48" s="206"/>
      <c r="Q48" s="378"/>
      <c r="R48" s="227"/>
      <c r="S48" s="220"/>
      <c r="T48" s="362"/>
      <c r="U48" s="362"/>
      <c r="V48" s="362"/>
      <c r="W48" s="362"/>
      <c r="X48" s="362"/>
      <c r="Y48" s="362"/>
      <c r="Z48" s="362"/>
      <c r="AA48" s="363"/>
      <c r="AB48" s="207"/>
      <c r="AC48" s="219"/>
      <c r="AD48" s="220"/>
      <c r="AE48" s="220"/>
      <c r="AF48" s="220"/>
      <c r="AG48" s="220"/>
      <c r="AH48" s="220"/>
      <c r="AI48" s="221"/>
      <c r="AJ48" s="208"/>
      <c r="AK48" s="223"/>
      <c r="AL48" s="220"/>
      <c r="AM48" s="220"/>
      <c r="AN48" s="220"/>
      <c r="AO48" s="220"/>
      <c r="AP48" s="220"/>
      <c r="AQ48" s="220"/>
      <c r="AR48" s="220"/>
      <c r="AS48" s="224"/>
      <c r="AT48" s="225"/>
      <c r="AU48" s="207"/>
      <c r="AV48" s="466" t="s">
        <v>107</v>
      </c>
      <c r="AW48" s="467">
        <f>IFERROR(AX42/AW42,0)</f>
        <v>0</v>
      </c>
      <c r="AX48" s="962"/>
      <c r="AY48" s="220"/>
      <c r="AZ48" s="466" t="s">
        <v>107</v>
      </c>
      <c r="BA48" s="467">
        <f>IFERROR(BB42/BA42,0)</f>
        <v>0</v>
      </c>
      <c r="BB48" s="962"/>
      <c r="BC48" s="220"/>
      <c r="BD48" s="466" t="s">
        <v>107</v>
      </c>
      <c r="BE48" s="467">
        <f>IFERROR(BF42/BE42,0)</f>
        <v>0.5</v>
      </c>
      <c r="BF48" s="962"/>
      <c r="BG48" s="220"/>
      <c r="BH48" s="466" t="s">
        <v>107</v>
      </c>
      <c r="BI48" s="467">
        <f>IFERROR(BJ42/BI42,0)</f>
        <v>0.3</v>
      </c>
      <c r="BJ48" s="962"/>
      <c r="BK48" s="220"/>
      <c r="BL48" s="220"/>
      <c r="BM48" s="221"/>
      <c r="BN48" s="207"/>
      <c r="BO48" s="219"/>
      <c r="BP48" s="220"/>
      <c r="BQ48" s="220"/>
      <c r="BR48" s="323" t="s">
        <v>68</v>
      </c>
      <c r="BS48" s="324" t="s">
        <v>69</v>
      </c>
      <c r="BT48" s="325" t="s">
        <v>70</v>
      </c>
      <c r="BU48" s="326" t="s">
        <v>71</v>
      </c>
      <c r="BV48" s="220"/>
      <c r="BW48" s="220"/>
      <c r="BX48" s="221"/>
      <c r="BY48" s="209"/>
      <c r="BZ48" s="350"/>
      <c r="CA48" s="376"/>
      <c r="CB48" s="384"/>
      <c r="CC48" s="350"/>
      <c r="CD48" s="350"/>
      <c r="CE48" s="468"/>
      <c r="CF48" s="350"/>
      <c r="CG48" s="350"/>
      <c r="CH48" s="468"/>
      <c r="CI48" s="350"/>
      <c r="CJ48" s="376"/>
      <c r="CK48" s="384"/>
      <c r="CL48" s="350"/>
      <c r="CM48" s="350"/>
      <c r="CN48" s="468"/>
      <c r="CO48" s="350"/>
      <c r="CP48" s="376"/>
      <c r="CQ48" s="384"/>
      <c r="CR48" s="350"/>
      <c r="CS48" s="350"/>
      <c r="CT48" s="468"/>
      <c r="CU48" s="350"/>
      <c r="CV48" s="376"/>
      <c r="CW48" s="384"/>
    </row>
    <row r="49" spans="4:101" ht="17.25" customHeight="1" thickBot="1" x14ac:dyDescent="0.35">
      <c r="D49" s="364"/>
      <c r="E49" s="287" t="s">
        <v>67</v>
      </c>
      <c r="F49" s="357">
        <f>IFERROR(SUM(F45:F47),0)</f>
        <v>0</v>
      </c>
      <c r="G49" s="365"/>
      <c r="H49" s="365"/>
      <c r="I49" s="365"/>
      <c r="J49" s="365"/>
      <c r="K49" s="365"/>
      <c r="L49" s="365"/>
      <c r="M49" s="365"/>
      <c r="N49" s="365"/>
      <c r="O49" s="366"/>
      <c r="P49" s="206"/>
      <c r="Q49" s="378"/>
      <c r="R49" s="230" t="s">
        <v>46</v>
      </c>
      <c r="S49" s="328">
        <f>IFERROR(S38/R38,0)</f>
        <v>0</v>
      </c>
      <c r="T49" s="362"/>
      <c r="U49" s="362"/>
      <c r="V49" s="362"/>
      <c r="W49" s="362"/>
      <c r="X49" s="362"/>
      <c r="Y49" s="362"/>
      <c r="Z49" s="362"/>
      <c r="AA49" s="363"/>
      <c r="AB49" s="207"/>
      <c r="AC49" s="219"/>
      <c r="AD49" s="220"/>
      <c r="AE49" s="220"/>
      <c r="AF49" s="220"/>
      <c r="AG49" s="220"/>
      <c r="AH49" s="220"/>
      <c r="AI49" s="221"/>
      <c r="AJ49" s="208"/>
      <c r="AK49" s="219"/>
      <c r="AL49" s="220"/>
      <c r="AM49" s="220"/>
      <c r="AN49" s="220"/>
      <c r="AO49" s="220"/>
      <c r="AP49" s="220"/>
      <c r="AQ49" s="220"/>
      <c r="AR49" s="220"/>
      <c r="AS49" s="220"/>
      <c r="AT49" s="221"/>
      <c r="AU49" s="207"/>
      <c r="AV49" s="430" t="s">
        <v>110</v>
      </c>
      <c r="AW49" s="413">
        <f>IFERROR(AX43/AW43,0)</f>
        <v>0</v>
      </c>
      <c r="AX49" s="963"/>
      <c r="AY49" s="220"/>
      <c r="AZ49" s="430" t="s">
        <v>110</v>
      </c>
      <c r="BA49" s="413">
        <f>IFERROR(BB43/BA43,0)</f>
        <v>0.5</v>
      </c>
      <c r="BB49" s="963"/>
      <c r="BC49" s="220"/>
      <c r="BD49" s="430" t="s">
        <v>110</v>
      </c>
      <c r="BE49" s="413">
        <f>IFERROR(BF43/BE43,0)</f>
        <v>0.5</v>
      </c>
      <c r="BF49" s="963"/>
      <c r="BG49" s="220"/>
      <c r="BH49" s="430" t="s">
        <v>110</v>
      </c>
      <c r="BI49" s="413">
        <f>IFERROR(BJ43/BI43,0)</f>
        <v>0</v>
      </c>
      <c r="BJ49" s="963"/>
      <c r="BK49" s="220"/>
      <c r="BL49" s="220"/>
      <c r="BM49" s="221"/>
      <c r="BN49" s="207"/>
      <c r="BO49" s="335"/>
      <c r="BP49" s="336"/>
      <c r="BQ49" s="311" t="s">
        <v>80</v>
      </c>
      <c r="BR49" s="337">
        <f>IF($BP46&gt;=BR$46,IF($BP46&lt;=BR$47,$BP46,NA()),NA())</f>
        <v>0</v>
      </c>
      <c r="BS49" s="457" t="e">
        <f>IF($BP46&gt;=BS$46,IF($BP46&lt;=BS$47,$BP46,NA()),NA())</f>
        <v>#N/A</v>
      </c>
      <c r="BT49" s="457" t="e">
        <f>IF($BP46&gt;=BT$46,IF($BP46&lt;=BT$47,$BP46,NA()),NA())</f>
        <v>#N/A</v>
      </c>
      <c r="BU49" s="458" t="e">
        <f>IF($BP46&gt;=BU$46,IF($BP46&lt;=BU$47,$BP46,NA()),NA())</f>
        <v>#N/A</v>
      </c>
      <c r="BV49" s="220"/>
      <c r="BW49" s="220"/>
      <c r="BX49" s="221"/>
      <c r="BY49" s="209"/>
      <c r="BZ49" s="350"/>
      <c r="CA49" s="376"/>
      <c r="CB49" s="384"/>
      <c r="CC49" s="350"/>
      <c r="CD49" s="350"/>
      <c r="CE49" s="376"/>
      <c r="CF49" s="350"/>
      <c r="CG49" s="350"/>
      <c r="CH49" s="376"/>
      <c r="CI49" s="350"/>
      <c r="CJ49" s="376"/>
      <c r="CK49" s="384"/>
      <c r="CL49" s="350"/>
      <c r="CM49" s="350"/>
      <c r="CN49" s="376"/>
      <c r="CO49" s="350"/>
      <c r="CP49" s="376"/>
      <c r="CQ49" s="384"/>
      <c r="CR49" s="350"/>
      <c r="CS49" s="350"/>
      <c r="CT49" s="376"/>
      <c r="CU49" s="350"/>
      <c r="CV49" s="376"/>
      <c r="CW49" s="384"/>
    </row>
    <row r="50" spans="4:101" ht="18.75" customHeight="1" thickBot="1" x14ac:dyDescent="0.35">
      <c r="D50" s="364"/>
      <c r="E50" s="365"/>
      <c r="F50" s="365"/>
      <c r="G50" s="365"/>
      <c r="H50" s="365"/>
      <c r="I50" s="365"/>
      <c r="J50" s="365"/>
      <c r="K50" s="365"/>
      <c r="L50" s="365"/>
      <c r="M50" s="365"/>
      <c r="N50" s="365"/>
      <c r="O50" s="366"/>
      <c r="P50" s="206"/>
      <c r="Q50" s="378"/>
      <c r="R50" s="234" t="s">
        <v>52</v>
      </c>
      <c r="S50" s="340">
        <f>IFERROR(S39/R39,0)</f>
        <v>0</v>
      </c>
      <c r="T50" s="362"/>
      <c r="U50" s="362"/>
      <c r="V50" s="362"/>
      <c r="W50" s="362"/>
      <c r="X50" s="362"/>
      <c r="Y50" s="362"/>
      <c r="Z50" s="362"/>
      <c r="AA50" s="363"/>
      <c r="AB50" s="207"/>
      <c r="AC50" s="948" t="s">
        <v>105</v>
      </c>
      <c r="AD50" s="949"/>
      <c r="AE50" s="949"/>
      <c r="AF50" s="949"/>
      <c r="AG50" s="949"/>
      <c r="AH50" s="949"/>
      <c r="AI50" s="950"/>
      <c r="AJ50" s="208"/>
      <c r="AK50" s="369"/>
      <c r="AL50" s="220"/>
      <c r="AM50" s="220"/>
      <c r="AN50" s="220"/>
      <c r="AO50" s="220"/>
      <c r="AP50" s="220"/>
      <c r="AQ50" s="220"/>
      <c r="AR50" s="220"/>
      <c r="AS50" s="220"/>
      <c r="AT50" s="221"/>
      <c r="AU50" s="207"/>
      <c r="AV50" s="219"/>
      <c r="AW50" s="220"/>
      <c r="AX50" s="220"/>
      <c r="AY50" s="220"/>
      <c r="AZ50" s="220"/>
      <c r="BA50" s="220"/>
      <c r="BB50" s="220"/>
      <c r="BC50" s="220"/>
      <c r="BD50" s="220"/>
      <c r="BE50" s="220"/>
      <c r="BF50" s="220"/>
      <c r="BG50" s="220"/>
      <c r="BH50" s="220"/>
      <c r="BI50" s="220"/>
      <c r="BJ50" s="220"/>
      <c r="BK50" s="220"/>
      <c r="BL50" s="220"/>
      <c r="BM50" s="221"/>
      <c r="BN50" s="207"/>
      <c r="BO50" s="219"/>
      <c r="BP50" s="343"/>
      <c r="BQ50" s="344" t="s">
        <v>62</v>
      </c>
      <c r="BR50" s="460">
        <f>IF($BP$47&gt;=BR$46,IF($BP$47&lt;=BR$47,$BP$47,NA()),NA())</f>
        <v>0</v>
      </c>
      <c r="BS50" s="461" t="e">
        <f>IF($BP$47&gt;=BS$46,IF($BP$47&lt;=BS$47,$BP$47,NA()),NA())</f>
        <v>#N/A</v>
      </c>
      <c r="BT50" s="461" t="e">
        <f>IF($BP$47&gt;=BT$46,IF($BP$47&lt;=BT$47,$BP$47,NA()),NA())</f>
        <v>#N/A</v>
      </c>
      <c r="BU50" s="462" t="e">
        <f>IF($BP$47&gt;=BU$46,IF($BP$47&lt;=BU$47,$BP$47,NA()),NA())</f>
        <v>#N/A</v>
      </c>
      <c r="BV50" s="220"/>
      <c r="BW50" s="220"/>
      <c r="BX50" s="221"/>
      <c r="BY50" s="209"/>
      <c r="BZ50" s="350"/>
      <c r="CA50" s="376"/>
      <c r="CB50" s="384"/>
      <c r="CC50" s="350"/>
      <c r="CD50" s="350"/>
      <c r="CE50" s="468"/>
      <c r="CF50" s="350"/>
      <c r="CG50" s="350"/>
      <c r="CH50" s="468"/>
      <c r="CI50" s="350"/>
      <c r="CJ50" s="376"/>
      <c r="CK50" s="384"/>
      <c r="CL50" s="350"/>
      <c r="CM50" s="350"/>
      <c r="CN50" s="468"/>
      <c r="CO50" s="350"/>
      <c r="CP50" s="376"/>
      <c r="CQ50" s="384"/>
      <c r="CR50" s="350"/>
      <c r="CS50" s="350"/>
      <c r="CT50" s="468"/>
      <c r="CU50" s="350"/>
      <c r="CV50" s="376"/>
      <c r="CW50" s="384"/>
    </row>
    <row r="51" spans="4:101" ht="17.25" customHeight="1" thickBot="1" x14ac:dyDescent="0.35">
      <c r="D51" s="364"/>
      <c r="E51" s="365"/>
      <c r="F51" s="365"/>
      <c r="G51" s="365"/>
      <c r="H51" s="365"/>
      <c r="I51" s="365"/>
      <c r="J51" s="365"/>
      <c r="K51" s="365"/>
      <c r="L51" s="365"/>
      <c r="M51" s="365"/>
      <c r="N51" s="365"/>
      <c r="O51" s="366"/>
      <c r="P51" s="206"/>
      <c r="Q51" s="378"/>
      <c r="R51" s="234" t="s">
        <v>53</v>
      </c>
      <c r="S51" s="340">
        <f>IFERROR(S40/R40,0)</f>
        <v>0</v>
      </c>
      <c r="T51" s="362"/>
      <c r="U51" s="362"/>
      <c r="V51" s="362"/>
      <c r="W51" s="362"/>
      <c r="X51" s="362"/>
      <c r="Y51" s="362"/>
      <c r="Z51" s="362"/>
      <c r="AA51" s="363"/>
      <c r="AB51" s="207"/>
      <c r="AC51" s="219"/>
      <c r="AD51" s="220"/>
      <c r="AE51" s="220"/>
      <c r="AF51" s="220"/>
      <c r="AG51" s="220"/>
      <c r="AH51" s="220"/>
      <c r="AI51" s="221"/>
      <c r="AJ51" s="208"/>
      <c r="AK51" s="369"/>
      <c r="AL51" s="923" t="s">
        <v>503</v>
      </c>
      <c r="AM51" s="392" t="s">
        <v>1</v>
      </c>
      <c r="AN51" s="390" t="s">
        <v>60</v>
      </c>
      <c r="AO51" s="391" t="s">
        <v>61</v>
      </c>
      <c r="AP51" s="344"/>
      <c r="AQ51" s="247" t="s">
        <v>58</v>
      </c>
      <c r="AR51" s="247" t="s">
        <v>62</v>
      </c>
      <c r="AS51" s="220"/>
      <c r="AT51" s="221"/>
      <c r="AU51" s="207"/>
      <c r="AV51" s="219"/>
      <c r="AW51" s="220"/>
      <c r="AX51" s="220"/>
      <c r="AY51" s="220"/>
      <c r="AZ51" s="220"/>
      <c r="BA51" s="220"/>
      <c r="BB51" s="220"/>
      <c r="BC51" s="220"/>
      <c r="BD51" s="220"/>
      <c r="BE51" s="220"/>
      <c r="BF51" s="220"/>
      <c r="BG51" s="220"/>
      <c r="BH51" s="220"/>
      <c r="BI51" s="220"/>
      <c r="BJ51" s="220"/>
      <c r="BK51" s="220"/>
      <c r="BL51" s="220"/>
      <c r="BM51" s="221"/>
      <c r="BN51" s="207"/>
      <c r="BO51" s="219"/>
      <c r="BP51" s="220"/>
      <c r="BQ51" s="220"/>
      <c r="BR51" s="220"/>
      <c r="BS51" s="220"/>
      <c r="BT51" s="220"/>
      <c r="BU51" s="220"/>
      <c r="BV51" s="220"/>
      <c r="BW51" s="220"/>
      <c r="BX51" s="221"/>
      <c r="BY51" s="209"/>
      <c r="BZ51" s="350"/>
      <c r="CA51" s="376"/>
      <c r="CB51" s="384"/>
      <c r="CC51" s="350"/>
      <c r="CD51" s="382"/>
      <c r="CE51" s="469"/>
      <c r="CF51" s="350"/>
      <c r="CG51" s="382"/>
      <c r="CH51" s="469"/>
      <c r="CI51" s="350"/>
      <c r="CJ51" s="376"/>
      <c r="CK51" s="384"/>
      <c r="CL51" s="350"/>
      <c r="CM51" s="382"/>
      <c r="CN51" s="469"/>
      <c r="CO51" s="350"/>
      <c r="CP51" s="376"/>
      <c r="CQ51" s="384"/>
      <c r="CR51" s="350"/>
      <c r="CS51" s="382"/>
      <c r="CT51" s="469"/>
      <c r="CU51" s="350"/>
      <c r="CV51" s="376"/>
      <c r="CW51" s="384"/>
    </row>
    <row r="52" spans="4:101" ht="17.25" thickBot="1" x14ac:dyDescent="0.35">
      <c r="D52" s="364"/>
      <c r="E52" s="365"/>
      <c r="F52" s="365"/>
      <c r="G52" s="365"/>
      <c r="H52" s="365"/>
      <c r="I52" s="365"/>
      <c r="J52" s="365"/>
      <c r="K52" s="365"/>
      <c r="L52" s="365"/>
      <c r="M52" s="365"/>
      <c r="N52" s="365"/>
      <c r="O52" s="366"/>
      <c r="P52" s="206"/>
      <c r="Q52" s="378"/>
      <c r="R52" s="254" t="s">
        <v>495</v>
      </c>
      <c r="S52" s="349">
        <f>IFERROR(S41/R41,0)</f>
        <v>0</v>
      </c>
      <c r="T52" s="362"/>
      <c r="U52" s="362"/>
      <c r="V52" s="362"/>
      <c r="W52" s="362"/>
      <c r="X52" s="362"/>
      <c r="Y52" s="362"/>
      <c r="Z52" s="362"/>
      <c r="AA52" s="363"/>
      <c r="AB52" s="207"/>
      <c r="AC52" s="244" t="s">
        <v>78</v>
      </c>
      <c r="AD52" s="245" t="s">
        <v>55</v>
      </c>
      <c r="AE52" s="246" t="s">
        <v>56</v>
      </c>
      <c r="AF52" s="344" t="s">
        <v>97</v>
      </c>
      <c r="AG52" s="247" t="s">
        <v>58</v>
      </c>
      <c r="AH52" s="341" t="s">
        <v>108</v>
      </c>
      <c r="AI52" s="470" t="s">
        <v>109</v>
      </c>
      <c r="AJ52" s="208"/>
      <c r="AK52" s="369"/>
      <c r="AL52" s="924"/>
      <c r="AM52" s="273" t="s">
        <v>506</v>
      </c>
      <c r="AN52" s="277">
        <f>'2. PRODUCTOS'!$E$212</f>
        <v>3</v>
      </c>
      <c r="AO52" s="278">
        <f>'2. PRODUCTOS'!$BT$212</f>
        <v>3</v>
      </c>
      <c r="AP52" s="471" t="s">
        <v>526</v>
      </c>
      <c r="AQ52" s="276">
        <f>IFERROR(AO52/AN52,0)</f>
        <v>1</v>
      </c>
      <c r="AR52" s="896">
        <f>AVERAGE(AQ52:AQ56)</f>
        <v>1.518</v>
      </c>
      <c r="AS52" s="220"/>
      <c r="AT52" s="221"/>
      <c r="AU52" s="207"/>
      <c r="AV52" s="971" t="s">
        <v>516</v>
      </c>
      <c r="AW52" s="972"/>
      <c r="AX52" s="972"/>
      <c r="AY52" s="972"/>
      <c r="AZ52" s="972"/>
      <c r="BA52" s="972"/>
      <c r="BB52" s="972"/>
      <c r="BC52" s="972"/>
      <c r="BD52" s="972"/>
      <c r="BE52" s="972"/>
      <c r="BF52" s="972"/>
      <c r="BG52" s="972"/>
      <c r="BH52" s="972"/>
      <c r="BI52" s="972"/>
      <c r="BJ52" s="972"/>
      <c r="BK52" s="972"/>
      <c r="BL52" s="972"/>
      <c r="BM52" s="973"/>
      <c r="BN52" s="207"/>
      <c r="BO52" s="219"/>
      <c r="BP52" s="220"/>
      <c r="BQ52" s="220"/>
      <c r="BR52" s="220"/>
      <c r="BS52" s="220"/>
      <c r="BT52" s="220"/>
      <c r="BU52" s="220"/>
      <c r="BV52" s="220"/>
      <c r="BW52" s="220"/>
      <c r="BX52" s="221"/>
      <c r="BY52" s="209"/>
      <c r="BZ52" s="350"/>
      <c r="CA52" s="376"/>
      <c r="CB52" s="384"/>
      <c r="CC52" s="350"/>
      <c r="CD52" s="350"/>
      <c r="CE52" s="350"/>
      <c r="CF52" s="350"/>
      <c r="CG52" s="350"/>
      <c r="CH52" s="350"/>
      <c r="CI52" s="350"/>
      <c r="CJ52" s="376"/>
      <c r="CK52" s="384"/>
      <c r="CL52" s="350"/>
      <c r="CM52" s="350"/>
      <c r="CN52" s="350"/>
      <c r="CO52" s="350"/>
      <c r="CP52" s="376"/>
      <c r="CQ52" s="384"/>
      <c r="CR52" s="350"/>
      <c r="CS52" s="350"/>
      <c r="CT52" s="350"/>
      <c r="CU52" s="350"/>
      <c r="CV52" s="376"/>
      <c r="CW52" s="384"/>
    </row>
    <row r="53" spans="4:101" ht="17.25" customHeight="1" thickBot="1" x14ac:dyDescent="0.35">
      <c r="D53" s="364"/>
      <c r="E53" s="365"/>
      <c r="F53" s="365"/>
      <c r="G53" s="365"/>
      <c r="H53" s="365"/>
      <c r="I53" s="365"/>
      <c r="J53" s="365"/>
      <c r="K53" s="365"/>
      <c r="L53" s="365"/>
      <c r="M53" s="365"/>
      <c r="N53" s="365"/>
      <c r="O53" s="366"/>
      <c r="P53" s="206"/>
      <c r="Q53" s="378"/>
      <c r="R53" s="287" t="s">
        <v>67</v>
      </c>
      <c r="S53" s="357">
        <f>IFERROR(S42/R42,0)</f>
        <v>0</v>
      </c>
      <c r="T53" s="362"/>
      <c r="U53" s="362"/>
      <c r="V53" s="362"/>
      <c r="W53" s="362"/>
      <c r="X53" s="362"/>
      <c r="Y53" s="362"/>
      <c r="Z53" s="362"/>
      <c r="AA53" s="363"/>
      <c r="AB53" s="207"/>
      <c r="AC53" s="233" t="s">
        <v>111</v>
      </c>
      <c r="AD53" s="472">
        <f>'2. PRODUCTOS'!$K$8</f>
        <v>370816.74</v>
      </c>
      <c r="AE53" s="473">
        <f>'2. PRODUCTOS'!$BV$8</f>
        <v>370016.74</v>
      </c>
      <c r="AF53" s="474">
        <f>AG53</f>
        <v>0.9978426000940519</v>
      </c>
      <c r="AG53" s="276">
        <f t="shared" ref="AG53:AG58" si="5">IFERROR(AE53/AD53,0)</f>
        <v>0.9978426000940519</v>
      </c>
      <c r="AH53" s="475">
        <f>AG54</f>
        <v>1.0909398528043315</v>
      </c>
      <c r="AI53" s="476">
        <f>AG55</f>
        <v>1</v>
      </c>
      <c r="AJ53" s="208"/>
      <c r="AK53" s="369"/>
      <c r="AL53" s="924"/>
      <c r="AM53" s="297" t="s">
        <v>507</v>
      </c>
      <c r="AN53" s="298">
        <f>'2. PRODUCTOS'!$E$224</f>
        <v>15</v>
      </c>
      <c r="AO53" s="301">
        <f>'2. PRODUCTOS'!$BT$224</f>
        <v>34</v>
      </c>
      <c r="AP53" s="471" t="s">
        <v>527</v>
      </c>
      <c r="AQ53" s="270">
        <f>IFERROR(AO53/AN53,0)</f>
        <v>2.2666666666666666</v>
      </c>
      <c r="AR53" s="897"/>
      <c r="AS53" s="220"/>
      <c r="AT53" s="221"/>
      <c r="AU53" s="207"/>
      <c r="AV53" s="219"/>
      <c r="AW53" s="220"/>
      <c r="AX53" s="220"/>
      <c r="AY53" s="220"/>
      <c r="AZ53" s="220"/>
      <c r="BA53" s="220"/>
      <c r="BB53" s="220"/>
      <c r="BC53" s="220"/>
      <c r="BD53" s="220"/>
      <c r="BE53" s="220"/>
      <c r="BF53" s="220"/>
      <c r="BG53" s="220"/>
      <c r="BH53" s="220"/>
      <c r="BI53" s="220"/>
      <c r="BJ53" s="220"/>
      <c r="BK53" s="220"/>
      <c r="BL53" s="220"/>
      <c r="BM53" s="221"/>
      <c r="BN53" s="207"/>
      <c r="BO53" s="958">
        <v>2020</v>
      </c>
      <c r="BP53" s="959"/>
      <c r="BQ53" s="959"/>
      <c r="BR53" s="959"/>
      <c r="BS53" s="959"/>
      <c r="BT53" s="959"/>
      <c r="BU53" s="959"/>
      <c r="BV53" s="959"/>
      <c r="BW53" s="959"/>
      <c r="BX53" s="960"/>
      <c r="BY53" s="209"/>
      <c r="BZ53" s="350"/>
      <c r="CA53" s="376"/>
      <c r="CB53" s="384"/>
      <c r="CC53" s="350"/>
      <c r="CD53" s="350"/>
      <c r="CE53" s="350"/>
      <c r="CF53" s="350"/>
      <c r="CG53" s="350"/>
      <c r="CH53" s="350"/>
      <c r="CI53" s="350"/>
      <c r="CJ53" s="376"/>
      <c r="CK53" s="384"/>
      <c r="CL53" s="350"/>
      <c r="CM53" s="350"/>
      <c r="CN53" s="350"/>
      <c r="CO53" s="350"/>
      <c r="CP53" s="376"/>
      <c r="CQ53" s="384"/>
      <c r="CR53" s="350"/>
      <c r="CS53" s="350"/>
      <c r="CT53" s="350"/>
      <c r="CU53" s="350"/>
      <c r="CV53" s="376"/>
      <c r="CW53" s="384"/>
    </row>
    <row r="54" spans="4:101" ht="17.25" customHeight="1" thickBot="1" x14ac:dyDescent="0.35">
      <c r="D54" s="364"/>
      <c r="E54" s="365"/>
      <c r="F54" s="365"/>
      <c r="G54" s="365"/>
      <c r="H54" s="365"/>
      <c r="I54" s="365"/>
      <c r="J54" s="365"/>
      <c r="K54" s="365"/>
      <c r="L54" s="365"/>
      <c r="M54" s="365"/>
      <c r="N54" s="365"/>
      <c r="O54" s="366"/>
      <c r="P54" s="206"/>
      <c r="Q54" s="378"/>
      <c r="R54" s="227"/>
      <c r="S54" s="220"/>
      <c r="T54" s="362"/>
      <c r="U54" s="362"/>
      <c r="V54" s="362"/>
      <c r="W54" s="362"/>
      <c r="X54" s="362"/>
      <c r="Y54" s="362"/>
      <c r="Z54" s="362"/>
      <c r="AA54" s="363"/>
      <c r="AB54" s="207"/>
      <c r="AC54" s="237" t="s">
        <v>103</v>
      </c>
      <c r="AD54" s="477">
        <f>'2. PRODUCTOS'!$K$62</f>
        <v>472840</v>
      </c>
      <c r="AE54" s="478">
        <f>'2. PRODUCTOS'!$BV$62</f>
        <v>515840.00000000006</v>
      </c>
      <c r="AF54" s="271">
        <v>1</v>
      </c>
      <c r="AG54" s="270">
        <f t="shared" si="5"/>
        <v>1.0909398528043315</v>
      </c>
      <c r="AH54" s="295">
        <v>1</v>
      </c>
      <c r="AI54" s="479">
        <v>1</v>
      </c>
      <c r="AJ54" s="208"/>
      <c r="AK54" s="369"/>
      <c r="AL54" s="924"/>
      <c r="AM54" s="297" t="s">
        <v>508</v>
      </c>
      <c r="AN54" s="298">
        <f>'2. PRODUCTOS'!$E$236</f>
        <v>75</v>
      </c>
      <c r="AO54" s="301">
        <f>'2. PRODUCTOS'!$BT$236</f>
        <v>193</v>
      </c>
      <c r="AP54" s="471" t="s">
        <v>528</v>
      </c>
      <c r="AQ54" s="270">
        <f>IFERROR(AO54/AN54,0)</f>
        <v>2.5733333333333333</v>
      </c>
      <c r="AR54" s="897"/>
      <c r="AS54" s="220"/>
      <c r="AT54" s="221"/>
      <c r="AU54" s="207"/>
      <c r="AV54" s="392" t="s">
        <v>1</v>
      </c>
      <c r="AW54" s="390" t="s">
        <v>60</v>
      </c>
      <c r="AX54" s="391" t="s">
        <v>63</v>
      </c>
      <c r="AY54" s="220"/>
      <c r="AZ54" s="392" t="s">
        <v>1</v>
      </c>
      <c r="BA54" s="390" t="s">
        <v>60</v>
      </c>
      <c r="BB54" s="391" t="s">
        <v>64</v>
      </c>
      <c r="BC54" s="220"/>
      <c r="BD54" s="392" t="s">
        <v>1</v>
      </c>
      <c r="BE54" s="390" t="s">
        <v>60</v>
      </c>
      <c r="BF54" s="391" t="s">
        <v>65</v>
      </c>
      <c r="BG54" s="220"/>
      <c r="BH54" s="392" t="s">
        <v>1</v>
      </c>
      <c r="BI54" s="390" t="s">
        <v>60</v>
      </c>
      <c r="BJ54" s="391" t="s">
        <v>491</v>
      </c>
      <c r="BK54" s="220"/>
      <c r="BL54" s="220"/>
      <c r="BM54" s="221"/>
      <c r="BN54" s="207"/>
      <c r="BO54" s="219"/>
      <c r="BP54" s="347"/>
      <c r="BQ54" s="220"/>
      <c r="BR54" s="220"/>
      <c r="BS54" s="220"/>
      <c r="BT54" s="220"/>
      <c r="BU54" s="220"/>
      <c r="BV54" s="220"/>
      <c r="BW54" s="220"/>
      <c r="BX54" s="221"/>
      <c r="BY54" s="209"/>
      <c r="BZ54" s="350"/>
      <c r="CA54" s="376"/>
      <c r="CB54" s="384"/>
      <c r="CC54" s="350"/>
      <c r="CD54" s="350"/>
      <c r="CE54" s="350"/>
      <c r="CF54" s="350"/>
      <c r="CG54" s="350"/>
      <c r="CH54" s="350"/>
      <c r="CI54" s="350"/>
      <c r="CJ54" s="376"/>
      <c r="CK54" s="384"/>
      <c r="CL54" s="350"/>
      <c r="CM54" s="350"/>
      <c r="CN54" s="350"/>
      <c r="CO54" s="350"/>
      <c r="CP54" s="376"/>
      <c r="CQ54" s="384"/>
      <c r="CR54" s="350"/>
      <c r="CS54" s="350"/>
      <c r="CT54" s="350"/>
      <c r="CU54" s="350"/>
      <c r="CV54" s="376"/>
      <c r="CW54" s="384"/>
    </row>
    <row r="55" spans="4:101" ht="17.25" thickBot="1" x14ac:dyDescent="0.35">
      <c r="D55" s="364"/>
      <c r="E55" s="365"/>
      <c r="F55" s="365"/>
      <c r="G55" s="365"/>
      <c r="H55" s="365"/>
      <c r="I55" s="365"/>
      <c r="J55" s="365"/>
      <c r="K55" s="365"/>
      <c r="L55" s="365"/>
      <c r="M55" s="365"/>
      <c r="N55" s="365"/>
      <c r="O55" s="366"/>
      <c r="P55" s="206"/>
      <c r="Q55" s="378"/>
      <c r="R55" s="227"/>
      <c r="S55" s="220"/>
      <c r="T55" s="362"/>
      <c r="U55" s="362"/>
      <c r="V55" s="362"/>
      <c r="W55" s="362"/>
      <c r="X55" s="362"/>
      <c r="Y55" s="362"/>
      <c r="Z55" s="362"/>
      <c r="AA55" s="363"/>
      <c r="AB55" s="207"/>
      <c r="AC55" s="237" t="s">
        <v>112</v>
      </c>
      <c r="AD55" s="477">
        <f>'2. PRODUCTOS'!$K$116</f>
        <v>281883</v>
      </c>
      <c r="AE55" s="478">
        <f>'2. PRODUCTOS'!$BV$116</f>
        <v>281883</v>
      </c>
      <c r="AF55" s="474"/>
      <c r="AG55" s="270">
        <f t="shared" si="5"/>
        <v>1</v>
      </c>
      <c r="AH55" s="475"/>
      <c r="AI55" s="476"/>
      <c r="AJ55" s="208"/>
      <c r="AK55" s="369"/>
      <c r="AL55" s="924"/>
      <c r="AM55" s="297" t="s">
        <v>509</v>
      </c>
      <c r="AN55" s="480">
        <f>'2. PRODUCTOS'!$E$248</f>
        <v>4</v>
      </c>
      <c r="AO55" s="481">
        <f>'2. PRODUCTOS'!$BT$248</f>
        <v>5</v>
      </c>
      <c r="AP55" s="471" t="s">
        <v>529</v>
      </c>
      <c r="AQ55" s="270">
        <f>IFERROR(AO55/AN55,0)</f>
        <v>1.25</v>
      </c>
      <c r="AR55" s="897"/>
      <c r="AS55" s="220"/>
      <c r="AT55" s="221"/>
      <c r="AU55" s="207"/>
      <c r="AV55" s="482" t="s">
        <v>116</v>
      </c>
      <c r="AW55" s="277">
        <f>'2. PRODUCTOS'!$G$116</f>
        <v>1</v>
      </c>
      <c r="AX55" s="278">
        <f>'2. PRODUCTOS'!$W$116</f>
        <v>1</v>
      </c>
      <c r="AY55" s="220"/>
      <c r="AZ55" s="482" t="s">
        <v>116</v>
      </c>
      <c r="BA55" s="277">
        <f>'2. PRODUCTOS'!$H$116</f>
        <v>3</v>
      </c>
      <c r="BB55" s="278">
        <f>'2. PRODUCTOS'!$AJ$116</f>
        <v>1</v>
      </c>
      <c r="BC55" s="220"/>
      <c r="BD55" s="483" t="s">
        <v>116</v>
      </c>
      <c r="BE55" s="277">
        <f>'2. PRODUCTOS'!$I$116</f>
        <v>2</v>
      </c>
      <c r="BF55" s="278">
        <f>'2. PRODUCTOS'!$AW$116</f>
        <v>0</v>
      </c>
      <c r="BG55" s="220"/>
      <c r="BH55" s="483" t="s">
        <v>116</v>
      </c>
      <c r="BI55" s="277">
        <f>'2. PRODUCTOS'!$J$116</f>
        <v>4</v>
      </c>
      <c r="BJ55" s="278">
        <f>'2. PRODUCTOS'!$BJ$116</f>
        <v>2</v>
      </c>
      <c r="BK55" s="220"/>
      <c r="BL55" s="220"/>
      <c r="BM55" s="221"/>
      <c r="BN55" s="207"/>
      <c r="BO55" s="249" t="s">
        <v>54</v>
      </c>
      <c r="BP55" s="250" t="s">
        <v>66</v>
      </c>
      <c r="BQ55" s="220"/>
      <c r="BR55" s="251" t="s">
        <v>47</v>
      </c>
      <c r="BS55" s="252"/>
      <c r="BT55" s="252"/>
      <c r="BU55" s="253"/>
      <c r="BV55" s="220"/>
      <c r="BW55" s="220"/>
      <c r="BX55" s="221"/>
      <c r="BY55" s="209"/>
      <c r="BZ55" s="350"/>
      <c r="CA55" s="376"/>
      <c r="CB55" s="383"/>
      <c r="CC55" s="350"/>
      <c r="CD55" s="350"/>
      <c r="CE55" s="350"/>
      <c r="CF55" s="350"/>
      <c r="CG55" s="350"/>
      <c r="CH55" s="350"/>
      <c r="CI55" s="350"/>
      <c r="CJ55" s="376"/>
      <c r="CK55" s="383"/>
      <c r="CL55" s="350"/>
      <c r="CM55" s="350"/>
      <c r="CN55" s="350"/>
      <c r="CO55" s="350"/>
      <c r="CP55" s="376"/>
      <c r="CQ55" s="383"/>
      <c r="CR55" s="350"/>
      <c r="CS55" s="350"/>
      <c r="CT55" s="350"/>
      <c r="CU55" s="350"/>
      <c r="CV55" s="376"/>
      <c r="CW55" s="383"/>
    </row>
    <row r="56" spans="4:101" ht="21" thickBot="1" x14ac:dyDescent="0.35">
      <c r="D56" s="863" t="s">
        <v>79</v>
      </c>
      <c r="E56" s="864"/>
      <c r="F56" s="864"/>
      <c r="G56" s="864"/>
      <c r="H56" s="864"/>
      <c r="I56" s="864"/>
      <c r="J56" s="864"/>
      <c r="K56" s="864"/>
      <c r="L56" s="864"/>
      <c r="M56" s="864"/>
      <c r="N56" s="864"/>
      <c r="O56" s="865"/>
      <c r="P56" s="206"/>
      <c r="Q56" s="851" t="s">
        <v>79</v>
      </c>
      <c r="R56" s="852"/>
      <c r="S56" s="852"/>
      <c r="T56" s="852"/>
      <c r="U56" s="852"/>
      <c r="V56" s="852"/>
      <c r="W56" s="852"/>
      <c r="X56" s="852"/>
      <c r="Y56" s="852"/>
      <c r="Z56" s="852"/>
      <c r="AA56" s="853"/>
      <c r="AB56" s="207"/>
      <c r="AC56" s="237" t="s">
        <v>115</v>
      </c>
      <c r="AD56" s="477">
        <f>'2. PRODUCTOS'!$K$170</f>
        <v>357501</v>
      </c>
      <c r="AE56" s="478">
        <f>'2. PRODUCTOS'!$BV$170</f>
        <v>362373.23</v>
      </c>
      <c r="AF56" s="295"/>
      <c r="AG56" s="270">
        <f t="shared" si="5"/>
        <v>1.0136285772627209</v>
      </c>
      <c r="AH56" s="484" t="s">
        <v>503</v>
      </c>
      <c r="AI56" s="485" t="s">
        <v>504</v>
      </c>
      <c r="AJ56" s="208"/>
      <c r="AK56" s="369"/>
      <c r="AL56" s="925"/>
      <c r="AM56" s="317" t="s">
        <v>510</v>
      </c>
      <c r="AN56" s="322">
        <f>'2. PRODUCTOS'!$E$260</f>
        <v>4</v>
      </c>
      <c r="AO56" s="321">
        <f>'2. PRODUCTOS'!$BT$260</f>
        <v>2</v>
      </c>
      <c r="AP56" s="471" t="s">
        <v>530</v>
      </c>
      <c r="AQ56" s="342">
        <f>IFERROR(AO56/AN56,0)</f>
        <v>0.5</v>
      </c>
      <c r="AR56" s="898"/>
      <c r="AS56" s="220"/>
      <c r="AT56" s="221"/>
      <c r="AU56" s="207"/>
      <c r="AV56" s="486" t="s">
        <v>119</v>
      </c>
      <c r="AW56" s="298">
        <f>'2. PRODUCTOS'!$G$128</f>
        <v>1</v>
      </c>
      <c r="AX56" s="301">
        <f>'2. PRODUCTOS'!$W$128</f>
        <v>2</v>
      </c>
      <c r="AY56" s="220"/>
      <c r="AZ56" s="486" t="s">
        <v>119</v>
      </c>
      <c r="BA56" s="298">
        <f>'2. PRODUCTOS'!$H$128</f>
        <v>2</v>
      </c>
      <c r="BB56" s="301">
        <f>'2. PRODUCTOS'!$AJ$128</f>
        <v>2</v>
      </c>
      <c r="BC56" s="220"/>
      <c r="BD56" s="487" t="s">
        <v>119</v>
      </c>
      <c r="BE56" s="298">
        <f>'2. PRODUCTOS'!$I$128</f>
        <v>3</v>
      </c>
      <c r="BF56" s="301">
        <f>'2. PRODUCTOS'!$AW$128</f>
        <v>2</v>
      </c>
      <c r="BG56" s="220"/>
      <c r="BH56" s="487" t="s">
        <v>119</v>
      </c>
      <c r="BI56" s="298">
        <f>'2. PRODUCTOS'!$J$128</f>
        <v>3</v>
      </c>
      <c r="BJ56" s="301">
        <f>'2. PRODUCTOS'!$BJ$128</f>
        <v>0</v>
      </c>
      <c r="BK56" s="220"/>
      <c r="BL56" s="220"/>
      <c r="BM56" s="221"/>
      <c r="BN56" s="207"/>
      <c r="BO56" s="279" t="s">
        <v>0</v>
      </c>
      <c r="BP56" s="280">
        <f>$BJ$19</f>
        <v>0</v>
      </c>
      <c r="BQ56" s="220"/>
      <c r="BR56" s="281">
        <v>0</v>
      </c>
      <c r="BS56" s="282">
        <v>0.5</v>
      </c>
      <c r="BT56" s="282">
        <v>0.75</v>
      </c>
      <c r="BU56" s="283">
        <v>1.01</v>
      </c>
      <c r="BV56" s="220"/>
      <c r="BW56" s="220"/>
      <c r="BX56" s="221"/>
      <c r="BY56" s="209"/>
      <c r="BZ56" s="350"/>
      <c r="CA56" s="382"/>
      <c r="CB56" s="488"/>
      <c r="CC56" s="350"/>
      <c r="CD56" s="350"/>
      <c r="CE56" s="350"/>
      <c r="CF56" s="350"/>
      <c r="CG56" s="350"/>
      <c r="CH56" s="350"/>
      <c r="CI56" s="350"/>
      <c r="CJ56" s="382"/>
      <c r="CK56" s="488"/>
      <c r="CL56" s="350"/>
      <c r="CM56" s="350"/>
      <c r="CN56" s="350"/>
      <c r="CO56" s="350"/>
      <c r="CP56" s="382"/>
      <c r="CQ56" s="488"/>
      <c r="CR56" s="350"/>
      <c r="CS56" s="350"/>
      <c r="CT56" s="350"/>
      <c r="CU56" s="350"/>
      <c r="CV56" s="382"/>
      <c r="CW56" s="488"/>
    </row>
    <row r="57" spans="4:101" ht="17.25" thickBot="1" x14ac:dyDescent="0.35">
      <c r="D57" s="364"/>
      <c r="E57" s="365"/>
      <c r="F57" s="365"/>
      <c r="G57" s="365"/>
      <c r="H57" s="365"/>
      <c r="I57" s="365"/>
      <c r="J57" s="365"/>
      <c r="K57" s="365"/>
      <c r="L57" s="365"/>
      <c r="M57" s="365"/>
      <c r="N57" s="365"/>
      <c r="O57" s="366"/>
      <c r="P57" s="206"/>
      <c r="Q57" s="378"/>
      <c r="R57" s="227"/>
      <c r="S57" s="220"/>
      <c r="T57" s="362"/>
      <c r="U57" s="362"/>
      <c r="V57" s="362"/>
      <c r="W57" s="362"/>
      <c r="X57" s="362"/>
      <c r="Y57" s="362"/>
      <c r="Z57" s="362"/>
      <c r="AA57" s="363"/>
      <c r="AB57" s="207"/>
      <c r="AC57" s="237" t="s">
        <v>502</v>
      </c>
      <c r="AD57" s="489">
        <f>'2. PRODUCTOS'!$K$212</f>
        <v>411500</v>
      </c>
      <c r="AE57" s="490">
        <f>'2. PRODUCTOS'!$BV$212</f>
        <v>316543.61</v>
      </c>
      <c r="AF57" s="341" t="s">
        <v>118</v>
      </c>
      <c r="AG57" s="270">
        <f t="shared" si="5"/>
        <v>0.76924328068043735</v>
      </c>
      <c r="AH57" s="474">
        <f>AG57</f>
        <v>0.76924328068043735</v>
      </c>
      <c r="AI57" s="296">
        <f>AG58</f>
        <v>1</v>
      </c>
      <c r="AJ57" s="208"/>
      <c r="AK57" s="369"/>
      <c r="AL57" s="220"/>
      <c r="AM57" s="220"/>
      <c r="AN57" s="220"/>
      <c r="AO57" s="220"/>
      <c r="AP57" s="220"/>
      <c r="AQ57" s="220"/>
      <c r="AR57" s="220"/>
      <c r="AS57" s="220"/>
      <c r="AT57" s="221"/>
      <c r="AU57" s="207"/>
      <c r="AV57" s="486" t="s">
        <v>120</v>
      </c>
      <c r="AW57" s="298">
        <f>'2. PRODUCTOS'!$G$140</f>
        <v>0</v>
      </c>
      <c r="AX57" s="301">
        <f>'2. PRODUCTOS'!$W$140</f>
        <v>0</v>
      </c>
      <c r="AY57" s="220"/>
      <c r="AZ57" s="486" t="s">
        <v>120</v>
      </c>
      <c r="BA57" s="298">
        <f>'2. PRODUCTOS'!$H$140</f>
        <v>10</v>
      </c>
      <c r="BB57" s="301">
        <f>'2. PRODUCTOS'!$AJ$140</f>
        <v>0</v>
      </c>
      <c r="BC57" s="220"/>
      <c r="BD57" s="487" t="s">
        <v>120</v>
      </c>
      <c r="BE57" s="298">
        <f>'2. PRODUCTOS'!$I$140</f>
        <v>10</v>
      </c>
      <c r="BF57" s="301">
        <f>'2. PRODUCTOS'!$AW$140</f>
        <v>10</v>
      </c>
      <c r="BG57" s="220"/>
      <c r="BH57" s="487" t="s">
        <v>120</v>
      </c>
      <c r="BI57" s="298">
        <f>'2. PRODUCTOS'!$J$140</f>
        <v>10</v>
      </c>
      <c r="BJ57" s="301">
        <f>'2. PRODUCTOS'!$BJ$140</f>
        <v>0</v>
      </c>
      <c r="BK57" s="220"/>
      <c r="BL57" s="220"/>
      <c r="BM57" s="221"/>
      <c r="BN57" s="207"/>
      <c r="BO57" s="302" t="s">
        <v>62</v>
      </c>
      <c r="BP57" s="303">
        <f>IFERROR(AVERAGE(BP56),0)</f>
        <v>0</v>
      </c>
      <c r="BQ57" s="220"/>
      <c r="BR57" s="304">
        <v>0.499</v>
      </c>
      <c r="BS57" s="305">
        <v>0.749</v>
      </c>
      <c r="BT57" s="305">
        <v>1</v>
      </c>
      <c r="BU57" s="306">
        <v>2</v>
      </c>
      <c r="BV57" s="220"/>
      <c r="BW57" s="220"/>
      <c r="BX57" s="221"/>
      <c r="BY57" s="209"/>
    </row>
    <row r="58" spans="4:101" ht="26.25" customHeight="1" thickBot="1" x14ac:dyDescent="0.35">
      <c r="D58" s="364"/>
      <c r="E58" s="220"/>
      <c r="F58" s="220"/>
      <c r="G58" s="220"/>
      <c r="H58" s="220"/>
      <c r="I58" s="220"/>
      <c r="J58" s="220"/>
      <c r="K58" s="220"/>
      <c r="L58" s="365"/>
      <c r="M58" s="365"/>
      <c r="N58" s="365"/>
      <c r="O58" s="366"/>
      <c r="P58" s="206"/>
      <c r="Q58" s="223"/>
      <c r="R58" s="228" t="s">
        <v>44</v>
      </c>
      <c r="S58" s="229" t="s">
        <v>45</v>
      </c>
      <c r="T58" s="220"/>
      <c r="U58" s="854"/>
      <c r="V58" s="854"/>
      <c r="W58" s="854"/>
      <c r="X58" s="854"/>
      <c r="Y58" s="362"/>
      <c r="Z58" s="362"/>
      <c r="AA58" s="363"/>
      <c r="AB58" s="207"/>
      <c r="AC58" s="260" t="s">
        <v>152</v>
      </c>
      <c r="AD58" s="491">
        <f>'2. PRODUCTOS'!$K$278</f>
        <v>242000</v>
      </c>
      <c r="AE58" s="492">
        <f>'2. PRODUCTOS'!$BV$278</f>
        <v>242000</v>
      </c>
      <c r="AF58" s="295">
        <f>AG56</f>
        <v>1.0136285772627209</v>
      </c>
      <c r="AG58" s="342">
        <f t="shared" si="5"/>
        <v>1</v>
      </c>
      <c r="AH58" s="271">
        <v>1</v>
      </c>
      <c r="AI58" s="296">
        <v>1</v>
      </c>
      <c r="AJ58" s="208"/>
      <c r="AK58" s="493"/>
      <c r="AL58" s="449"/>
      <c r="AM58" s="449"/>
      <c r="AN58" s="449"/>
      <c r="AO58" s="449"/>
      <c r="AP58" s="449"/>
      <c r="AQ58" s="449"/>
      <c r="AR58" s="449"/>
      <c r="AS58" s="449"/>
      <c r="AT58" s="450"/>
      <c r="AU58" s="207"/>
      <c r="AV58" s="441" t="s">
        <v>505</v>
      </c>
      <c r="AW58" s="439">
        <f>'2. PRODUCTOS'!$G$152</f>
        <v>0</v>
      </c>
      <c r="AX58" s="465">
        <f>'2. PRODUCTOS'!$W$152</f>
        <v>0</v>
      </c>
      <c r="AY58" s="220"/>
      <c r="AZ58" s="441" t="s">
        <v>505</v>
      </c>
      <c r="BA58" s="439">
        <f>'2. PRODUCTOS'!$H$152</f>
        <v>15</v>
      </c>
      <c r="BB58" s="465">
        <f>'2. PRODUCTOS'!$AJ$152</f>
        <v>0</v>
      </c>
      <c r="BC58" s="220"/>
      <c r="BD58" s="494" t="s">
        <v>505</v>
      </c>
      <c r="BE58" s="439">
        <f>'2. PRODUCTOS'!$I$152</f>
        <v>15</v>
      </c>
      <c r="BF58" s="465">
        <f>'2. PRODUCTOS'!$AW$152</f>
        <v>0</v>
      </c>
      <c r="BG58" s="220"/>
      <c r="BH58" s="494" t="s">
        <v>505</v>
      </c>
      <c r="BI58" s="439">
        <f>'2. PRODUCTOS'!$J$152</f>
        <v>15</v>
      </c>
      <c r="BJ58" s="465">
        <f>'2. PRODUCTOS'!$BJ$152</f>
        <v>0</v>
      </c>
      <c r="BK58" s="220"/>
      <c r="BL58" s="220"/>
      <c r="BM58" s="221"/>
      <c r="BN58" s="207"/>
      <c r="BO58" s="219"/>
      <c r="BP58" s="220"/>
      <c r="BQ58" s="220"/>
      <c r="BR58" s="323" t="s">
        <v>68</v>
      </c>
      <c r="BS58" s="324" t="s">
        <v>69</v>
      </c>
      <c r="BT58" s="325" t="s">
        <v>70</v>
      </c>
      <c r="BU58" s="326" t="s">
        <v>71</v>
      </c>
      <c r="BV58" s="220"/>
      <c r="BW58" s="220"/>
      <c r="BX58" s="221"/>
      <c r="BY58" s="209"/>
      <c r="CA58" s="350"/>
      <c r="CB58" s="350"/>
      <c r="CC58" s="350"/>
      <c r="CD58" s="350"/>
      <c r="CE58" s="350"/>
      <c r="CF58" s="350"/>
      <c r="CG58" s="350"/>
      <c r="CH58" s="350"/>
      <c r="CI58" s="350"/>
      <c r="CJ58" s="350"/>
      <c r="CK58" s="350"/>
      <c r="CL58" s="350"/>
      <c r="CM58" s="350"/>
      <c r="CN58" s="350"/>
      <c r="CO58" s="350"/>
      <c r="CP58" s="350"/>
      <c r="CQ58" s="350"/>
      <c r="CR58" s="350"/>
      <c r="CS58" s="350"/>
    </row>
    <row r="59" spans="4:101" ht="17.25" thickBot="1" x14ac:dyDescent="0.35">
      <c r="D59" s="364"/>
      <c r="E59" s="230" t="s">
        <v>46</v>
      </c>
      <c r="F59" s="233" t="e">
        <f>#REF!</f>
        <v>#REF!</v>
      </c>
      <c r="G59" s="220"/>
      <c r="H59" s="869" t="s">
        <v>47</v>
      </c>
      <c r="I59" s="870"/>
      <c r="J59" s="870"/>
      <c r="K59" s="871"/>
      <c r="L59" s="365"/>
      <c r="M59" s="365"/>
      <c r="N59" s="365"/>
      <c r="O59" s="366"/>
      <c r="P59" s="206"/>
      <c r="Q59" s="230" t="s">
        <v>46</v>
      </c>
      <c r="R59" s="495" t="e">
        <f>#REF!</f>
        <v>#REF!</v>
      </c>
      <c r="S59" s="298" t="e">
        <f>#REF!</f>
        <v>#REF!</v>
      </c>
      <c r="T59" s="220"/>
      <c r="U59" s="845" t="s">
        <v>47</v>
      </c>
      <c r="V59" s="846"/>
      <c r="W59" s="846"/>
      <c r="X59" s="847"/>
      <c r="Y59" s="362"/>
      <c r="Z59" s="362"/>
      <c r="AA59" s="363"/>
      <c r="AB59" s="207"/>
      <c r="AC59" s="292" t="s">
        <v>19</v>
      </c>
      <c r="AD59" s="496">
        <f>IFERROR(SUM(AD53:AD58),0)</f>
        <v>2136540.7400000002</v>
      </c>
      <c r="AE59" s="496">
        <f>IFERROR(SUM(AE53:AE58),0)</f>
        <v>2088656.58</v>
      </c>
      <c r="AF59" s="295">
        <v>1</v>
      </c>
      <c r="AG59" s="497">
        <f>AVERAGE(AG53:AG56)</f>
        <v>1.025602757540276</v>
      </c>
      <c r="AH59" s="220"/>
      <c r="AI59" s="221"/>
      <c r="AJ59" s="208"/>
      <c r="AK59" s="498"/>
      <c r="AL59" s="210"/>
      <c r="AM59" s="210"/>
      <c r="AN59" s="210"/>
      <c r="AO59" s="210"/>
      <c r="AP59" s="210"/>
      <c r="AQ59" s="210"/>
      <c r="AR59" s="210"/>
      <c r="AS59" s="210"/>
      <c r="AT59" s="210"/>
      <c r="AU59" s="207"/>
      <c r="AV59" s="219"/>
      <c r="AW59" s="220"/>
      <c r="AX59" s="220"/>
      <c r="AY59" s="220"/>
      <c r="AZ59" s="220"/>
      <c r="BA59" s="220"/>
      <c r="BB59" s="220"/>
      <c r="BC59" s="220"/>
      <c r="BD59" s="220"/>
      <c r="BE59" s="220"/>
      <c r="BF59" s="220"/>
      <c r="BG59" s="220"/>
      <c r="BH59" s="220"/>
      <c r="BI59" s="220"/>
      <c r="BJ59" s="220"/>
      <c r="BK59" s="220"/>
      <c r="BL59" s="220"/>
      <c r="BM59" s="221"/>
      <c r="BN59" s="207"/>
      <c r="BO59" s="335"/>
      <c r="BP59" s="336"/>
      <c r="BQ59" s="311" t="s">
        <v>80</v>
      </c>
      <c r="BR59" s="337">
        <f>IF($BP56&gt;=BR$56,IF($BP56&lt;=BR$57,$BP56,NA()),NA())</f>
        <v>0</v>
      </c>
      <c r="BS59" s="457" t="e">
        <f t="shared" ref="BS59:BU60" si="6">IF($BP56&gt;=BS$56,IF($BP56&lt;=BS$57,$BP56,NA()),NA())</f>
        <v>#N/A</v>
      </c>
      <c r="BT59" s="457" t="e">
        <f t="shared" si="6"/>
        <v>#N/A</v>
      </c>
      <c r="BU59" s="458" t="e">
        <f t="shared" si="6"/>
        <v>#N/A</v>
      </c>
      <c r="BV59" s="220"/>
      <c r="BW59" s="220"/>
      <c r="BX59" s="221"/>
      <c r="BY59" s="209"/>
      <c r="CA59" s="350"/>
      <c r="CB59" s="350"/>
      <c r="CC59" s="350"/>
      <c r="CD59" s="350"/>
      <c r="CE59" s="350"/>
      <c r="CF59" s="350"/>
      <c r="CG59" s="350"/>
      <c r="CH59" s="350"/>
      <c r="CI59" s="350"/>
      <c r="CJ59" s="350"/>
      <c r="CK59" s="350"/>
      <c r="CL59" s="350"/>
      <c r="CM59" s="350"/>
      <c r="CN59" s="350"/>
      <c r="CO59" s="350"/>
      <c r="CP59" s="350"/>
      <c r="CQ59" s="350"/>
      <c r="CR59" s="350"/>
      <c r="CS59" s="350"/>
      <c r="CT59" s="350"/>
      <c r="CU59" s="350"/>
      <c r="CV59" s="350"/>
    </row>
    <row r="60" spans="4:101" ht="17.25" thickBot="1" x14ac:dyDescent="0.35">
      <c r="D60" s="364"/>
      <c r="E60" s="234" t="s">
        <v>52</v>
      </c>
      <c r="F60" s="237" t="e">
        <f>#REF!</f>
        <v>#REF!</v>
      </c>
      <c r="G60" s="220"/>
      <c r="H60" s="236">
        <v>0</v>
      </c>
      <c r="I60" s="236">
        <v>0.5</v>
      </c>
      <c r="J60" s="236">
        <v>0.75</v>
      </c>
      <c r="K60" s="236">
        <v>1.0009999999999999</v>
      </c>
      <c r="L60" s="365"/>
      <c r="M60" s="365"/>
      <c r="N60" s="365"/>
      <c r="O60" s="366"/>
      <c r="P60" s="206"/>
      <c r="Q60" s="234" t="s">
        <v>52</v>
      </c>
      <c r="R60" s="499" t="e">
        <f>#REF!</f>
        <v>#REF!</v>
      </c>
      <c r="S60" s="298" t="e">
        <f>#REF!</f>
        <v>#REF!</v>
      </c>
      <c r="T60" s="220"/>
      <c r="U60" s="236">
        <v>0</v>
      </c>
      <c r="V60" s="236">
        <v>0.5</v>
      </c>
      <c r="W60" s="236">
        <v>0.75</v>
      </c>
      <c r="X60" s="236">
        <v>1.0009999999999999</v>
      </c>
      <c r="Y60" s="362"/>
      <c r="Z60" s="362"/>
      <c r="AA60" s="363"/>
      <c r="AB60" s="207"/>
      <c r="AC60" s="219"/>
      <c r="AD60" s="220"/>
      <c r="AE60" s="220"/>
      <c r="AF60" s="220"/>
      <c r="AG60" s="220"/>
      <c r="AH60" s="220"/>
      <c r="AI60" s="221"/>
      <c r="AJ60" s="208"/>
      <c r="AK60" s="500"/>
      <c r="AU60" s="207"/>
      <c r="AV60" s="219"/>
      <c r="AW60" s="220"/>
      <c r="AX60" s="220"/>
      <c r="AY60" s="220"/>
      <c r="AZ60" s="220"/>
      <c r="BA60" s="220"/>
      <c r="BB60" s="220"/>
      <c r="BC60" s="220"/>
      <c r="BD60" s="220"/>
      <c r="BE60" s="220"/>
      <c r="BF60" s="220"/>
      <c r="BG60" s="220"/>
      <c r="BH60" s="220"/>
      <c r="BI60" s="220"/>
      <c r="BJ60" s="220"/>
      <c r="BK60" s="220"/>
      <c r="BL60" s="220"/>
      <c r="BM60" s="221"/>
      <c r="BN60" s="207"/>
      <c r="BO60" s="219"/>
      <c r="BP60" s="343"/>
      <c r="BQ60" s="344" t="s">
        <v>62</v>
      </c>
      <c r="BR60" s="460">
        <f>IF($BP57&gt;=BR$56,IF($BP57&lt;=BR$57,$BP57,NA()),NA())</f>
        <v>0</v>
      </c>
      <c r="BS60" s="461" t="e">
        <f t="shared" si="6"/>
        <v>#N/A</v>
      </c>
      <c r="BT60" s="461" t="e">
        <f t="shared" si="6"/>
        <v>#N/A</v>
      </c>
      <c r="BU60" s="462" t="e">
        <f t="shared" si="6"/>
        <v>#N/A</v>
      </c>
      <c r="BV60" s="220"/>
      <c r="BW60" s="220"/>
      <c r="BX60" s="221"/>
      <c r="BY60" s="209"/>
      <c r="CA60" s="382"/>
      <c r="CB60" s="501"/>
      <c r="CC60" s="350"/>
      <c r="CD60" s="350"/>
      <c r="CE60" s="350"/>
      <c r="CF60" s="350"/>
      <c r="CG60" s="382"/>
      <c r="CH60" s="501"/>
      <c r="CI60" s="350"/>
      <c r="CJ60" s="350"/>
      <c r="CK60" s="350"/>
      <c r="CL60" s="350"/>
      <c r="CM60" s="382"/>
      <c r="CN60" s="501"/>
      <c r="CO60" s="350"/>
      <c r="CP60" s="350"/>
      <c r="CQ60" s="350"/>
      <c r="CR60" s="350"/>
      <c r="CS60" s="382"/>
      <c r="CT60" s="501"/>
      <c r="CU60" s="350"/>
      <c r="CV60" s="350"/>
    </row>
    <row r="61" spans="4:101" ht="24.75" customHeight="1" thickBot="1" x14ac:dyDescent="0.35">
      <c r="D61" s="364"/>
      <c r="E61" s="234" t="s">
        <v>53</v>
      </c>
      <c r="F61" s="237" t="e">
        <f>#REF!</f>
        <v>#REF!</v>
      </c>
      <c r="G61" s="220"/>
      <c r="H61" s="238">
        <v>0.499</v>
      </c>
      <c r="I61" s="238">
        <v>0.749</v>
      </c>
      <c r="J61" s="238">
        <v>1</v>
      </c>
      <c r="K61" s="238">
        <v>4</v>
      </c>
      <c r="L61" s="365"/>
      <c r="M61" s="365"/>
      <c r="N61" s="365"/>
      <c r="O61" s="366"/>
      <c r="P61" s="206"/>
      <c r="Q61" s="234" t="s">
        <v>53</v>
      </c>
      <c r="R61" s="486" t="e">
        <f>#REF!</f>
        <v>#REF!</v>
      </c>
      <c r="S61" s="298" t="e">
        <f>#REF!</f>
        <v>#REF!</v>
      </c>
      <c r="T61" s="220"/>
      <c r="U61" s="238">
        <v>0.499</v>
      </c>
      <c r="V61" s="238">
        <v>0.749</v>
      </c>
      <c r="W61" s="238">
        <v>1</v>
      </c>
      <c r="X61" s="238">
        <v>4</v>
      </c>
      <c r="Y61" s="362"/>
      <c r="Z61" s="362"/>
      <c r="AA61" s="363"/>
      <c r="AB61" s="207"/>
      <c r="AC61" s="502"/>
      <c r="AD61" s="503"/>
      <c r="AE61" s="503"/>
      <c r="AF61" s="503"/>
      <c r="AG61" s="503"/>
      <c r="AH61" s="503"/>
      <c r="AI61" s="504"/>
      <c r="AJ61" s="208"/>
      <c r="AK61" s="500"/>
      <c r="AU61" s="207"/>
      <c r="AV61" s="392" t="s">
        <v>1</v>
      </c>
      <c r="AW61" s="247" t="s">
        <v>58</v>
      </c>
      <c r="AX61" s="247" t="s">
        <v>62</v>
      </c>
      <c r="AY61" s="220"/>
      <c r="AZ61" s="392" t="s">
        <v>1</v>
      </c>
      <c r="BA61" s="247" t="s">
        <v>58</v>
      </c>
      <c r="BB61" s="247" t="s">
        <v>62</v>
      </c>
      <c r="BC61" s="220"/>
      <c r="BD61" s="392" t="s">
        <v>1</v>
      </c>
      <c r="BE61" s="247" t="s">
        <v>58</v>
      </c>
      <c r="BF61" s="247" t="s">
        <v>62</v>
      </c>
      <c r="BG61" s="220"/>
      <c r="BH61" s="392" t="s">
        <v>1</v>
      </c>
      <c r="BI61" s="247" t="s">
        <v>58</v>
      </c>
      <c r="BJ61" s="247" t="s">
        <v>62</v>
      </c>
      <c r="BK61" s="220"/>
      <c r="BL61" s="220"/>
      <c r="BM61" s="221"/>
      <c r="BN61" s="207"/>
      <c r="BO61" s="219"/>
      <c r="BP61" s="220"/>
      <c r="BQ61" s="220"/>
      <c r="BR61" s="220"/>
      <c r="BS61" s="220"/>
      <c r="BT61" s="220"/>
      <c r="BU61" s="220"/>
      <c r="BV61" s="220"/>
      <c r="BW61" s="220"/>
      <c r="BX61" s="221"/>
      <c r="BY61" s="209"/>
      <c r="CA61" s="350"/>
      <c r="CB61" s="350"/>
      <c r="CC61" s="350"/>
      <c r="CD61" s="350"/>
      <c r="CE61" s="350"/>
      <c r="CF61" s="350"/>
      <c r="CG61" s="382"/>
      <c r="CH61" s="501"/>
      <c r="CI61" s="350"/>
      <c r="CJ61" s="350"/>
      <c r="CK61" s="350"/>
      <c r="CL61" s="350"/>
      <c r="CM61" s="382"/>
      <c r="CN61" s="501"/>
      <c r="CO61" s="350"/>
      <c r="CP61" s="350"/>
      <c r="CQ61" s="350"/>
      <c r="CR61" s="350"/>
      <c r="CS61" s="382"/>
      <c r="CT61" s="501"/>
      <c r="CU61" s="350"/>
      <c r="CV61" s="350"/>
    </row>
    <row r="62" spans="4:101" ht="17.25" thickBot="1" x14ac:dyDescent="0.35">
      <c r="D62" s="364"/>
      <c r="E62" s="254" t="s">
        <v>495</v>
      </c>
      <c r="F62" s="505" t="e">
        <f>#REF!</f>
        <v>#REF!</v>
      </c>
      <c r="G62" s="220"/>
      <c r="H62" s="256" t="s">
        <v>68</v>
      </c>
      <c r="I62" s="257" t="s">
        <v>69</v>
      </c>
      <c r="J62" s="258" t="s">
        <v>70</v>
      </c>
      <c r="K62" s="259" t="s">
        <v>71</v>
      </c>
      <c r="L62" s="365"/>
      <c r="M62" s="365"/>
      <c r="N62" s="365"/>
      <c r="O62" s="366"/>
      <c r="P62" s="206"/>
      <c r="Q62" s="254" t="s">
        <v>495</v>
      </c>
      <c r="R62" s="506" t="e">
        <f>#REF!</f>
        <v>#REF!</v>
      </c>
      <c r="S62" s="507" t="e">
        <f>#REF!</f>
        <v>#REF!</v>
      </c>
      <c r="T62" s="220"/>
      <c r="U62" s="262" t="s">
        <v>68</v>
      </c>
      <c r="V62" s="263" t="s">
        <v>69</v>
      </c>
      <c r="W62" s="264" t="s">
        <v>70</v>
      </c>
      <c r="X62" s="265" t="s">
        <v>71</v>
      </c>
      <c r="Y62" s="362"/>
      <c r="Z62" s="362"/>
      <c r="AA62" s="363"/>
      <c r="AB62" s="207"/>
      <c r="AC62" s="508"/>
      <c r="AD62" s="509"/>
      <c r="AE62" s="509"/>
      <c r="AF62" s="509"/>
      <c r="AG62" s="509"/>
      <c r="AH62" s="509"/>
      <c r="AI62" s="510"/>
      <c r="AJ62" s="208"/>
      <c r="AU62" s="207"/>
      <c r="AV62" s="426" t="s">
        <v>116</v>
      </c>
      <c r="AW62" s="402">
        <f>IFERROR(AX55/AW55,0)</f>
        <v>1</v>
      </c>
      <c r="AX62" s="926">
        <f>AVERAGE(AW62:AW65)</f>
        <v>0.75</v>
      </c>
      <c r="AY62" s="220"/>
      <c r="AZ62" s="426" t="s">
        <v>116</v>
      </c>
      <c r="BA62" s="402">
        <f>IFERROR(BB55/BA55,0)</f>
        <v>0.33333333333333331</v>
      </c>
      <c r="BB62" s="926">
        <f>AVERAGE(BA62:BA65)</f>
        <v>0.33333333333333331</v>
      </c>
      <c r="BC62" s="220"/>
      <c r="BD62" s="426" t="s">
        <v>116</v>
      </c>
      <c r="BE62" s="402">
        <f>IFERROR(BF55/BE55,0)</f>
        <v>0</v>
      </c>
      <c r="BF62" s="926">
        <f>AVERAGE(BE62:BE65)</f>
        <v>0.41666666666666663</v>
      </c>
      <c r="BG62" s="220"/>
      <c r="BH62" s="426" t="s">
        <v>116</v>
      </c>
      <c r="BI62" s="402">
        <f>IFERROR(BJ55/BI55,0)</f>
        <v>0.5</v>
      </c>
      <c r="BJ62" s="926">
        <f>AVERAGE(BI62:BI65)</f>
        <v>0.125</v>
      </c>
      <c r="BK62" s="220"/>
      <c r="BL62" s="220"/>
      <c r="BM62" s="221"/>
      <c r="BN62" s="207"/>
      <c r="BO62" s="219"/>
      <c r="BP62" s="220"/>
      <c r="BQ62" s="220"/>
      <c r="BR62" s="220"/>
      <c r="BS62" s="220"/>
      <c r="BT62" s="220"/>
      <c r="BU62" s="220"/>
      <c r="BV62" s="220"/>
      <c r="BW62" s="220"/>
      <c r="BX62" s="221"/>
      <c r="BY62" s="209"/>
      <c r="CA62" s="368"/>
      <c r="CB62" s="368"/>
      <c r="CC62" s="368"/>
      <c r="CD62" s="350"/>
      <c r="CE62" s="350"/>
      <c r="CF62" s="350"/>
      <c r="CG62" s="368"/>
      <c r="CH62" s="368"/>
      <c r="CI62" s="368"/>
      <c r="CJ62" s="350"/>
      <c r="CK62" s="350"/>
      <c r="CL62" s="350"/>
      <c r="CM62" s="368"/>
      <c r="CN62" s="368"/>
      <c r="CO62" s="368"/>
      <c r="CP62" s="350"/>
      <c r="CQ62" s="350"/>
      <c r="CR62" s="350"/>
      <c r="CS62" s="368"/>
      <c r="CT62" s="368"/>
      <c r="CU62" s="368"/>
      <c r="CV62" s="350"/>
    </row>
    <row r="63" spans="4:101" ht="17.25" thickBot="1" x14ac:dyDescent="0.35">
      <c r="D63" s="364"/>
      <c r="E63" s="287" t="s">
        <v>67</v>
      </c>
      <c r="F63" s="285" t="e">
        <f>#REF!</f>
        <v>#REF!</v>
      </c>
      <c r="G63" s="220"/>
      <c r="H63" s="286">
        <f>IF($F70&gt;=H60,IF($F70&lt;=H61,$F70,NA()),NA())</f>
        <v>0</v>
      </c>
      <c r="I63" s="286" t="e">
        <f>IF($F70&gt;=I60,IF($F70&lt;=I61,$F70,NA()),NA())</f>
        <v>#N/A</v>
      </c>
      <c r="J63" s="286" t="e">
        <f>IF($F70&gt;=J60,IF($F70&lt;=J61,$F70,NA()),NA())</f>
        <v>#N/A</v>
      </c>
      <c r="K63" s="286" t="e">
        <f>IF($F70&gt;=K60,IF($F70&lt;=K61,$F70,NA()),NA())</f>
        <v>#N/A</v>
      </c>
      <c r="L63" s="365"/>
      <c r="M63" s="365"/>
      <c r="N63" s="365"/>
      <c r="O63" s="366"/>
      <c r="P63" s="206"/>
      <c r="Q63" s="287" t="s">
        <v>67</v>
      </c>
      <c r="R63" s="285" t="e">
        <f>#REF!</f>
        <v>#REF!</v>
      </c>
      <c r="S63" s="511" t="e">
        <f>#REF!</f>
        <v>#REF!</v>
      </c>
      <c r="T63" s="230" t="s">
        <v>46</v>
      </c>
      <c r="U63" s="289">
        <f t="shared" ref="U63:X66" si="7">IF($S67&gt;=U$60,IF($S67&lt;=U$61,$S67,NA()),NA())</f>
        <v>0</v>
      </c>
      <c r="V63" s="290" t="e">
        <f t="shared" si="7"/>
        <v>#N/A</v>
      </c>
      <c r="W63" s="290" t="e">
        <f t="shared" si="7"/>
        <v>#N/A</v>
      </c>
      <c r="X63" s="291" t="e">
        <f t="shared" si="7"/>
        <v>#N/A</v>
      </c>
      <c r="Y63" s="362"/>
      <c r="Z63" s="362"/>
      <c r="AA63" s="363"/>
      <c r="AB63" s="207"/>
      <c r="AC63" s="502"/>
      <c r="AD63" s="503"/>
      <c r="AE63" s="503"/>
      <c r="AF63" s="512"/>
      <c r="AG63" s="503"/>
      <c r="AH63" s="513"/>
      <c r="AI63" s="514"/>
      <c r="AJ63" s="208"/>
      <c r="AU63" s="207"/>
      <c r="AV63" s="466" t="s">
        <v>119</v>
      </c>
      <c r="AW63" s="467">
        <f>IFERROR(AX56/AW56,0)</f>
        <v>2</v>
      </c>
      <c r="AX63" s="927"/>
      <c r="AY63" s="220"/>
      <c r="AZ63" s="466" t="s">
        <v>119</v>
      </c>
      <c r="BA63" s="467">
        <f>IFERROR(BB56/BA56,0)</f>
        <v>1</v>
      </c>
      <c r="BB63" s="927"/>
      <c r="BC63" s="220"/>
      <c r="BD63" s="466" t="s">
        <v>119</v>
      </c>
      <c r="BE63" s="467">
        <f>IFERROR(BF56/BE56,0)</f>
        <v>0.66666666666666663</v>
      </c>
      <c r="BF63" s="927"/>
      <c r="BG63" s="220"/>
      <c r="BH63" s="466" t="s">
        <v>119</v>
      </c>
      <c r="BI63" s="467">
        <f>IFERROR(BJ56/BI56,0)</f>
        <v>0</v>
      </c>
      <c r="BJ63" s="927"/>
      <c r="BK63" s="220"/>
      <c r="BL63" s="220"/>
      <c r="BM63" s="221"/>
      <c r="BN63" s="207"/>
      <c r="BO63" s="955" t="s">
        <v>121</v>
      </c>
      <c r="BP63" s="956"/>
      <c r="BQ63" s="956"/>
      <c r="BR63" s="956"/>
      <c r="BS63" s="956"/>
      <c r="BT63" s="956"/>
      <c r="BU63" s="956"/>
      <c r="BV63" s="956"/>
      <c r="BW63" s="956"/>
      <c r="BX63" s="957"/>
      <c r="BY63" s="209"/>
      <c r="CA63" s="384"/>
      <c r="CB63" s="384"/>
      <c r="CC63" s="384"/>
      <c r="CD63" s="350"/>
      <c r="CE63" s="350"/>
      <c r="CF63" s="350"/>
      <c r="CG63" s="384"/>
      <c r="CH63" s="384"/>
      <c r="CI63" s="384"/>
      <c r="CJ63" s="350"/>
      <c r="CK63" s="350"/>
      <c r="CL63" s="350"/>
      <c r="CM63" s="384"/>
      <c r="CN63" s="384"/>
      <c r="CO63" s="384"/>
      <c r="CP63" s="350"/>
      <c r="CQ63" s="350"/>
      <c r="CR63" s="350"/>
      <c r="CS63" s="384"/>
      <c r="CT63" s="384"/>
      <c r="CU63" s="384"/>
      <c r="CV63" s="350"/>
    </row>
    <row r="64" spans="4:101" ht="17.25" thickBot="1" x14ac:dyDescent="0.35">
      <c r="D64" s="364"/>
      <c r="E64" s="311"/>
      <c r="F64" s="227"/>
      <c r="G64" s="220"/>
      <c r="H64" s="312"/>
      <c r="I64" s="312"/>
      <c r="J64" s="312"/>
      <c r="K64" s="220"/>
      <c r="L64" s="365"/>
      <c r="M64" s="365"/>
      <c r="N64" s="365"/>
      <c r="O64" s="366"/>
      <c r="P64" s="206"/>
      <c r="Q64" s="313"/>
      <c r="R64" s="311"/>
      <c r="S64" s="227"/>
      <c r="T64" s="234" t="s">
        <v>52</v>
      </c>
      <c r="U64" s="314">
        <f t="shared" si="7"/>
        <v>0</v>
      </c>
      <c r="V64" s="315" t="e">
        <f t="shared" si="7"/>
        <v>#N/A</v>
      </c>
      <c r="W64" s="315" t="e">
        <f t="shared" si="7"/>
        <v>#N/A</v>
      </c>
      <c r="X64" s="316" t="e">
        <f t="shared" si="7"/>
        <v>#N/A</v>
      </c>
      <c r="Y64" s="362"/>
      <c r="Z64" s="362"/>
      <c r="AA64" s="363"/>
      <c r="AB64" s="207"/>
      <c r="AC64" s="508"/>
      <c r="AD64" s="515"/>
      <c r="AE64" s="515"/>
      <c r="AF64" s="516"/>
      <c r="AG64" s="517"/>
      <c r="AH64" s="516"/>
      <c r="AI64" s="518"/>
      <c r="AJ64" s="208"/>
      <c r="AK64" s="500"/>
      <c r="AU64" s="207"/>
      <c r="AV64" s="466" t="s">
        <v>120</v>
      </c>
      <c r="AW64" s="467">
        <f>IFERROR(AX57/AW57,0)</f>
        <v>0</v>
      </c>
      <c r="AX64" s="927"/>
      <c r="AY64" s="220"/>
      <c r="AZ64" s="466" t="s">
        <v>120</v>
      </c>
      <c r="BA64" s="467">
        <f>IFERROR(BB57/BA57,0)</f>
        <v>0</v>
      </c>
      <c r="BB64" s="927"/>
      <c r="BC64" s="220"/>
      <c r="BD64" s="466" t="s">
        <v>120</v>
      </c>
      <c r="BE64" s="467">
        <f>IFERROR(BF57/BE57,0)</f>
        <v>1</v>
      </c>
      <c r="BF64" s="927"/>
      <c r="BG64" s="220"/>
      <c r="BH64" s="466" t="s">
        <v>120</v>
      </c>
      <c r="BI64" s="467">
        <f>IFERROR(BJ57/BI57,0)</f>
        <v>0</v>
      </c>
      <c r="BJ64" s="927"/>
      <c r="BK64" s="220"/>
      <c r="BL64" s="220"/>
      <c r="BM64" s="221"/>
      <c r="BN64" s="207"/>
      <c r="BO64" s="219"/>
      <c r="BP64" s="220"/>
      <c r="BQ64" s="220"/>
      <c r="BR64" s="220"/>
      <c r="BS64" s="220"/>
      <c r="BT64" s="220"/>
      <c r="BU64" s="220"/>
      <c r="BV64" s="220"/>
      <c r="BW64" s="220"/>
      <c r="BX64" s="221"/>
      <c r="BY64" s="209"/>
      <c r="CA64" s="384"/>
      <c r="CB64" s="384"/>
      <c r="CC64" s="519"/>
      <c r="CD64" s="350"/>
      <c r="CE64" s="350"/>
      <c r="CF64" s="350"/>
      <c r="CG64" s="384"/>
      <c r="CH64" s="384"/>
      <c r="CI64" s="519"/>
      <c r="CJ64" s="350"/>
      <c r="CK64" s="350"/>
      <c r="CL64" s="350"/>
      <c r="CM64" s="384"/>
      <c r="CN64" s="384"/>
      <c r="CO64" s="519"/>
      <c r="CP64" s="350"/>
      <c r="CQ64" s="350"/>
      <c r="CR64" s="350"/>
      <c r="CS64" s="384"/>
      <c r="CT64" s="384"/>
      <c r="CU64" s="519"/>
      <c r="CV64" s="350"/>
    </row>
    <row r="65" spans="4:100" ht="17.25" thickBot="1" x14ac:dyDescent="0.35">
      <c r="D65" s="364"/>
      <c r="E65" s="311"/>
      <c r="F65" s="227"/>
      <c r="G65" s="220"/>
      <c r="H65" s="312"/>
      <c r="I65" s="312"/>
      <c r="J65" s="312"/>
      <c r="K65" s="220"/>
      <c r="L65" s="365"/>
      <c r="M65" s="365"/>
      <c r="N65" s="365"/>
      <c r="O65" s="366"/>
      <c r="P65" s="206"/>
      <c r="Q65" s="313"/>
      <c r="R65" s="311"/>
      <c r="S65" s="227"/>
      <c r="T65" s="234" t="s">
        <v>53</v>
      </c>
      <c r="U65" s="329">
        <f t="shared" si="7"/>
        <v>0</v>
      </c>
      <c r="V65" s="330" t="e">
        <f t="shared" si="7"/>
        <v>#N/A</v>
      </c>
      <c r="W65" s="330" t="e">
        <f t="shared" si="7"/>
        <v>#N/A</v>
      </c>
      <c r="X65" s="331" t="e">
        <f t="shared" si="7"/>
        <v>#N/A</v>
      </c>
      <c r="Y65" s="362"/>
      <c r="Z65" s="362"/>
      <c r="AA65" s="363"/>
      <c r="AB65" s="207"/>
      <c r="AC65" s="508"/>
      <c r="AD65" s="515"/>
      <c r="AE65" s="515"/>
      <c r="AF65" s="516"/>
      <c r="AG65" s="517"/>
      <c r="AH65" s="516"/>
      <c r="AI65" s="518"/>
      <c r="AJ65" s="208"/>
      <c r="AU65" s="207"/>
      <c r="AV65" s="430" t="s">
        <v>505</v>
      </c>
      <c r="AW65" s="413">
        <f>IFERROR(AX58/AW58,0)</f>
        <v>0</v>
      </c>
      <c r="AX65" s="928"/>
      <c r="AY65" s="220"/>
      <c r="AZ65" s="430" t="s">
        <v>505</v>
      </c>
      <c r="BA65" s="413">
        <f>IFERROR(BB58/BA58,0)</f>
        <v>0</v>
      </c>
      <c r="BB65" s="928"/>
      <c r="BC65" s="220"/>
      <c r="BD65" s="430" t="s">
        <v>505</v>
      </c>
      <c r="BE65" s="413">
        <f>IFERROR(BF58/BE58,0)</f>
        <v>0</v>
      </c>
      <c r="BF65" s="928"/>
      <c r="BG65" s="220"/>
      <c r="BH65" s="430" t="s">
        <v>505</v>
      </c>
      <c r="BI65" s="413">
        <f>IFERROR(BJ58/BI58,0)</f>
        <v>0</v>
      </c>
      <c r="BJ65" s="928"/>
      <c r="BK65" s="220"/>
      <c r="BL65" s="220"/>
      <c r="BM65" s="221"/>
      <c r="BN65" s="207"/>
      <c r="BO65" s="307" t="s">
        <v>78</v>
      </c>
      <c r="BP65" s="308" t="s">
        <v>66</v>
      </c>
      <c r="BQ65" s="520"/>
      <c r="BR65" s="878" t="s">
        <v>47</v>
      </c>
      <c r="BS65" s="879"/>
      <c r="BT65" s="879"/>
      <c r="BU65" s="880"/>
      <c r="BV65" s="220"/>
      <c r="BW65" s="220"/>
      <c r="BX65" s="221"/>
      <c r="BY65" s="209"/>
      <c r="CA65" s="350"/>
      <c r="CB65" s="350"/>
      <c r="CC65" s="350"/>
      <c r="CD65" s="350"/>
      <c r="CE65" s="350"/>
      <c r="CF65" s="350"/>
      <c r="CG65" s="382"/>
      <c r="CH65" s="501"/>
      <c r="CI65" s="350"/>
      <c r="CJ65" s="350"/>
      <c r="CK65" s="350"/>
      <c r="CL65" s="350"/>
      <c r="CM65" s="382"/>
      <c r="CN65" s="501"/>
      <c r="CO65" s="350"/>
      <c r="CP65" s="350"/>
      <c r="CQ65" s="350"/>
      <c r="CR65" s="350"/>
      <c r="CS65" s="382"/>
      <c r="CT65" s="501"/>
      <c r="CU65" s="350"/>
      <c r="CV65" s="350"/>
    </row>
    <row r="66" spans="4:100" ht="17.25" thickBot="1" x14ac:dyDescent="0.35">
      <c r="D66" s="364"/>
      <c r="E66" s="230" t="s">
        <v>46</v>
      </c>
      <c r="F66" s="328">
        <f>IFERROR(F59/$F$63,0)</f>
        <v>0</v>
      </c>
      <c r="G66" s="220"/>
      <c r="H66" s="312"/>
      <c r="I66" s="312"/>
      <c r="J66" s="312"/>
      <c r="K66" s="220"/>
      <c r="L66" s="365"/>
      <c r="M66" s="365"/>
      <c r="N66" s="365"/>
      <c r="O66" s="366"/>
      <c r="P66" s="206"/>
      <c r="Q66" s="378"/>
      <c r="R66" s="227"/>
      <c r="S66" s="220"/>
      <c r="T66" s="254" t="s">
        <v>495</v>
      </c>
      <c r="U66" s="289">
        <f t="shared" si="7"/>
        <v>0</v>
      </c>
      <c r="V66" s="290" t="e">
        <f t="shared" si="7"/>
        <v>#N/A</v>
      </c>
      <c r="W66" s="290" t="e">
        <f t="shared" si="7"/>
        <v>#N/A</v>
      </c>
      <c r="X66" s="291" t="e">
        <f t="shared" si="7"/>
        <v>#N/A</v>
      </c>
      <c r="Y66" s="362"/>
      <c r="Z66" s="362"/>
      <c r="AA66" s="363"/>
      <c r="AB66" s="207"/>
      <c r="AC66" s="508"/>
      <c r="AD66" s="521"/>
      <c r="AE66" s="521"/>
      <c r="AF66" s="516"/>
      <c r="AG66" s="517"/>
      <c r="AH66" s="516"/>
      <c r="AI66" s="518"/>
      <c r="AJ66" s="208"/>
      <c r="AU66" s="207"/>
      <c r="AV66" s="219"/>
      <c r="AW66" s="220"/>
      <c r="AX66" s="220"/>
      <c r="AY66" s="220"/>
      <c r="AZ66" s="220"/>
      <c r="BA66" s="220"/>
      <c r="BB66" s="220"/>
      <c r="BC66" s="220"/>
      <c r="BD66" s="220"/>
      <c r="BE66" s="220"/>
      <c r="BF66" s="220"/>
      <c r="BG66" s="220"/>
      <c r="BH66" s="220"/>
      <c r="BI66" s="220"/>
      <c r="BJ66" s="220"/>
      <c r="BK66" s="220"/>
      <c r="BL66" s="220"/>
      <c r="BM66" s="221"/>
      <c r="BN66" s="207"/>
      <c r="BO66" s="273" t="s">
        <v>111</v>
      </c>
      <c r="BP66" s="291">
        <f>AR28</f>
        <v>0.70833333333333326</v>
      </c>
      <c r="BQ66" s="220"/>
      <c r="BR66" s="281">
        <v>0</v>
      </c>
      <c r="BS66" s="282">
        <v>0.5</v>
      </c>
      <c r="BT66" s="282">
        <v>0.75</v>
      </c>
      <c r="BU66" s="283">
        <v>1.01</v>
      </c>
      <c r="BV66" s="220"/>
      <c r="BW66" s="220"/>
      <c r="BX66" s="221"/>
      <c r="BY66" s="209"/>
      <c r="CA66" s="350"/>
      <c r="CB66" s="350"/>
      <c r="CC66" s="350"/>
      <c r="CD66" s="350"/>
      <c r="CE66" s="350"/>
      <c r="CF66" s="350"/>
      <c r="CG66" s="382"/>
      <c r="CH66" s="501"/>
      <c r="CI66" s="350"/>
      <c r="CJ66" s="350"/>
      <c r="CK66" s="350"/>
      <c r="CL66" s="350"/>
      <c r="CM66" s="382"/>
      <c r="CN66" s="501"/>
      <c r="CO66" s="350"/>
      <c r="CP66" s="350"/>
      <c r="CQ66" s="350"/>
      <c r="CR66" s="350"/>
      <c r="CS66" s="382"/>
      <c r="CT66" s="501"/>
      <c r="CU66" s="350"/>
      <c r="CV66" s="350"/>
    </row>
    <row r="67" spans="4:100" ht="17.25" thickBot="1" x14ac:dyDescent="0.35">
      <c r="D67" s="364"/>
      <c r="E67" s="234" t="s">
        <v>52</v>
      </c>
      <c r="F67" s="340">
        <f>IFERROR(F60/$F$63,0)</f>
        <v>0</v>
      </c>
      <c r="G67" s="220"/>
      <c r="H67" s="312"/>
      <c r="I67" s="312"/>
      <c r="J67" s="312"/>
      <c r="K67" s="220"/>
      <c r="L67" s="365"/>
      <c r="M67" s="365"/>
      <c r="N67" s="365"/>
      <c r="O67" s="366"/>
      <c r="P67" s="206"/>
      <c r="Q67" s="378"/>
      <c r="R67" s="230" t="s">
        <v>46</v>
      </c>
      <c r="S67" s="328">
        <f>IFERROR(S59/R59,0)</f>
        <v>0</v>
      </c>
      <c r="T67" s="362"/>
      <c r="U67" s="362"/>
      <c r="V67" s="362"/>
      <c r="W67" s="362"/>
      <c r="X67" s="362"/>
      <c r="Y67" s="362"/>
      <c r="Z67" s="362"/>
      <c r="AA67" s="363"/>
      <c r="AB67" s="207"/>
      <c r="AC67" s="508"/>
      <c r="AD67" s="521"/>
      <c r="AE67" s="521"/>
      <c r="AF67" s="509"/>
      <c r="AG67" s="517"/>
      <c r="AH67" s="509"/>
      <c r="AI67" s="510"/>
      <c r="AJ67" s="208"/>
      <c r="AU67" s="207"/>
      <c r="AV67" s="219"/>
      <c r="AW67" s="220"/>
      <c r="AX67" s="220"/>
      <c r="AY67" s="220"/>
      <c r="AZ67" s="220"/>
      <c r="BA67" s="220"/>
      <c r="BB67" s="220"/>
      <c r="BC67" s="220"/>
      <c r="BD67" s="220"/>
      <c r="BE67" s="220"/>
      <c r="BF67" s="220"/>
      <c r="BG67" s="220"/>
      <c r="BH67" s="220"/>
      <c r="BI67" s="220"/>
      <c r="BJ67" s="220"/>
      <c r="BK67" s="220"/>
      <c r="BL67" s="220"/>
      <c r="BM67" s="221"/>
      <c r="BN67" s="207"/>
      <c r="BO67" s="297" t="s">
        <v>103</v>
      </c>
      <c r="BP67" s="522">
        <f>AR32</f>
        <v>0.88749999999999996</v>
      </c>
      <c r="BQ67" s="220"/>
      <c r="BR67" s="523">
        <v>0.499</v>
      </c>
      <c r="BS67" s="524">
        <v>0.749</v>
      </c>
      <c r="BT67" s="524">
        <v>1</v>
      </c>
      <c r="BU67" s="525">
        <v>3</v>
      </c>
      <c r="BV67" s="220"/>
      <c r="BW67" s="220"/>
      <c r="BX67" s="221"/>
      <c r="BY67" s="209"/>
      <c r="CG67" s="526"/>
      <c r="CH67" s="527"/>
      <c r="CM67" s="526"/>
      <c r="CN67" s="527"/>
      <c r="CS67" s="526"/>
      <c r="CT67" s="527"/>
    </row>
    <row r="68" spans="4:100" ht="17.25" customHeight="1" thickBot="1" x14ac:dyDescent="0.35">
      <c r="D68" s="364"/>
      <c r="E68" s="234" t="s">
        <v>53</v>
      </c>
      <c r="F68" s="340">
        <f>IFERROR(F61/$F$63,0)</f>
        <v>0</v>
      </c>
      <c r="G68" s="220"/>
      <c r="H68" s="312"/>
      <c r="I68" s="312"/>
      <c r="J68" s="312"/>
      <c r="K68" s="220"/>
      <c r="L68" s="365"/>
      <c r="M68" s="365"/>
      <c r="N68" s="365"/>
      <c r="O68" s="366"/>
      <c r="P68" s="206"/>
      <c r="Q68" s="378"/>
      <c r="R68" s="234" t="s">
        <v>52</v>
      </c>
      <c r="S68" s="340">
        <f>IFERROR(S60/R60,0)</f>
        <v>0</v>
      </c>
      <c r="T68" s="362"/>
      <c r="U68" s="362"/>
      <c r="V68" s="362"/>
      <c r="W68" s="362"/>
      <c r="X68" s="362"/>
      <c r="Y68" s="362"/>
      <c r="Z68" s="362"/>
      <c r="AA68" s="363"/>
      <c r="AB68" s="207"/>
      <c r="AC68" s="508"/>
      <c r="AD68" s="521"/>
      <c r="AE68" s="521"/>
      <c r="AF68" s="512"/>
      <c r="AG68" s="517"/>
      <c r="AH68" s="513"/>
      <c r="AI68" s="504"/>
      <c r="AJ68" s="208"/>
      <c r="AU68" s="207"/>
      <c r="AV68" s="219"/>
      <c r="AW68" s="220"/>
      <c r="AX68" s="220"/>
      <c r="AY68" s="220"/>
      <c r="AZ68" s="220"/>
      <c r="BA68" s="220"/>
      <c r="BB68" s="220"/>
      <c r="BC68" s="220"/>
      <c r="BD68" s="220"/>
      <c r="BE68" s="220"/>
      <c r="BF68" s="220"/>
      <c r="BG68" s="220"/>
      <c r="BH68" s="220"/>
      <c r="BI68" s="220"/>
      <c r="BJ68" s="220"/>
      <c r="BK68" s="220"/>
      <c r="BL68" s="220"/>
      <c r="BM68" s="221"/>
      <c r="BN68" s="207"/>
      <c r="BO68" s="297" t="s">
        <v>112</v>
      </c>
      <c r="BP68" s="522">
        <f>AR38</f>
        <v>0.66666666666666663</v>
      </c>
      <c r="BQ68" s="220"/>
      <c r="BR68" s="528" t="s">
        <v>68</v>
      </c>
      <c r="BS68" s="529" t="s">
        <v>69</v>
      </c>
      <c r="BT68" s="530" t="s">
        <v>70</v>
      </c>
      <c r="BU68" s="531" t="s">
        <v>71</v>
      </c>
      <c r="BV68" s="220"/>
      <c r="BW68" s="220"/>
      <c r="BX68" s="221"/>
      <c r="BY68" s="209"/>
      <c r="CG68" s="526"/>
      <c r="CH68" s="527"/>
      <c r="CM68" s="526"/>
      <c r="CN68" s="527"/>
      <c r="CS68" s="526"/>
      <c r="CT68" s="527"/>
    </row>
    <row r="69" spans="4:100" ht="17.25" thickBot="1" x14ac:dyDescent="0.35">
      <c r="D69" s="364"/>
      <c r="E69" s="254" t="s">
        <v>495</v>
      </c>
      <c r="F69" s="349">
        <f>IFERROR(F62/$F$63,0)</f>
        <v>0</v>
      </c>
      <c r="G69" s="220"/>
      <c r="H69" s="312"/>
      <c r="I69" s="312"/>
      <c r="J69" s="312"/>
      <c r="K69" s="220"/>
      <c r="L69" s="365"/>
      <c r="M69" s="365"/>
      <c r="N69" s="365"/>
      <c r="O69" s="366"/>
      <c r="P69" s="206"/>
      <c r="Q69" s="378"/>
      <c r="R69" s="234" t="s">
        <v>53</v>
      </c>
      <c r="S69" s="340">
        <f>IFERROR(S61/R61,0)</f>
        <v>0</v>
      </c>
      <c r="T69" s="362"/>
      <c r="U69" s="362"/>
      <c r="V69" s="362"/>
      <c r="W69" s="362"/>
      <c r="X69" s="362"/>
      <c r="Y69" s="362"/>
      <c r="Z69" s="362"/>
      <c r="AA69" s="363"/>
      <c r="AB69" s="207"/>
      <c r="AC69" s="508"/>
      <c r="AD69" s="521"/>
      <c r="AE69" s="521"/>
      <c r="AF69" s="532"/>
      <c r="AG69" s="517"/>
      <c r="AH69" s="516"/>
      <c r="AI69" s="533"/>
      <c r="AJ69" s="208"/>
      <c r="AU69" s="207"/>
      <c r="AV69" s="219"/>
      <c r="AW69" s="220"/>
      <c r="AX69" s="220"/>
      <c r="AY69" s="220"/>
      <c r="AZ69" s="220"/>
      <c r="BA69" s="220"/>
      <c r="BB69" s="220"/>
      <c r="BC69" s="220"/>
      <c r="BD69" s="220"/>
      <c r="BE69" s="220"/>
      <c r="BF69" s="220"/>
      <c r="BG69" s="220"/>
      <c r="BH69" s="220"/>
      <c r="BI69" s="220"/>
      <c r="BJ69" s="220"/>
      <c r="BK69" s="220"/>
      <c r="BL69" s="220"/>
      <c r="BM69" s="221"/>
      <c r="BN69" s="207"/>
      <c r="BO69" s="297" t="s">
        <v>115</v>
      </c>
      <c r="BP69" s="522">
        <f>AR45</f>
        <v>0.40888888888888886</v>
      </c>
      <c r="BQ69" s="311" t="s">
        <v>126</v>
      </c>
      <c r="BR69" s="534" t="e">
        <f t="shared" ref="BR69:BU73" si="8">IF($BP66&gt;=BR$66,IF($BP66&lt;=BR$67,$BP66,NA()),NA())</f>
        <v>#N/A</v>
      </c>
      <c r="BS69" s="535">
        <f t="shared" si="8"/>
        <v>0.70833333333333326</v>
      </c>
      <c r="BT69" s="535" t="e">
        <f t="shared" si="8"/>
        <v>#N/A</v>
      </c>
      <c r="BU69" s="536" t="e">
        <f t="shared" si="8"/>
        <v>#N/A</v>
      </c>
      <c r="BV69" s="220"/>
      <c r="BW69" s="220"/>
      <c r="BX69" s="221"/>
      <c r="BY69" s="209"/>
    </row>
    <row r="70" spans="4:100" ht="17.25" customHeight="1" thickBot="1" x14ac:dyDescent="0.35">
      <c r="D70" s="364"/>
      <c r="E70" s="287" t="s">
        <v>67</v>
      </c>
      <c r="F70" s="357">
        <f>IFERROR(SUM(F66:F68),0)</f>
        <v>0</v>
      </c>
      <c r="G70" s="365"/>
      <c r="H70" s="365"/>
      <c r="I70" s="365"/>
      <c r="J70" s="365"/>
      <c r="K70" s="365"/>
      <c r="L70" s="365"/>
      <c r="M70" s="365"/>
      <c r="N70" s="365"/>
      <c r="O70" s="366"/>
      <c r="P70" s="206"/>
      <c r="Q70" s="378"/>
      <c r="R70" s="254" t="s">
        <v>495</v>
      </c>
      <c r="S70" s="349">
        <f>IFERROR(S62/R62,0)</f>
        <v>0</v>
      </c>
      <c r="T70" s="362"/>
      <c r="U70" s="362"/>
      <c r="V70" s="362"/>
      <c r="W70" s="362"/>
      <c r="X70" s="362"/>
      <c r="Y70" s="362"/>
      <c r="Z70" s="362"/>
      <c r="AA70" s="363"/>
      <c r="AB70" s="207"/>
      <c r="AC70" s="537"/>
      <c r="AD70" s="538"/>
      <c r="AE70" s="538"/>
      <c r="AF70" s="516"/>
      <c r="AG70" s="539"/>
      <c r="AH70" s="516"/>
      <c r="AI70" s="540"/>
      <c r="AJ70" s="208"/>
      <c r="AU70" s="207"/>
      <c r="AV70" s="971" t="s">
        <v>514</v>
      </c>
      <c r="AW70" s="972"/>
      <c r="AX70" s="972"/>
      <c r="AY70" s="972"/>
      <c r="AZ70" s="972"/>
      <c r="BA70" s="972"/>
      <c r="BB70" s="972"/>
      <c r="BC70" s="972"/>
      <c r="BD70" s="972"/>
      <c r="BE70" s="972"/>
      <c r="BF70" s="972"/>
      <c r="BG70" s="972"/>
      <c r="BH70" s="972"/>
      <c r="BI70" s="972"/>
      <c r="BJ70" s="972"/>
      <c r="BK70" s="972"/>
      <c r="BL70" s="972"/>
      <c r="BM70" s="973"/>
      <c r="BN70" s="207"/>
      <c r="BO70" s="317" t="s">
        <v>502</v>
      </c>
      <c r="BP70" s="541">
        <f>AR52</f>
        <v>1.518</v>
      </c>
      <c r="BQ70" s="311" t="s">
        <v>127</v>
      </c>
      <c r="BR70" s="542" t="e">
        <f t="shared" si="8"/>
        <v>#N/A</v>
      </c>
      <c r="BS70" s="543" t="e">
        <f t="shared" si="8"/>
        <v>#N/A</v>
      </c>
      <c r="BT70" s="543">
        <f t="shared" si="8"/>
        <v>0.88749999999999996</v>
      </c>
      <c r="BU70" s="544" t="e">
        <f t="shared" si="8"/>
        <v>#N/A</v>
      </c>
      <c r="BV70" s="224"/>
      <c r="BW70" s="224"/>
      <c r="BX70" s="225"/>
      <c r="BY70" s="209"/>
    </row>
    <row r="71" spans="4:100" ht="17.25" customHeight="1" thickBot="1" x14ac:dyDescent="0.35">
      <c r="D71" s="364"/>
      <c r="E71" s="365"/>
      <c r="F71" s="365"/>
      <c r="G71" s="365"/>
      <c r="H71" s="365"/>
      <c r="I71" s="365"/>
      <c r="J71" s="365"/>
      <c r="K71" s="365"/>
      <c r="L71" s="365"/>
      <c r="M71" s="365"/>
      <c r="N71" s="365"/>
      <c r="O71" s="366"/>
      <c r="P71" s="206"/>
      <c r="Q71" s="378"/>
      <c r="R71" s="464" t="s">
        <v>67</v>
      </c>
      <c r="S71" s="357">
        <f>IFERROR(S63/R63,0)</f>
        <v>0</v>
      </c>
      <c r="T71" s="362"/>
      <c r="U71" s="362"/>
      <c r="V71" s="362"/>
      <c r="W71" s="362"/>
      <c r="X71" s="362"/>
      <c r="Y71" s="362"/>
      <c r="Z71" s="362"/>
      <c r="AA71" s="363"/>
      <c r="AB71" s="207"/>
      <c r="AC71" s="508"/>
      <c r="AD71" s="509"/>
      <c r="AE71" s="509"/>
      <c r="AF71" s="509"/>
      <c r="AG71" s="509"/>
      <c r="AH71" s="509"/>
      <c r="AI71" s="510"/>
      <c r="AJ71" s="208"/>
      <c r="AU71" s="207"/>
      <c r="AV71" s="219"/>
      <c r="AW71" s="220"/>
      <c r="AX71" s="220"/>
      <c r="AY71" s="220"/>
      <c r="AZ71" s="220"/>
      <c r="BA71" s="220"/>
      <c r="BB71" s="220"/>
      <c r="BC71" s="220"/>
      <c r="BD71" s="220"/>
      <c r="BE71" s="220"/>
      <c r="BF71" s="220"/>
      <c r="BG71" s="220"/>
      <c r="BH71" s="220"/>
      <c r="BI71" s="220"/>
      <c r="BJ71" s="220"/>
      <c r="BK71" s="220"/>
      <c r="BL71" s="220"/>
      <c r="BM71" s="221"/>
      <c r="BN71" s="207"/>
      <c r="BO71" s="545" t="s">
        <v>62</v>
      </c>
      <c r="BP71" s="546">
        <f>AVERAGE(BP66:BP70)</f>
        <v>0.83787777777777772</v>
      </c>
      <c r="BQ71" s="311" t="s">
        <v>128</v>
      </c>
      <c r="BR71" s="542" t="e">
        <f t="shared" si="8"/>
        <v>#N/A</v>
      </c>
      <c r="BS71" s="543">
        <f t="shared" si="8"/>
        <v>0.66666666666666663</v>
      </c>
      <c r="BT71" s="543" t="e">
        <f t="shared" si="8"/>
        <v>#N/A</v>
      </c>
      <c r="BU71" s="544" t="e">
        <f t="shared" si="8"/>
        <v>#N/A</v>
      </c>
      <c r="BV71" s="220"/>
      <c r="BW71" s="220"/>
      <c r="BX71" s="221"/>
      <c r="BY71" s="209"/>
    </row>
    <row r="72" spans="4:100" ht="17.25" thickBot="1" x14ac:dyDescent="0.35">
      <c r="D72" s="364"/>
      <c r="E72" s="365"/>
      <c r="F72" s="365"/>
      <c r="G72" s="365"/>
      <c r="H72" s="365"/>
      <c r="I72" s="365"/>
      <c r="J72" s="365"/>
      <c r="K72" s="365"/>
      <c r="L72" s="365"/>
      <c r="M72" s="365"/>
      <c r="N72" s="365"/>
      <c r="O72" s="366"/>
      <c r="P72" s="206"/>
      <c r="Q72" s="378"/>
      <c r="R72" s="227"/>
      <c r="S72" s="220"/>
      <c r="T72" s="362"/>
      <c r="U72" s="362"/>
      <c r="V72" s="362"/>
      <c r="W72" s="362"/>
      <c r="X72" s="362"/>
      <c r="Y72" s="362"/>
      <c r="Z72" s="362"/>
      <c r="AA72" s="363"/>
      <c r="AB72" s="207"/>
      <c r="AC72" s="508"/>
      <c r="AD72" s="509"/>
      <c r="AE72" s="509"/>
      <c r="AF72" s="509"/>
      <c r="AG72" s="509"/>
      <c r="AH72" s="509"/>
      <c r="AI72" s="510"/>
      <c r="AJ72" s="208"/>
      <c r="AU72" s="207"/>
      <c r="AV72" s="392" t="s">
        <v>1</v>
      </c>
      <c r="AW72" s="390" t="s">
        <v>60</v>
      </c>
      <c r="AX72" s="391" t="s">
        <v>63</v>
      </c>
      <c r="AY72" s="220"/>
      <c r="AZ72" s="392" t="s">
        <v>1</v>
      </c>
      <c r="BA72" s="390" t="s">
        <v>60</v>
      </c>
      <c r="BB72" s="391" t="s">
        <v>64</v>
      </c>
      <c r="BC72" s="220"/>
      <c r="BD72" s="392" t="s">
        <v>1</v>
      </c>
      <c r="BE72" s="390" t="s">
        <v>60</v>
      </c>
      <c r="BF72" s="391" t="s">
        <v>65</v>
      </c>
      <c r="BG72" s="220"/>
      <c r="BH72" s="392" t="s">
        <v>1</v>
      </c>
      <c r="BI72" s="390" t="s">
        <v>60</v>
      </c>
      <c r="BJ72" s="391" t="s">
        <v>491</v>
      </c>
      <c r="BK72" s="220"/>
      <c r="BL72" s="220"/>
      <c r="BM72" s="221"/>
      <c r="BN72" s="207"/>
      <c r="BO72" s="219"/>
      <c r="BP72" s="474"/>
      <c r="BQ72" s="311" t="s">
        <v>129</v>
      </c>
      <c r="BR72" s="542">
        <f t="shared" si="8"/>
        <v>0.40888888888888886</v>
      </c>
      <c r="BS72" s="543" t="e">
        <f t="shared" si="8"/>
        <v>#N/A</v>
      </c>
      <c r="BT72" s="543" t="e">
        <f t="shared" si="8"/>
        <v>#N/A</v>
      </c>
      <c r="BU72" s="544" t="e">
        <f t="shared" si="8"/>
        <v>#N/A</v>
      </c>
      <c r="BV72" s="220"/>
      <c r="BW72" s="220"/>
      <c r="BX72" s="221"/>
      <c r="BY72" s="209"/>
    </row>
    <row r="73" spans="4:100" ht="21" customHeight="1" thickBot="1" x14ac:dyDescent="0.35">
      <c r="D73" s="872" t="s">
        <v>141</v>
      </c>
      <c r="E73" s="873"/>
      <c r="F73" s="873"/>
      <c r="G73" s="873"/>
      <c r="H73" s="873"/>
      <c r="I73" s="873"/>
      <c r="J73" s="873"/>
      <c r="K73" s="873"/>
      <c r="L73" s="873"/>
      <c r="M73" s="873"/>
      <c r="N73" s="873"/>
      <c r="O73" s="874"/>
      <c r="P73" s="206"/>
      <c r="Q73" s="848" t="s">
        <v>142</v>
      </c>
      <c r="R73" s="849"/>
      <c r="S73" s="849"/>
      <c r="T73" s="849"/>
      <c r="U73" s="849"/>
      <c r="V73" s="849"/>
      <c r="W73" s="849"/>
      <c r="X73" s="849"/>
      <c r="Y73" s="849"/>
      <c r="Z73" s="849"/>
      <c r="AA73" s="850"/>
      <c r="AB73" s="207"/>
      <c r="AC73" s="902" t="s">
        <v>130</v>
      </c>
      <c r="AD73" s="903"/>
      <c r="AE73" s="903"/>
      <c r="AF73" s="903"/>
      <c r="AG73" s="903"/>
      <c r="AH73" s="903"/>
      <c r="AI73" s="904"/>
      <c r="AJ73" s="208"/>
      <c r="AU73" s="207"/>
      <c r="AV73" s="273" t="s">
        <v>123</v>
      </c>
      <c r="AW73" s="277">
        <f>'2. PRODUCTOS'!$G$170</f>
        <v>1</v>
      </c>
      <c r="AX73" s="278">
        <f>'2. PRODUCTOS'!$W$170</f>
        <v>0</v>
      </c>
      <c r="AY73" s="220"/>
      <c r="AZ73" s="273" t="s">
        <v>123</v>
      </c>
      <c r="BA73" s="277">
        <f>'2. PRODUCTOS'!$H$170</f>
        <v>2</v>
      </c>
      <c r="BB73" s="278">
        <f>'2. PRODUCTOS'!$AJ$170</f>
        <v>0</v>
      </c>
      <c r="BC73" s="220"/>
      <c r="BD73" s="273" t="s">
        <v>123</v>
      </c>
      <c r="BE73" s="277">
        <f>'2. PRODUCTOS'!$I$170</f>
        <v>3</v>
      </c>
      <c r="BF73" s="278">
        <f>'2. PRODUCTOS'!$AW$170</f>
        <v>1</v>
      </c>
      <c r="BG73" s="220"/>
      <c r="BH73" s="273" t="s">
        <v>123</v>
      </c>
      <c r="BI73" s="277">
        <f>'2. PRODUCTOS'!$J$170</f>
        <v>5</v>
      </c>
      <c r="BJ73" s="278">
        <f>'2. PRODUCTOS'!$BJ$170</f>
        <v>0</v>
      </c>
      <c r="BK73" s="220"/>
      <c r="BL73" s="220"/>
      <c r="BM73" s="221"/>
      <c r="BN73" s="207"/>
      <c r="BO73" s="219"/>
      <c r="BP73" s="474"/>
      <c r="BQ73" s="311" t="s">
        <v>145</v>
      </c>
      <c r="BR73" s="547" t="e">
        <f t="shared" si="8"/>
        <v>#N/A</v>
      </c>
      <c r="BS73" s="548" t="e">
        <f t="shared" si="8"/>
        <v>#N/A</v>
      </c>
      <c r="BT73" s="548" t="e">
        <f t="shared" si="8"/>
        <v>#N/A</v>
      </c>
      <c r="BU73" s="549">
        <f t="shared" si="8"/>
        <v>1.518</v>
      </c>
      <c r="BV73" s="220"/>
      <c r="BW73" s="220"/>
      <c r="BX73" s="221"/>
      <c r="BY73" s="209"/>
    </row>
    <row r="74" spans="4:100" ht="17.25" thickBot="1" x14ac:dyDescent="0.35">
      <c r="D74" s="219"/>
      <c r="E74" s="220"/>
      <c r="F74" s="220"/>
      <c r="G74" s="220"/>
      <c r="H74" s="220"/>
      <c r="I74" s="220"/>
      <c r="J74" s="220"/>
      <c r="K74" s="220"/>
      <c r="L74" s="220"/>
      <c r="M74" s="220"/>
      <c r="N74" s="220"/>
      <c r="O74" s="221"/>
      <c r="P74" s="206"/>
      <c r="Q74" s="219"/>
      <c r="R74" s="227"/>
      <c r="S74" s="220"/>
      <c r="T74" s="220"/>
      <c r="U74" s="220"/>
      <c r="V74" s="220"/>
      <c r="W74" s="220"/>
      <c r="X74" s="220"/>
      <c r="Y74" s="220"/>
      <c r="Z74" s="220"/>
      <c r="AA74" s="221"/>
      <c r="AB74" s="207"/>
      <c r="AC74" s="219"/>
      <c r="AD74" s="220"/>
      <c r="AE74" s="220"/>
      <c r="AF74" s="220"/>
      <c r="AG74" s="220"/>
      <c r="AH74" s="220"/>
      <c r="AI74" s="221"/>
      <c r="AJ74" s="208"/>
      <c r="AU74" s="207"/>
      <c r="AV74" s="297" t="s">
        <v>124</v>
      </c>
      <c r="AW74" s="298">
        <f>'2. PRODUCTOS'!$G$182</f>
        <v>100</v>
      </c>
      <c r="AX74" s="301">
        <f>'2. PRODUCTOS'!$W$182</f>
        <v>17</v>
      </c>
      <c r="AY74" s="220"/>
      <c r="AZ74" s="297" t="s">
        <v>124</v>
      </c>
      <c r="BA74" s="298">
        <f>'2. PRODUCTOS'!$H$182</f>
        <v>200</v>
      </c>
      <c r="BB74" s="301">
        <f>'2. PRODUCTOS'!$AJ$182</f>
        <v>0</v>
      </c>
      <c r="BC74" s="220"/>
      <c r="BD74" s="297" t="s">
        <v>124</v>
      </c>
      <c r="BE74" s="298">
        <f>'2. PRODUCTOS'!$I$182</f>
        <v>100</v>
      </c>
      <c r="BF74" s="301">
        <f>'2. PRODUCTOS'!$AW$182</f>
        <v>80</v>
      </c>
      <c r="BG74" s="220"/>
      <c r="BH74" s="297" t="s">
        <v>124</v>
      </c>
      <c r="BI74" s="298">
        <f>'2. PRODUCTOS'!$J$182</f>
        <v>300</v>
      </c>
      <c r="BJ74" s="301">
        <f>'2. PRODUCTOS'!$BJ$182</f>
        <v>96</v>
      </c>
      <c r="BK74" s="220"/>
      <c r="BL74" s="220"/>
      <c r="BM74" s="221"/>
      <c r="BN74" s="207"/>
      <c r="BO74" s="219"/>
      <c r="BP74" s="220"/>
      <c r="BQ74" s="220"/>
      <c r="BR74" s="312"/>
      <c r="BS74" s="312"/>
      <c r="BT74" s="312"/>
      <c r="BU74" s="312"/>
      <c r="BV74" s="220"/>
      <c r="BW74" s="220"/>
      <c r="BX74" s="221"/>
      <c r="BY74" s="209"/>
    </row>
    <row r="75" spans="4:100" ht="17.25" thickBot="1" x14ac:dyDescent="0.35">
      <c r="D75" s="427"/>
      <c r="E75" s="220"/>
      <c r="F75" s="220"/>
      <c r="G75" s="220"/>
      <c r="H75" s="220"/>
      <c r="I75" s="220"/>
      <c r="J75" s="220"/>
      <c r="K75" s="220"/>
      <c r="L75" s="220"/>
      <c r="M75" s="428"/>
      <c r="N75" s="428"/>
      <c r="O75" s="550"/>
      <c r="P75" s="206"/>
      <c r="Q75" s="223"/>
      <c r="R75" s="311"/>
      <c r="S75" s="220"/>
      <c r="T75" s="224"/>
      <c r="U75" s="224"/>
      <c r="V75" s="224"/>
      <c r="W75" s="224"/>
      <c r="X75" s="551"/>
      <c r="Y75" s="551"/>
      <c r="Z75" s="551"/>
      <c r="AA75" s="552"/>
      <c r="AB75" s="207"/>
      <c r="AC75" s="948" t="s">
        <v>105</v>
      </c>
      <c r="AD75" s="949"/>
      <c r="AE75" s="949"/>
      <c r="AF75" s="949"/>
      <c r="AG75" s="949"/>
      <c r="AH75" s="949"/>
      <c r="AI75" s="950"/>
      <c r="AJ75" s="208"/>
      <c r="AU75" s="207"/>
      <c r="AV75" s="317" t="s">
        <v>125</v>
      </c>
      <c r="AW75" s="439">
        <f>'2. PRODUCTOS'!$G$194</f>
        <v>483</v>
      </c>
      <c r="AX75" s="465">
        <f>'2. PRODUCTOS'!$W$194</f>
        <v>0</v>
      </c>
      <c r="AY75" s="220"/>
      <c r="AZ75" s="317" t="s">
        <v>125</v>
      </c>
      <c r="BA75" s="439">
        <f>'2. PRODUCTOS'!$H$194</f>
        <v>135</v>
      </c>
      <c r="BB75" s="465">
        <f>'2. PRODUCTOS'!$AJ$194</f>
        <v>0</v>
      </c>
      <c r="BC75" s="220"/>
      <c r="BD75" s="317" t="s">
        <v>125</v>
      </c>
      <c r="BE75" s="439">
        <f>'2. PRODUCTOS'!$I$194</f>
        <v>25</v>
      </c>
      <c r="BF75" s="465">
        <f>'2. PRODUCTOS'!$AW$194</f>
        <v>15</v>
      </c>
      <c r="BG75" s="220"/>
      <c r="BH75" s="317" t="s">
        <v>125</v>
      </c>
      <c r="BI75" s="439">
        <f>'2. PRODUCTOS'!$J$194</f>
        <v>50</v>
      </c>
      <c r="BJ75" s="465">
        <f>'2. PRODUCTOS'!$BJ$194</f>
        <v>7</v>
      </c>
      <c r="BK75" s="220"/>
      <c r="BL75" s="220"/>
      <c r="BM75" s="221"/>
      <c r="BN75" s="207"/>
      <c r="BO75" s="939" t="s">
        <v>131</v>
      </c>
      <c r="BP75" s="940"/>
      <c r="BQ75" s="940"/>
      <c r="BR75" s="940"/>
      <c r="BS75" s="940"/>
      <c r="BT75" s="940"/>
      <c r="BU75" s="940"/>
      <c r="BV75" s="940"/>
      <c r="BW75" s="940"/>
      <c r="BX75" s="941"/>
      <c r="BY75" s="209"/>
    </row>
    <row r="76" spans="4:100" ht="17.25" customHeight="1" thickBot="1" x14ac:dyDescent="0.35">
      <c r="D76" s="881" t="s">
        <v>18</v>
      </c>
      <c r="E76" s="882"/>
      <c r="F76" s="882"/>
      <c r="G76" s="882"/>
      <c r="H76" s="882"/>
      <c r="I76" s="882"/>
      <c r="J76" s="882"/>
      <c r="K76" s="882"/>
      <c r="L76" s="882"/>
      <c r="M76" s="882"/>
      <c r="N76" s="882"/>
      <c r="O76" s="883"/>
      <c r="P76" s="206"/>
      <c r="Q76" s="945" t="s">
        <v>18</v>
      </c>
      <c r="R76" s="946"/>
      <c r="S76" s="946"/>
      <c r="T76" s="946"/>
      <c r="U76" s="946"/>
      <c r="V76" s="946"/>
      <c r="W76" s="946"/>
      <c r="X76" s="946"/>
      <c r="Y76" s="946"/>
      <c r="Z76" s="946"/>
      <c r="AA76" s="947"/>
      <c r="AB76" s="207"/>
      <c r="AC76" s="219"/>
      <c r="AD76" s="220"/>
      <c r="AE76" s="220"/>
      <c r="AF76" s="220"/>
      <c r="AG76" s="220"/>
      <c r="AH76" s="220"/>
      <c r="AI76" s="221"/>
      <c r="AJ76" s="208"/>
      <c r="AU76" s="207"/>
      <c r="AV76" s="219"/>
      <c r="AW76" s="220"/>
      <c r="AX76" s="220"/>
      <c r="AY76" s="220"/>
      <c r="AZ76" s="220"/>
      <c r="BA76" s="220"/>
      <c r="BB76" s="220"/>
      <c r="BC76" s="220"/>
      <c r="BD76" s="220"/>
      <c r="BE76" s="220"/>
      <c r="BF76" s="220"/>
      <c r="BG76" s="220"/>
      <c r="BH76" s="220"/>
      <c r="BI76" s="220"/>
      <c r="BJ76" s="220"/>
      <c r="BK76" s="220"/>
      <c r="BL76" s="220"/>
      <c r="BM76" s="221"/>
      <c r="BN76" s="207"/>
      <c r="BO76" s="219"/>
      <c r="BP76" s="220"/>
      <c r="BQ76" s="220"/>
      <c r="BR76" s="220"/>
      <c r="BS76" s="220"/>
      <c r="BT76" s="220"/>
      <c r="BU76" s="220"/>
      <c r="BV76" s="220"/>
      <c r="BW76" s="220"/>
      <c r="BX76" s="221"/>
      <c r="BY76" s="209"/>
    </row>
    <row r="77" spans="4:100" ht="17.25" thickBot="1" x14ac:dyDescent="0.35">
      <c r="D77" s="226"/>
      <c r="E77" s="311"/>
      <c r="F77" s="227"/>
      <c r="G77" s="220"/>
      <c r="H77" s="243"/>
      <c r="I77" s="243"/>
      <c r="J77" s="243"/>
      <c r="K77" s="243"/>
      <c r="L77" s="220"/>
      <c r="M77" s="220"/>
      <c r="N77" s="220"/>
      <c r="O77" s="221"/>
      <c r="P77" s="206"/>
      <c r="Q77" s="226"/>
      <c r="R77" s="227"/>
      <c r="S77" s="227"/>
      <c r="T77" s="220"/>
      <c r="U77" s="243"/>
      <c r="V77" s="243"/>
      <c r="W77" s="243"/>
      <c r="X77" s="243"/>
      <c r="Y77" s="220"/>
      <c r="Z77" s="220"/>
      <c r="AA77" s="221"/>
      <c r="AB77" s="207"/>
      <c r="AC77" s="223"/>
      <c r="AD77" s="224"/>
      <c r="AE77" s="224"/>
      <c r="AF77" s="224"/>
      <c r="AG77" s="224"/>
      <c r="AH77" s="220"/>
      <c r="AI77" s="221"/>
      <c r="AJ77" s="208"/>
      <c r="AK77" s="393"/>
      <c r="AL77" s="393"/>
      <c r="AM77" s="393"/>
      <c r="AN77" s="393"/>
      <c r="AO77" s="393"/>
      <c r="AP77" s="393"/>
      <c r="AQ77" s="393"/>
      <c r="AR77" s="393"/>
      <c r="AS77" s="393"/>
      <c r="AT77" s="393"/>
      <c r="AU77" s="207"/>
      <c r="AV77" s="219"/>
      <c r="AW77" s="220"/>
      <c r="AX77" s="220"/>
      <c r="AY77" s="220"/>
      <c r="AZ77" s="220"/>
      <c r="BA77" s="220"/>
      <c r="BB77" s="220"/>
      <c r="BC77" s="220"/>
      <c r="BD77" s="220"/>
      <c r="BE77" s="220"/>
      <c r="BF77" s="220"/>
      <c r="BG77" s="220"/>
      <c r="BH77" s="220"/>
      <c r="BI77" s="220"/>
      <c r="BJ77" s="220"/>
      <c r="BK77" s="220"/>
      <c r="BL77" s="220"/>
      <c r="BM77" s="221"/>
      <c r="BN77" s="207"/>
      <c r="BO77" s="219"/>
      <c r="BP77" s="220"/>
      <c r="BQ77" s="220"/>
      <c r="BR77" s="220"/>
      <c r="BS77" s="220"/>
      <c r="BT77" s="220"/>
      <c r="BU77" s="220"/>
      <c r="BV77" s="220"/>
      <c r="BW77" s="220"/>
      <c r="BX77" s="221"/>
      <c r="BY77" s="209"/>
    </row>
    <row r="78" spans="4:100" ht="21" thickBot="1" x14ac:dyDescent="0.35">
      <c r="D78" s="884" t="s">
        <v>114</v>
      </c>
      <c r="E78" s="885"/>
      <c r="F78" s="885"/>
      <c r="G78" s="885"/>
      <c r="H78" s="885"/>
      <c r="I78" s="885"/>
      <c r="J78" s="885"/>
      <c r="K78" s="885"/>
      <c r="L78" s="885"/>
      <c r="M78" s="885"/>
      <c r="N78" s="885"/>
      <c r="O78" s="886"/>
      <c r="P78" s="206"/>
      <c r="Q78" s="858" t="s">
        <v>114</v>
      </c>
      <c r="R78" s="859"/>
      <c r="S78" s="859"/>
      <c r="T78" s="859"/>
      <c r="U78" s="859"/>
      <c r="V78" s="859"/>
      <c r="W78" s="859"/>
      <c r="X78" s="859"/>
      <c r="Y78" s="859"/>
      <c r="Z78" s="859"/>
      <c r="AA78" s="860"/>
      <c r="AB78" s="207"/>
      <c r="AC78" s="392" t="s">
        <v>78</v>
      </c>
      <c r="AD78" s="390" t="s">
        <v>55</v>
      </c>
      <c r="AE78" s="391" t="s">
        <v>83</v>
      </c>
      <c r="AF78" s="227"/>
      <c r="AG78" s="553" t="s">
        <v>86</v>
      </c>
      <c r="AH78" s="220"/>
      <c r="AI78" s="221"/>
      <c r="AJ78" s="208"/>
      <c r="AK78" s="350"/>
      <c r="AL78" s="350"/>
      <c r="AM78" s="350"/>
      <c r="AN78" s="350"/>
      <c r="AO78" s="350"/>
      <c r="AP78" s="350"/>
      <c r="AQ78" s="350"/>
      <c r="AR78" s="350"/>
      <c r="AS78" s="350"/>
      <c r="AT78" s="350"/>
      <c r="AU78" s="207"/>
      <c r="AV78" s="392" t="s">
        <v>1</v>
      </c>
      <c r="AW78" s="247" t="s">
        <v>58</v>
      </c>
      <c r="AX78" s="247" t="s">
        <v>62</v>
      </c>
      <c r="AY78" s="220"/>
      <c r="AZ78" s="392" t="s">
        <v>1</v>
      </c>
      <c r="BA78" s="247" t="s">
        <v>58</v>
      </c>
      <c r="BB78" s="247" t="s">
        <v>62</v>
      </c>
      <c r="BC78" s="220"/>
      <c r="BD78" s="392" t="s">
        <v>1</v>
      </c>
      <c r="BE78" s="247" t="s">
        <v>58</v>
      </c>
      <c r="BF78" s="247" t="s">
        <v>62</v>
      </c>
      <c r="BG78" s="220"/>
      <c r="BH78" s="392" t="s">
        <v>1</v>
      </c>
      <c r="BI78" s="247" t="s">
        <v>58</v>
      </c>
      <c r="BJ78" s="247" t="s">
        <v>62</v>
      </c>
      <c r="BK78" s="220"/>
      <c r="BL78" s="220"/>
      <c r="BM78" s="221"/>
      <c r="BN78" s="207"/>
      <c r="BO78" s="958">
        <v>2017</v>
      </c>
      <c r="BP78" s="959"/>
      <c r="BQ78" s="959"/>
      <c r="BR78" s="959"/>
      <c r="BS78" s="959"/>
      <c r="BT78" s="959"/>
      <c r="BU78" s="960"/>
      <c r="BV78" s="220"/>
      <c r="BW78" s="220"/>
      <c r="BX78" s="221"/>
      <c r="BY78" s="209"/>
    </row>
    <row r="79" spans="4:100" ht="17.25" thickBot="1" x14ac:dyDescent="0.35">
      <c r="D79" s="226"/>
      <c r="E79" s="311"/>
      <c r="F79" s="227"/>
      <c r="G79" s="220"/>
      <c r="H79" s="336"/>
      <c r="I79" s="336"/>
      <c r="J79" s="344"/>
      <c r="K79" s="344"/>
      <c r="L79" s="220"/>
      <c r="M79" s="220"/>
      <c r="N79" s="220"/>
      <c r="O79" s="221"/>
      <c r="P79" s="206"/>
      <c r="Q79" s="226"/>
      <c r="R79" s="227"/>
      <c r="S79" s="227"/>
      <c r="T79" s="220"/>
      <c r="U79" s="336"/>
      <c r="V79" s="336"/>
      <c r="W79" s="344"/>
      <c r="X79" s="344"/>
      <c r="Y79" s="220"/>
      <c r="Z79" s="220"/>
      <c r="AA79" s="221"/>
      <c r="AB79" s="207"/>
      <c r="AC79" s="482" t="s">
        <v>111</v>
      </c>
      <c r="AD79" s="435">
        <f>'2. PRODUCTOS'!$K$8</f>
        <v>370816.74</v>
      </c>
      <c r="AE79" s="554">
        <f>SUM('2. PRODUCTOS'!AD8:AD55)</f>
        <v>44236.69</v>
      </c>
      <c r="AF79" s="220"/>
      <c r="AG79" s="328">
        <f t="shared" ref="AG79:AG84" si="9">IFERROR(AE79/AD79,0)</f>
        <v>0.11929528855682191</v>
      </c>
      <c r="AH79" s="220"/>
      <c r="AI79" s="221"/>
      <c r="AJ79" s="208"/>
      <c r="AK79" s="350"/>
      <c r="AL79" s="555"/>
      <c r="AM79" s="393"/>
      <c r="AN79" s="393"/>
      <c r="AO79" s="393"/>
      <c r="AP79" s="350"/>
      <c r="AQ79" s="382"/>
      <c r="AR79" s="382"/>
      <c r="AS79" s="350"/>
      <c r="AT79" s="350"/>
      <c r="AU79" s="207"/>
      <c r="AV79" s="426" t="s">
        <v>123</v>
      </c>
      <c r="AW79" s="402">
        <f>IFERROR(AX73/AW73,0)</f>
        <v>0</v>
      </c>
      <c r="AX79" s="961">
        <f>AVERAGE(AW79:AW81)</f>
        <v>5.6666666666666671E-2</v>
      </c>
      <c r="AY79" s="220"/>
      <c r="AZ79" s="426" t="s">
        <v>123</v>
      </c>
      <c r="BA79" s="402">
        <f>IFERROR(BB73/BA73,0)</f>
        <v>0</v>
      </c>
      <c r="BB79" s="961">
        <f>AVERAGE(BA79:BA81)</f>
        <v>0</v>
      </c>
      <c r="BC79" s="220"/>
      <c r="BD79" s="426" t="s">
        <v>123</v>
      </c>
      <c r="BE79" s="402">
        <f>IFERROR(BF73/BE73,0)</f>
        <v>0.33333333333333331</v>
      </c>
      <c r="BF79" s="961">
        <f>AVERAGE(BE79:BE81)</f>
        <v>0.57777777777777783</v>
      </c>
      <c r="BG79" s="220"/>
      <c r="BH79" s="426" t="s">
        <v>123</v>
      </c>
      <c r="BI79" s="402">
        <f>IFERROR(BJ73/BI73,0)</f>
        <v>0</v>
      </c>
      <c r="BJ79" s="961">
        <f>AVERAGE(BI79:BI81)</f>
        <v>0.15333333333333335</v>
      </c>
      <c r="BK79" s="220"/>
      <c r="BL79" s="220"/>
      <c r="BM79" s="221"/>
      <c r="BN79" s="207"/>
      <c r="BO79" s="219"/>
      <c r="BP79" s="220"/>
      <c r="BQ79" s="220"/>
      <c r="BR79" s="220"/>
      <c r="BS79" s="220"/>
      <c r="BT79" s="220"/>
      <c r="BU79" s="220"/>
      <c r="BV79" s="220"/>
      <c r="BW79" s="220"/>
      <c r="BX79" s="221"/>
      <c r="BY79" s="209"/>
    </row>
    <row r="80" spans="4:100" ht="17.25" thickBot="1" x14ac:dyDescent="0.35">
      <c r="D80" s="226"/>
      <c r="E80" s="311"/>
      <c r="F80" s="341"/>
      <c r="G80" s="220"/>
      <c r="H80" s="312"/>
      <c r="I80" s="312"/>
      <c r="J80" s="312"/>
      <c r="K80" s="312"/>
      <c r="L80" s="220"/>
      <c r="M80" s="220"/>
      <c r="N80" s="220"/>
      <c r="O80" s="221"/>
      <c r="P80" s="206"/>
      <c r="Q80" s="226"/>
      <c r="R80" s="311"/>
      <c r="S80" s="341"/>
      <c r="T80" s="311"/>
      <c r="U80" s="312"/>
      <c r="V80" s="312"/>
      <c r="W80" s="312"/>
      <c r="X80" s="312"/>
      <c r="Y80" s="220"/>
      <c r="Z80" s="220"/>
      <c r="AA80" s="221"/>
      <c r="AB80" s="207"/>
      <c r="AC80" s="486" t="s">
        <v>103</v>
      </c>
      <c r="AD80" s="556">
        <f>'2. PRODUCTOS'!$K$62</f>
        <v>472840</v>
      </c>
      <c r="AE80" s="490">
        <f>'2. PRODUCTOS'!$BM$62+SUM('2. PRODUCTOS'!AD62:AD109)</f>
        <v>41984.990000000005</v>
      </c>
      <c r="AF80" s="220"/>
      <c r="AG80" s="340">
        <f t="shared" si="9"/>
        <v>8.8793228153286538E-2</v>
      </c>
      <c r="AH80" s="220"/>
      <c r="AI80" s="221"/>
      <c r="AJ80" s="208"/>
      <c r="AK80" s="350"/>
      <c r="AL80" s="555"/>
      <c r="AM80" s="384"/>
      <c r="AN80" s="384"/>
      <c r="AO80" s="384"/>
      <c r="AP80" s="350"/>
      <c r="AQ80" s="557"/>
      <c r="AR80" s="468"/>
      <c r="AS80" s="350"/>
      <c r="AT80" s="350"/>
      <c r="AU80" s="207"/>
      <c r="AV80" s="466" t="s">
        <v>124</v>
      </c>
      <c r="AW80" s="467">
        <f>IFERROR(AX74/AW74,0)</f>
        <v>0.17</v>
      </c>
      <c r="AX80" s="962"/>
      <c r="AY80" s="220"/>
      <c r="AZ80" s="466" t="s">
        <v>124</v>
      </c>
      <c r="BA80" s="467">
        <f>IFERROR(BB74/BA74,0)</f>
        <v>0</v>
      </c>
      <c r="BB80" s="962"/>
      <c r="BC80" s="220"/>
      <c r="BD80" s="466" t="s">
        <v>124</v>
      </c>
      <c r="BE80" s="467">
        <f>IFERROR(BF74/BE74,0)</f>
        <v>0.8</v>
      </c>
      <c r="BF80" s="962"/>
      <c r="BG80" s="220"/>
      <c r="BH80" s="466" t="s">
        <v>124</v>
      </c>
      <c r="BI80" s="467">
        <f>IFERROR(BJ74/BI74,0)</f>
        <v>0.32</v>
      </c>
      <c r="BJ80" s="962"/>
      <c r="BK80" s="220"/>
      <c r="BL80" s="220"/>
      <c r="BM80" s="221"/>
      <c r="BN80" s="207"/>
      <c r="BO80" s="307" t="s">
        <v>78</v>
      </c>
      <c r="BP80" s="308" t="s">
        <v>66</v>
      </c>
      <c r="BQ80" s="520"/>
      <c r="BR80" s="878" t="s">
        <v>47</v>
      </c>
      <c r="BS80" s="879"/>
      <c r="BT80" s="879"/>
      <c r="BU80" s="880"/>
      <c r="BV80" s="220"/>
      <c r="BW80" s="220"/>
      <c r="BX80" s="221"/>
      <c r="BY80" s="209"/>
    </row>
    <row r="81" spans="4:77" ht="17.25" thickBot="1" x14ac:dyDescent="0.35">
      <c r="D81" s="226"/>
      <c r="E81" s="230" t="s">
        <v>46</v>
      </c>
      <c r="F81" s="558">
        <f>'2. PRODUCTOS'!$W$44</f>
        <v>2</v>
      </c>
      <c r="G81" s="220"/>
      <c r="H81" s="869" t="s">
        <v>47</v>
      </c>
      <c r="I81" s="870"/>
      <c r="J81" s="870"/>
      <c r="K81" s="871"/>
      <c r="L81" s="220"/>
      <c r="M81" s="220"/>
      <c r="N81" s="220"/>
      <c r="O81" s="221"/>
      <c r="P81" s="206"/>
      <c r="Q81" s="223"/>
      <c r="R81" s="559" t="s">
        <v>44</v>
      </c>
      <c r="S81" s="229" t="s">
        <v>45</v>
      </c>
      <c r="T81" s="220"/>
      <c r="U81" s="344"/>
      <c r="V81" s="344"/>
      <c r="W81" s="344"/>
      <c r="X81" s="344"/>
      <c r="Y81" s="220"/>
      <c r="Z81" s="220"/>
      <c r="AA81" s="221"/>
      <c r="AB81" s="207"/>
      <c r="AC81" s="486" t="s">
        <v>112</v>
      </c>
      <c r="AD81" s="560">
        <f>'2. PRODUCTOS'!$K$116</f>
        <v>281883</v>
      </c>
      <c r="AE81" s="561">
        <f>SUM('2. PRODUCTOS'!AD116:AD163)</f>
        <v>3289.12</v>
      </c>
      <c r="AF81" s="220"/>
      <c r="AG81" s="340">
        <f t="shared" si="9"/>
        <v>1.1668387238677039E-2</v>
      </c>
      <c r="AH81" s="220"/>
      <c r="AI81" s="221"/>
      <c r="AJ81" s="208"/>
      <c r="AK81" s="350"/>
      <c r="AL81" s="555"/>
      <c r="AM81" s="384"/>
      <c r="AN81" s="383"/>
      <c r="AO81" s="562"/>
      <c r="AP81" s="359"/>
      <c r="AQ81" s="557"/>
      <c r="AR81" s="468"/>
      <c r="AS81" s="350"/>
      <c r="AT81" s="350"/>
      <c r="AU81" s="207"/>
      <c r="AV81" s="430" t="s">
        <v>125</v>
      </c>
      <c r="AW81" s="413">
        <f>IFERROR(AX75/AW75,0)</f>
        <v>0</v>
      </c>
      <c r="AX81" s="963"/>
      <c r="AY81" s="220"/>
      <c r="AZ81" s="430" t="s">
        <v>125</v>
      </c>
      <c r="BA81" s="413">
        <f>IFERROR(BB75/BA75,0)</f>
        <v>0</v>
      </c>
      <c r="BB81" s="963"/>
      <c r="BC81" s="220"/>
      <c r="BD81" s="430" t="s">
        <v>125</v>
      </c>
      <c r="BE81" s="413">
        <f>IFERROR(BF75/BE75,0)</f>
        <v>0.6</v>
      </c>
      <c r="BF81" s="963"/>
      <c r="BG81" s="220"/>
      <c r="BH81" s="430" t="s">
        <v>125</v>
      </c>
      <c r="BI81" s="413">
        <f>IFERROR(BJ75/BI75,0)</f>
        <v>0.14000000000000001</v>
      </c>
      <c r="BJ81" s="963"/>
      <c r="BK81" s="220"/>
      <c r="BL81" s="220"/>
      <c r="BM81" s="221"/>
      <c r="BN81" s="207"/>
      <c r="BO81" s="273" t="s">
        <v>111</v>
      </c>
      <c r="BP81" s="563">
        <f>AX32</f>
        <v>2</v>
      </c>
      <c r="BQ81" s="220"/>
      <c r="BR81" s="281">
        <v>0</v>
      </c>
      <c r="BS81" s="282">
        <v>0.5</v>
      </c>
      <c r="BT81" s="282">
        <v>0.75</v>
      </c>
      <c r="BU81" s="283">
        <v>1.01</v>
      </c>
      <c r="BV81" s="220"/>
      <c r="BW81" s="220"/>
      <c r="BX81" s="221"/>
      <c r="BY81" s="209"/>
    </row>
    <row r="82" spans="4:77" ht="17.25" thickBot="1" x14ac:dyDescent="0.35">
      <c r="D82" s="226"/>
      <c r="E82" s="234" t="s">
        <v>52</v>
      </c>
      <c r="F82" s="564">
        <f>'2. PRODUCTOS'!$AJ$44</f>
        <v>0</v>
      </c>
      <c r="G82" s="220"/>
      <c r="H82" s="236">
        <v>0</v>
      </c>
      <c r="I82" s="236">
        <v>0.5</v>
      </c>
      <c r="J82" s="236">
        <v>0.75</v>
      </c>
      <c r="K82" s="236">
        <v>1.0009999999999999</v>
      </c>
      <c r="L82" s="220"/>
      <c r="M82" s="220"/>
      <c r="N82" s="220"/>
      <c r="O82" s="221"/>
      <c r="P82" s="206"/>
      <c r="Q82" s="230" t="s">
        <v>46</v>
      </c>
      <c r="R82" s="565">
        <f>'2. PRODUCTOS'!$G$44</f>
        <v>1</v>
      </c>
      <c r="S82" s="233">
        <f>'2. PRODUCTOS'!$W$44</f>
        <v>2</v>
      </c>
      <c r="T82" s="220"/>
      <c r="U82" s="869" t="s">
        <v>47</v>
      </c>
      <c r="V82" s="870"/>
      <c r="W82" s="870"/>
      <c r="X82" s="871"/>
      <c r="Y82" s="220"/>
      <c r="Z82" s="220"/>
      <c r="AA82" s="221"/>
      <c r="AB82" s="207"/>
      <c r="AC82" s="486" t="s">
        <v>115</v>
      </c>
      <c r="AD82" s="566">
        <f>'2. PRODUCTOS'!$K$170</f>
        <v>357501</v>
      </c>
      <c r="AE82" s="561">
        <f>SUM('2. PRODUCTOS'!AD170:AD181,'2. PRODUCTOS'!AD182:AD193,'2. PRODUCTOS'!AD194:AD205)</f>
        <v>13371.28</v>
      </c>
      <c r="AF82" s="220"/>
      <c r="AG82" s="340">
        <f t="shared" si="9"/>
        <v>3.7402077196986863E-2</v>
      </c>
      <c r="AH82" s="220"/>
      <c r="AI82" s="221"/>
      <c r="AJ82" s="208"/>
      <c r="AK82" s="350"/>
      <c r="AL82" s="555"/>
      <c r="AM82" s="384"/>
      <c r="AN82" s="383"/>
      <c r="AO82" s="383"/>
      <c r="AP82" s="350"/>
      <c r="AQ82" s="557"/>
      <c r="AR82" s="468"/>
      <c r="AS82" s="350"/>
      <c r="AT82" s="350"/>
      <c r="AU82" s="207"/>
      <c r="AV82" s="219"/>
      <c r="AW82" s="220"/>
      <c r="AX82" s="220"/>
      <c r="AY82" s="220"/>
      <c r="AZ82" s="220"/>
      <c r="BA82" s="220"/>
      <c r="BB82" s="220"/>
      <c r="BC82" s="220"/>
      <c r="BD82" s="220"/>
      <c r="BE82" s="220"/>
      <c r="BF82" s="220"/>
      <c r="BG82" s="220"/>
      <c r="BH82" s="220"/>
      <c r="BI82" s="220"/>
      <c r="BJ82" s="220"/>
      <c r="BK82" s="220"/>
      <c r="BL82" s="220"/>
      <c r="BM82" s="221"/>
      <c r="BN82" s="207"/>
      <c r="BO82" s="297" t="s">
        <v>103</v>
      </c>
      <c r="BP82" s="567">
        <f>AX46</f>
        <v>0.5</v>
      </c>
      <c r="BQ82" s="220"/>
      <c r="BR82" s="304">
        <v>0.499</v>
      </c>
      <c r="BS82" s="305">
        <v>0.749</v>
      </c>
      <c r="BT82" s="305">
        <v>1</v>
      </c>
      <c r="BU82" s="306">
        <v>2</v>
      </c>
      <c r="BV82" s="220"/>
      <c r="BW82" s="220"/>
      <c r="BX82" s="221"/>
      <c r="BY82" s="209"/>
    </row>
    <row r="83" spans="4:77" ht="17.25" thickBot="1" x14ac:dyDescent="0.35">
      <c r="D83" s="226"/>
      <c r="E83" s="234" t="s">
        <v>53</v>
      </c>
      <c r="F83" s="564">
        <f>'2. PRODUCTOS'!$AQ$44</f>
        <v>0</v>
      </c>
      <c r="G83" s="220"/>
      <c r="H83" s="238">
        <v>0.499</v>
      </c>
      <c r="I83" s="238">
        <v>0.749</v>
      </c>
      <c r="J83" s="238">
        <v>1</v>
      </c>
      <c r="K83" s="238">
        <v>4</v>
      </c>
      <c r="L83" s="220"/>
      <c r="M83" s="220"/>
      <c r="N83" s="220"/>
      <c r="O83" s="221"/>
      <c r="P83" s="206"/>
      <c r="Q83" s="234" t="s">
        <v>52</v>
      </c>
      <c r="R83" s="565">
        <f>'2. PRODUCTOS'!$H$44</f>
        <v>2</v>
      </c>
      <c r="S83" s="237">
        <f>'2. PRODUCTOS'!$AJ$44</f>
        <v>0</v>
      </c>
      <c r="T83" s="220"/>
      <c r="U83" s="236">
        <v>0</v>
      </c>
      <c r="V83" s="236">
        <v>0.5</v>
      </c>
      <c r="W83" s="236">
        <v>0.75</v>
      </c>
      <c r="X83" s="236">
        <v>1.0009999999999999</v>
      </c>
      <c r="Y83" s="220"/>
      <c r="Z83" s="220"/>
      <c r="AA83" s="221"/>
      <c r="AB83" s="207"/>
      <c r="AC83" s="486" t="s">
        <v>502</v>
      </c>
      <c r="AD83" s="566">
        <f>'2. PRODUCTOS'!$K$212</f>
        <v>411500</v>
      </c>
      <c r="AE83" s="561">
        <f>SUM('2. PRODUCTOS'!AD212:AD223,'2. PRODUCTOS'!AD224:AD235,'2. PRODUCTOS'!AD236:AD259,'2. PRODUCTOS'!AD260:AD271)</f>
        <v>0</v>
      </c>
      <c r="AF83" s="271"/>
      <c r="AG83" s="340">
        <f t="shared" si="9"/>
        <v>0</v>
      </c>
      <c r="AH83" s="220"/>
      <c r="AI83" s="221"/>
      <c r="AJ83" s="208"/>
      <c r="AK83" s="350"/>
      <c r="AL83" s="350"/>
      <c r="AM83" s="350"/>
      <c r="AN83" s="350"/>
      <c r="AO83" s="350"/>
      <c r="AP83" s="350"/>
      <c r="AQ83" s="350"/>
      <c r="AR83" s="350"/>
      <c r="AS83" s="350"/>
      <c r="AT83" s="350"/>
      <c r="AU83" s="207"/>
      <c r="AV83" s="219"/>
      <c r="AW83" s="220"/>
      <c r="AX83" s="220"/>
      <c r="AY83" s="220"/>
      <c r="AZ83" s="220"/>
      <c r="BA83" s="220"/>
      <c r="BB83" s="220"/>
      <c r="BC83" s="220"/>
      <c r="BD83" s="220"/>
      <c r="BE83" s="220"/>
      <c r="BF83" s="220"/>
      <c r="BG83" s="220"/>
      <c r="BH83" s="220"/>
      <c r="BI83" s="220"/>
      <c r="BJ83" s="220"/>
      <c r="BK83" s="220"/>
      <c r="BL83" s="220"/>
      <c r="BM83" s="221"/>
      <c r="BN83" s="207"/>
      <c r="BO83" s="297" t="s">
        <v>112</v>
      </c>
      <c r="BP83" s="567">
        <f>AX62</f>
        <v>0.75</v>
      </c>
      <c r="BQ83" s="220"/>
      <c r="BR83" s="323" t="s">
        <v>68</v>
      </c>
      <c r="BS83" s="324" t="s">
        <v>69</v>
      </c>
      <c r="BT83" s="325" t="s">
        <v>70</v>
      </c>
      <c r="BU83" s="326" t="s">
        <v>71</v>
      </c>
      <c r="BV83" s="220"/>
      <c r="BW83" s="220"/>
      <c r="BX83" s="221" t="s">
        <v>136</v>
      </c>
      <c r="BY83" s="209"/>
    </row>
    <row r="84" spans="4:77" ht="18.75" customHeight="1" thickBot="1" x14ac:dyDescent="0.35">
      <c r="D84" s="226"/>
      <c r="E84" s="254" t="s">
        <v>495</v>
      </c>
      <c r="F84" s="568">
        <f>'2. PRODUCTOS'!$BJ$8</f>
        <v>0</v>
      </c>
      <c r="G84" s="220"/>
      <c r="H84" s="256" t="s">
        <v>68</v>
      </c>
      <c r="I84" s="257" t="s">
        <v>69</v>
      </c>
      <c r="J84" s="258" t="s">
        <v>70</v>
      </c>
      <c r="K84" s="259" t="s">
        <v>71</v>
      </c>
      <c r="L84" s="220"/>
      <c r="M84" s="220"/>
      <c r="N84" s="220"/>
      <c r="O84" s="221"/>
      <c r="P84" s="206"/>
      <c r="Q84" s="234" t="s">
        <v>53</v>
      </c>
      <c r="R84" s="565">
        <f>'2. PRODUCTOS'!$I$44</f>
        <v>3</v>
      </c>
      <c r="S84" s="237">
        <f>'2. PRODUCTOS'!$AQ$44</f>
        <v>0</v>
      </c>
      <c r="T84" s="220"/>
      <c r="U84" s="238">
        <v>0.499</v>
      </c>
      <c r="V84" s="238">
        <v>0.749</v>
      </c>
      <c r="W84" s="238">
        <v>1</v>
      </c>
      <c r="X84" s="238">
        <v>4</v>
      </c>
      <c r="Y84" s="220"/>
      <c r="Z84" s="220"/>
      <c r="AA84" s="221"/>
      <c r="AB84" s="207"/>
      <c r="AC84" s="569" t="s">
        <v>152</v>
      </c>
      <c r="AD84" s="570">
        <f>'2. PRODUCTOS'!$K$278</f>
        <v>242000</v>
      </c>
      <c r="AE84" s="571">
        <f>SUM('2. PRODUCTOS'!AD278:AD289,'2. PRODUCTOS'!AD290:AD301,'2. PRODUCTOS'!AD302:AD313,'2. PRODUCTOS'!AD314:AD325)</f>
        <v>0</v>
      </c>
      <c r="AF84" s="220"/>
      <c r="AG84" s="349">
        <f t="shared" si="9"/>
        <v>0</v>
      </c>
      <c r="AH84" s="220"/>
      <c r="AI84" s="221"/>
      <c r="AJ84" s="208"/>
      <c r="AK84" s="350"/>
      <c r="AL84" s="350"/>
      <c r="AM84" s="350"/>
      <c r="AN84" s="350"/>
      <c r="AO84" s="350"/>
      <c r="AP84" s="350"/>
      <c r="AQ84" s="350"/>
      <c r="AR84" s="350"/>
      <c r="AS84" s="350"/>
      <c r="AT84" s="350"/>
      <c r="AU84" s="207"/>
      <c r="AV84" s="971" t="s">
        <v>515</v>
      </c>
      <c r="AW84" s="972"/>
      <c r="AX84" s="972"/>
      <c r="AY84" s="972"/>
      <c r="AZ84" s="972"/>
      <c r="BA84" s="972"/>
      <c r="BB84" s="972"/>
      <c r="BC84" s="972"/>
      <c r="BD84" s="972"/>
      <c r="BE84" s="972"/>
      <c r="BF84" s="972"/>
      <c r="BG84" s="972"/>
      <c r="BH84" s="972"/>
      <c r="BI84" s="972"/>
      <c r="BJ84" s="972"/>
      <c r="BK84" s="972"/>
      <c r="BL84" s="972"/>
      <c r="BM84" s="973"/>
      <c r="BN84" s="207"/>
      <c r="BO84" s="297" t="s">
        <v>115</v>
      </c>
      <c r="BP84" s="572">
        <f>AX79</f>
        <v>5.6666666666666671E-2</v>
      </c>
      <c r="BQ84" s="311" t="s">
        <v>126</v>
      </c>
      <c r="BR84" s="337" t="e">
        <f>IF($BP81&gt;=BR$81,IF($BP81&lt;=BR$82,$BP81,NA()),NA())</f>
        <v>#N/A</v>
      </c>
      <c r="BS84" s="457" t="e">
        <f t="shared" ref="BR84:BU86" si="10">IF($BP81&gt;=BS$81,IF($BP81&lt;=BS$82,$BP81,NA()),NA())</f>
        <v>#N/A</v>
      </c>
      <c r="BT84" s="457" t="e">
        <f t="shared" si="10"/>
        <v>#N/A</v>
      </c>
      <c r="BU84" s="458">
        <f t="shared" si="10"/>
        <v>2</v>
      </c>
      <c r="BV84" s="220"/>
      <c r="BW84" s="220"/>
      <c r="BX84" s="221"/>
      <c r="BY84" s="209"/>
    </row>
    <row r="85" spans="4:77" ht="17.25" thickBot="1" x14ac:dyDescent="0.35">
      <c r="D85" s="226"/>
      <c r="E85" s="284" t="s">
        <v>67</v>
      </c>
      <c r="F85" s="463">
        <f>'2. PRODUCTOS'!$E$8</f>
        <v>4</v>
      </c>
      <c r="G85" s="220"/>
      <c r="H85" s="286" t="e">
        <f>IF($F92&gt;=H82,IF($F92&lt;=H83,$F92,NA()),NA())</f>
        <v>#N/A</v>
      </c>
      <c r="I85" s="286">
        <f>IF($F92&gt;=I82,IF($F92&lt;=I83,$F92,NA()),NA())</f>
        <v>0.5</v>
      </c>
      <c r="J85" s="286" t="e">
        <f>IF($F92&gt;=J82,IF($F92&lt;=J83,$F92,NA()),NA())</f>
        <v>#N/A</v>
      </c>
      <c r="K85" s="286" t="e">
        <f>IF($F92&gt;=K82,IF($F92&lt;=K83,$F92,NA()),NA())</f>
        <v>#N/A</v>
      </c>
      <c r="L85" s="220"/>
      <c r="M85" s="220"/>
      <c r="N85" s="220"/>
      <c r="O85" s="221"/>
      <c r="P85" s="206"/>
      <c r="Q85" s="254" t="s">
        <v>495</v>
      </c>
      <c r="R85" s="565">
        <f>'2. PRODUCTOS'!$J$8</f>
        <v>4</v>
      </c>
      <c r="S85" s="573">
        <f>'2. PRODUCTOS'!$BJ$8</f>
        <v>0</v>
      </c>
      <c r="T85" s="220"/>
      <c r="U85" s="262" t="s">
        <v>68</v>
      </c>
      <c r="V85" s="263" t="s">
        <v>69</v>
      </c>
      <c r="W85" s="264" t="s">
        <v>70</v>
      </c>
      <c r="X85" s="265" t="s">
        <v>71</v>
      </c>
      <c r="Y85" s="220"/>
      <c r="Z85" s="220"/>
      <c r="AA85" s="221"/>
      <c r="AB85" s="207"/>
      <c r="AC85" s="292" t="s">
        <v>19</v>
      </c>
      <c r="AD85" s="496">
        <f>IFERROR(SUM(AD79:AD84),0)</f>
        <v>2136540.7400000002</v>
      </c>
      <c r="AE85" s="496">
        <f>IFERROR(SUM(AE79:AE84),0)</f>
        <v>102882.08</v>
      </c>
      <c r="AF85" s="574"/>
      <c r="AG85" s="575">
        <f>AE85/AD85</f>
        <v>4.8153577450622348E-2</v>
      </c>
      <c r="AH85" s="220"/>
      <c r="AI85" s="221"/>
      <c r="AJ85" s="208"/>
      <c r="AK85" s="350"/>
      <c r="AL85" s="350"/>
      <c r="AM85" s="350"/>
      <c r="AN85" s="350"/>
      <c r="AO85" s="350"/>
      <c r="AP85" s="350"/>
      <c r="AQ85" s="350"/>
      <c r="AR85" s="350"/>
      <c r="AS85" s="350"/>
      <c r="AT85" s="350"/>
      <c r="AU85" s="207"/>
      <c r="AV85" s="219"/>
      <c r="AW85" s="220"/>
      <c r="AX85" s="220"/>
      <c r="AY85" s="220"/>
      <c r="AZ85" s="220"/>
      <c r="BA85" s="220"/>
      <c r="BB85" s="220"/>
      <c r="BC85" s="220"/>
      <c r="BD85" s="220"/>
      <c r="BE85" s="220"/>
      <c r="BF85" s="220"/>
      <c r="BG85" s="220"/>
      <c r="BH85" s="220"/>
      <c r="BI85" s="220"/>
      <c r="BJ85" s="220"/>
      <c r="BK85" s="220"/>
      <c r="BL85" s="220"/>
      <c r="BM85" s="221"/>
      <c r="BN85" s="207"/>
      <c r="BO85" s="576" t="s">
        <v>502</v>
      </c>
      <c r="BP85" s="577">
        <f>AX96</f>
        <v>0</v>
      </c>
      <c r="BQ85" s="311" t="s">
        <v>127</v>
      </c>
      <c r="BR85" s="578" t="e">
        <f t="shared" si="10"/>
        <v>#N/A</v>
      </c>
      <c r="BS85" s="579">
        <f t="shared" si="10"/>
        <v>0.5</v>
      </c>
      <c r="BT85" s="579" t="e">
        <f t="shared" si="10"/>
        <v>#N/A</v>
      </c>
      <c r="BU85" s="580" t="e">
        <f t="shared" si="10"/>
        <v>#N/A</v>
      </c>
      <c r="BV85" s="220"/>
      <c r="BW85" s="220"/>
      <c r="BX85" s="221"/>
      <c r="BY85" s="209"/>
    </row>
    <row r="86" spans="4:77" ht="17.25" thickBot="1" x14ac:dyDescent="0.35">
      <c r="D86" s="226"/>
      <c r="E86" s="311"/>
      <c r="F86" s="227"/>
      <c r="G86" s="220"/>
      <c r="H86" s="312"/>
      <c r="I86" s="312"/>
      <c r="J86" s="312"/>
      <c r="K86" s="220"/>
      <c r="L86" s="220"/>
      <c r="M86" s="220"/>
      <c r="N86" s="220"/>
      <c r="O86" s="221"/>
      <c r="P86" s="206"/>
      <c r="Q86" s="284" t="s">
        <v>67</v>
      </c>
      <c r="R86" s="581">
        <f>'2. PRODUCTOS'!$E$8</f>
        <v>4</v>
      </c>
      <c r="S86" s="581">
        <f>'2. PRODUCTOS'!$BT$8</f>
        <v>3</v>
      </c>
      <c r="T86" s="230" t="s">
        <v>46</v>
      </c>
      <c r="U86" s="289" t="e">
        <f t="shared" ref="U86:X89" si="11">IF($S89&gt;=U$83,IF($S89&lt;=U$84,$S89,NA()),NA())</f>
        <v>#N/A</v>
      </c>
      <c r="V86" s="290" t="e">
        <f t="shared" si="11"/>
        <v>#N/A</v>
      </c>
      <c r="W86" s="290" t="e">
        <f t="shared" si="11"/>
        <v>#N/A</v>
      </c>
      <c r="X86" s="291">
        <f t="shared" si="11"/>
        <v>2</v>
      </c>
      <c r="Y86" s="220"/>
      <c r="Z86" s="220"/>
      <c r="AA86" s="221"/>
      <c r="AB86" s="207"/>
      <c r="AC86" s="219"/>
      <c r="AD86" s="220"/>
      <c r="AE86" s="220"/>
      <c r="AF86" s="220"/>
      <c r="AG86" s="220"/>
      <c r="AH86" s="220"/>
      <c r="AI86" s="221"/>
      <c r="AJ86" s="208"/>
      <c r="AK86" s="350"/>
      <c r="AL86" s="555"/>
      <c r="AM86" s="393"/>
      <c r="AN86" s="393"/>
      <c r="AO86" s="393"/>
      <c r="AP86" s="350"/>
      <c r="AQ86" s="382"/>
      <c r="AR86" s="382"/>
      <c r="AS86" s="350"/>
      <c r="AT86" s="350"/>
      <c r="AU86" s="207"/>
      <c r="AV86" s="219"/>
      <c r="AW86" s="220"/>
      <c r="AX86" s="220"/>
      <c r="AY86" s="220"/>
      <c r="AZ86" s="220"/>
      <c r="BA86" s="220"/>
      <c r="BB86" s="220"/>
      <c r="BC86" s="220"/>
      <c r="BD86" s="220"/>
      <c r="BE86" s="220"/>
      <c r="BF86" s="220"/>
      <c r="BG86" s="220"/>
      <c r="BH86" s="220"/>
      <c r="BI86" s="220"/>
      <c r="BJ86" s="220"/>
      <c r="BK86" s="220"/>
      <c r="BL86" s="220"/>
      <c r="BM86" s="221"/>
      <c r="BN86" s="207"/>
      <c r="BO86" s="582" t="s">
        <v>517</v>
      </c>
      <c r="BP86" s="583">
        <f>AVERAGE(BP81:BP85)</f>
        <v>0.66133333333333333</v>
      </c>
      <c r="BQ86" s="311" t="s">
        <v>128</v>
      </c>
      <c r="BR86" s="584" t="e">
        <f t="shared" si="10"/>
        <v>#N/A</v>
      </c>
      <c r="BS86" s="585" t="e">
        <f t="shared" si="10"/>
        <v>#N/A</v>
      </c>
      <c r="BT86" s="585">
        <f>IF($BP83&gt;=BT$81,IF($BP83&lt;=BT$82,$BP83,NA()),NA())</f>
        <v>0.75</v>
      </c>
      <c r="BU86" s="586" t="e">
        <f t="shared" si="10"/>
        <v>#N/A</v>
      </c>
      <c r="BV86" s="587"/>
      <c r="BW86" s="587"/>
      <c r="BX86" s="588"/>
      <c r="BY86" s="209"/>
    </row>
    <row r="87" spans="4:77" ht="17.25" customHeight="1" thickBot="1" x14ac:dyDescent="0.35">
      <c r="D87" s="226"/>
      <c r="E87" s="311"/>
      <c r="F87" s="227"/>
      <c r="G87" s="220"/>
      <c r="H87" s="312"/>
      <c r="I87" s="312"/>
      <c r="J87" s="312"/>
      <c r="K87" s="220"/>
      <c r="L87" s="220"/>
      <c r="M87" s="220"/>
      <c r="N87" s="220"/>
      <c r="O87" s="221"/>
      <c r="P87" s="206"/>
      <c r="Q87" s="226"/>
      <c r="R87" s="311"/>
      <c r="S87" s="227"/>
      <c r="T87" s="234" t="s">
        <v>52</v>
      </c>
      <c r="U87" s="314">
        <f t="shared" si="11"/>
        <v>0</v>
      </c>
      <c r="V87" s="315" t="e">
        <f t="shared" si="11"/>
        <v>#N/A</v>
      </c>
      <c r="W87" s="315" t="e">
        <f t="shared" si="11"/>
        <v>#N/A</v>
      </c>
      <c r="X87" s="316" t="e">
        <f t="shared" si="11"/>
        <v>#N/A</v>
      </c>
      <c r="Y87" s="220"/>
      <c r="Z87" s="220"/>
      <c r="AA87" s="221"/>
      <c r="AB87" s="207"/>
      <c r="AC87" s="219"/>
      <c r="AD87" s="220"/>
      <c r="AE87" s="220"/>
      <c r="AF87" s="220"/>
      <c r="AG87" s="220"/>
      <c r="AH87" s="220"/>
      <c r="AI87" s="221"/>
      <c r="AJ87" s="208"/>
      <c r="AK87" s="350"/>
      <c r="AL87" s="555"/>
      <c r="AM87" s="384"/>
      <c r="AN87" s="384"/>
      <c r="AO87" s="384"/>
      <c r="AP87" s="350"/>
      <c r="AQ87" s="557"/>
      <c r="AR87" s="468"/>
      <c r="AS87" s="350"/>
      <c r="AT87" s="350"/>
      <c r="AU87" s="207"/>
      <c r="AV87" s="392" t="s">
        <v>1</v>
      </c>
      <c r="AW87" s="390" t="s">
        <v>60</v>
      </c>
      <c r="AX87" s="391" t="s">
        <v>63</v>
      </c>
      <c r="AY87" s="220"/>
      <c r="AZ87" s="392" t="s">
        <v>1</v>
      </c>
      <c r="BA87" s="390" t="s">
        <v>60</v>
      </c>
      <c r="BB87" s="391" t="s">
        <v>64</v>
      </c>
      <c r="BC87" s="220"/>
      <c r="BD87" s="392" t="s">
        <v>1</v>
      </c>
      <c r="BE87" s="390" t="s">
        <v>60</v>
      </c>
      <c r="BF87" s="391" t="s">
        <v>65</v>
      </c>
      <c r="BG87" s="220"/>
      <c r="BH87" s="392" t="s">
        <v>1</v>
      </c>
      <c r="BI87" s="390" t="s">
        <v>60</v>
      </c>
      <c r="BJ87" s="391" t="s">
        <v>491</v>
      </c>
      <c r="BK87" s="220"/>
      <c r="BL87" s="220"/>
      <c r="BM87" s="221"/>
      <c r="BN87" s="207"/>
      <c r="BO87" s="219"/>
      <c r="BP87" s="474"/>
      <c r="BQ87" s="311" t="s">
        <v>129</v>
      </c>
      <c r="BR87" s="345">
        <f t="shared" ref="BR87:BU88" si="12">IF($BP85&gt;=BR$81,IF($BP85&lt;=BR$82,$BP85,NA()),NA())</f>
        <v>0</v>
      </c>
      <c r="BS87" s="589" t="e">
        <f t="shared" si="12"/>
        <v>#N/A</v>
      </c>
      <c r="BT87" s="589" t="e">
        <f t="shared" si="12"/>
        <v>#N/A</v>
      </c>
      <c r="BU87" s="590" t="e">
        <f t="shared" si="12"/>
        <v>#N/A</v>
      </c>
      <c r="BV87" s="224"/>
      <c r="BW87" s="224"/>
      <c r="BX87" s="225"/>
      <c r="BY87" s="209"/>
    </row>
    <row r="88" spans="4:77" ht="17.25" thickBot="1" x14ac:dyDescent="0.35">
      <c r="D88" s="226"/>
      <c r="E88" s="230" t="s">
        <v>46</v>
      </c>
      <c r="F88" s="591">
        <f>IFERROR(F81/$F$85,0)</f>
        <v>0.5</v>
      </c>
      <c r="G88" s="220"/>
      <c r="H88" s="312"/>
      <c r="I88" s="312"/>
      <c r="J88" s="312"/>
      <c r="K88" s="220"/>
      <c r="L88" s="220"/>
      <c r="M88" s="220"/>
      <c r="N88" s="220"/>
      <c r="O88" s="221"/>
      <c r="P88" s="206"/>
      <c r="Q88" s="226"/>
      <c r="R88" s="311"/>
      <c r="S88" s="227"/>
      <c r="T88" s="234" t="s">
        <v>53</v>
      </c>
      <c r="U88" s="314">
        <f t="shared" si="11"/>
        <v>0</v>
      </c>
      <c r="V88" s="315" t="e">
        <f t="shared" si="11"/>
        <v>#N/A</v>
      </c>
      <c r="W88" s="315" t="e">
        <f t="shared" si="11"/>
        <v>#N/A</v>
      </c>
      <c r="X88" s="316" t="e">
        <f t="shared" si="11"/>
        <v>#N/A</v>
      </c>
      <c r="Y88" s="220"/>
      <c r="Z88" s="220"/>
      <c r="AA88" s="221"/>
      <c r="AB88" s="207"/>
      <c r="AC88" s="219"/>
      <c r="AD88" s="220"/>
      <c r="AE88" s="220"/>
      <c r="AF88" s="220"/>
      <c r="AG88" s="220"/>
      <c r="AH88" s="220"/>
      <c r="AI88" s="221"/>
      <c r="AJ88" s="208"/>
      <c r="AK88" s="350"/>
      <c r="AL88" s="555"/>
      <c r="AM88" s="384"/>
      <c r="AN88" s="384"/>
      <c r="AO88" s="592"/>
      <c r="AP88" s="350"/>
      <c r="AQ88" s="557"/>
      <c r="AR88" s="468"/>
      <c r="AS88" s="350"/>
      <c r="AT88" s="350"/>
      <c r="AU88" s="207"/>
      <c r="AV88" s="273" t="s">
        <v>506</v>
      </c>
      <c r="AW88" s="277">
        <f>'2. PRODUCTOS'!$G$212</f>
        <v>0</v>
      </c>
      <c r="AX88" s="278">
        <f>'2. PRODUCTOS'!$W$212</f>
        <v>0</v>
      </c>
      <c r="AY88" s="220"/>
      <c r="AZ88" s="273" t="s">
        <v>506</v>
      </c>
      <c r="BA88" s="277">
        <f>'2. PRODUCTOS'!$H$212</f>
        <v>0</v>
      </c>
      <c r="BB88" s="278">
        <f>'2. PRODUCTOS'!$AJ$212</f>
        <v>0</v>
      </c>
      <c r="BC88" s="220"/>
      <c r="BD88" s="273" t="s">
        <v>506</v>
      </c>
      <c r="BE88" s="277">
        <f>'2. PRODUCTOS'!$I$212</f>
        <v>3</v>
      </c>
      <c r="BF88" s="278">
        <f>'2. PRODUCTOS'!$AW$212</f>
        <v>3</v>
      </c>
      <c r="BG88" s="220"/>
      <c r="BH88" s="273" t="s">
        <v>506</v>
      </c>
      <c r="BI88" s="277">
        <f>'2. PRODUCTOS'!$J$212</f>
        <v>3</v>
      </c>
      <c r="BJ88" s="278">
        <f>'2. PRODUCTOS'!$BJ$212</f>
        <v>0</v>
      </c>
      <c r="BK88" s="220"/>
      <c r="BL88" s="220"/>
      <c r="BM88" s="221"/>
      <c r="BN88" s="207"/>
      <c r="BO88" s="335"/>
      <c r="BP88" s="336"/>
      <c r="BQ88" s="220" t="s">
        <v>62</v>
      </c>
      <c r="BR88" s="345" t="e">
        <f t="shared" si="12"/>
        <v>#N/A</v>
      </c>
      <c r="BS88" s="589">
        <f t="shared" si="12"/>
        <v>0.66133333333333333</v>
      </c>
      <c r="BT88" s="589" t="e">
        <f t="shared" si="12"/>
        <v>#N/A</v>
      </c>
      <c r="BU88" s="590" t="e">
        <f t="shared" si="12"/>
        <v>#N/A</v>
      </c>
      <c r="BV88" s="220"/>
      <c r="BW88" s="220"/>
      <c r="BX88" s="221"/>
      <c r="BY88" s="209"/>
    </row>
    <row r="89" spans="4:77" ht="17.25" thickBot="1" x14ac:dyDescent="0.35">
      <c r="D89" s="226"/>
      <c r="E89" s="234" t="s">
        <v>52</v>
      </c>
      <c r="F89" s="593">
        <f>IFERROR(F82/$F$85,0)</f>
        <v>0</v>
      </c>
      <c r="G89" s="220"/>
      <c r="H89" s="312"/>
      <c r="I89" s="312"/>
      <c r="J89" s="312"/>
      <c r="K89" s="220"/>
      <c r="L89" s="220"/>
      <c r="M89" s="220"/>
      <c r="N89" s="220"/>
      <c r="O89" s="221"/>
      <c r="P89" s="206"/>
      <c r="Q89" s="226"/>
      <c r="R89" s="230" t="s">
        <v>46</v>
      </c>
      <c r="S89" s="594">
        <f>IFERROR(S82/R82,0)</f>
        <v>2</v>
      </c>
      <c r="T89" s="254" t="s">
        <v>495</v>
      </c>
      <c r="U89" s="329">
        <f t="shared" si="11"/>
        <v>0</v>
      </c>
      <c r="V89" s="330" t="e">
        <f t="shared" si="11"/>
        <v>#N/A</v>
      </c>
      <c r="W89" s="330" t="e">
        <f t="shared" si="11"/>
        <v>#N/A</v>
      </c>
      <c r="X89" s="331" t="e">
        <f t="shared" si="11"/>
        <v>#N/A</v>
      </c>
      <c r="Y89" s="220"/>
      <c r="Z89" s="220"/>
      <c r="AA89" s="221"/>
      <c r="AB89" s="207"/>
      <c r="AC89" s="392" t="s">
        <v>78</v>
      </c>
      <c r="AD89" s="390" t="s">
        <v>55</v>
      </c>
      <c r="AE89" s="391" t="s">
        <v>85</v>
      </c>
      <c r="AF89" s="227"/>
      <c r="AG89" s="553" t="s">
        <v>95</v>
      </c>
      <c r="AH89" s="220"/>
      <c r="AI89" s="221"/>
      <c r="AJ89" s="208"/>
      <c r="AK89" s="350"/>
      <c r="AL89" s="555"/>
      <c r="AM89" s="384"/>
      <c r="AN89" s="383"/>
      <c r="AO89" s="383"/>
      <c r="AP89" s="350"/>
      <c r="AQ89" s="557"/>
      <c r="AR89" s="468"/>
      <c r="AS89" s="350"/>
      <c r="AT89" s="350"/>
      <c r="AU89" s="207"/>
      <c r="AV89" s="297" t="s">
        <v>507</v>
      </c>
      <c r="AW89" s="298">
        <f>'2. PRODUCTOS'!$G$224</f>
        <v>0</v>
      </c>
      <c r="AX89" s="301">
        <f>'2. PRODUCTOS'!$W$224</f>
        <v>0</v>
      </c>
      <c r="AY89" s="220"/>
      <c r="AZ89" s="297" t="s">
        <v>507</v>
      </c>
      <c r="BA89" s="298">
        <f>'2. PRODUCTOS'!$H$224</f>
        <v>0</v>
      </c>
      <c r="BB89" s="301">
        <f>'2. PRODUCTOS'!$AJ$224</f>
        <v>0</v>
      </c>
      <c r="BC89" s="220"/>
      <c r="BD89" s="297" t="s">
        <v>507</v>
      </c>
      <c r="BE89" s="298">
        <f>'2. PRODUCTOS'!$I$224</f>
        <v>15</v>
      </c>
      <c r="BF89" s="301">
        <f>'2. PRODUCTOS'!$AW$224</f>
        <v>34</v>
      </c>
      <c r="BG89" s="220"/>
      <c r="BH89" s="297" t="s">
        <v>507</v>
      </c>
      <c r="BI89" s="298">
        <f>'2. PRODUCTOS'!$J$224</f>
        <v>15</v>
      </c>
      <c r="BJ89" s="301">
        <f>'2. PRODUCTOS'!$BJ$224</f>
        <v>0</v>
      </c>
      <c r="BK89" s="220"/>
      <c r="BL89" s="220"/>
      <c r="BM89" s="221"/>
      <c r="BN89" s="207"/>
      <c r="BO89" s="219"/>
      <c r="BP89" s="295"/>
      <c r="BQ89" s="220"/>
      <c r="BR89" s="243"/>
      <c r="BS89" s="243"/>
      <c r="BT89" s="243"/>
      <c r="BU89" s="243"/>
      <c r="BV89" s="220"/>
      <c r="BW89" s="220"/>
      <c r="BX89" s="221"/>
      <c r="BY89" s="209"/>
    </row>
    <row r="90" spans="4:77" ht="17.25" thickBot="1" x14ac:dyDescent="0.35">
      <c r="D90" s="226"/>
      <c r="E90" s="234" t="s">
        <v>53</v>
      </c>
      <c r="F90" s="593">
        <f>IFERROR(F83/$F$85,0)</f>
        <v>0</v>
      </c>
      <c r="G90" s="220"/>
      <c r="H90" s="312"/>
      <c r="I90" s="312"/>
      <c r="J90" s="312"/>
      <c r="K90" s="220"/>
      <c r="L90" s="220"/>
      <c r="M90" s="220"/>
      <c r="N90" s="220"/>
      <c r="O90" s="221"/>
      <c r="P90" s="206"/>
      <c r="Q90" s="219"/>
      <c r="R90" s="234" t="s">
        <v>52</v>
      </c>
      <c r="S90" s="593">
        <f>IFERROR(S83/R83,0)</f>
        <v>0</v>
      </c>
      <c r="T90" s="220"/>
      <c r="U90" s="312"/>
      <c r="V90" s="312"/>
      <c r="W90" s="312"/>
      <c r="X90" s="220"/>
      <c r="Y90" s="220"/>
      <c r="Z90" s="220"/>
      <c r="AA90" s="221"/>
      <c r="AB90" s="207"/>
      <c r="AC90" s="482" t="s">
        <v>111</v>
      </c>
      <c r="AD90" s="435">
        <f>'2. PRODUCTOS'!$K$8</f>
        <v>370816.74</v>
      </c>
      <c r="AE90" s="554">
        <f>SUM('2. PRODUCTOS'!AQ8:AQ55)</f>
        <v>78780.98</v>
      </c>
      <c r="AF90" s="220"/>
      <c r="AG90" s="328">
        <f t="shared" ref="AG90:AG95" si="13">IFERROR(AE90/AD90,0)</f>
        <v>0.21245259855312895</v>
      </c>
      <c r="AH90" s="220"/>
      <c r="AI90" s="221"/>
      <c r="AJ90" s="208"/>
      <c r="AK90" s="350"/>
      <c r="AL90" s="350"/>
      <c r="AM90" s="350"/>
      <c r="AN90" s="350"/>
      <c r="AO90" s="350"/>
      <c r="AP90" s="350"/>
      <c r="AQ90" s="350"/>
      <c r="AR90" s="350"/>
      <c r="AS90" s="350"/>
      <c r="AT90" s="350"/>
      <c r="AU90" s="207"/>
      <c r="AV90" s="297" t="s">
        <v>508</v>
      </c>
      <c r="AW90" s="298">
        <f>'2. PRODUCTOS'!$G$236</f>
        <v>0</v>
      </c>
      <c r="AX90" s="301">
        <f>'2. PRODUCTOS'!$W$236</f>
        <v>0</v>
      </c>
      <c r="AY90" s="220"/>
      <c r="AZ90" s="297" t="s">
        <v>508</v>
      </c>
      <c r="BA90" s="298">
        <f>'2. PRODUCTOS'!$H$236</f>
        <v>0</v>
      </c>
      <c r="BB90" s="301">
        <f>'2. PRODUCTOS'!$AJ$236</f>
        <v>0</v>
      </c>
      <c r="BC90" s="220"/>
      <c r="BD90" s="297" t="s">
        <v>508</v>
      </c>
      <c r="BE90" s="298">
        <f>'2. PRODUCTOS'!$I$236</f>
        <v>75</v>
      </c>
      <c r="BF90" s="301">
        <f>'2. PRODUCTOS'!$AW$236</f>
        <v>131</v>
      </c>
      <c r="BG90" s="220"/>
      <c r="BH90" s="297" t="s">
        <v>508</v>
      </c>
      <c r="BI90" s="298">
        <f>'2. PRODUCTOS'!$J$236</f>
        <v>75</v>
      </c>
      <c r="BJ90" s="301">
        <f>'2. PRODUCTOS'!$BJ$236</f>
        <v>62</v>
      </c>
      <c r="BK90" s="220"/>
      <c r="BL90" s="220"/>
      <c r="BM90" s="221"/>
      <c r="BN90" s="207"/>
      <c r="BO90" s="958">
        <v>2018</v>
      </c>
      <c r="BP90" s="959"/>
      <c r="BQ90" s="959"/>
      <c r="BR90" s="959"/>
      <c r="BS90" s="959"/>
      <c r="BT90" s="959"/>
      <c r="BU90" s="960"/>
      <c r="BV90" s="220"/>
      <c r="BW90" s="220"/>
      <c r="BX90" s="221"/>
      <c r="BY90" s="209"/>
    </row>
    <row r="91" spans="4:77" ht="17.25" customHeight="1" thickBot="1" x14ac:dyDescent="0.35">
      <c r="D91" s="226"/>
      <c r="E91" s="254" t="s">
        <v>495</v>
      </c>
      <c r="F91" s="595">
        <f>IFERROR(F84/$F$85,0)</f>
        <v>0</v>
      </c>
      <c r="G91" s="220"/>
      <c r="H91" s="312"/>
      <c r="I91" s="312"/>
      <c r="J91" s="312"/>
      <c r="K91" s="220"/>
      <c r="L91" s="220"/>
      <c r="M91" s="220"/>
      <c r="N91" s="220"/>
      <c r="O91" s="221"/>
      <c r="P91" s="206"/>
      <c r="Q91" s="223"/>
      <c r="R91" s="234" t="s">
        <v>53</v>
      </c>
      <c r="S91" s="593">
        <f>IFERROR(S84/R84,0)</f>
        <v>0</v>
      </c>
      <c r="T91" s="220"/>
      <c r="U91" s="312"/>
      <c r="V91" s="312"/>
      <c r="W91" s="312"/>
      <c r="X91" s="220"/>
      <c r="Y91" s="220"/>
      <c r="Z91" s="220"/>
      <c r="AA91" s="221"/>
      <c r="AB91" s="207"/>
      <c r="AC91" s="486" t="s">
        <v>103</v>
      </c>
      <c r="AD91" s="556">
        <f>'2. PRODUCTOS'!$K$62</f>
        <v>472840</v>
      </c>
      <c r="AE91" s="490">
        <f>SUM('2. PRODUCTOS'!AQ62:AQ109)</f>
        <v>56521.91</v>
      </c>
      <c r="AF91" s="220"/>
      <c r="AG91" s="340">
        <f t="shared" si="13"/>
        <v>0.11953707385162</v>
      </c>
      <c r="AH91" s="220"/>
      <c r="AI91" s="221"/>
      <c r="AJ91" s="208"/>
      <c r="AK91" s="350"/>
      <c r="AL91" s="350"/>
      <c r="AM91" s="350"/>
      <c r="AN91" s="350"/>
      <c r="AO91" s="350"/>
      <c r="AP91" s="350"/>
      <c r="AQ91" s="350"/>
      <c r="AR91" s="350"/>
      <c r="AS91" s="350"/>
      <c r="AT91" s="350"/>
      <c r="AU91" s="207"/>
      <c r="AV91" s="297" t="s">
        <v>509</v>
      </c>
      <c r="AW91" s="480">
        <f>'2. PRODUCTOS'!$G$248</f>
        <v>0</v>
      </c>
      <c r="AX91" s="481">
        <f>'2. PRODUCTOS'!$W$248</f>
        <v>0</v>
      </c>
      <c r="AY91" s="220"/>
      <c r="AZ91" s="297" t="s">
        <v>509</v>
      </c>
      <c r="BA91" s="480">
        <f>'2. PRODUCTOS'!$H$248</f>
        <v>0</v>
      </c>
      <c r="BB91" s="481">
        <f>'2. PRODUCTOS'!$AJ$248</f>
        <v>0</v>
      </c>
      <c r="BC91" s="220"/>
      <c r="BD91" s="297" t="s">
        <v>509</v>
      </c>
      <c r="BE91" s="480">
        <f>'2. PRODUCTOS'!$I$248</f>
        <v>4</v>
      </c>
      <c r="BF91" s="481">
        <f>'2. PRODUCTOS'!$AW$248</f>
        <v>5</v>
      </c>
      <c r="BG91" s="220"/>
      <c r="BH91" s="297" t="s">
        <v>509</v>
      </c>
      <c r="BI91" s="480">
        <f>'2. PRODUCTOS'!$J$248</f>
        <v>5</v>
      </c>
      <c r="BJ91" s="481">
        <f>'2. PRODUCTOS'!$BJ$248</f>
        <v>0</v>
      </c>
      <c r="BK91" s="220"/>
      <c r="BL91" s="220"/>
      <c r="BM91" s="221"/>
      <c r="BN91" s="207"/>
      <c r="BO91" s="219"/>
      <c r="BP91" s="220"/>
      <c r="BQ91" s="220"/>
      <c r="BR91" s="220"/>
      <c r="BS91" s="220"/>
      <c r="BT91" s="220"/>
      <c r="BU91" s="220"/>
      <c r="BV91" s="220"/>
      <c r="BW91" s="220"/>
      <c r="BX91" s="221"/>
      <c r="BY91" s="209"/>
    </row>
    <row r="92" spans="4:77" ht="17.25" thickBot="1" x14ac:dyDescent="0.35">
      <c r="D92" s="226"/>
      <c r="E92" s="284" t="s">
        <v>67</v>
      </c>
      <c r="F92" s="357">
        <f>IFERROR(SUM(F88:F90),0)</f>
        <v>0.5</v>
      </c>
      <c r="G92" s="312"/>
      <c r="H92" s="312"/>
      <c r="I92" s="312"/>
      <c r="J92" s="220"/>
      <c r="K92" s="220"/>
      <c r="L92" s="220"/>
      <c r="M92" s="220"/>
      <c r="N92" s="220"/>
      <c r="O92" s="221"/>
      <c r="P92" s="206"/>
      <c r="Q92" s="226"/>
      <c r="R92" s="254" t="s">
        <v>495</v>
      </c>
      <c r="S92" s="595">
        <f>IFERROR(S85/R85,0)</f>
        <v>0</v>
      </c>
      <c r="T92" s="220"/>
      <c r="U92" s="312"/>
      <c r="V92" s="312"/>
      <c r="W92" s="312"/>
      <c r="X92" s="220"/>
      <c r="Y92" s="220"/>
      <c r="Z92" s="220"/>
      <c r="AA92" s="221"/>
      <c r="AB92" s="207"/>
      <c r="AC92" s="486" t="s">
        <v>112</v>
      </c>
      <c r="AD92" s="560">
        <f>'2. PRODUCTOS'!$K$116</f>
        <v>281883</v>
      </c>
      <c r="AE92" s="561">
        <f>SUM('2. PRODUCTOS'!AQ116:AQ163)</f>
        <v>30554.22</v>
      </c>
      <c r="AF92" s="220"/>
      <c r="AG92" s="340">
        <f t="shared" si="13"/>
        <v>0.10839326954800396</v>
      </c>
      <c r="AH92" s="220"/>
      <c r="AI92" s="221"/>
      <c r="AJ92" s="208"/>
      <c r="AK92" s="350"/>
      <c r="AL92" s="555"/>
      <c r="AM92" s="393"/>
      <c r="AN92" s="393"/>
      <c r="AO92" s="393"/>
      <c r="AP92" s="350"/>
      <c r="AQ92" s="382"/>
      <c r="AR92" s="382"/>
      <c r="AS92" s="350"/>
      <c r="AT92" s="350"/>
      <c r="AU92" s="207"/>
      <c r="AV92" s="317" t="s">
        <v>510</v>
      </c>
      <c r="AW92" s="322">
        <f>'2. PRODUCTOS'!$G$260</f>
        <v>0</v>
      </c>
      <c r="AX92" s="321">
        <f>'2. PRODUCTOS'!$W$260</f>
        <v>0</v>
      </c>
      <c r="AY92" s="220"/>
      <c r="AZ92" s="317" t="s">
        <v>510</v>
      </c>
      <c r="BA92" s="322">
        <f>'2. PRODUCTOS'!$H$260</f>
        <v>0</v>
      </c>
      <c r="BB92" s="321">
        <f>'2. PRODUCTOS'!$AJ$260</f>
        <v>0</v>
      </c>
      <c r="BC92" s="220"/>
      <c r="BD92" s="317" t="s">
        <v>510</v>
      </c>
      <c r="BE92" s="322">
        <f>'2. PRODUCTOS'!$I$260</f>
        <v>4</v>
      </c>
      <c r="BF92" s="321">
        <f>'2. PRODUCTOS'!$AW$260</f>
        <v>1</v>
      </c>
      <c r="BG92" s="220"/>
      <c r="BH92" s="317" t="s">
        <v>510</v>
      </c>
      <c r="BI92" s="322">
        <f>'2. PRODUCTOS'!$J$260</f>
        <v>4</v>
      </c>
      <c r="BJ92" s="321">
        <f>'2. PRODUCTOS'!$BJ$260</f>
        <v>1</v>
      </c>
      <c r="BK92" s="220"/>
      <c r="BL92" s="220"/>
      <c r="BM92" s="221"/>
      <c r="BN92" s="207"/>
      <c r="BO92" s="307" t="s">
        <v>78</v>
      </c>
      <c r="BP92" s="308" t="s">
        <v>66</v>
      </c>
      <c r="BQ92" s="520"/>
      <c r="BR92" s="878" t="s">
        <v>47</v>
      </c>
      <c r="BS92" s="879"/>
      <c r="BT92" s="879"/>
      <c r="BU92" s="880"/>
      <c r="BV92" s="220"/>
      <c r="BW92" s="220"/>
      <c r="BX92" s="221"/>
      <c r="BY92" s="209"/>
    </row>
    <row r="93" spans="4:77" ht="17.25" thickBot="1" x14ac:dyDescent="0.35">
      <c r="D93" s="226"/>
      <c r="E93" s="295"/>
      <c r="F93" s="220"/>
      <c r="G93" s="312"/>
      <c r="H93" s="312"/>
      <c r="I93" s="312"/>
      <c r="J93" s="220"/>
      <c r="K93" s="220"/>
      <c r="L93" s="220"/>
      <c r="M93" s="220"/>
      <c r="N93" s="220"/>
      <c r="O93" s="221"/>
      <c r="P93" s="206"/>
      <c r="Q93" s="219"/>
      <c r="R93" s="596" t="s">
        <v>67</v>
      </c>
      <c r="S93" s="357">
        <f>IFERROR(S86/R86,0)</f>
        <v>0.75</v>
      </c>
      <c r="T93" s="220"/>
      <c r="U93" s="312"/>
      <c r="V93" s="312"/>
      <c r="W93" s="312"/>
      <c r="X93" s="220"/>
      <c r="Y93" s="220"/>
      <c r="Z93" s="220"/>
      <c r="AA93" s="221"/>
      <c r="AB93" s="207"/>
      <c r="AC93" s="486" t="s">
        <v>115</v>
      </c>
      <c r="AD93" s="566">
        <f>'2. PRODUCTOS'!$K$170</f>
        <v>357501</v>
      </c>
      <c r="AE93" s="561">
        <f>SUM('2. PRODUCTOS'!AQ170:AQ205)</f>
        <v>25301.54</v>
      </c>
      <c r="AF93" s="220"/>
      <c r="AG93" s="340">
        <f t="shared" si="13"/>
        <v>7.0773340494152473E-2</v>
      </c>
      <c r="AH93" s="220"/>
      <c r="AI93" s="221"/>
      <c r="AJ93" s="208"/>
      <c r="AK93" s="350"/>
      <c r="AL93" s="555"/>
      <c r="AM93" s="384"/>
      <c r="AN93" s="384"/>
      <c r="AO93" s="384"/>
      <c r="AP93" s="350"/>
      <c r="AQ93" s="557"/>
      <c r="AR93" s="468"/>
      <c r="AS93" s="350"/>
      <c r="AT93" s="350"/>
      <c r="AU93" s="207"/>
      <c r="AV93" s="219"/>
      <c r="AW93" s="220"/>
      <c r="AX93" s="220"/>
      <c r="AY93" s="220"/>
      <c r="AZ93" s="220"/>
      <c r="BA93" s="220"/>
      <c r="BB93" s="220"/>
      <c r="BC93" s="220"/>
      <c r="BD93" s="220"/>
      <c r="BE93" s="220"/>
      <c r="BF93" s="220"/>
      <c r="BG93" s="220"/>
      <c r="BH93" s="220"/>
      <c r="BI93" s="220"/>
      <c r="BJ93" s="220"/>
      <c r="BK93" s="220"/>
      <c r="BL93" s="220"/>
      <c r="BM93" s="221"/>
      <c r="BN93" s="207"/>
      <c r="BO93" s="273" t="s">
        <v>111</v>
      </c>
      <c r="BP93" s="563">
        <f>BB32</f>
        <v>0.5</v>
      </c>
      <c r="BQ93" s="220"/>
      <c r="BR93" s="281">
        <v>0</v>
      </c>
      <c r="BS93" s="282">
        <v>0.5</v>
      </c>
      <c r="BT93" s="282">
        <v>0.75</v>
      </c>
      <c r="BU93" s="283">
        <v>1.01</v>
      </c>
      <c r="BV93" s="220"/>
      <c r="BW93" s="220"/>
      <c r="BX93" s="221"/>
      <c r="BY93" s="209"/>
    </row>
    <row r="94" spans="4:77" ht="21" thickBot="1" x14ac:dyDescent="0.35">
      <c r="D94" s="884" t="s">
        <v>117</v>
      </c>
      <c r="E94" s="885"/>
      <c r="F94" s="885"/>
      <c r="G94" s="885"/>
      <c r="H94" s="885"/>
      <c r="I94" s="885"/>
      <c r="J94" s="885"/>
      <c r="K94" s="885"/>
      <c r="L94" s="885"/>
      <c r="M94" s="885"/>
      <c r="N94" s="885"/>
      <c r="O94" s="886"/>
      <c r="P94" s="206"/>
      <c r="Q94" s="858" t="s">
        <v>147</v>
      </c>
      <c r="R94" s="859"/>
      <c r="S94" s="859"/>
      <c r="T94" s="859"/>
      <c r="U94" s="859"/>
      <c r="V94" s="859"/>
      <c r="W94" s="859"/>
      <c r="X94" s="859"/>
      <c r="Y94" s="859"/>
      <c r="Z94" s="859"/>
      <c r="AA94" s="860"/>
      <c r="AB94" s="207"/>
      <c r="AC94" s="486" t="s">
        <v>502</v>
      </c>
      <c r="AD94" s="566">
        <f>'2. PRODUCTOS'!$K$212</f>
        <v>411500</v>
      </c>
      <c r="AE94" s="561">
        <f>SUM('2. PRODUCTOS'!AQ212:AQ271)</f>
        <v>0</v>
      </c>
      <c r="AF94" s="271"/>
      <c r="AG94" s="340">
        <f t="shared" si="13"/>
        <v>0</v>
      </c>
      <c r="AH94" s="220"/>
      <c r="AI94" s="221"/>
      <c r="AJ94" s="208"/>
      <c r="AK94" s="350"/>
      <c r="AL94" s="555"/>
      <c r="AM94" s="384"/>
      <c r="AN94" s="384"/>
      <c r="AO94" s="592"/>
      <c r="AP94" s="350"/>
      <c r="AQ94" s="557"/>
      <c r="AR94" s="468"/>
      <c r="AS94" s="350"/>
      <c r="AT94" s="350"/>
      <c r="AU94" s="207"/>
      <c r="AV94" s="219"/>
      <c r="AW94" s="220"/>
      <c r="AX94" s="220"/>
      <c r="AY94" s="220"/>
      <c r="AZ94" s="220"/>
      <c r="BA94" s="220"/>
      <c r="BB94" s="220"/>
      <c r="BC94" s="220"/>
      <c r="BD94" s="220"/>
      <c r="BE94" s="220"/>
      <c r="BF94" s="220"/>
      <c r="BG94" s="220"/>
      <c r="BH94" s="220"/>
      <c r="BI94" s="220"/>
      <c r="BJ94" s="220"/>
      <c r="BK94" s="220"/>
      <c r="BL94" s="220"/>
      <c r="BM94" s="221"/>
      <c r="BN94" s="207"/>
      <c r="BO94" s="297" t="s">
        <v>103</v>
      </c>
      <c r="BP94" s="572">
        <f>BB46</f>
        <v>0.45833333333333331</v>
      </c>
      <c r="BQ94" s="220"/>
      <c r="BR94" s="304">
        <v>0.499</v>
      </c>
      <c r="BS94" s="305">
        <v>0.749</v>
      </c>
      <c r="BT94" s="305">
        <v>1</v>
      </c>
      <c r="BU94" s="306">
        <v>2</v>
      </c>
      <c r="BV94" s="220"/>
      <c r="BW94" s="220"/>
      <c r="BX94" s="221"/>
      <c r="BY94" s="209"/>
    </row>
    <row r="95" spans="4:77" ht="15.75" customHeight="1" thickBot="1" x14ac:dyDescent="0.35">
      <c r="D95" s="226"/>
      <c r="E95" s="295"/>
      <c r="F95" s="220"/>
      <c r="G95" s="312"/>
      <c r="H95" s="312"/>
      <c r="I95" s="312"/>
      <c r="J95" s="220"/>
      <c r="K95" s="220"/>
      <c r="L95" s="220"/>
      <c r="M95" s="220"/>
      <c r="N95" s="220"/>
      <c r="O95" s="221"/>
      <c r="P95" s="206"/>
      <c r="Q95" s="219"/>
      <c r="R95" s="311"/>
      <c r="S95" s="295"/>
      <c r="T95" s="220"/>
      <c r="U95" s="312"/>
      <c r="V95" s="312"/>
      <c r="W95" s="312"/>
      <c r="X95" s="220"/>
      <c r="Y95" s="220"/>
      <c r="Z95" s="220"/>
      <c r="AA95" s="221"/>
      <c r="AB95" s="207"/>
      <c r="AC95" s="569" t="s">
        <v>152</v>
      </c>
      <c r="AD95" s="570">
        <f>'2. PRODUCTOS'!$K$278</f>
        <v>242000</v>
      </c>
      <c r="AE95" s="571">
        <f>SUM('2. PRODUCTOS'!AQ278:AQ325)</f>
        <v>0</v>
      </c>
      <c r="AF95" s="220"/>
      <c r="AG95" s="349">
        <f t="shared" si="13"/>
        <v>0</v>
      </c>
      <c r="AH95" s="220"/>
      <c r="AI95" s="221"/>
      <c r="AJ95" s="208"/>
      <c r="AK95" s="350"/>
      <c r="AL95" s="555"/>
      <c r="AM95" s="384"/>
      <c r="AN95" s="384"/>
      <c r="AO95" s="384"/>
      <c r="AP95" s="350"/>
      <c r="AQ95" s="557"/>
      <c r="AR95" s="468"/>
      <c r="AS95" s="350"/>
      <c r="AT95" s="350"/>
      <c r="AU95" s="207"/>
      <c r="AV95" s="392" t="s">
        <v>1</v>
      </c>
      <c r="AW95" s="247" t="s">
        <v>58</v>
      </c>
      <c r="AX95" s="247" t="s">
        <v>62</v>
      </c>
      <c r="AY95" s="220"/>
      <c r="AZ95" s="392" t="s">
        <v>1</v>
      </c>
      <c r="BA95" s="247" t="s">
        <v>58</v>
      </c>
      <c r="BB95" s="247" t="s">
        <v>62</v>
      </c>
      <c r="BC95" s="220"/>
      <c r="BD95" s="392" t="s">
        <v>1</v>
      </c>
      <c r="BE95" s="247" t="s">
        <v>58</v>
      </c>
      <c r="BF95" s="247" t="s">
        <v>62</v>
      </c>
      <c r="BG95" s="220"/>
      <c r="BH95" s="392" t="s">
        <v>1</v>
      </c>
      <c r="BI95" s="247" t="s">
        <v>58</v>
      </c>
      <c r="BJ95" s="247" t="s">
        <v>62</v>
      </c>
      <c r="BK95" s="220"/>
      <c r="BL95" s="220"/>
      <c r="BM95" s="221"/>
      <c r="BN95" s="207"/>
      <c r="BO95" s="297" t="s">
        <v>112</v>
      </c>
      <c r="BP95" s="572">
        <f>BB62</f>
        <v>0.33333333333333331</v>
      </c>
      <c r="BQ95" s="220"/>
      <c r="BR95" s="323" t="s">
        <v>68</v>
      </c>
      <c r="BS95" s="324" t="s">
        <v>69</v>
      </c>
      <c r="BT95" s="325" t="s">
        <v>70</v>
      </c>
      <c r="BU95" s="326" t="s">
        <v>71</v>
      </c>
      <c r="BV95" s="220"/>
      <c r="BW95" s="220"/>
      <c r="BX95" s="221"/>
      <c r="BY95" s="209"/>
    </row>
    <row r="96" spans="4:77" ht="17.25" thickBot="1" x14ac:dyDescent="0.35">
      <c r="D96" s="226"/>
      <c r="E96" s="597"/>
      <c r="F96" s="220"/>
      <c r="G96" s="220"/>
      <c r="H96" s="220"/>
      <c r="I96" s="220"/>
      <c r="J96" s="220"/>
      <c r="K96" s="220"/>
      <c r="L96" s="220"/>
      <c r="M96" s="220"/>
      <c r="N96" s="220"/>
      <c r="O96" s="221"/>
      <c r="P96" s="206"/>
      <c r="Q96" s="223"/>
      <c r="R96" s="559" t="s">
        <v>44</v>
      </c>
      <c r="S96" s="229" t="s">
        <v>45</v>
      </c>
      <c r="T96" s="220"/>
      <c r="U96" s="598"/>
      <c r="V96" s="598"/>
      <c r="W96" s="598"/>
      <c r="X96" s="598"/>
      <c r="Y96" s="220"/>
      <c r="Z96" s="220"/>
      <c r="AA96" s="221"/>
      <c r="AB96" s="207"/>
      <c r="AC96" s="292" t="s">
        <v>19</v>
      </c>
      <c r="AD96" s="496">
        <f>IFERROR(SUM(AD90:AD95),0)</f>
        <v>2136540.7400000002</v>
      </c>
      <c r="AE96" s="496">
        <f>IFERROR(SUM(AE90:AE95),0)</f>
        <v>191158.65000000002</v>
      </c>
      <c r="AF96" s="220"/>
      <c r="AG96" s="497">
        <f>AE96/AD96</f>
        <v>8.9471099905167273E-2</v>
      </c>
      <c r="AH96" s="220"/>
      <c r="AI96" s="221"/>
      <c r="AJ96" s="208"/>
      <c r="AK96" s="350"/>
      <c r="AL96" s="555"/>
      <c r="AM96" s="384"/>
      <c r="AN96" s="384"/>
      <c r="AO96" s="384"/>
      <c r="AP96" s="350"/>
      <c r="AQ96" s="557"/>
      <c r="AR96" s="468"/>
      <c r="AS96" s="350"/>
      <c r="AT96" s="350"/>
      <c r="AU96" s="207"/>
      <c r="AV96" s="426" t="s">
        <v>506</v>
      </c>
      <c r="AW96" s="402">
        <f>IFERROR(AX88/AW88,0)</f>
        <v>0</v>
      </c>
      <c r="AX96" s="961">
        <f>AVERAGE(AW96:AW100)</f>
        <v>0</v>
      </c>
      <c r="AY96" s="220"/>
      <c r="AZ96" s="426" t="s">
        <v>506</v>
      </c>
      <c r="BA96" s="402">
        <f>IFERROR(BB88/BA88,0)</f>
        <v>0</v>
      </c>
      <c r="BB96" s="961">
        <f>AVERAGE(BA96:BA100)</f>
        <v>0</v>
      </c>
      <c r="BC96" s="220"/>
      <c r="BD96" s="426" t="s">
        <v>506</v>
      </c>
      <c r="BE96" s="402">
        <f>IFERROR(BF88/BE88,0)</f>
        <v>1</v>
      </c>
      <c r="BF96" s="961">
        <f>AVERAGE(BE96:BE100)</f>
        <v>1.3026666666666666</v>
      </c>
      <c r="BG96" s="220"/>
      <c r="BH96" s="426" t="s">
        <v>506</v>
      </c>
      <c r="BI96" s="402">
        <f>IFERROR(BJ88/BI88,0)</f>
        <v>0</v>
      </c>
      <c r="BJ96" s="961">
        <f>AVERAGE(BI96:BI100)</f>
        <v>0.21533333333333332</v>
      </c>
      <c r="BK96" s="220"/>
      <c r="BL96" s="220"/>
      <c r="BM96" s="221"/>
      <c r="BN96" s="207"/>
      <c r="BO96" s="297" t="s">
        <v>115</v>
      </c>
      <c r="BP96" s="572">
        <f>BB79</f>
        <v>0</v>
      </c>
      <c r="BQ96" s="311" t="s">
        <v>126</v>
      </c>
      <c r="BR96" s="289" t="e">
        <f t="shared" ref="BR96:BU100" si="14">IF($BP93&gt;=BR$93,IF($BP93&lt;=BR$94,$BP93,NA()),NA())</f>
        <v>#N/A</v>
      </c>
      <c r="BS96" s="290">
        <f t="shared" si="14"/>
        <v>0.5</v>
      </c>
      <c r="BT96" s="290" t="e">
        <f t="shared" si="14"/>
        <v>#N/A</v>
      </c>
      <c r="BU96" s="291" t="e">
        <f t="shared" si="14"/>
        <v>#N/A</v>
      </c>
      <c r="BV96" s="220"/>
      <c r="BW96" s="220"/>
      <c r="BX96" s="221"/>
      <c r="BY96" s="209"/>
    </row>
    <row r="97" spans="2:88" ht="17.25" thickBot="1" x14ac:dyDescent="0.35">
      <c r="D97" s="219"/>
      <c r="E97" s="230" t="s">
        <v>46</v>
      </c>
      <c r="F97" s="558">
        <f>'2. PRODUCTOS'!$W$32</f>
        <v>0</v>
      </c>
      <c r="G97" s="220"/>
      <c r="H97" s="842" t="s">
        <v>47</v>
      </c>
      <c r="I97" s="843"/>
      <c r="J97" s="843"/>
      <c r="K97" s="844"/>
      <c r="L97" s="220"/>
      <c r="M97" s="220"/>
      <c r="N97" s="220"/>
      <c r="O97" s="221"/>
      <c r="P97" s="206"/>
      <c r="Q97" s="230" t="s">
        <v>46</v>
      </c>
      <c r="R97" s="558">
        <f>'2. PRODUCTOS'!$G$32</f>
        <v>0</v>
      </c>
      <c r="S97" s="233">
        <f>'2. PRODUCTOS'!$W$32</f>
        <v>0</v>
      </c>
      <c r="T97" s="220"/>
      <c r="U97" s="842" t="s">
        <v>47</v>
      </c>
      <c r="V97" s="843"/>
      <c r="W97" s="843"/>
      <c r="X97" s="844"/>
      <c r="Y97" s="220"/>
      <c r="Z97" s="220"/>
      <c r="AA97" s="221"/>
      <c r="AB97" s="207"/>
      <c r="AC97" s="219"/>
      <c r="AD97" s="220"/>
      <c r="AE97" s="220"/>
      <c r="AF97" s="220"/>
      <c r="AG97" s="220"/>
      <c r="AH97" s="220"/>
      <c r="AI97" s="221"/>
      <c r="AJ97" s="208"/>
      <c r="AK97" s="350"/>
      <c r="AL97" s="350"/>
      <c r="AM97" s="350"/>
      <c r="AN97" s="350"/>
      <c r="AO97" s="350"/>
      <c r="AP97" s="350"/>
      <c r="AQ97" s="350"/>
      <c r="AR97" s="350"/>
      <c r="AS97" s="350"/>
      <c r="AT97" s="350"/>
      <c r="AU97" s="207"/>
      <c r="AV97" s="466" t="s">
        <v>507</v>
      </c>
      <c r="AW97" s="467">
        <f>IFERROR(AX89/AW89,0)</f>
        <v>0</v>
      </c>
      <c r="AX97" s="962"/>
      <c r="AY97" s="220"/>
      <c r="AZ97" s="466" t="s">
        <v>507</v>
      </c>
      <c r="BA97" s="467">
        <f>IFERROR(BB89/BA89,0)</f>
        <v>0</v>
      </c>
      <c r="BB97" s="962"/>
      <c r="BC97" s="220"/>
      <c r="BD97" s="466" t="s">
        <v>507</v>
      </c>
      <c r="BE97" s="467">
        <f>IFERROR(BF89/BE89,0)</f>
        <v>2.2666666666666666</v>
      </c>
      <c r="BF97" s="962"/>
      <c r="BG97" s="220"/>
      <c r="BH97" s="466" t="s">
        <v>507</v>
      </c>
      <c r="BI97" s="467">
        <f>IFERROR(BJ89/BI89,0)</f>
        <v>0</v>
      </c>
      <c r="BJ97" s="962"/>
      <c r="BK97" s="220"/>
      <c r="BL97" s="220"/>
      <c r="BM97" s="221"/>
      <c r="BN97" s="207"/>
      <c r="BO97" s="317" t="s">
        <v>502</v>
      </c>
      <c r="BP97" s="541">
        <f>BB96</f>
        <v>0</v>
      </c>
      <c r="BQ97" s="311" t="s">
        <v>127</v>
      </c>
      <c r="BR97" s="314">
        <f t="shared" si="14"/>
        <v>0.45833333333333331</v>
      </c>
      <c r="BS97" s="315" t="e">
        <f t="shared" si="14"/>
        <v>#N/A</v>
      </c>
      <c r="BT97" s="315" t="e">
        <f t="shared" si="14"/>
        <v>#N/A</v>
      </c>
      <c r="BU97" s="316" t="e">
        <f t="shared" si="14"/>
        <v>#N/A</v>
      </c>
      <c r="BV97" s="224"/>
      <c r="BW97" s="224"/>
      <c r="BX97" s="225"/>
      <c r="BY97" s="209"/>
    </row>
    <row r="98" spans="2:88" ht="17.25" thickBot="1" x14ac:dyDescent="0.35">
      <c r="D98" s="219"/>
      <c r="E98" s="234" t="s">
        <v>52</v>
      </c>
      <c r="F98" s="564">
        <f>'2. PRODUCTOS'!$AJ$32</f>
        <v>0</v>
      </c>
      <c r="G98" s="220"/>
      <c r="H98" s="236">
        <v>0</v>
      </c>
      <c r="I98" s="236">
        <v>0.5</v>
      </c>
      <c r="J98" s="236">
        <v>0.75</v>
      </c>
      <c r="K98" s="236">
        <v>1.0009999999999999</v>
      </c>
      <c r="L98" s="220"/>
      <c r="M98" s="220"/>
      <c r="N98" s="220"/>
      <c r="O98" s="221"/>
      <c r="P98" s="206"/>
      <c r="Q98" s="234" t="s">
        <v>52</v>
      </c>
      <c r="R98" s="564">
        <f>'2. PRODUCTOS'!$H$32</f>
        <v>0</v>
      </c>
      <c r="S98" s="237">
        <f>'2. PRODUCTOS'!$AJ$32</f>
        <v>0</v>
      </c>
      <c r="T98" s="220"/>
      <c r="U98" s="236">
        <v>0</v>
      </c>
      <c r="V98" s="236">
        <v>0.5</v>
      </c>
      <c r="W98" s="236">
        <v>0.75</v>
      </c>
      <c r="X98" s="236">
        <v>1.0009999999999999</v>
      </c>
      <c r="Y98" s="220"/>
      <c r="Z98" s="220"/>
      <c r="AA98" s="221"/>
      <c r="AB98" s="207"/>
      <c r="AC98" s="219"/>
      <c r="AD98" s="220"/>
      <c r="AE98" s="220"/>
      <c r="AF98" s="220"/>
      <c r="AG98" s="220"/>
      <c r="AH98" s="220"/>
      <c r="AI98" s="221"/>
      <c r="AJ98" s="208"/>
      <c r="AK98" s="350"/>
      <c r="AL98" s="350"/>
      <c r="AM98" s="350"/>
      <c r="AN98" s="599"/>
      <c r="AO98" s="414"/>
      <c r="AP98" s="350"/>
      <c r="AQ98" s="557"/>
      <c r="AR98" s="384"/>
      <c r="AS98" s="350"/>
      <c r="AT98" s="350"/>
      <c r="AU98" s="207"/>
      <c r="AV98" s="466" t="s">
        <v>508</v>
      </c>
      <c r="AW98" s="467">
        <f>IFERROR(AX90/AW90,0)</f>
        <v>0</v>
      </c>
      <c r="AX98" s="962"/>
      <c r="AY98" s="220"/>
      <c r="AZ98" s="466" t="s">
        <v>508</v>
      </c>
      <c r="BA98" s="467">
        <f>IFERROR(BB90/BA90,0)</f>
        <v>0</v>
      </c>
      <c r="BB98" s="962"/>
      <c r="BC98" s="220"/>
      <c r="BD98" s="466" t="s">
        <v>508</v>
      </c>
      <c r="BE98" s="467">
        <f>IFERROR(BF90/BE90,0)</f>
        <v>1.7466666666666666</v>
      </c>
      <c r="BF98" s="962"/>
      <c r="BG98" s="220"/>
      <c r="BH98" s="466" t="s">
        <v>508</v>
      </c>
      <c r="BI98" s="467">
        <f>IFERROR(BJ90/BI90,0)</f>
        <v>0.82666666666666666</v>
      </c>
      <c r="BJ98" s="962"/>
      <c r="BK98" s="220"/>
      <c r="BL98" s="220"/>
      <c r="BM98" s="221"/>
      <c r="BN98" s="207"/>
      <c r="BO98" s="582" t="s">
        <v>517</v>
      </c>
      <c r="BP98" s="600">
        <f>AVERAGE(BP93:BP97)</f>
        <v>0.2583333333333333</v>
      </c>
      <c r="BQ98" s="311" t="s">
        <v>128</v>
      </c>
      <c r="BR98" s="314">
        <f t="shared" si="14"/>
        <v>0.33333333333333331</v>
      </c>
      <c r="BS98" s="315" t="e">
        <f t="shared" si="14"/>
        <v>#N/A</v>
      </c>
      <c r="BT98" s="315" t="e">
        <f t="shared" si="14"/>
        <v>#N/A</v>
      </c>
      <c r="BU98" s="316" t="e">
        <f t="shared" si="14"/>
        <v>#N/A</v>
      </c>
      <c r="BV98" s="220"/>
      <c r="BW98" s="220"/>
      <c r="BX98" s="221"/>
      <c r="BY98" s="209"/>
    </row>
    <row r="99" spans="2:88" ht="17.25" thickBot="1" x14ac:dyDescent="0.35">
      <c r="D99" s="219"/>
      <c r="E99" s="234" t="s">
        <v>53</v>
      </c>
      <c r="F99" s="564">
        <f>'2. PRODUCTOS'!$AW$32</f>
        <v>0</v>
      </c>
      <c r="G99" s="220"/>
      <c r="H99" s="238">
        <v>0.499</v>
      </c>
      <c r="I99" s="238">
        <v>0.749</v>
      </c>
      <c r="J99" s="238">
        <v>1</v>
      </c>
      <c r="K99" s="238">
        <v>4</v>
      </c>
      <c r="L99" s="220"/>
      <c r="M99" s="220"/>
      <c r="N99" s="220"/>
      <c r="O99" s="221"/>
      <c r="P99" s="206"/>
      <c r="Q99" s="234" t="s">
        <v>53</v>
      </c>
      <c r="R99" s="564">
        <f>'2. PRODUCTOS'!$I$32</f>
        <v>0</v>
      </c>
      <c r="S99" s="237">
        <f>'2. PRODUCTOS'!$AW$32</f>
        <v>0</v>
      </c>
      <c r="T99" s="220"/>
      <c r="U99" s="238">
        <v>0.499</v>
      </c>
      <c r="V99" s="238">
        <v>0.749</v>
      </c>
      <c r="W99" s="238">
        <v>1</v>
      </c>
      <c r="X99" s="238">
        <v>4</v>
      </c>
      <c r="Y99" s="220"/>
      <c r="Z99" s="220"/>
      <c r="AA99" s="221"/>
      <c r="AB99" s="207"/>
      <c r="AC99" s="219"/>
      <c r="AD99" s="220"/>
      <c r="AE99" s="220"/>
      <c r="AF99" s="220"/>
      <c r="AG99" s="220"/>
      <c r="AH99" s="220"/>
      <c r="AI99" s="221"/>
      <c r="AJ99" s="208"/>
      <c r="AK99" s="350"/>
      <c r="AL99" s="555"/>
      <c r="AM99" s="393"/>
      <c r="AN99" s="393"/>
      <c r="AO99" s="393"/>
      <c r="AP99" s="350"/>
      <c r="AQ99" s="382"/>
      <c r="AR99" s="382"/>
      <c r="AS99" s="350"/>
      <c r="AT99" s="350"/>
      <c r="AU99" s="207"/>
      <c r="AV99" s="466" t="s">
        <v>509</v>
      </c>
      <c r="AW99" s="467">
        <f>IFERROR(AX91/AW91,0)</f>
        <v>0</v>
      </c>
      <c r="AX99" s="962"/>
      <c r="AY99" s="220"/>
      <c r="AZ99" s="466" t="s">
        <v>509</v>
      </c>
      <c r="BA99" s="467">
        <f>IFERROR(BB91/BA91,0)</f>
        <v>0</v>
      </c>
      <c r="BB99" s="962"/>
      <c r="BC99" s="220"/>
      <c r="BD99" s="466" t="s">
        <v>509</v>
      </c>
      <c r="BE99" s="467">
        <f>IFERROR(BF91/BE91,0)</f>
        <v>1.25</v>
      </c>
      <c r="BF99" s="962"/>
      <c r="BG99" s="220"/>
      <c r="BH99" s="466" t="s">
        <v>509</v>
      </c>
      <c r="BI99" s="467">
        <f>IFERROR(BJ91/BI91,0)</f>
        <v>0</v>
      </c>
      <c r="BJ99" s="962"/>
      <c r="BK99" s="220"/>
      <c r="BL99" s="220"/>
      <c r="BM99" s="221"/>
      <c r="BN99" s="207"/>
      <c r="BO99" s="219"/>
      <c r="BP99" s="474"/>
      <c r="BQ99" s="311" t="s">
        <v>129</v>
      </c>
      <c r="BR99" s="314">
        <f t="shared" si="14"/>
        <v>0</v>
      </c>
      <c r="BS99" s="315" t="e">
        <f t="shared" si="14"/>
        <v>#N/A</v>
      </c>
      <c r="BT99" s="315" t="e">
        <f t="shared" si="14"/>
        <v>#N/A</v>
      </c>
      <c r="BU99" s="316" t="e">
        <f t="shared" si="14"/>
        <v>#N/A</v>
      </c>
      <c r="BV99" s="220"/>
      <c r="BW99" s="220"/>
      <c r="BX99" s="221"/>
      <c r="BY99" s="209"/>
    </row>
    <row r="100" spans="2:88" ht="17.25" customHeight="1" thickBot="1" x14ac:dyDescent="0.35">
      <c r="D100" s="601"/>
      <c r="E100" s="254" t="s">
        <v>495</v>
      </c>
      <c r="F100" s="568">
        <f>'2. PRODUCTOS'!$BJ$44</f>
        <v>0</v>
      </c>
      <c r="G100" s="220"/>
      <c r="H100" s="602" t="s">
        <v>68</v>
      </c>
      <c r="I100" s="603" t="s">
        <v>69</v>
      </c>
      <c r="J100" s="604" t="s">
        <v>70</v>
      </c>
      <c r="K100" s="605" t="s">
        <v>71</v>
      </c>
      <c r="L100" s="606"/>
      <c r="M100" s="606"/>
      <c r="N100" s="606"/>
      <c r="O100" s="607"/>
      <c r="P100" s="206"/>
      <c r="Q100" s="254" t="s">
        <v>495</v>
      </c>
      <c r="R100" s="608">
        <f>'2. PRODUCTOS'!$J$44</f>
        <v>3</v>
      </c>
      <c r="S100" s="386">
        <f>'2. PRODUCTOS'!$BJ$44</f>
        <v>0</v>
      </c>
      <c r="T100" s="220"/>
      <c r="U100" s="609" t="s">
        <v>68</v>
      </c>
      <c r="V100" s="610" t="s">
        <v>69</v>
      </c>
      <c r="W100" s="611" t="s">
        <v>70</v>
      </c>
      <c r="X100" s="612" t="s">
        <v>71</v>
      </c>
      <c r="Y100" s="613"/>
      <c r="Z100" s="613"/>
      <c r="AA100" s="614"/>
      <c r="AB100" s="207"/>
      <c r="AC100" s="392" t="s">
        <v>78</v>
      </c>
      <c r="AD100" s="390" t="s">
        <v>55</v>
      </c>
      <c r="AE100" s="391" t="s">
        <v>94</v>
      </c>
      <c r="AF100" s="227"/>
      <c r="AG100" s="553" t="s">
        <v>493</v>
      </c>
      <c r="AH100" s="220"/>
      <c r="AI100" s="221"/>
      <c r="AJ100" s="208"/>
      <c r="AK100" s="350"/>
      <c r="AL100" s="555"/>
      <c r="AM100" s="384"/>
      <c r="AN100" s="384"/>
      <c r="AO100" s="384"/>
      <c r="AP100" s="350"/>
      <c r="AQ100" s="557"/>
      <c r="AR100" s="468"/>
      <c r="AS100" s="350"/>
      <c r="AT100" s="350"/>
      <c r="AU100" s="207"/>
      <c r="AV100" s="430" t="s">
        <v>510</v>
      </c>
      <c r="AW100" s="413">
        <f>IFERROR(AX92/AW92,0)</f>
        <v>0</v>
      </c>
      <c r="AX100" s="963"/>
      <c r="AY100" s="220"/>
      <c r="AZ100" s="430" t="s">
        <v>510</v>
      </c>
      <c r="BA100" s="413">
        <f>IFERROR(BB92/BA92,0)</f>
        <v>0</v>
      </c>
      <c r="BB100" s="963"/>
      <c r="BC100" s="220"/>
      <c r="BD100" s="430" t="s">
        <v>510</v>
      </c>
      <c r="BE100" s="413">
        <f>IFERROR(BF92/BE92,0)</f>
        <v>0.25</v>
      </c>
      <c r="BF100" s="963"/>
      <c r="BG100" s="220"/>
      <c r="BH100" s="430" t="s">
        <v>510</v>
      </c>
      <c r="BI100" s="413">
        <f>IFERROR(BJ92/BI92,0)</f>
        <v>0.25</v>
      </c>
      <c r="BJ100" s="963"/>
      <c r="BK100" s="220"/>
      <c r="BL100" s="220"/>
      <c r="BM100" s="221"/>
      <c r="BN100" s="207"/>
      <c r="BO100" s="219"/>
      <c r="BP100" s="474"/>
      <c r="BQ100" s="311" t="s">
        <v>145</v>
      </c>
      <c r="BR100" s="329">
        <f t="shared" si="14"/>
        <v>0</v>
      </c>
      <c r="BS100" s="330" t="e">
        <f t="shared" si="14"/>
        <v>#N/A</v>
      </c>
      <c r="BT100" s="330" t="e">
        <f t="shared" si="14"/>
        <v>#N/A</v>
      </c>
      <c r="BU100" s="331" t="e">
        <f t="shared" si="14"/>
        <v>#N/A</v>
      </c>
      <c r="BV100" s="220"/>
      <c r="BW100" s="220"/>
      <c r="BX100" s="221"/>
      <c r="BY100" s="209"/>
    </row>
    <row r="101" spans="2:88" ht="17.25" thickBot="1" x14ac:dyDescent="0.35">
      <c r="D101" s="378"/>
      <c r="E101" s="284" t="s">
        <v>67</v>
      </c>
      <c r="F101" s="463">
        <f>'2. PRODUCTOS'!$E$32</f>
        <v>0</v>
      </c>
      <c r="G101" s="220"/>
      <c r="H101" s="286">
        <f>IF($F108&gt;=H98,IF($F108&lt;=H99,$F108,NA()),NA())</f>
        <v>0</v>
      </c>
      <c r="I101" s="286" t="e">
        <f>IF($F108&gt;=I98,IF($F108&lt;=I99,$F108,NA()),NA())</f>
        <v>#N/A</v>
      </c>
      <c r="J101" s="286" t="e">
        <f>IF($F108&gt;=J98,IF($F108&lt;=J99,$F108,NA()),NA())</f>
        <v>#N/A</v>
      </c>
      <c r="K101" s="286" t="e">
        <f>IF($F108&gt;=K98,IF($F108&lt;=K99,$F108,NA()),NA())</f>
        <v>#N/A</v>
      </c>
      <c r="L101" s="362"/>
      <c r="M101" s="362"/>
      <c r="N101" s="362"/>
      <c r="O101" s="363"/>
      <c r="P101" s="206"/>
      <c r="Q101" s="284" t="s">
        <v>67</v>
      </c>
      <c r="R101" s="581">
        <f>'2. PRODUCTOS'!$E$32</f>
        <v>0</v>
      </c>
      <c r="S101" s="581">
        <f>'2. PRODUCTOS'!$BT$44</f>
        <v>2</v>
      </c>
      <c r="T101" s="615" t="s">
        <v>46</v>
      </c>
      <c r="U101" s="337">
        <f t="shared" ref="U101:X104" si="15">IF($S104&gt;=U$98,IF($S104&lt;=U$99,$S104,NA()),NA())</f>
        <v>0</v>
      </c>
      <c r="V101" s="337" t="e">
        <f t="shared" si="15"/>
        <v>#N/A</v>
      </c>
      <c r="W101" s="337" t="e">
        <f t="shared" si="15"/>
        <v>#N/A</v>
      </c>
      <c r="X101" s="337" t="e">
        <f t="shared" si="15"/>
        <v>#N/A</v>
      </c>
      <c r="Y101" s="551"/>
      <c r="Z101" s="220"/>
      <c r="AA101" s="221"/>
      <c r="AB101" s="207"/>
      <c r="AC101" s="482" t="s">
        <v>111</v>
      </c>
      <c r="AD101" s="435">
        <f>'2. PRODUCTOS'!$K$8</f>
        <v>370816.74</v>
      </c>
      <c r="AE101" s="554">
        <f>SUM('2. PRODUCTOS'!BD8:BD55)</f>
        <v>145489.57</v>
      </c>
      <c r="AF101" s="520"/>
      <c r="AG101" s="328">
        <f t="shared" ref="AG101:AG106" si="16">IFERROR(AE101/AD101,0)</f>
        <v>0.3923489807930462</v>
      </c>
      <c r="AH101" s="220"/>
      <c r="AI101" s="221"/>
      <c r="AJ101" s="208"/>
      <c r="AK101" s="350"/>
      <c r="AL101" s="555"/>
      <c r="AM101" s="384"/>
      <c r="AN101" s="384"/>
      <c r="AO101" s="592"/>
      <c r="AP101" s="350"/>
      <c r="AQ101" s="557"/>
      <c r="AR101" s="468"/>
      <c r="AS101" s="350"/>
      <c r="AT101" s="350"/>
      <c r="AU101" s="207"/>
      <c r="AV101" s="219"/>
      <c r="AW101" s="220"/>
      <c r="AX101" s="220"/>
      <c r="AY101" s="220"/>
      <c r="AZ101" s="220"/>
      <c r="BA101" s="220"/>
      <c r="BB101" s="220"/>
      <c r="BC101" s="220"/>
      <c r="BD101" s="220"/>
      <c r="BE101" s="220"/>
      <c r="BF101" s="220"/>
      <c r="BG101" s="220"/>
      <c r="BH101" s="220"/>
      <c r="BI101" s="220"/>
      <c r="BJ101" s="220"/>
      <c r="BK101" s="220"/>
      <c r="BL101" s="220"/>
      <c r="BM101" s="221"/>
      <c r="BN101" s="207"/>
      <c r="BO101" s="219"/>
      <c r="BP101" s="474"/>
      <c r="BQ101" s="220"/>
      <c r="BR101" s="336"/>
      <c r="BS101" s="616"/>
      <c r="BT101" s="224"/>
      <c r="BU101" s="224"/>
      <c r="BV101" s="220"/>
      <c r="BW101" s="220"/>
      <c r="BX101" s="221"/>
      <c r="BY101" s="209"/>
    </row>
    <row r="102" spans="2:88" ht="23.25" thickBot="1" x14ac:dyDescent="0.35">
      <c r="D102" s="617"/>
      <c r="E102" s="311"/>
      <c r="F102" s="227"/>
      <c r="G102" s="220"/>
      <c r="H102" s="312"/>
      <c r="I102" s="312"/>
      <c r="J102" s="312"/>
      <c r="K102" s="220"/>
      <c r="L102" s="618"/>
      <c r="M102" s="618"/>
      <c r="N102" s="618"/>
      <c r="O102" s="619"/>
      <c r="P102" s="206"/>
      <c r="Q102" s="226"/>
      <c r="R102" s="311"/>
      <c r="S102" s="227"/>
      <c r="T102" s="620" t="s">
        <v>52</v>
      </c>
      <c r="U102" s="337">
        <f t="shared" si="15"/>
        <v>0</v>
      </c>
      <c r="V102" s="337" t="e">
        <f t="shared" si="15"/>
        <v>#N/A</v>
      </c>
      <c r="W102" s="337" t="e">
        <f t="shared" si="15"/>
        <v>#N/A</v>
      </c>
      <c r="X102" s="337" t="e">
        <f t="shared" si="15"/>
        <v>#N/A</v>
      </c>
      <c r="Y102" s="621"/>
      <c r="Z102" s="621"/>
      <c r="AA102" s="622"/>
      <c r="AB102" s="207"/>
      <c r="AC102" s="486" t="s">
        <v>103</v>
      </c>
      <c r="AD102" s="556">
        <f>'2. PRODUCTOS'!$K$62</f>
        <v>472840</v>
      </c>
      <c r="AE102" s="490">
        <f>SUM('2. PRODUCTOS'!BD62:BD109)</f>
        <v>221165.59000000003</v>
      </c>
      <c r="AF102" s="520"/>
      <c r="AG102" s="340">
        <f t="shared" si="16"/>
        <v>0.46773874883681588</v>
      </c>
      <c r="AH102" s="220"/>
      <c r="AI102" s="221"/>
      <c r="AJ102" s="208"/>
      <c r="AK102" s="350"/>
      <c r="AL102" s="623"/>
      <c r="AM102" s="384"/>
      <c r="AN102" s="383"/>
      <c r="AO102" s="383"/>
      <c r="AP102" s="350"/>
      <c r="AQ102" s="557"/>
      <c r="AR102" s="624"/>
      <c r="AS102" s="350"/>
      <c r="AT102" s="350"/>
      <c r="AU102" s="207"/>
      <c r="AV102" s="219"/>
      <c r="AW102" s="220"/>
      <c r="AX102" s="220"/>
      <c r="AY102" s="220"/>
      <c r="AZ102" s="220"/>
      <c r="BA102" s="220"/>
      <c r="BB102" s="220"/>
      <c r="BC102" s="220"/>
      <c r="BD102" s="220"/>
      <c r="BE102" s="220"/>
      <c r="BF102" s="220"/>
      <c r="BG102" s="220"/>
      <c r="BH102" s="220"/>
      <c r="BI102" s="220"/>
      <c r="BJ102" s="220"/>
      <c r="BK102" s="220"/>
      <c r="BL102" s="220"/>
      <c r="BM102" s="221"/>
      <c r="BN102" s="207"/>
      <c r="BO102" s="958">
        <v>2019</v>
      </c>
      <c r="BP102" s="959"/>
      <c r="BQ102" s="959"/>
      <c r="BR102" s="959"/>
      <c r="BS102" s="959"/>
      <c r="BT102" s="959"/>
      <c r="BU102" s="960"/>
      <c r="BV102" s="220"/>
      <c r="BW102" s="220"/>
      <c r="BX102" s="221"/>
      <c r="BY102" s="209"/>
    </row>
    <row r="103" spans="2:88" ht="17.25" thickBot="1" x14ac:dyDescent="0.35">
      <c r="D103" s="378"/>
      <c r="E103" s="311"/>
      <c r="F103" s="227"/>
      <c r="G103" s="220"/>
      <c r="H103" s="312"/>
      <c r="I103" s="312"/>
      <c r="J103" s="312"/>
      <c r="K103" s="220"/>
      <c r="L103" s="362"/>
      <c r="M103" s="362"/>
      <c r="N103" s="362"/>
      <c r="O103" s="363"/>
      <c r="P103" s="206"/>
      <c r="Q103" s="226"/>
      <c r="R103" s="311"/>
      <c r="S103" s="227"/>
      <c r="T103" s="620" t="s">
        <v>53</v>
      </c>
      <c r="U103" s="337">
        <f t="shared" si="15"/>
        <v>0</v>
      </c>
      <c r="V103" s="337" t="e">
        <f t="shared" si="15"/>
        <v>#N/A</v>
      </c>
      <c r="W103" s="337" t="e">
        <f t="shared" si="15"/>
        <v>#N/A</v>
      </c>
      <c r="X103" s="337" t="e">
        <f t="shared" si="15"/>
        <v>#N/A</v>
      </c>
      <c r="Y103" s="220"/>
      <c r="Z103" s="220"/>
      <c r="AA103" s="221"/>
      <c r="AB103" s="207"/>
      <c r="AC103" s="486" t="s">
        <v>112</v>
      </c>
      <c r="AD103" s="625">
        <f>'2. PRODUCTOS'!$K$116</f>
        <v>281883</v>
      </c>
      <c r="AE103" s="626">
        <f>SUM('2. PRODUCTOS'!BD116:BD163)</f>
        <v>130079.08</v>
      </c>
      <c r="AF103" s="520"/>
      <c r="AG103" s="340">
        <f t="shared" si="16"/>
        <v>0.46146479213006814</v>
      </c>
      <c r="AH103" s="220"/>
      <c r="AI103" s="221"/>
      <c r="AJ103" s="208"/>
      <c r="AK103" s="350"/>
      <c r="AL103" s="555"/>
      <c r="AM103" s="393"/>
      <c r="AN103" s="393"/>
      <c r="AO103" s="393"/>
      <c r="AP103" s="350"/>
      <c r="AQ103" s="382"/>
      <c r="AR103" s="382"/>
      <c r="AS103" s="350"/>
      <c r="AT103" s="350"/>
      <c r="AU103" s="207"/>
      <c r="AV103" s="446"/>
      <c r="AW103" s="449"/>
      <c r="AX103" s="449"/>
      <c r="AY103" s="449"/>
      <c r="AZ103" s="449"/>
      <c r="BA103" s="449"/>
      <c r="BB103" s="449"/>
      <c r="BC103" s="449"/>
      <c r="BD103" s="449"/>
      <c r="BE103" s="449"/>
      <c r="BF103" s="449"/>
      <c r="BG103" s="449"/>
      <c r="BH103" s="449"/>
      <c r="BI103" s="449"/>
      <c r="BJ103" s="449"/>
      <c r="BK103" s="449"/>
      <c r="BL103" s="449"/>
      <c r="BM103" s="450"/>
      <c r="BN103" s="207"/>
      <c r="BO103" s="219"/>
      <c r="BP103" s="220"/>
      <c r="BQ103" s="220"/>
      <c r="BR103" s="220"/>
      <c r="BS103" s="220"/>
      <c r="BT103" s="220"/>
      <c r="BU103" s="220"/>
      <c r="BV103" s="220"/>
      <c r="BW103" s="220"/>
      <c r="BX103" s="221"/>
      <c r="BY103" s="209"/>
    </row>
    <row r="104" spans="2:88" ht="21" thickBot="1" x14ac:dyDescent="0.35">
      <c r="D104" s="627"/>
      <c r="E104" s="230" t="s">
        <v>46</v>
      </c>
      <c r="F104" s="591">
        <f>IFERROR(F97/$F$101,0)</f>
        <v>0</v>
      </c>
      <c r="G104" s="220"/>
      <c r="H104" s="312"/>
      <c r="I104" s="312"/>
      <c r="J104" s="312"/>
      <c r="K104" s="220"/>
      <c r="L104" s="628"/>
      <c r="M104" s="628"/>
      <c r="N104" s="628"/>
      <c r="O104" s="629"/>
      <c r="P104" s="206"/>
      <c r="Q104" s="226"/>
      <c r="R104" s="230" t="s">
        <v>46</v>
      </c>
      <c r="S104" s="327">
        <f>IFERROR(S97/R97,0)</f>
        <v>0</v>
      </c>
      <c r="T104" s="630" t="s">
        <v>495</v>
      </c>
      <c r="U104" s="337">
        <f t="shared" si="15"/>
        <v>0</v>
      </c>
      <c r="V104" s="337" t="e">
        <f t="shared" si="15"/>
        <v>#N/A</v>
      </c>
      <c r="W104" s="337" t="e">
        <f t="shared" si="15"/>
        <v>#N/A</v>
      </c>
      <c r="X104" s="337" t="e">
        <f t="shared" si="15"/>
        <v>#N/A</v>
      </c>
      <c r="Y104" s="628"/>
      <c r="Z104" s="628"/>
      <c r="AA104" s="629"/>
      <c r="AB104" s="207"/>
      <c r="AC104" s="486" t="s">
        <v>115</v>
      </c>
      <c r="AD104" s="631">
        <f>'2. PRODUCTOS'!$K$170</f>
        <v>357501</v>
      </c>
      <c r="AE104" s="626">
        <f>SUM('2. PRODUCTOS'!BD170:BD205)</f>
        <v>258718.18</v>
      </c>
      <c r="AF104" s="520"/>
      <c r="AG104" s="340">
        <f t="shared" si="16"/>
        <v>0.72368519248897201</v>
      </c>
      <c r="AH104" s="220"/>
      <c r="AI104" s="221"/>
      <c r="AJ104" s="208"/>
      <c r="AK104" s="350"/>
      <c r="AL104" s="555"/>
      <c r="AM104" s="384"/>
      <c r="AN104" s="384"/>
      <c r="AO104" s="384"/>
      <c r="AP104" s="350"/>
      <c r="AQ104" s="557"/>
      <c r="AR104" s="468"/>
      <c r="AS104" s="350"/>
      <c r="AT104" s="350"/>
      <c r="AU104" s="207"/>
      <c r="AV104" s="210"/>
      <c r="AW104" s="210"/>
      <c r="AX104" s="210"/>
      <c r="AY104" s="210"/>
      <c r="AZ104" s="210"/>
      <c r="BA104" s="210"/>
      <c r="BB104" s="210"/>
      <c r="BC104" s="210"/>
      <c r="BD104" s="210"/>
      <c r="BE104" s="210"/>
      <c r="BF104" s="210"/>
      <c r="BG104" s="210"/>
      <c r="BH104" s="210"/>
      <c r="BI104" s="210"/>
      <c r="BJ104" s="210"/>
      <c r="BK104" s="210"/>
      <c r="BL104" s="210"/>
      <c r="BM104" s="210"/>
      <c r="BN104" s="207"/>
      <c r="BO104" s="307" t="s">
        <v>78</v>
      </c>
      <c r="BP104" s="308" t="s">
        <v>66</v>
      </c>
      <c r="BQ104" s="520"/>
      <c r="BR104" s="878" t="s">
        <v>47</v>
      </c>
      <c r="BS104" s="879"/>
      <c r="BT104" s="879"/>
      <c r="BU104" s="880"/>
      <c r="BV104" s="220"/>
      <c r="BW104" s="220"/>
      <c r="BX104" s="221"/>
      <c r="BY104" s="209"/>
    </row>
    <row r="105" spans="2:88" x14ac:dyDescent="0.3">
      <c r="D105" s="223"/>
      <c r="E105" s="234" t="s">
        <v>52</v>
      </c>
      <c r="F105" s="593">
        <f>IFERROR(F98/$F$101,0)</f>
        <v>0</v>
      </c>
      <c r="G105" s="220"/>
      <c r="H105" s="312"/>
      <c r="I105" s="312"/>
      <c r="J105" s="312"/>
      <c r="K105" s="220"/>
      <c r="L105" s="220"/>
      <c r="M105" s="220"/>
      <c r="N105" s="220"/>
      <c r="O105" s="221"/>
      <c r="P105" s="206"/>
      <c r="Q105" s="219"/>
      <c r="R105" s="234" t="s">
        <v>52</v>
      </c>
      <c r="S105" s="340">
        <f>IFERROR(S98/R98,0)</f>
        <v>0</v>
      </c>
      <c r="T105" s="220"/>
      <c r="U105" s="312"/>
      <c r="V105" s="312"/>
      <c r="W105" s="312"/>
      <c r="X105" s="220"/>
      <c r="Y105" s="220"/>
      <c r="Z105" s="220"/>
      <c r="AA105" s="221"/>
      <c r="AB105" s="207"/>
      <c r="AC105" s="486" t="s">
        <v>502</v>
      </c>
      <c r="AD105" s="631">
        <f>'2. PRODUCTOS'!$K$212</f>
        <v>411500</v>
      </c>
      <c r="AE105" s="626">
        <f>SUM('2. PRODUCTOS'!BD212:BD271)</f>
        <v>191583.8</v>
      </c>
      <c r="AF105" s="295"/>
      <c r="AG105" s="340">
        <f t="shared" si="16"/>
        <v>0.46557424058323205</v>
      </c>
      <c r="AH105" s="220"/>
      <c r="AI105" s="221"/>
      <c r="AJ105" s="208"/>
      <c r="AK105" s="350"/>
      <c r="AL105" s="555"/>
      <c r="AM105" s="384"/>
      <c r="AN105" s="384"/>
      <c r="AO105" s="592"/>
      <c r="AP105" s="350"/>
      <c r="AQ105" s="557"/>
      <c r="AR105" s="468"/>
      <c r="AS105" s="350"/>
      <c r="AT105" s="350"/>
      <c r="AU105" s="632"/>
      <c r="BN105" s="207"/>
      <c r="BO105" s="273" t="s">
        <v>111</v>
      </c>
      <c r="BP105" s="291">
        <f>BF32</f>
        <v>0.375</v>
      </c>
      <c r="BQ105" s="220"/>
      <c r="BR105" s="281">
        <v>0</v>
      </c>
      <c r="BS105" s="282">
        <v>0.5</v>
      </c>
      <c r="BT105" s="282">
        <v>0.75</v>
      </c>
      <c r="BU105" s="283">
        <v>1.01</v>
      </c>
      <c r="BV105" s="220"/>
      <c r="BW105" s="220"/>
      <c r="BX105" s="221"/>
      <c r="BY105" s="209"/>
    </row>
    <row r="106" spans="2:88" ht="17.25" thickBot="1" x14ac:dyDescent="0.35">
      <c r="D106" s="226"/>
      <c r="E106" s="234" t="s">
        <v>53</v>
      </c>
      <c r="F106" s="593">
        <f>IFERROR(F99/$F$101,0)</f>
        <v>0</v>
      </c>
      <c r="G106" s="220"/>
      <c r="H106" s="312"/>
      <c r="I106" s="312"/>
      <c r="J106" s="312"/>
      <c r="K106" s="220"/>
      <c r="L106" s="220"/>
      <c r="M106" s="220"/>
      <c r="N106" s="220"/>
      <c r="O106" s="221"/>
      <c r="P106" s="206"/>
      <c r="Q106" s="223"/>
      <c r="R106" s="234" t="s">
        <v>53</v>
      </c>
      <c r="S106" s="340">
        <f>IFERROR(S99/R99,0)</f>
        <v>0</v>
      </c>
      <c r="T106" s="220"/>
      <c r="U106" s="312"/>
      <c r="V106" s="312"/>
      <c r="W106" s="312"/>
      <c r="X106" s="220"/>
      <c r="Y106" s="220"/>
      <c r="Z106" s="220"/>
      <c r="AA106" s="221"/>
      <c r="AB106" s="207"/>
      <c r="AC106" s="441" t="s">
        <v>152</v>
      </c>
      <c r="AD106" s="633">
        <f>'2. PRODUCTOS'!$K$278</f>
        <v>242000</v>
      </c>
      <c r="AE106" s="634">
        <f>SUM('2. PRODUCTOS'!BD278:BD325)</f>
        <v>212860</v>
      </c>
      <c r="AF106" s="520"/>
      <c r="AG106" s="349">
        <f t="shared" si="16"/>
        <v>0.87958677685950415</v>
      </c>
      <c r="AH106" s="220"/>
      <c r="AI106" s="221"/>
      <c r="AJ106" s="208"/>
      <c r="AK106" s="350"/>
      <c r="AL106" s="350"/>
      <c r="AM106" s="350"/>
      <c r="AN106" s="350"/>
      <c r="AO106" s="350"/>
      <c r="AP106" s="350"/>
      <c r="AQ106" s="350"/>
      <c r="AR106" s="350"/>
      <c r="AS106" s="350"/>
      <c r="AT106" s="350"/>
      <c r="AU106" s="632"/>
      <c r="BN106" s="207"/>
      <c r="BO106" s="297" t="s">
        <v>103</v>
      </c>
      <c r="BP106" s="522">
        <f>BF46</f>
        <v>0.5625</v>
      </c>
      <c r="BQ106" s="220"/>
      <c r="BR106" s="304">
        <v>0.499</v>
      </c>
      <c r="BS106" s="305">
        <v>0.749</v>
      </c>
      <c r="BT106" s="305">
        <v>1</v>
      </c>
      <c r="BU106" s="306">
        <v>2</v>
      </c>
      <c r="BV106" s="220"/>
      <c r="BW106" s="220"/>
      <c r="BX106" s="221"/>
      <c r="BY106" s="209"/>
      <c r="BZ106" s="635"/>
      <c r="CA106" s="635"/>
      <c r="CB106" s="635"/>
      <c r="CC106" s="635"/>
      <c r="CD106" s="635"/>
      <c r="CE106" s="635"/>
      <c r="CF106" s="635"/>
      <c r="CG106" s="635"/>
      <c r="CH106" s="635"/>
      <c r="CI106" s="635"/>
      <c r="CJ106" s="635"/>
    </row>
    <row r="107" spans="2:88" ht="17.25" customHeight="1" thickBot="1" x14ac:dyDescent="0.35">
      <c r="D107" s="226"/>
      <c r="E107" s="254" t="s">
        <v>495</v>
      </c>
      <c r="F107" s="595">
        <f>IFERROR(F100/$F$101,0)</f>
        <v>0</v>
      </c>
      <c r="G107" s="220"/>
      <c r="H107" s="312"/>
      <c r="I107" s="312"/>
      <c r="J107" s="312"/>
      <c r="K107" s="220"/>
      <c r="L107" s="220"/>
      <c r="M107" s="220"/>
      <c r="N107" s="220"/>
      <c r="O107" s="221"/>
      <c r="P107" s="206"/>
      <c r="Q107" s="226"/>
      <c r="R107" s="254" t="s">
        <v>495</v>
      </c>
      <c r="S107" s="349">
        <f>IFERROR(S100/R100,0)</f>
        <v>0</v>
      </c>
      <c r="T107" s="220"/>
      <c r="U107" s="312"/>
      <c r="V107" s="312"/>
      <c r="W107" s="312"/>
      <c r="X107" s="220"/>
      <c r="Y107" s="220"/>
      <c r="Z107" s="220"/>
      <c r="AA107" s="221"/>
      <c r="AB107" s="207"/>
      <c r="AC107" s="636" t="s">
        <v>19</v>
      </c>
      <c r="AD107" s="637">
        <f>IFERROR(SUM(AD101:AD106),0)</f>
        <v>2136540.7400000002</v>
      </c>
      <c r="AE107" s="637">
        <f>IFERROR(SUM(AE101:AE106),0)</f>
        <v>1159896.22</v>
      </c>
      <c r="AF107" s="520"/>
      <c r="AG107" s="638">
        <f>AE107/AD107</f>
        <v>0.54288514058477533</v>
      </c>
      <c r="AH107" s="220"/>
      <c r="AI107" s="221"/>
      <c r="AJ107" s="208"/>
      <c r="AK107" s="350"/>
      <c r="AL107" s="555"/>
      <c r="AM107" s="393"/>
      <c r="AN107" s="393"/>
      <c r="AO107" s="393"/>
      <c r="AP107" s="350"/>
      <c r="AQ107" s="382"/>
      <c r="AR107" s="382"/>
      <c r="AS107" s="350"/>
      <c r="AT107" s="350"/>
      <c r="AU107" s="632"/>
      <c r="BN107" s="207"/>
      <c r="BO107" s="297" t="s">
        <v>112</v>
      </c>
      <c r="BP107" s="522">
        <f>BF62</f>
        <v>0.41666666666666663</v>
      </c>
      <c r="BQ107" s="220"/>
      <c r="BR107" s="323" t="s">
        <v>68</v>
      </c>
      <c r="BS107" s="324" t="s">
        <v>69</v>
      </c>
      <c r="BT107" s="325" t="s">
        <v>70</v>
      </c>
      <c r="BU107" s="326" t="s">
        <v>71</v>
      </c>
      <c r="BV107" s="220"/>
      <c r="BW107" s="220"/>
      <c r="BX107" s="221"/>
      <c r="BY107" s="209"/>
    </row>
    <row r="108" spans="2:88" ht="18" customHeight="1" thickBot="1" x14ac:dyDescent="0.35">
      <c r="D108" s="226"/>
      <c r="E108" s="284" t="s">
        <v>67</v>
      </c>
      <c r="F108" s="357">
        <f>IFERROR(SUM(F104:F106),0)</f>
        <v>0</v>
      </c>
      <c r="G108" s="574"/>
      <c r="H108" s="574"/>
      <c r="I108" s="574"/>
      <c r="J108" s="574"/>
      <c r="K108" s="220"/>
      <c r="L108" s="220"/>
      <c r="M108" s="220"/>
      <c r="N108" s="220"/>
      <c r="O108" s="221"/>
      <c r="P108" s="206"/>
      <c r="Q108" s="219"/>
      <c r="R108" s="596" t="s">
        <v>67</v>
      </c>
      <c r="S108" s="357">
        <f>IFERROR(S101/R101,0)</f>
        <v>0</v>
      </c>
      <c r="T108" s="220"/>
      <c r="U108" s="220"/>
      <c r="V108" s="220"/>
      <c r="W108" s="220"/>
      <c r="X108" s="220"/>
      <c r="Y108" s="220"/>
      <c r="Z108" s="220"/>
      <c r="AA108" s="221"/>
      <c r="AB108" s="207"/>
      <c r="AC108" s="639"/>
      <c r="AD108" s="520"/>
      <c r="AE108" s="520"/>
      <c r="AF108" s="520"/>
      <c r="AG108" s="520"/>
      <c r="AH108" s="220"/>
      <c r="AI108" s="221"/>
      <c r="AJ108" s="208"/>
      <c r="AK108" s="350"/>
      <c r="AL108" s="555"/>
      <c r="AM108" s="384"/>
      <c r="AN108" s="384"/>
      <c r="AO108" s="384"/>
      <c r="AP108" s="350"/>
      <c r="AQ108" s="557"/>
      <c r="AR108" s="468"/>
      <c r="AS108" s="350"/>
      <c r="AT108" s="350"/>
      <c r="AU108" s="632"/>
      <c r="BN108" s="207"/>
      <c r="BO108" s="297" t="s">
        <v>115</v>
      </c>
      <c r="BP108" s="522">
        <f>BF79</f>
        <v>0.57777777777777783</v>
      </c>
      <c r="BQ108" s="311" t="s">
        <v>126</v>
      </c>
      <c r="BR108" s="543">
        <f t="shared" ref="BR108:BU112" si="17">IF($BP105&gt;=BR$105,IF($BP105&lt;=BR$106,$BP105,NA()),NA())</f>
        <v>0.375</v>
      </c>
      <c r="BS108" s="543" t="e">
        <f t="shared" si="17"/>
        <v>#N/A</v>
      </c>
      <c r="BT108" s="543" t="e">
        <f t="shared" si="17"/>
        <v>#N/A</v>
      </c>
      <c r="BU108" s="543" t="e">
        <f t="shared" si="17"/>
        <v>#N/A</v>
      </c>
      <c r="BV108" s="220"/>
      <c r="BW108" s="220"/>
      <c r="BX108" s="221"/>
      <c r="BY108" s="209"/>
    </row>
    <row r="109" spans="2:88" ht="15.75" customHeight="1" thickBot="1" x14ac:dyDescent="0.35">
      <c r="D109" s="226"/>
      <c r="E109" s="220"/>
      <c r="F109" s="220"/>
      <c r="G109" s="220"/>
      <c r="H109" s="220"/>
      <c r="I109" s="220"/>
      <c r="J109" s="220"/>
      <c r="K109" s="220"/>
      <c r="L109" s="220"/>
      <c r="M109" s="220"/>
      <c r="N109" s="220"/>
      <c r="O109" s="221"/>
      <c r="P109" s="206"/>
      <c r="Q109" s="219"/>
      <c r="R109" s="227"/>
      <c r="S109" s="220"/>
      <c r="T109" s="220"/>
      <c r="U109" s="220"/>
      <c r="V109" s="220"/>
      <c r="W109" s="220"/>
      <c r="X109" s="220"/>
      <c r="Y109" s="220"/>
      <c r="Z109" s="220"/>
      <c r="AA109" s="221"/>
      <c r="AB109" s="207"/>
      <c r="AC109" s="640"/>
      <c r="AD109" s="641"/>
      <c r="AE109" s="641"/>
      <c r="AF109" s="641"/>
      <c r="AG109" s="641"/>
      <c r="AH109" s="641"/>
      <c r="AI109" s="642"/>
      <c r="AJ109" s="208"/>
      <c r="AK109" s="350"/>
      <c r="AL109" s="555"/>
      <c r="AM109" s="384"/>
      <c r="AN109" s="384"/>
      <c r="AO109" s="592"/>
      <c r="AP109" s="350"/>
      <c r="AQ109" s="557"/>
      <c r="AR109" s="468"/>
      <c r="AS109" s="350"/>
      <c r="AT109" s="350"/>
      <c r="AU109" s="632"/>
      <c r="BN109" s="207"/>
      <c r="BO109" s="576" t="s">
        <v>502</v>
      </c>
      <c r="BP109" s="577">
        <f>BF96</f>
        <v>1.3026666666666666</v>
      </c>
      <c r="BQ109" s="311" t="s">
        <v>127</v>
      </c>
      <c r="BR109" s="543" t="e">
        <f t="shared" si="17"/>
        <v>#N/A</v>
      </c>
      <c r="BS109" s="543">
        <f t="shared" si="17"/>
        <v>0.5625</v>
      </c>
      <c r="BT109" s="543" t="e">
        <f t="shared" si="17"/>
        <v>#N/A</v>
      </c>
      <c r="BU109" s="543" t="e">
        <f t="shared" si="17"/>
        <v>#N/A</v>
      </c>
      <c r="BV109" s="220"/>
      <c r="BW109" s="220"/>
      <c r="BX109" s="221"/>
      <c r="BY109" s="209"/>
    </row>
    <row r="110" spans="2:88" ht="17.25" thickBot="1" x14ac:dyDescent="0.35">
      <c r="B110" s="643"/>
      <c r="C110" s="643"/>
      <c r="D110" s="226"/>
      <c r="E110" s="220"/>
      <c r="F110" s="220"/>
      <c r="G110" s="220"/>
      <c r="H110" s="220"/>
      <c r="I110" s="220"/>
      <c r="J110" s="220"/>
      <c r="K110" s="220"/>
      <c r="L110" s="220"/>
      <c r="M110" s="220"/>
      <c r="N110" s="220"/>
      <c r="O110" s="221"/>
      <c r="P110" s="206"/>
      <c r="Q110" s="219"/>
      <c r="R110" s="227"/>
      <c r="S110" s="220"/>
      <c r="T110" s="220"/>
      <c r="U110" s="220"/>
      <c r="V110" s="220"/>
      <c r="W110" s="220"/>
      <c r="X110" s="220"/>
      <c r="Y110" s="220"/>
      <c r="Z110" s="220"/>
      <c r="AA110" s="221"/>
      <c r="AB110" s="207"/>
      <c r="AC110" s="644"/>
      <c r="AD110" s="645"/>
      <c r="AE110" s="645"/>
      <c r="AF110" s="645"/>
      <c r="AG110" s="645"/>
      <c r="AH110" s="350"/>
      <c r="AI110" s="373"/>
      <c r="AJ110" s="208"/>
      <c r="AK110" s="350"/>
      <c r="AL110" s="350"/>
      <c r="AM110" s="350"/>
      <c r="AN110" s="599"/>
      <c r="AO110" s="414"/>
      <c r="AP110" s="350"/>
      <c r="AQ110" s="557"/>
      <c r="AR110" s="384"/>
      <c r="AS110" s="350"/>
      <c r="AT110" s="350"/>
      <c r="AU110" s="632"/>
      <c r="BN110" s="207"/>
      <c r="BO110" s="582" t="s">
        <v>517</v>
      </c>
      <c r="BP110" s="646">
        <f>AVERAGE(BP105:BP109)</f>
        <v>0.64692222222222218</v>
      </c>
      <c r="BQ110" s="311" t="s">
        <v>128</v>
      </c>
      <c r="BR110" s="543">
        <f t="shared" si="17"/>
        <v>0.41666666666666663</v>
      </c>
      <c r="BS110" s="543" t="e">
        <f t="shared" si="17"/>
        <v>#N/A</v>
      </c>
      <c r="BT110" s="543" t="e">
        <f t="shared" si="17"/>
        <v>#N/A</v>
      </c>
      <c r="BU110" s="543" t="e">
        <f t="shared" si="17"/>
        <v>#N/A</v>
      </c>
      <c r="BV110" s="220"/>
      <c r="BW110" s="220"/>
      <c r="BX110" s="221"/>
      <c r="BY110" s="209"/>
    </row>
    <row r="111" spans="2:88" ht="23.25" thickBot="1" x14ac:dyDescent="0.35">
      <c r="B111" s="643"/>
      <c r="C111" s="643"/>
      <c r="D111" s="881" t="s">
        <v>24</v>
      </c>
      <c r="E111" s="882"/>
      <c r="F111" s="882"/>
      <c r="G111" s="882"/>
      <c r="H111" s="882"/>
      <c r="I111" s="882"/>
      <c r="J111" s="882"/>
      <c r="K111" s="882"/>
      <c r="L111" s="882"/>
      <c r="M111" s="882"/>
      <c r="N111" s="882"/>
      <c r="O111" s="883"/>
      <c r="P111" s="206"/>
      <c r="Q111" s="945" t="s">
        <v>24</v>
      </c>
      <c r="R111" s="946"/>
      <c r="S111" s="946"/>
      <c r="T111" s="946"/>
      <c r="U111" s="946"/>
      <c r="V111" s="946"/>
      <c r="W111" s="946"/>
      <c r="X111" s="946"/>
      <c r="Y111" s="946"/>
      <c r="Z111" s="946"/>
      <c r="AA111" s="947"/>
      <c r="AB111" s="207"/>
      <c r="AC111" s="392" t="s">
        <v>78</v>
      </c>
      <c r="AD111" s="390" t="s">
        <v>55</v>
      </c>
      <c r="AE111" s="391" t="s">
        <v>492</v>
      </c>
      <c r="AF111" s="227"/>
      <c r="AG111" s="553" t="s">
        <v>494</v>
      </c>
      <c r="AH111" s="350"/>
      <c r="AI111" s="373"/>
      <c r="AJ111" s="208"/>
      <c r="AK111" s="647"/>
      <c r="AL111" s="384"/>
      <c r="AM111" s="384"/>
      <c r="AN111" s="384"/>
      <c r="AO111" s="557"/>
      <c r="AP111" s="648"/>
      <c r="AQ111" s="648"/>
      <c r="AR111" s="648"/>
      <c r="AS111" s="350"/>
      <c r="AT111" s="350"/>
      <c r="AU111" s="632"/>
      <c r="BN111" s="207"/>
      <c r="BO111" s="219"/>
      <c r="BP111" s="347"/>
      <c r="BQ111" s="311" t="s">
        <v>129</v>
      </c>
      <c r="BR111" s="543" t="e">
        <f t="shared" si="17"/>
        <v>#N/A</v>
      </c>
      <c r="BS111" s="543">
        <f t="shared" si="17"/>
        <v>0.57777777777777783</v>
      </c>
      <c r="BT111" s="543" t="e">
        <f t="shared" si="17"/>
        <v>#N/A</v>
      </c>
      <c r="BU111" s="543" t="e">
        <f t="shared" si="17"/>
        <v>#N/A</v>
      </c>
      <c r="BV111" s="220"/>
      <c r="BW111" s="220"/>
      <c r="BX111" s="221"/>
      <c r="BY111" s="209"/>
    </row>
    <row r="112" spans="2:88" ht="17.25" thickBot="1" x14ac:dyDescent="0.35">
      <c r="B112" s="643"/>
      <c r="C112" s="643"/>
      <c r="D112" s="649"/>
      <c r="E112" s="447"/>
      <c r="F112" s="449"/>
      <c r="G112" s="449"/>
      <c r="H112" s="449"/>
      <c r="I112" s="449"/>
      <c r="J112" s="449"/>
      <c r="K112" s="650"/>
      <c r="L112" s="650"/>
      <c r="M112" s="650"/>
      <c r="N112" s="651"/>
      <c r="O112" s="652"/>
      <c r="P112" s="206"/>
      <c r="Q112" s="649"/>
      <c r="R112" s="447"/>
      <c r="S112" s="449"/>
      <c r="T112" s="651"/>
      <c r="U112" s="651"/>
      <c r="V112" s="651"/>
      <c r="W112" s="651"/>
      <c r="X112" s="651"/>
      <c r="Y112" s="651"/>
      <c r="Z112" s="651"/>
      <c r="AA112" s="652"/>
      <c r="AB112" s="207"/>
      <c r="AC112" s="482" t="s">
        <v>111</v>
      </c>
      <c r="AD112" s="435">
        <f>'2. PRODUCTOS'!$K$8</f>
        <v>370816.74</v>
      </c>
      <c r="AE112" s="554">
        <f>SUM('2. PRODUCTOS'!BQ8:BQ55)</f>
        <v>101509.5</v>
      </c>
      <c r="AF112" s="520"/>
      <c r="AG112" s="328">
        <f t="shared" ref="AG112:AG117" si="18">IFERROR(AE112/AD112,0)</f>
        <v>0.2737457321910548</v>
      </c>
      <c r="AH112" s="350"/>
      <c r="AI112" s="373"/>
      <c r="AJ112" s="208"/>
      <c r="AK112" s="647"/>
      <c r="AL112" s="384"/>
      <c r="AM112" s="382"/>
      <c r="AN112" s="382"/>
      <c r="AO112" s="557"/>
      <c r="AP112" s="648"/>
      <c r="AQ112" s="648"/>
      <c r="AR112" s="648"/>
      <c r="AS112" s="350"/>
      <c r="AT112" s="350"/>
      <c r="AU112" s="632"/>
      <c r="BN112" s="207"/>
      <c r="BO112" s="219"/>
      <c r="BP112" s="347"/>
      <c r="BQ112" s="311" t="s">
        <v>145</v>
      </c>
      <c r="BR112" s="543" t="e">
        <f t="shared" si="17"/>
        <v>#N/A</v>
      </c>
      <c r="BS112" s="543" t="e">
        <f t="shared" si="17"/>
        <v>#N/A</v>
      </c>
      <c r="BT112" s="543" t="e">
        <f t="shared" si="17"/>
        <v>#N/A</v>
      </c>
      <c r="BU112" s="543">
        <f t="shared" si="17"/>
        <v>1.3026666666666666</v>
      </c>
      <c r="BV112" s="220"/>
      <c r="BW112" s="220"/>
      <c r="BX112" s="221"/>
      <c r="BY112" s="209"/>
    </row>
    <row r="113" spans="2:77" ht="19.5" customHeight="1" thickBot="1" x14ac:dyDescent="0.35">
      <c r="B113" s="643"/>
      <c r="C113" s="643"/>
      <c r="D113" s="968" t="s">
        <v>148</v>
      </c>
      <c r="E113" s="969"/>
      <c r="F113" s="969"/>
      <c r="G113" s="969"/>
      <c r="H113" s="969"/>
      <c r="I113" s="969"/>
      <c r="J113" s="969"/>
      <c r="K113" s="969"/>
      <c r="L113" s="969"/>
      <c r="M113" s="969"/>
      <c r="N113" s="969"/>
      <c r="O113" s="970"/>
      <c r="P113" s="206"/>
      <c r="Q113" s="858" t="s">
        <v>132</v>
      </c>
      <c r="R113" s="859"/>
      <c r="S113" s="859"/>
      <c r="T113" s="859"/>
      <c r="U113" s="859"/>
      <c r="V113" s="859"/>
      <c r="W113" s="859"/>
      <c r="X113" s="859"/>
      <c r="Y113" s="859"/>
      <c r="Z113" s="859"/>
      <c r="AA113" s="860"/>
      <c r="AB113" s="207"/>
      <c r="AC113" s="486" t="s">
        <v>103</v>
      </c>
      <c r="AD113" s="556">
        <f>'2. PRODUCTOS'!$K$62</f>
        <v>472840</v>
      </c>
      <c r="AE113" s="490">
        <f>SUM('2. PRODUCTOS'!BQ62:BQ109)</f>
        <v>200167.51</v>
      </c>
      <c r="AF113" s="520"/>
      <c r="AG113" s="340">
        <f t="shared" si="18"/>
        <v>0.4233303231537095</v>
      </c>
      <c r="AH113" s="350"/>
      <c r="AI113" s="373"/>
      <c r="AJ113" s="208"/>
      <c r="AK113" s="350"/>
      <c r="AL113" s="350"/>
      <c r="AM113" s="350"/>
      <c r="AN113" s="350"/>
      <c r="AO113" s="350"/>
      <c r="AP113" s="350"/>
      <c r="AQ113" s="350"/>
      <c r="AR113" s="350"/>
      <c r="AS113" s="350"/>
      <c r="AT113" s="350"/>
      <c r="AU113" s="632"/>
      <c r="BN113" s="207"/>
      <c r="BO113" s="219"/>
      <c r="BP113" s="347"/>
      <c r="BQ113" s="220"/>
      <c r="BR113" s="574"/>
      <c r="BS113" s="574"/>
      <c r="BT113" s="574"/>
      <c r="BU113" s="574"/>
      <c r="BV113" s="220"/>
      <c r="BW113" s="220"/>
      <c r="BX113" s="221"/>
      <c r="BY113" s="209"/>
    </row>
    <row r="114" spans="2:77" ht="17.25" customHeight="1" thickBot="1" x14ac:dyDescent="0.35">
      <c r="B114" s="643"/>
      <c r="C114" s="643"/>
      <c r="D114" s="559"/>
      <c r="E114" s="222"/>
      <c r="F114" s="212"/>
      <c r="G114" s="212"/>
      <c r="H114" s="212"/>
      <c r="I114" s="212"/>
      <c r="J114" s="212"/>
      <c r="K114" s="653"/>
      <c r="L114" s="653"/>
      <c r="M114" s="653"/>
      <c r="N114" s="653"/>
      <c r="O114" s="654"/>
      <c r="P114" s="206"/>
      <c r="Q114" s="559"/>
      <c r="R114" s="222"/>
      <c r="S114" s="212"/>
      <c r="T114" s="655"/>
      <c r="U114" s="656"/>
      <c r="V114" s="657"/>
      <c r="W114" s="657"/>
      <c r="X114" s="212"/>
      <c r="Y114" s="212"/>
      <c r="Z114" s="212"/>
      <c r="AA114" s="213"/>
      <c r="AB114" s="207"/>
      <c r="AC114" s="486" t="s">
        <v>112</v>
      </c>
      <c r="AD114" s="625">
        <f>'2. PRODUCTOS'!$K$116</f>
        <v>281883</v>
      </c>
      <c r="AE114" s="626">
        <f>SUM('2. PRODUCTOS'!BQ116:BQ163)</f>
        <v>117960.58</v>
      </c>
      <c r="AF114" s="520"/>
      <c r="AG114" s="340">
        <f t="shared" si="18"/>
        <v>0.41847355108325085</v>
      </c>
      <c r="AH114" s="350"/>
      <c r="AI114" s="373"/>
      <c r="AJ114" s="208"/>
      <c r="AK114" s="350"/>
      <c r="AL114" s="350"/>
      <c r="AM114" s="350"/>
      <c r="AN114" s="350"/>
      <c r="AO114" s="350"/>
      <c r="AP114" s="350"/>
      <c r="AQ114" s="350"/>
      <c r="AR114" s="350"/>
      <c r="AS114" s="350"/>
      <c r="AT114" s="350"/>
      <c r="AU114" s="632"/>
      <c r="BN114" s="207"/>
      <c r="BO114" s="219"/>
      <c r="BP114" s="347"/>
      <c r="BQ114" s="220"/>
      <c r="BR114" s="574"/>
      <c r="BS114" s="574"/>
      <c r="BT114" s="574"/>
      <c r="BU114" s="574"/>
      <c r="BV114" s="220"/>
      <c r="BW114" s="220"/>
      <c r="BX114" s="221"/>
      <c r="BY114" s="209"/>
    </row>
    <row r="115" spans="2:77" ht="17.25" customHeight="1" thickBot="1" x14ac:dyDescent="0.35">
      <c r="B115" s="643"/>
      <c r="C115" s="643"/>
      <c r="D115" s="219"/>
      <c r="E115" s="220"/>
      <c r="F115" s="220"/>
      <c r="G115" s="220"/>
      <c r="H115" s="220"/>
      <c r="I115" s="220"/>
      <c r="J115" s="220"/>
      <c r="K115" s="220"/>
      <c r="L115" s="220"/>
      <c r="M115" s="220"/>
      <c r="N115" s="220"/>
      <c r="O115" s="221"/>
      <c r="P115" s="206"/>
      <c r="Q115" s="223"/>
      <c r="R115" s="228" t="s">
        <v>44</v>
      </c>
      <c r="S115" s="229" t="s">
        <v>45</v>
      </c>
      <c r="T115" s="220"/>
      <c r="U115" s="220"/>
      <c r="V115" s="220"/>
      <c r="W115" s="220"/>
      <c r="X115" s="220"/>
      <c r="Y115" s="220"/>
      <c r="Z115" s="220"/>
      <c r="AA115" s="221"/>
      <c r="AB115" s="207"/>
      <c r="AC115" s="486" t="s">
        <v>115</v>
      </c>
      <c r="AD115" s="631">
        <f>'2. PRODUCTOS'!$K$170</f>
        <v>357501</v>
      </c>
      <c r="AE115" s="626">
        <f>SUM('2. PRODUCTOS'!BQ170:BQ205)</f>
        <v>64982.229999999996</v>
      </c>
      <c r="AF115" s="520"/>
      <c r="AG115" s="340">
        <f t="shared" si="18"/>
        <v>0.18176796708260956</v>
      </c>
      <c r="AH115" s="383"/>
      <c r="AI115" s="658"/>
      <c r="AJ115" s="208"/>
      <c r="AK115" s="350"/>
      <c r="AL115" s="350"/>
      <c r="AM115" s="350"/>
      <c r="AN115" s="350"/>
      <c r="AO115" s="350"/>
      <c r="AP115" s="350"/>
      <c r="AQ115" s="350"/>
      <c r="AR115" s="350"/>
      <c r="AS115" s="350"/>
      <c r="AT115" s="350"/>
      <c r="AU115" s="632"/>
      <c r="BN115" s="207"/>
      <c r="BO115" s="958">
        <v>2020</v>
      </c>
      <c r="BP115" s="959"/>
      <c r="BQ115" s="959"/>
      <c r="BR115" s="959"/>
      <c r="BS115" s="959"/>
      <c r="BT115" s="959"/>
      <c r="BU115" s="960"/>
      <c r="BV115" s="659"/>
      <c r="BW115" s="659"/>
      <c r="BX115" s="660"/>
      <c r="BY115" s="209"/>
    </row>
    <row r="116" spans="2:77" ht="17.25" thickBot="1" x14ac:dyDescent="0.35">
      <c r="B116" s="643"/>
      <c r="C116" s="643"/>
      <c r="D116" s="226"/>
      <c r="E116" s="230" t="s">
        <v>46</v>
      </c>
      <c r="F116" s="233">
        <f>'2. PRODUCTOS'!$W$62</f>
        <v>1</v>
      </c>
      <c r="G116" s="220"/>
      <c r="H116" s="842" t="s">
        <v>47</v>
      </c>
      <c r="I116" s="843"/>
      <c r="J116" s="843"/>
      <c r="K116" s="844"/>
      <c r="L116" s="220"/>
      <c r="M116" s="220"/>
      <c r="N116" s="220"/>
      <c r="O116" s="221"/>
      <c r="P116" s="206"/>
      <c r="Q116" s="230" t="s">
        <v>46</v>
      </c>
      <c r="R116" s="233">
        <f>'2. PRODUCTOS'!$G$62</f>
        <v>1</v>
      </c>
      <c r="S116" s="233">
        <f>'2. PRODUCTOS'!$W$62</f>
        <v>1</v>
      </c>
      <c r="T116" s="220"/>
      <c r="U116" s="842" t="s">
        <v>47</v>
      </c>
      <c r="V116" s="843"/>
      <c r="W116" s="843"/>
      <c r="X116" s="844"/>
      <c r="Y116" s="220"/>
      <c r="Z116" s="220"/>
      <c r="AA116" s="221"/>
      <c r="AB116" s="207"/>
      <c r="AC116" s="486" t="s">
        <v>502</v>
      </c>
      <c r="AD116" s="631">
        <f>'2. PRODUCTOS'!$K$212</f>
        <v>411500</v>
      </c>
      <c r="AE116" s="626">
        <f>SUM('2. PRODUCTOS'!BQ212:BQ271)</f>
        <v>124959.81</v>
      </c>
      <c r="AF116" s="295"/>
      <c r="AG116" s="340">
        <f t="shared" si="18"/>
        <v>0.30366904009720536</v>
      </c>
      <c r="AH116" s="383"/>
      <c r="AI116" s="658"/>
      <c r="AJ116" s="208"/>
      <c r="AK116" s="350"/>
      <c r="AL116" s="350"/>
      <c r="AM116" s="350"/>
      <c r="AN116" s="350"/>
      <c r="AO116" s="350"/>
      <c r="AP116" s="350"/>
      <c r="AQ116" s="350"/>
      <c r="AR116" s="350"/>
      <c r="AS116" s="350"/>
      <c r="AT116" s="350"/>
      <c r="AU116" s="632"/>
      <c r="BN116" s="207"/>
      <c r="BO116" s="219"/>
      <c r="BP116" s="220"/>
      <c r="BQ116" s="220"/>
      <c r="BR116" s="220"/>
      <c r="BS116" s="220"/>
      <c r="BT116" s="220"/>
      <c r="BU116" s="220"/>
      <c r="BV116" s="350"/>
      <c r="BW116" s="350"/>
      <c r="BX116" s="373"/>
      <c r="BY116" s="209"/>
    </row>
    <row r="117" spans="2:77" ht="17.25" thickBot="1" x14ac:dyDescent="0.35">
      <c r="B117" s="643"/>
      <c r="C117" s="643"/>
      <c r="D117" s="226"/>
      <c r="E117" s="234" t="s">
        <v>52</v>
      </c>
      <c r="F117" s="237">
        <f>'2. PRODUCTOS'!$AJ$62</f>
        <v>1</v>
      </c>
      <c r="G117" s="220"/>
      <c r="H117" s="236">
        <v>0</v>
      </c>
      <c r="I117" s="236">
        <v>0.5</v>
      </c>
      <c r="J117" s="236">
        <v>0.75</v>
      </c>
      <c r="K117" s="236">
        <v>1.0009999999999999</v>
      </c>
      <c r="L117" s="220"/>
      <c r="M117" s="220"/>
      <c r="N117" s="220"/>
      <c r="O117" s="221"/>
      <c r="P117" s="206"/>
      <c r="Q117" s="234" t="s">
        <v>52</v>
      </c>
      <c r="R117" s="237">
        <f>'2. PRODUCTOS'!$H$62</f>
        <v>3</v>
      </c>
      <c r="S117" s="237">
        <f>'2. PRODUCTOS'!$AJ$62</f>
        <v>1</v>
      </c>
      <c r="T117" s="220"/>
      <c r="U117" s="236">
        <v>0</v>
      </c>
      <c r="V117" s="236">
        <v>0.5</v>
      </c>
      <c r="W117" s="236">
        <v>0.75</v>
      </c>
      <c r="X117" s="236">
        <v>1.0009999999999999</v>
      </c>
      <c r="Y117" s="220"/>
      <c r="Z117" s="220"/>
      <c r="AA117" s="221"/>
      <c r="AB117" s="207"/>
      <c r="AC117" s="441" t="s">
        <v>152</v>
      </c>
      <c r="AD117" s="633">
        <f>'2. PRODUCTOS'!$K$278</f>
        <v>242000</v>
      </c>
      <c r="AE117" s="634">
        <f>SUM('2. PRODUCTOS'!BQ278:BQ325)</f>
        <v>29140</v>
      </c>
      <c r="AF117" s="520"/>
      <c r="AG117" s="349">
        <f t="shared" si="18"/>
        <v>0.12041322314049586</v>
      </c>
      <c r="AH117" s="383"/>
      <c r="AI117" s="658"/>
      <c r="AJ117" s="208"/>
      <c r="AK117" s="350"/>
      <c r="AL117" s="350"/>
      <c r="AM117" s="350"/>
      <c r="AN117" s="350"/>
      <c r="AO117" s="350"/>
      <c r="AP117" s="350"/>
      <c r="AQ117" s="350"/>
      <c r="AR117" s="350"/>
      <c r="AS117" s="350"/>
      <c r="AT117" s="350"/>
      <c r="AU117" s="632"/>
      <c r="BN117" s="207"/>
      <c r="BO117" s="307" t="s">
        <v>78</v>
      </c>
      <c r="BP117" s="308" t="s">
        <v>66</v>
      </c>
      <c r="BQ117" s="520"/>
      <c r="BR117" s="878" t="s">
        <v>47</v>
      </c>
      <c r="BS117" s="879"/>
      <c r="BT117" s="879"/>
      <c r="BU117" s="880"/>
      <c r="BV117" s="350"/>
      <c r="BW117" s="350"/>
      <c r="BX117" s="373"/>
      <c r="BY117" s="209"/>
    </row>
    <row r="118" spans="2:77" ht="17.25" customHeight="1" thickBot="1" x14ac:dyDescent="0.35">
      <c r="B118" s="643"/>
      <c r="C118" s="643"/>
      <c r="D118" s="226"/>
      <c r="E118" s="234" t="s">
        <v>53</v>
      </c>
      <c r="F118" s="237">
        <f>'2. PRODUCTOS'!$AW$62</f>
        <v>1</v>
      </c>
      <c r="G118" s="220"/>
      <c r="H118" s="238">
        <v>0.499</v>
      </c>
      <c r="I118" s="238">
        <v>0.749</v>
      </c>
      <c r="J118" s="238">
        <v>1</v>
      </c>
      <c r="K118" s="238">
        <v>4</v>
      </c>
      <c r="L118" s="220"/>
      <c r="M118" s="220"/>
      <c r="N118" s="220"/>
      <c r="O118" s="221"/>
      <c r="P118" s="206"/>
      <c r="Q118" s="234" t="s">
        <v>53</v>
      </c>
      <c r="R118" s="237">
        <f>'2. PRODUCTOS'!$I$62</f>
        <v>4</v>
      </c>
      <c r="S118" s="237">
        <f>'2. PRODUCTOS'!$AW$62</f>
        <v>1</v>
      </c>
      <c r="T118" s="220"/>
      <c r="U118" s="238">
        <v>0.499</v>
      </c>
      <c r="V118" s="238">
        <v>0.749</v>
      </c>
      <c r="W118" s="238">
        <v>1</v>
      </c>
      <c r="X118" s="238">
        <v>4</v>
      </c>
      <c r="Y118" s="220"/>
      <c r="Z118" s="220"/>
      <c r="AA118" s="221"/>
      <c r="AB118" s="207"/>
      <c r="AC118" s="636" t="s">
        <v>19</v>
      </c>
      <c r="AD118" s="637">
        <f>IFERROR(SUM(AD112:AD117),0)</f>
        <v>2136540.7400000002</v>
      </c>
      <c r="AE118" s="637">
        <f>IFERROR(SUM(AE112:AE117),0)</f>
        <v>638719.63</v>
      </c>
      <c r="AF118" s="520"/>
      <c r="AG118" s="638">
        <f>AE118/AD118</f>
        <v>0.29895036309955875</v>
      </c>
      <c r="AH118" s="382"/>
      <c r="AI118" s="661"/>
      <c r="AJ118" s="208"/>
      <c r="AK118" s="350"/>
      <c r="AL118" s="350"/>
      <c r="AM118" s="350"/>
      <c r="AN118" s="350"/>
      <c r="AO118" s="350"/>
      <c r="AP118" s="350"/>
      <c r="AQ118" s="350"/>
      <c r="AR118" s="350"/>
      <c r="AS118" s="350"/>
      <c r="AT118" s="350"/>
      <c r="AU118" s="632"/>
      <c r="BN118" s="207"/>
      <c r="BO118" s="273" t="s">
        <v>111</v>
      </c>
      <c r="BP118" s="291">
        <f>BJ32</f>
        <v>0</v>
      </c>
      <c r="BQ118" s="220"/>
      <c r="BR118" s="281">
        <v>0</v>
      </c>
      <c r="BS118" s="282">
        <v>0.5</v>
      </c>
      <c r="BT118" s="282">
        <v>0.75</v>
      </c>
      <c r="BU118" s="283">
        <v>1.01</v>
      </c>
      <c r="BV118" s="350"/>
      <c r="BW118" s="350"/>
      <c r="BX118" s="373"/>
      <c r="BY118" s="209"/>
    </row>
    <row r="119" spans="2:77" ht="15.75" customHeight="1" thickTop="1" thickBot="1" x14ac:dyDescent="0.35">
      <c r="B119" s="643"/>
      <c r="C119" s="643"/>
      <c r="D119" s="226"/>
      <c r="E119" s="254" t="s">
        <v>495</v>
      </c>
      <c r="F119" s="386">
        <f>'2. PRODUCTOS'!$BJ$62</f>
        <v>1</v>
      </c>
      <c r="G119" s="220"/>
      <c r="H119" s="256" t="s">
        <v>68</v>
      </c>
      <c r="I119" s="257" t="s">
        <v>69</v>
      </c>
      <c r="J119" s="258" t="s">
        <v>70</v>
      </c>
      <c r="K119" s="259" t="s">
        <v>71</v>
      </c>
      <c r="L119" s="220"/>
      <c r="M119" s="220"/>
      <c r="N119" s="220"/>
      <c r="O119" s="221"/>
      <c r="P119" s="206"/>
      <c r="Q119" s="254" t="s">
        <v>495</v>
      </c>
      <c r="R119" s="260">
        <f>'2. PRODUCTOS'!$J$62</f>
        <v>4</v>
      </c>
      <c r="S119" s="386">
        <f>'2. PRODUCTOS'!$BJ$62</f>
        <v>1</v>
      </c>
      <c r="T119" s="220"/>
      <c r="U119" s="256" t="s">
        <v>68</v>
      </c>
      <c r="V119" s="257" t="s">
        <v>69</v>
      </c>
      <c r="W119" s="258" t="s">
        <v>70</v>
      </c>
      <c r="X119" s="259" t="s">
        <v>71</v>
      </c>
      <c r="Y119" s="220"/>
      <c r="Z119" s="220"/>
      <c r="AA119" s="221"/>
      <c r="AB119" s="207"/>
      <c r="AC119" s="372"/>
      <c r="AD119" s="350"/>
      <c r="AE119" s="350"/>
      <c r="AF119" s="350"/>
      <c r="AG119" s="350"/>
      <c r="AH119" s="659"/>
      <c r="AI119" s="373"/>
      <c r="AJ119" s="208"/>
      <c r="AK119" s="350"/>
      <c r="AL119" s="350"/>
      <c r="AM119" s="350"/>
      <c r="AN119" s="350"/>
      <c r="AO119" s="350"/>
      <c r="AP119" s="350"/>
      <c r="AQ119" s="350"/>
      <c r="AR119" s="350"/>
      <c r="AS119" s="350"/>
      <c r="AT119" s="350"/>
      <c r="AU119" s="632"/>
      <c r="BN119" s="207"/>
      <c r="BO119" s="297" t="s">
        <v>103</v>
      </c>
      <c r="BP119" s="522">
        <f>BJ46</f>
        <v>0.13750000000000001</v>
      </c>
      <c r="BQ119" s="220"/>
      <c r="BR119" s="304">
        <v>0.499</v>
      </c>
      <c r="BS119" s="305">
        <v>0.749</v>
      </c>
      <c r="BT119" s="305">
        <v>1</v>
      </c>
      <c r="BU119" s="306">
        <v>2</v>
      </c>
      <c r="BV119" s="350"/>
      <c r="BW119" s="350"/>
      <c r="BX119" s="373"/>
      <c r="BY119" s="209"/>
    </row>
    <row r="120" spans="2:77" ht="17.25" thickBot="1" x14ac:dyDescent="0.35">
      <c r="B120" s="643"/>
      <c r="C120" s="643"/>
      <c r="D120" s="226"/>
      <c r="E120" s="287" t="s">
        <v>67</v>
      </c>
      <c r="F120" s="463">
        <f>'2. PRODUCTOS'!$E$62</f>
        <v>4</v>
      </c>
      <c r="G120" s="220"/>
      <c r="H120" s="286" t="e">
        <f>IF($F127&gt;=H117,IF($F127&lt;=H118,$F127,NA()),NA())</f>
        <v>#N/A</v>
      </c>
      <c r="I120" s="286" t="e">
        <f>IF($F127&gt;=I117,IF($F127&lt;=I118,$F127,NA()),NA())</f>
        <v>#N/A</v>
      </c>
      <c r="J120" s="286">
        <f>IF($F127&gt;=J117,IF($F127&lt;=J118,$F127,NA()),NA())</f>
        <v>0.75</v>
      </c>
      <c r="K120" s="286" t="e">
        <f>IF($F127&gt;=K117,IF($F127&lt;=K118,$F127,NA()),NA())</f>
        <v>#N/A</v>
      </c>
      <c r="L120" s="220"/>
      <c r="M120" s="220"/>
      <c r="N120" s="220"/>
      <c r="O120" s="221"/>
      <c r="P120" s="206"/>
      <c r="Q120" s="287" t="s">
        <v>67</v>
      </c>
      <c r="R120" s="463">
        <f>'2. PRODUCTOS'!$E$62</f>
        <v>4</v>
      </c>
      <c r="S120" s="288">
        <f>'2. PRODUCTOS'!$BT$62</f>
        <v>3</v>
      </c>
      <c r="T120" s="230" t="s">
        <v>46</v>
      </c>
      <c r="U120" s="662" t="e">
        <f t="shared" ref="U120:X123" si="19">IF($S123&gt;=U$117,IF($S123&lt;=U$118,$S123,NA()),NA())</f>
        <v>#N/A</v>
      </c>
      <c r="V120" s="662" t="e">
        <f t="shared" si="19"/>
        <v>#N/A</v>
      </c>
      <c r="W120" s="662">
        <f t="shared" si="19"/>
        <v>1</v>
      </c>
      <c r="X120" s="662" t="e">
        <f t="shared" si="19"/>
        <v>#N/A</v>
      </c>
      <c r="Y120" s="220"/>
      <c r="Z120" s="220"/>
      <c r="AA120" s="221"/>
      <c r="AB120" s="207"/>
      <c r="AC120" s="663"/>
      <c r="AD120" s="382"/>
      <c r="AE120" s="382"/>
      <c r="AF120" s="350"/>
      <c r="AG120" s="382"/>
      <c r="AH120" s="659"/>
      <c r="AI120" s="373"/>
      <c r="AJ120" s="208"/>
      <c r="AK120" s="350"/>
      <c r="AL120" s="350"/>
      <c r="AM120" s="350"/>
      <c r="AN120" s="350"/>
      <c r="AO120" s="350"/>
      <c r="AP120" s="350"/>
      <c r="AQ120" s="350"/>
      <c r="AR120" s="350"/>
      <c r="AS120" s="350"/>
      <c r="AT120" s="350"/>
      <c r="AU120" s="632"/>
      <c r="BN120" s="207"/>
      <c r="BO120" s="297" t="s">
        <v>112</v>
      </c>
      <c r="BP120" s="522">
        <f>BJ62</f>
        <v>0.125</v>
      </c>
      <c r="BQ120" s="220"/>
      <c r="BR120" s="323" t="s">
        <v>68</v>
      </c>
      <c r="BS120" s="324" t="s">
        <v>69</v>
      </c>
      <c r="BT120" s="325" t="s">
        <v>70</v>
      </c>
      <c r="BU120" s="326" t="s">
        <v>71</v>
      </c>
      <c r="BV120" s="350"/>
      <c r="BW120" s="350"/>
      <c r="BX120" s="373"/>
      <c r="BY120" s="209"/>
    </row>
    <row r="121" spans="2:77" ht="21" thickBot="1" x14ac:dyDescent="0.35">
      <c r="B121" s="643"/>
      <c r="C121" s="643"/>
      <c r="D121" s="219"/>
      <c r="E121" s="311"/>
      <c r="F121" s="227"/>
      <c r="G121" s="220"/>
      <c r="H121" s="312"/>
      <c r="I121" s="312"/>
      <c r="J121" s="312"/>
      <c r="K121" s="220"/>
      <c r="L121" s="220"/>
      <c r="M121" s="220"/>
      <c r="N121" s="220"/>
      <c r="O121" s="221"/>
      <c r="P121" s="206"/>
      <c r="Q121" s="627"/>
      <c r="R121" s="311"/>
      <c r="S121" s="227"/>
      <c r="T121" s="234" t="s">
        <v>52</v>
      </c>
      <c r="U121" s="662">
        <f t="shared" si="19"/>
        <v>0.33333333333333331</v>
      </c>
      <c r="V121" s="662" t="e">
        <f t="shared" si="19"/>
        <v>#N/A</v>
      </c>
      <c r="W121" s="662" t="e">
        <f t="shared" si="19"/>
        <v>#N/A</v>
      </c>
      <c r="X121" s="662" t="e">
        <f t="shared" si="19"/>
        <v>#N/A</v>
      </c>
      <c r="Y121" s="220"/>
      <c r="Z121" s="220"/>
      <c r="AA121" s="221"/>
      <c r="AB121" s="207"/>
      <c r="AC121" s="664"/>
      <c r="AD121" s="665"/>
      <c r="AE121" s="665"/>
      <c r="AF121" s="666"/>
      <c r="AG121" s="667"/>
      <c r="AH121" s="668"/>
      <c r="AI121" s="669"/>
      <c r="AJ121" s="208"/>
      <c r="AK121" s="350"/>
      <c r="AL121" s="350"/>
      <c r="AM121" s="350"/>
      <c r="AN121" s="350"/>
      <c r="AO121" s="350"/>
      <c r="AP121" s="350"/>
      <c r="AQ121" s="350"/>
      <c r="AR121" s="350"/>
      <c r="AS121" s="350"/>
      <c r="AT121" s="350"/>
      <c r="AU121" s="632"/>
      <c r="BN121" s="207"/>
      <c r="BO121" s="297" t="s">
        <v>115</v>
      </c>
      <c r="BP121" s="522">
        <f>BJ79</f>
        <v>0.15333333333333335</v>
      </c>
      <c r="BQ121" s="311" t="s">
        <v>126</v>
      </c>
      <c r="BR121" s="534">
        <f t="shared" ref="BR121:BU125" si="20">IF($BP118&gt;=BR$105,IF($BP118&lt;=BR$106,$BP118,NA()),NA())</f>
        <v>0</v>
      </c>
      <c r="BS121" s="535" t="e">
        <f t="shared" si="20"/>
        <v>#N/A</v>
      </c>
      <c r="BT121" s="535" t="e">
        <f t="shared" si="20"/>
        <v>#N/A</v>
      </c>
      <c r="BU121" s="536" t="e">
        <f t="shared" si="20"/>
        <v>#N/A</v>
      </c>
      <c r="BV121" s="350"/>
      <c r="BW121" s="350"/>
      <c r="BX121" s="373"/>
      <c r="BY121" s="209"/>
    </row>
    <row r="122" spans="2:77" ht="21" thickBot="1" x14ac:dyDescent="0.35">
      <c r="D122" s="627"/>
      <c r="E122" s="311"/>
      <c r="F122" s="227"/>
      <c r="G122" s="220"/>
      <c r="H122" s="312"/>
      <c r="I122" s="312"/>
      <c r="J122" s="312"/>
      <c r="K122" s="220"/>
      <c r="L122" s="628"/>
      <c r="M122" s="628"/>
      <c r="N122" s="628"/>
      <c r="O122" s="629"/>
      <c r="P122" s="206"/>
      <c r="Q122" s="219"/>
      <c r="R122" s="311"/>
      <c r="S122" s="227"/>
      <c r="T122" s="234" t="s">
        <v>53</v>
      </c>
      <c r="U122" s="662">
        <f t="shared" si="19"/>
        <v>0.25</v>
      </c>
      <c r="V122" s="662" t="e">
        <f t="shared" si="19"/>
        <v>#N/A</v>
      </c>
      <c r="W122" s="662" t="e">
        <f t="shared" si="19"/>
        <v>#N/A</v>
      </c>
      <c r="X122" s="662" t="e">
        <f t="shared" si="19"/>
        <v>#N/A</v>
      </c>
      <c r="Y122" s="628"/>
      <c r="Z122" s="628"/>
      <c r="AA122" s="629"/>
      <c r="AB122" s="207"/>
      <c r="AC122" s="670"/>
      <c r="AD122" s="671"/>
      <c r="AE122" s="671"/>
      <c r="AF122" s="672"/>
      <c r="AG122" s="673"/>
      <c r="AH122" s="674"/>
      <c r="AI122" s="675"/>
      <c r="AJ122" s="208"/>
      <c r="AK122" s="350"/>
      <c r="AL122" s="350"/>
      <c r="AM122" s="350"/>
      <c r="AN122" s="350"/>
      <c r="AO122" s="350"/>
      <c r="AP122" s="350"/>
      <c r="AQ122" s="350"/>
      <c r="AR122" s="350"/>
      <c r="AS122" s="350"/>
      <c r="AT122" s="350"/>
      <c r="AU122" s="632"/>
      <c r="BN122" s="207"/>
      <c r="BO122" s="317" t="s">
        <v>502</v>
      </c>
      <c r="BP122" s="541">
        <f>BJ96</f>
        <v>0.21533333333333332</v>
      </c>
      <c r="BQ122" s="311" t="s">
        <v>127</v>
      </c>
      <c r="BR122" s="542">
        <f t="shared" si="20"/>
        <v>0.13750000000000001</v>
      </c>
      <c r="BS122" s="543" t="e">
        <f t="shared" si="20"/>
        <v>#N/A</v>
      </c>
      <c r="BT122" s="543" t="e">
        <f t="shared" si="20"/>
        <v>#N/A</v>
      </c>
      <c r="BU122" s="544" t="e">
        <f t="shared" si="20"/>
        <v>#N/A</v>
      </c>
      <c r="BV122" s="350"/>
      <c r="BW122" s="350"/>
      <c r="BX122" s="373"/>
      <c r="BY122" s="209"/>
    </row>
    <row r="123" spans="2:77" ht="17.25" thickBot="1" x14ac:dyDescent="0.35">
      <c r="D123" s="219"/>
      <c r="E123" s="230" t="s">
        <v>46</v>
      </c>
      <c r="F123" s="328">
        <f>IFERROR(F116/$F$120,0)</f>
        <v>0.25</v>
      </c>
      <c r="G123" s="220"/>
      <c r="H123" s="312"/>
      <c r="I123" s="312"/>
      <c r="J123" s="312"/>
      <c r="K123" s="220"/>
      <c r="L123" s="220"/>
      <c r="M123" s="220"/>
      <c r="N123" s="220"/>
      <c r="O123" s="470"/>
      <c r="P123" s="206"/>
      <c r="Q123" s="226"/>
      <c r="R123" s="230" t="s">
        <v>46</v>
      </c>
      <c r="S123" s="328">
        <f>IFERROR(S116/R116,0)</f>
        <v>1</v>
      </c>
      <c r="T123" s="254" t="s">
        <v>495</v>
      </c>
      <c r="U123" s="662">
        <f t="shared" si="19"/>
        <v>0.25</v>
      </c>
      <c r="V123" s="662" t="e">
        <f t="shared" si="19"/>
        <v>#N/A</v>
      </c>
      <c r="W123" s="662" t="e">
        <f t="shared" si="19"/>
        <v>#N/A</v>
      </c>
      <c r="X123" s="662" t="e">
        <f t="shared" si="19"/>
        <v>#N/A</v>
      </c>
      <c r="Y123" s="220"/>
      <c r="Z123" s="220"/>
      <c r="AA123" s="470"/>
      <c r="AB123" s="207"/>
      <c r="AC123" s="384"/>
      <c r="AD123" s="676"/>
      <c r="AE123" s="676"/>
      <c r="AF123" s="350"/>
      <c r="AG123" s="557"/>
      <c r="AH123" s="383"/>
      <c r="AI123" s="359"/>
      <c r="AJ123" s="677"/>
      <c r="AK123" s="350"/>
      <c r="AL123" s="350"/>
      <c r="AM123" s="350"/>
      <c r="AN123" s="350"/>
      <c r="AO123" s="350"/>
      <c r="AP123" s="350"/>
      <c r="AQ123" s="350"/>
      <c r="AR123" s="350"/>
      <c r="AS123" s="350"/>
      <c r="AT123" s="350"/>
      <c r="AU123" s="632"/>
      <c r="BN123" s="207"/>
      <c r="BO123" s="582" t="s">
        <v>517</v>
      </c>
      <c r="BP123" s="678">
        <f>AVERAGE(BP118:BP122)</f>
        <v>0.12623333333333334</v>
      </c>
      <c r="BQ123" s="311" t="s">
        <v>128</v>
      </c>
      <c r="BR123" s="542">
        <f t="shared" si="20"/>
        <v>0.125</v>
      </c>
      <c r="BS123" s="543" t="e">
        <f t="shared" si="20"/>
        <v>#N/A</v>
      </c>
      <c r="BT123" s="543" t="e">
        <f t="shared" si="20"/>
        <v>#N/A</v>
      </c>
      <c r="BU123" s="544" t="e">
        <f t="shared" si="20"/>
        <v>#N/A</v>
      </c>
      <c r="BV123" s="350"/>
      <c r="BW123" s="350"/>
      <c r="BX123" s="373"/>
      <c r="BY123" s="209"/>
    </row>
    <row r="124" spans="2:77" ht="17.25" customHeight="1" thickBot="1" x14ac:dyDescent="0.35">
      <c r="D124" s="226"/>
      <c r="E124" s="234" t="s">
        <v>52</v>
      </c>
      <c r="F124" s="340">
        <f>IFERROR(F117/$F$120,0)</f>
        <v>0.25</v>
      </c>
      <c r="G124" s="220"/>
      <c r="H124" s="312"/>
      <c r="I124" s="312"/>
      <c r="J124" s="312"/>
      <c r="K124" s="220"/>
      <c r="L124" s="220"/>
      <c r="M124" s="220"/>
      <c r="N124" s="220"/>
      <c r="O124" s="679"/>
      <c r="P124" s="206"/>
      <c r="Q124" s="226"/>
      <c r="R124" s="234" t="s">
        <v>52</v>
      </c>
      <c r="S124" s="340">
        <f>IFERROR(S117/R117,0)</f>
        <v>0.33333333333333331</v>
      </c>
      <c r="T124" s="220"/>
      <c r="U124" s="312"/>
      <c r="V124" s="312"/>
      <c r="W124" s="312"/>
      <c r="X124" s="220"/>
      <c r="Y124" s="220"/>
      <c r="Z124" s="220"/>
      <c r="AA124" s="679"/>
      <c r="AB124" s="207"/>
      <c r="AC124" s="375"/>
      <c r="AD124" s="680"/>
      <c r="AE124" s="680"/>
      <c r="AF124" s="350"/>
      <c r="AG124" s="681"/>
      <c r="AH124" s="383"/>
      <c r="AI124" s="359"/>
      <c r="AJ124" s="677"/>
      <c r="AK124" s="350"/>
      <c r="AL124" s="350"/>
      <c r="AM124" s="350"/>
      <c r="AN124" s="350"/>
      <c r="AO124" s="350"/>
      <c r="AP124" s="350"/>
      <c r="AQ124" s="350"/>
      <c r="AR124" s="350"/>
      <c r="AS124" s="350"/>
      <c r="AT124" s="350"/>
      <c r="AU124" s="632"/>
      <c r="BN124" s="207"/>
      <c r="BO124" s="219"/>
      <c r="BP124" s="347"/>
      <c r="BQ124" s="311" t="s">
        <v>129</v>
      </c>
      <c r="BR124" s="542">
        <f t="shared" si="20"/>
        <v>0.15333333333333335</v>
      </c>
      <c r="BS124" s="543" t="e">
        <f t="shared" si="20"/>
        <v>#N/A</v>
      </c>
      <c r="BT124" s="543" t="e">
        <f t="shared" si="20"/>
        <v>#N/A</v>
      </c>
      <c r="BU124" s="544" t="e">
        <f t="shared" si="20"/>
        <v>#N/A</v>
      </c>
      <c r="BV124" s="350"/>
      <c r="BW124" s="350"/>
      <c r="BX124" s="373"/>
      <c r="BY124" s="209"/>
    </row>
    <row r="125" spans="2:77" ht="17.25" thickBot="1" x14ac:dyDescent="0.35">
      <c r="D125" s="226"/>
      <c r="E125" s="234" t="s">
        <v>53</v>
      </c>
      <c r="F125" s="340">
        <f>IFERROR(F118/$F$120,0)</f>
        <v>0.25</v>
      </c>
      <c r="G125" s="220"/>
      <c r="H125" s="312"/>
      <c r="I125" s="312"/>
      <c r="J125" s="312"/>
      <c r="K125" s="220"/>
      <c r="L125" s="220"/>
      <c r="M125" s="220"/>
      <c r="N125" s="220"/>
      <c r="O125" s="679"/>
      <c r="P125" s="206"/>
      <c r="Q125" s="226"/>
      <c r="R125" s="234" t="s">
        <v>53</v>
      </c>
      <c r="S125" s="340">
        <f>IFERROR(S118/R118,0)</f>
        <v>0.25</v>
      </c>
      <c r="T125" s="220"/>
      <c r="U125" s="312"/>
      <c r="V125" s="312"/>
      <c r="W125" s="312"/>
      <c r="X125" s="220"/>
      <c r="Y125" s="220"/>
      <c r="Z125" s="220"/>
      <c r="AA125" s="679"/>
      <c r="AB125" s="207"/>
      <c r="AC125" s="307" t="s">
        <v>78</v>
      </c>
      <c r="AD125" s="308" t="s">
        <v>66</v>
      </c>
      <c r="AE125" s="520"/>
      <c r="AF125" s="878" t="s">
        <v>47</v>
      </c>
      <c r="AG125" s="879"/>
      <c r="AH125" s="879"/>
      <c r="AI125" s="880"/>
      <c r="AJ125" s="677"/>
      <c r="AK125" s="350"/>
      <c r="AL125" s="350"/>
      <c r="AM125" s="350"/>
      <c r="AN125" s="350"/>
      <c r="AO125" s="350"/>
      <c r="AP125" s="350"/>
      <c r="AQ125" s="350"/>
      <c r="AR125" s="350"/>
      <c r="AS125" s="350"/>
      <c r="AT125" s="350"/>
      <c r="AU125" s="632"/>
      <c r="BN125" s="207"/>
      <c r="BO125" s="682"/>
      <c r="BP125" s="683"/>
      <c r="BQ125" s="311" t="s">
        <v>145</v>
      </c>
      <c r="BR125" s="547">
        <f t="shared" si="20"/>
        <v>0.21533333333333332</v>
      </c>
      <c r="BS125" s="548" t="e">
        <f t="shared" si="20"/>
        <v>#N/A</v>
      </c>
      <c r="BT125" s="548" t="e">
        <f t="shared" si="20"/>
        <v>#N/A</v>
      </c>
      <c r="BU125" s="549" t="e">
        <f t="shared" si="20"/>
        <v>#N/A</v>
      </c>
      <c r="BV125" s="350"/>
      <c r="BW125" s="350"/>
      <c r="BX125" s="373"/>
      <c r="BY125" s="209"/>
    </row>
    <row r="126" spans="2:77" ht="17.25" thickBot="1" x14ac:dyDescent="0.35">
      <c r="D126" s="226"/>
      <c r="E126" s="254" t="s">
        <v>495</v>
      </c>
      <c r="F126" s="349">
        <f>IFERROR(F119/$F$120,0)</f>
        <v>0.25</v>
      </c>
      <c r="G126" s="220"/>
      <c r="H126" s="312"/>
      <c r="I126" s="312"/>
      <c r="J126" s="312"/>
      <c r="K126" s="220"/>
      <c r="L126" s="220"/>
      <c r="M126" s="220"/>
      <c r="N126" s="220"/>
      <c r="O126" s="679"/>
      <c r="P126" s="206"/>
      <c r="Q126" s="226"/>
      <c r="R126" s="254" t="s">
        <v>495</v>
      </c>
      <c r="S126" s="349">
        <f>IFERROR(S119/R119,0)</f>
        <v>0.25</v>
      </c>
      <c r="T126" s="220"/>
      <c r="U126" s="312"/>
      <c r="V126" s="312"/>
      <c r="W126" s="312"/>
      <c r="X126" s="220"/>
      <c r="Y126" s="220"/>
      <c r="Z126" s="220"/>
      <c r="AA126" s="679"/>
      <c r="AB126" s="207"/>
      <c r="AC126" s="399" t="s">
        <v>111</v>
      </c>
      <c r="AD126" s="591">
        <f>AF53</f>
        <v>0.9978426000940519</v>
      </c>
      <c r="AE126" s="220"/>
      <c r="AF126" s="281">
        <v>0</v>
      </c>
      <c r="AG126" s="282">
        <v>0.5</v>
      </c>
      <c r="AH126" s="282">
        <v>0.75</v>
      </c>
      <c r="AI126" s="283">
        <v>1.01</v>
      </c>
      <c r="AJ126" s="677"/>
      <c r="AK126" s="350"/>
      <c r="AL126" s="350"/>
      <c r="AM126" s="350"/>
      <c r="AN126" s="350"/>
      <c r="AO126" s="350"/>
      <c r="AP126" s="350"/>
      <c r="AQ126" s="350"/>
      <c r="AR126" s="350"/>
      <c r="AS126" s="350"/>
      <c r="AT126" s="350"/>
      <c r="AU126" s="632"/>
      <c r="BN126" s="207"/>
      <c r="BO126" s="372"/>
      <c r="BP126" s="350"/>
      <c r="BQ126" s="684"/>
      <c r="BR126" s="685"/>
      <c r="BS126" s="685"/>
      <c r="BT126" s="685"/>
      <c r="BU126" s="685"/>
      <c r="BV126" s="350"/>
      <c r="BW126" s="350"/>
      <c r="BX126" s="373"/>
      <c r="BY126" s="209"/>
    </row>
    <row r="127" spans="2:77" ht="17.25" thickBot="1" x14ac:dyDescent="0.35">
      <c r="D127" s="226"/>
      <c r="E127" s="287" t="s">
        <v>67</v>
      </c>
      <c r="F127" s="357">
        <f>IFERROR(SUM(F123:F125),0)</f>
        <v>0.75</v>
      </c>
      <c r="G127" s="220"/>
      <c r="H127" s="220"/>
      <c r="I127" s="220"/>
      <c r="J127" s="220"/>
      <c r="K127" s="220"/>
      <c r="L127" s="344"/>
      <c r="M127" s="344"/>
      <c r="N127" s="344"/>
      <c r="O127" s="686"/>
      <c r="P127" s="206"/>
      <c r="Q127" s="219"/>
      <c r="R127" s="287" t="s">
        <v>67</v>
      </c>
      <c r="S127" s="687">
        <f>IFERROR(S120/R120,0)</f>
        <v>0.75</v>
      </c>
      <c r="T127" s="220"/>
      <c r="U127" s="220"/>
      <c r="V127" s="220"/>
      <c r="W127" s="220"/>
      <c r="X127" s="220"/>
      <c r="Y127" s="344"/>
      <c r="Z127" s="344"/>
      <c r="AA127" s="686"/>
      <c r="AB127" s="207"/>
      <c r="AC127" s="688" t="s">
        <v>103</v>
      </c>
      <c r="AD127" s="689">
        <f>AH53</f>
        <v>1.0909398528043315</v>
      </c>
      <c r="AE127" s="220"/>
      <c r="AF127" s="523">
        <v>0.499</v>
      </c>
      <c r="AG127" s="524">
        <v>0.749</v>
      </c>
      <c r="AH127" s="524">
        <v>1</v>
      </c>
      <c r="AI127" s="525">
        <v>3</v>
      </c>
      <c r="AJ127" s="677"/>
      <c r="AK127" s="350"/>
      <c r="AL127" s="350"/>
      <c r="AM127" s="350"/>
      <c r="AN127" s="350"/>
      <c r="AO127" s="350"/>
      <c r="AP127" s="350"/>
      <c r="AQ127" s="350"/>
      <c r="AR127" s="350"/>
      <c r="AS127" s="350"/>
      <c r="AT127" s="350"/>
      <c r="AU127" s="632"/>
      <c r="BN127" s="207"/>
      <c r="BO127" s="690"/>
      <c r="BP127" s="666"/>
      <c r="BQ127" s="691"/>
      <c r="BR127" s="692"/>
      <c r="BS127" s="692"/>
      <c r="BT127" s="692"/>
      <c r="BU127" s="692"/>
      <c r="BV127" s="666"/>
      <c r="BW127" s="666"/>
      <c r="BX127" s="693"/>
      <c r="BY127" s="209"/>
    </row>
    <row r="128" spans="2:77" ht="17.25" thickBot="1" x14ac:dyDescent="0.35">
      <c r="D128" s="226"/>
      <c r="E128" s="227"/>
      <c r="F128" s="220"/>
      <c r="G128" s="312"/>
      <c r="H128" s="312"/>
      <c r="I128" s="312"/>
      <c r="J128" s="243"/>
      <c r="K128" s="243"/>
      <c r="L128" s="243"/>
      <c r="M128" s="243"/>
      <c r="N128" s="243"/>
      <c r="O128" s="296"/>
      <c r="P128" s="206"/>
      <c r="Q128" s="226"/>
      <c r="R128" s="227"/>
      <c r="S128" s="220"/>
      <c r="T128" s="312"/>
      <c r="U128" s="312"/>
      <c r="V128" s="312"/>
      <c r="W128" s="312"/>
      <c r="X128" s="243"/>
      <c r="Y128" s="243"/>
      <c r="Z128" s="243"/>
      <c r="AA128" s="296"/>
      <c r="AB128" s="207"/>
      <c r="AC128" s="688" t="s">
        <v>112</v>
      </c>
      <c r="AD128" s="689">
        <f>AI53</f>
        <v>1</v>
      </c>
      <c r="AE128" s="220"/>
      <c r="AF128" s="528" t="s">
        <v>68</v>
      </c>
      <c r="AG128" s="529" t="s">
        <v>69</v>
      </c>
      <c r="AH128" s="530" t="s">
        <v>70</v>
      </c>
      <c r="AI128" s="531" t="s">
        <v>71</v>
      </c>
      <c r="AJ128" s="694" t="s">
        <v>59</v>
      </c>
      <c r="AK128" s="350"/>
      <c r="AL128" s="350"/>
      <c r="AM128" s="350"/>
      <c r="AN128" s="350"/>
      <c r="AO128" s="350"/>
      <c r="AP128" s="350"/>
      <c r="AQ128" s="350"/>
      <c r="AR128" s="350"/>
      <c r="AS128" s="350"/>
      <c r="AT128" s="350"/>
      <c r="AU128" s="632"/>
      <c r="BN128" s="207"/>
      <c r="BO128" s="695"/>
      <c r="BP128" s="695"/>
      <c r="BQ128" s="695"/>
      <c r="BR128" s="696"/>
      <c r="BS128" s="696"/>
      <c r="BT128" s="696"/>
      <c r="BU128" s="696"/>
      <c r="BV128" s="695"/>
      <c r="BW128" s="695"/>
      <c r="BX128" s="695"/>
      <c r="BY128" s="210"/>
    </row>
    <row r="129" spans="4:77" ht="18" customHeight="1" thickBot="1" x14ac:dyDescent="0.35">
      <c r="D129" s="226"/>
      <c r="E129" s="227"/>
      <c r="F129" s="220"/>
      <c r="G129" s="312"/>
      <c r="H129" s="312"/>
      <c r="I129" s="312"/>
      <c r="J129" s="243"/>
      <c r="K129" s="243"/>
      <c r="L129" s="243"/>
      <c r="M129" s="243"/>
      <c r="N129" s="243"/>
      <c r="O129" s="296"/>
      <c r="P129" s="206"/>
      <c r="Q129" s="226"/>
      <c r="R129" s="227"/>
      <c r="S129" s="220"/>
      <c r="T129" s="312"/>
      <c r="U129" s="312"/>
      <c r="V129" s="312"/>
      <c r="W129" s="312"/>
      <c r="X129" s="243"/>
      <c r="Y129" s="243"/>
      <c r="Z129" s="243"/>
      <c r="AA129" s="296"/>
      <c r="AB129" s="207"/>
      <c r="AC129" s="688" t="s">
        <v>115</v>
      </c>
      <c r="AD129" s="689">
        <f>AF58</f>
        <v>1.0136285772627209</v>
      </c>
      <c r="AE129" s="311" t="s">
        <v>126</v>
      </c>
      <c r="AF129" s="534" t="e">
        <f t="shared" ref="AF129:AI134" si="21">IF($AD126&gt;=AF$126,IF($AD126&lt;=AF$127,$AD126,NA()),NA())</f>
        <v>#N/A</v>
      </c>
      <c r="AG129" s="535" t="e">
        <f t="shared" si="21"/>
        <v>#N/A</v>
      </c>
      <c r="AH129" s="535">
        <f t="shared" si="21"/>
        <v>0.9978426000940519</v>
      </c>
      <c r="AI129" s="536" t="e">
        <f t="shared" si="21"/>
        <v>#N/A</v>
      </c>
      <c r="AJ129" s="697">
        <v>1</v>
      </c>
      <c r="AK129" s="350"/>
      <c r="AL129" s="350"/>
      <c r="AM129" s="350"/>
      <c r="AN129" s="350"/>
      <c r="AO129" s="350"/>
      <c r="AP129" s="350"/>
      <c r="AQ129" s="350"/>
      <c r="AR129" s="350"/>
      <c r="AS129" s="350"/>
      <c r="AT129" s="350"/>
      <c r="AU129" s="632"/>
      <c r="BN129" s="632"/>
      <c r="BY129" s="698"/>
    </row>
    <row r="130" spans="4:77" ht="21" thickBot="1" x14ac:dyDescent="0.35">
      <c r="D130" s="884" t="s">
        <v>133</v>
      </c>
      <c r="E130" s="885"/>
      <c r="F130" s="885"/>
      <c r="G130" s="885"/>
      <c r="H130" s="885"/>
      <c r="I130" s="885"/>
      <c r="J130" s="885"/>
      <c r="K130" s="885"/>
      <c r="L130" s="885"/>
      <c r="M130" s="885"/>
      <c r="N130" s="885"/>
      <c r="O130" s="886"/>
      <c r="P130" s="206"/>
      <c r="Q130" s="858" t="s">
        <v>133</v>
      </c>
      <c r="R130" s="859"/>
      <c r="S130" s="859"/>
      <c r="T130" s="859"/>
      <c r="U130" s="859"/>
      <c r="V130" s="859"/>
      <c r="W130" s="859"/>
      <c r="X130" s="859"/>
      <c r="Y130" s="859"/>
      <c r="Z130" s="859"/>
      <c r="AA130" s="860"/>
      <c r="AB130" s="207"/>
      <c r="AC130" s="688" t="s">
        <v>502</v>
      </c>
      <c r="AD130" s="699">
        <f>AH57</f>
        <v>0.76924328068043735</v>
      </c>
      <c r="AE130" s="311" t="s">
        <v>127</v>
      </c>
      <c r="AF130" s="542" t="e">
        <f t="shared" si="21"/>
        <v>#N/A</v>
      </c>
      <c r="AG130" s="543" t="e">
        <f t="shared" si="21"/>
        <v>#N/A</v>
      </c>
      <c r="AH130" s="543" t="e">
        <f t="shared" si="21"/>
        <v>#N/A</v>
      </c>
      <c r="AI130" s="544">
        <f t="shared" si="21"/>
        <v>1.0909398528043315</v>
      </c>
      <c r="AJ130" s="697">
        <v>1</v>
      </c>
      <c r="AK130" s="350"/>
      <c r="AL130" s="350"/>
      <c r="AM130" s="350"/>
      <c r="AN130" s="350"/>
      <c r="AO130" s="350"/>
      <c r="AP130" s="350"/>
      <c r="AQ130" s="350"/>
      <c r="AR130" s="350"/>
      <c r="AS130" s="350"/>
      <c r="AT130" s="350"/>
      <c r="AU130" s="632"/>
      <c r="BN130" s="632"/>
      <c r="BY130" s="698"/>
    </row>
    <row r="131" spans="4:77" ht="17.25" thickBot="1" x14ac:dyDescent="0.35">
      <c r="D131" s="226"/>
      <c r="E131" s="227"/>
      <c r="F131" s="220"/>
      <c r="G131" s="312"/>
      <c r="H131" s="312"/>
      <c r="I131" s="312"/>
      <c r="J131" s="243"/>
      <c r="K131" s="243"/>
      <c r="L131" s="243"/>
      <c r="M131" s="243"/>
      <c r="N131" s="243"/>
      <c r="O131" s="296"/>
      <c r="P131" s="206"/>
      <c r="Q131" s="223"/>
      <c r="R131" s="228" t="s">
        <v>44</v>
      </c>
      <c r="S131" s="229" t="s">
        <v>45</v>
      </c>
      <c r="T131" s="220"/>
      <c r="U131" s="220"/>
      <c r="V131" s="220"/>
      <c r="W131" s="220"/>
      <c r="X131" s="220"/>
      <c r="Y131" s="243"/>
      <c r="Z131" s="243"/>
      <c r="AA131" s="296"/>
      <c r="AB131" s="207"/>
      <c r="AC131" s="410" t="s">
        <v>152</v>
      </c>
      <c r="AD131" s="700">
        <f>AI57</f>
        <v>1</v>
      </c>
      <c r="AE131" s="311" t="s">
        <v>128</v>
      </c>
      <c r="AF131" s="542" t="e">
        <f t="shared" si="21"/>
        <v>#N/A</v>
      </c>
      <c r="AG131" s="543" t="e">
        <f t="shared" si="21"/>
        <v>#N/A</v>
      </c>
      <c r="AH131" s="543">
        <f t="shared" si="21"/>
        <v>1</v>
      </c>
      <c r="AI131" s="544" t="e">
        <f t="shared" si="21"/>
        <v>#N/A</v>
      </c>
      <c r="AJ131" s="697">
        <v>1</v>
      </c>
      <c r="AK131" s="350"/>
      <c r="AL131" s="350"/>
      <c r="AM131" s="350"/>
      <c r="AN131" s="350"/>
      <c r="AO131" s="350"/>
      <c r="AP131" s="350"/>
      <c r="AQ131" s="350"/>
      <c r="AR131" s="350"/>
      <c r="AS131" s="350"/>
      <c r="AT131" s="350"/>
      <c r="AU131" s="632"/>
      <c r="BN131" s="632"/>
      <c r="BY131" s="698"/>
    </row>
    <row r="132" spans="4:77" ht="17.25" customHeight="1" thickBot="1" x14ac:dyDescent="0.35">
      <c r="D132" s="226"/>
      <c r="E132" s="230" t="s">
        <v>46</v>
      </c>
      <c r="F132" s="558">
        <f>'2. PRODUCTOS'!$W$74</f>
        <v>1</v>
      </c>
      <c r="G132" s="220"/>
      <c r="H132" s="842" t="s">
        <v>47</v>
      </c>
      <c r="I132" s="843"/>
      <c r="J132" s="843"/>
      <c r="K132" s="844"/>
      <c r="L132" s="243"/>
      <c r="M132" s="243"/>
      <c r="N132" s="243"/>
      <c r="O132" s="296"/>
      <c r="P132" s="206"/>
      <c r="Q132" s="230" t="s">
        <v>46</v>
      </c>
      <c r="R132" s="233">
        <f>'2. PRODUCTOS'!$G$74</f>
        <v>1</v>
      </c>
      <c r="S132" s="233">
        <f>'2. PRODUCTOS'!$W$74</f>
        <v>1</v>
      </c>
      <c r="T132" s="220"/>
      <c r="U132" s="842" t="s">
        <v>47</v>
      </c>
      <c r="V132" s="843"/>
      <c r="W132" s="843"/>
      <c r="X132" s="844"/>
      <c r="Y132" s="243"/>
      <c r="Z132" s="243"/>
      <c r="AA132" s="296"/>
      <c r="AB132" s="207"/>
      <c r="AC132" s="219"/>
      <c r="AD132" s="474"/>
      <c r="AE132" s="311" t="s">
        <v>129</v>
      </c>
      <c r="AF132" s="542" t="e">
        <f t="shared" si="21"/>
        <v>#N/A</v>
      </c>
      <c r="AG132" s="543" t="e">
        <f t="shared" si="21"/>
        <v>#N/A</v>
      </c>
      <c r="AH132" s="543" t="e">
        <f t="shared" si="21"/>
        <v>#N/A</v>
      </c>
      <c r="AI132" s="544">
        <f t="shared" si="21"/>
        <v>1.0136285772627209</v>
      </c>
      <c r="AJ132" s="697">
        <v>1</v>
      </c>
      <c r="AK132" s="350"/>
      <c r="AL132" s="350"/>
      <c r="AM132" s="350"/>
      <c r="AN132" s="350"/>
      <c r="AO132" s="350"/>
      <c r="AP132" s="350"/>
      <c r="AQ132" s="350"/>
      <c r="AR132" s="350"/>
      <c r="AS132" s="350"/>
      <c r="AT132" s="350"/>
      <c r="AU132" s="632"/>
      <c r="BN132" s="632"/>
      <c r="BY132" s="698"/>
    </row>
    <row r="133" spans="4:77" ht="20.25" customHeight="1" x14ac:dyDescent="0.3">
      <c r="D133" s="226"/>
      <c r="E133" s="234" t="s">
        <v>52</v>
      </c>
      <c r="F133" s="564">
        <f>'2. PRODUCTOS'!$AJ$74</f>
        <v>2</v>
      </c>
      <c r="G133" s="220"/>
      <c r="H133" s="236">
        <v>0</v>
      </c>
      <c r="I133" s="236">
        <v>0.5</v>
      </c>
      <c r="J133" s="236">
        <v>0.75</v>
      </c>
      <c r="K133" s="236">
        <v>1.0009999999999999</v>
      </c>
      <c r="L133" s="243"/>
      <c r="M133" s="243"/>
      <c r="N133" s="243"/>
      <c r="O133" s="296"/>
      <c r="P133" s="206"/>
      <c r="Q133" s="234" t="s">
        <v>52</v>
      </c>
      <c r="R133" s="237">
        <f>'2. PRODUCTOS'!$H$74</f>
        <v>2</v>
      </c>
      <c r="S133" s="237">
        <f>'2. PRODUCTOS'!$AJ$74</f>
        <v>2</v>
      </c>
      <c r="T133" s="220"/>
      <c r="U133" s="236">
        <v>0</v>
      </c>
      <c r="V133" s="236">
        <v>0.5</v>
      </c>
      <c r="W133" s="236">
        <v>0.75</v>
      </c>
      <c r="X133" s="236">
        <v>1.0009999999999999</v>
      </c>
      <c r="Y133" s="243"/>
      <c r="Z133" s="243"/>
      <c r="AA133" s="296"/>
      <c r="AB133" s="207"/>
      <c r="AC133" s="219"/>
      <c r="AD133" s="474"/>
      <c r="AE133" s="311" t="s">
        <v>145</v>
      </c>
      <c r="AF133" s="542" t="e">
        <f t="shared" si="21"/>
        <v>#N/A</v>
      </c>
      <c r="AG133" s="543" t="e">
        <f t="shared" si="21"/>
        <v>#N/A</v>
      </c>
      <c r="AH133" s="543">
        <f t="shared" si="21"/>
        <v>0.76924328068043735</v>
      </c>
      <c r="AI133" s="544" t="e">
        <f t="shared" si="21"/>
        <v>#N/A</v>
      </c>
      <c r="AJ133" s="697">
        <v>1</v>
      </c>
      <c r="AK133" s="350"/>
      <c r="AL133" s="350"/>
      <c r="AM133" s="350"/>
      <c r="AN133" s="350"/>
      <c r="AO133" s="350"/>
      <c r="AP133" s="350"/>
      <c r="AQ133" s="350"/>
      <c r="AR133" s="350"/>
      <c r="AS133" s="350"/>
      <c r="AT133" s="350"/>
      <c r="AU133" s="632"/>
      <c r="BN133" s="632"/>
      <c r="BO133" s="659"/>
      <c r="BP133" s="659"/>
      <c r="BQ133" s="659"/>
      <c r="BR133" s="659"/>
      <c r="BS133" s="659"/>
      <c r="BT133" s="659"/>
      <c r="BU133" s="659"/>
      <c r="BV133" s="659"/>
      <c r="BW133" s="659"/>
      <c r="BX133" s="659"/>
      <c r="BY133" s="698"/>
    </row>
    <row r="134" spans="4:77" ht="15.75" customHeight="1" thickBot="1" x14ac:dyDescent="0.35">
      <c r="D134" s="226"/>
      <c r="E134" s="234" t="s">
        <v>53</v>
      </c>
      <c r="F134" s="564">
        <f>'2. PRODUCTOS'!$AW$74</f>
        <v>3</v>
      </c>
      <c r="G134" s="220"/>
      <c r="H134" s="238">
        <v>0.499</v>
      </c>
      <c r="I134" s="238">
        <v>0.749</v>
      </c>
      <c r="J134" s="238">
        <v>1</v>
      </c>
      <c r="K134" s="238">
        <v>4</v>
      </c>
      <c r="L134" s="243"/>
      <c r="M134" s="243"/>
      <c r="N134" s="243"/>
      <c r="O134" s="296"/>
      <c r="P134" s="206"/>
      <c r="Q134" s="234" t="s">
        <v>53</v>
      </c>
      <c r="R134" s="237">
        <f>'2. PRODUCTOS'!$I$74</f>
        <v>3</v>
      </c>
      <c r="S134" s="237">
        <f>'2. PRODUCTOS'!$AW$74</f>
        <v>3</v>
      </c>
      <c r="T134" s="220"/>
      <c r="U134" s="238">
        <v>0.499</v>
      </c>
      <c r="V134" s="238">
        <v>0.749</v>
      </c>
      <c r="W134" s="238">
        <v>1</v>
      </c>
      <c r="X134" s="238">
        <v>4</v>
      </c>
      <c r="Y134" s="243"/>
      <c r="Z134" s="243"/>
      <c r="AA134" s="296"/>
      <c r="AB134" s="207"/>
      <c r="AC134" s="350"/>
      <c r="AD134" s="701"/>
      <c r="AE134" s="702" t="s">
        <v>152</v>
      </c>
      <c r="AF134" s="547" t="e">
        <f t="shared" si="21"/>
        <v>#N/A</v>
      </c>
      <c r="AG134" s="548" t="e">
        <f t="shared" si="21"/>
        <v>#N/A</v>
      </c>
      <c r="AH134" s="548">
        <f t="shared" si="21"/>
        <v>1</v>
      </c>
      <c r="AI134" s="549" t="e">
        <f t="shared" si="21"/>
        <v>#N/A</v>
      </c>
      <c r="AJ134" s="697">
        <v>1</v>
      </c>
      <c r="AK134" s="350"/>
      <c r="AL134" s="350"/>
      <c r="AM134" s="350"/>
      <c r="AN134" s="350"/>
      <c r="AO134" s="350"/>
      <c r="AP134" s="350"/>
      <c r="AQ134" s="350"/>
      <c r="AR134" s="350"/>
      <c r="AS134" s="350"/>
      <c r="AT134" s="350"/>
      <c r="AU134" s="632"/>
      <c r="BN134" s="632"/>
      <c r="BO134" s="350"/>
      <c r="BP134" s="350"/>
      <c r="BQ134" s="350"/>
      <c r="BR134" s="350"/>
      <c r="BS134" s="350"/>
      <c r="BT134" s="350"/>
      <c r="BU134" s="350"/>
      <c r="BV134" s="350"/>
      <c r="BW134" s="350"/>
      <c r="BX134" s="350"/>
      <c r="BY134" s="698"/>
    </row>
    <row r="135" spans="4:77" ht="17.25" customHeight="1" thickBot="1" x14ac:dyDescent="0.35">
      <c r="D135" s="226"/>
      <c r="E135" s="254" t="s">
        <v>495</v>
      </c>
      <c r="F135" s="568">
        <f>'2. PRODUCTOS'!$BJ$74</f>
        <v>0</v>
      </c>
      <c r="G135" s="220"/>
      <c r="H135" s="256" t="s">
        <v>68</v>
      </c>
      <c r="I135" s="257" t="s">
        <v>69</v>
      </c>
      <c r="J135" s="258" t="s">
        <v>70</v>
      </c>
      <c r="K135" s="259" t="s">
        <v>71</v>
      </c>
      <c r="L135" s="243"/>
      <c r="M135" s="243"/>
      <c r="N135" s="243"/>
      <c r="O135" s="296"/>
      <c r="P135" s="206"/>
      <c r="Q135" s="254" t="s">
        <v>495</v>
      </c>
      <c r="R135" s="260">
        <f>'2. PRODUCTOS'!$J$74</f>
        <v>3</v>
      </c>
      <c r="S135" s="386">
        <f>'2. PRODUCTOS'!$BJ$74</f>
        <v>0</v>
      </c>
      <c r="T135" s="220"/>
      <c r="U135" s="262" t="s">
        <v>68</v>
      </c>
      <c r="V135" s="263" t="s">
        <v>69</v>
      </c>
      <c r="W135" s="264" t="s">
        <v>70</v>
      </c>
      <c r="X135" s="265" t="s">
        <v>71</v>
      </c>
      <c r="Y135" s="243"/>
      <c r="Z135" s="243"/>
      <c r="AA135" s="296"/>
      <c r="AB135" s="207"/>
      <c r="AC135" s="350"/>
      <c r="AD135" s="703"/>
      <c r="AE135" s="676"/>
      <c r="AF135" s="350"/>
      <c r="AG135" s="557"/>
      <c r="AH135" s="350"/>
      <c r="AI135" s="350"/>
      <c r="AJ135" s="677"/>
      <c r="AK135" s="350"/>
      <c r="AL135" s="350"/>
      <c r="AM135" s="350"/>
      <c r="AN135" s="350"/>
      <c r="AO135" s="350"/>
      <c r="AP135" s="350"/>
      <c r="AQ135" s="350"/>
      <c r="AR135" s="350"/>
      <c r="AS135" s="350"/>
      <c r="AT135" s="350"/>
      <c r="AU135" s="632"/>
      <c r="BN135" s="632"/>
      <c r="BO135" s="351"/>
      <c r="BP135" s="351"/>
      <c r="BQ135" s="351"/>
      <c r="BR135" s="351"/>
      <c r="BS135" s="351"/>
      <c r="BT135" s="351"/>
      <c r="BU135" s="351"/>
      <c r="BV135" s="351"/>
      <c r="BW135" s="351"/>
      <c r="BX135" s="351"/>
      <c r="BY135" s="698"/>
    </row>
    <row r="136" spans="4:77" ht="17.25" customHeight="1" thickBot="1" x14ac:dyDescent="0.35">
      <c r="D136" s="226"/>
      <c r="E136" s="284" t="s">
        <v>67</v>
      </c>
      <c r="F136" s="463">
        <f>'2. PRODUCTOS'!$E$74</f>
        <v>3</v>
      </c>
      <c r="G136" s="220"/>
      <c r="H136" s="286" t="e">
        <f>IF($F142&gt;=H133,IF($F142&lt;=H134,$F142,NA()),NA())</f>
        <v>#N/A</v>
      </c>
      <c r="I136" s="286" t="e">
        <f>IF($F142&gt;=I133,IF($F142&lt;=I134,$F142,NA()),NA())</f>
        <v>#N/A</v>
      </c>
      <c r="J136" s="286" t="e">
        <f>IF($F142&gt;=J133,IF($F142&lt;=J134,$F142,NA()),NA())</f>
        <v>#N/A</v>
      </c>
      <c r="K136" s="286">
        <f>IF($F142&gt;=K133,IF($F142&lt;=K134,$F142,NA()),NA())</f>
        <v>2</v>
      </c>
      <c r="L136" s="243"/>
      <c r="M136" s="243"/>
      <c r="N136" s="243"/>
      <c r="O136" s="296"/>
      <c r="P136" s="206"/>
      <c r="Q136" s="284" t="s">
        <v>67</v>
      </c>
      <c r="R136" s="463">
        <f>'2. PRODUCTOS'!$E$74</f>
        <v>3</v>
      </c>
      <c r="S136" s="288">
        <f>'2. PRODUCTOS'!$BT$74</f>
        <v>3</v>
      </c>
      <c r="T136" s="230" t="s">
        <v>46</v>
      </c>
      <c r="U136" s="704" t="e">
        <f t="shared" ref="U136:X139" si="22">IF($S138&gt;=U$133,IF($S138&lt;=U$134,$S138,NA()),NA())</f>
        <v>#N/A</v>
      </c>
      <c r="V136" s="705" t="e">
        <f t="shared" si="22"/>
        <v>#N/A</v>
      </c>
      <c r="W136" s="705">
        <f t="shared" si="22"/>
        <v>1</v>
      </c>
      <c r="X136" s="706" t="e">
        <f t="shared" si="22"/>
        <v>#N/A</v>
      </c>
      <c r="Y136" s="243"/>
      <c r="Z136" s="243"/>
      <c r="AA136" s="296"/>
      <c r="AB136" s="207"/>
      <c r="AC136" s="350"/>
      <c r="AD136" s="676"/>
      <c r="AE136" s="676"/>
      <c r="AF136" s="350"/>
      <c r="AG136" s="557"/>
      <c r="AH136" s="350"/>
      <c r="AI136" s="350"/>
      <c r="AJ136" s="677"/>
      <c r="AK136" s="350"/>
      <c r="AL136" s="350"/>
      <c r="AM136" s="350"/>
      <c r="AN136" s="350"/>
      <c r="AO136" s="350"/>
      <c r="AP136" s="350"/>
      <c r="AQ136" s="350"/>
      <c r="AR136" s="350"/>
      <c r="AS136" s="350"/>
      <c r="AT136" s="350"/>
      <c r="AU136" s="632"/>
      <c r="BN136" s="632"/>
      <c r="BO136" s="659"/>
      <c r="BP136" s="659"/>
      <c r="BQ136" s="659"/>
      <c r="BR136" s="659"/>
      <c r="BS136" s="659"/>
      <c r="BT136" s="659"/>
      <c r="BU136" s="659"/>
      <c r="BV136" s="659"/>
      <c r="BW136" s="659"/>
      <c r="BX136" s="659"/>
      <c r="BY136" s="698"/>
    </row>
    <row r="137" spans="4:77" ht="21" customHeight="1" thickBot="1" x14ac:dyDescent="0.35">
      <c r="D137" s="226"/>
      <c r="E137" s="220"/>
      <c r="F137" s="220"/>
      <c r="G137" s="220"/>
      <c r="H137" s="220"/>
      <c r="I137" s="220"/>
      <c r="J137" s="220"/>
      <c r="K137" s="220"/>
      <c r="L137" s="243"/>
      <c r="M137" s="243"/>
      <c r="N137" s="243"/>
      <c r="O137" s="296"/>
      <c r="P137" s="206"/>
      <c r="Q137" s="627"/>
      <c r="R137" s="311"/>
      <c r="S137" s="227"/>
      <c r="T137" s="234" t="s">
        <v>52</v>
      </c>
      <c r="U137" s="707" t="e">
        <f t="shared" si="22"/>
        <v>#N/A</v>
      </c>
      <c r="V137" s="708" t="e">
        <f t="shared" si="22"/>
        <v>#N/A</v>
      </c>
      <c r="W137" s="708">
        <f t="shared" si="22"/>
        <v>1</v>
      </c>
      <c r="X137" s="709" t="e">
        <f t="shared" si="22"/>
        <v>#N/A</v>
      </c>
      <c r="Y137" s="243"/>
      <c r="Z137" s="243"/>
      <c r="AA137" s="296"/>
      <c r="AB137" s="207"/>
      <c r="AC137" s="350"/>
      <c r="AD137" s="676"/>
      <c r="AE137" s="676"/>
      <c r="AF137" s="350"/>
      <c r="AG137" s="557"/>
      <c r="AH137" s="350"/>
      <c r="AI137" s="350"/>
      <c r="AJ137" s="677"/>
      <c r="AK137" s="350"/>
      <c r="AL137" s="350"/>
      <c r="AM137" s="350"/>
      <c r="AN137" s="350"/>
      <c r="AO137" s="350"/>
      <c r="AP137" s="350"/>
      <c r="AQ137" s="350"/>
      <c r="AR137" s="350"/>
      <c r="AS137" s="350"/>
      <c r="AT137" s="350"/>
      <c r="AU137" s="632"/>
      <c r="BN137" s="632"/>
      <c r="BO137" s="350"/>
      <c r="BP137" s="350"/>
      <c r="BQ137" s="350"/>
      <c r="BR137" s="710"/>
      <c r="BS137" s="710"/>
      <c r="BT137" s="710"/>
      <c r="BU137" s="710"/>
      <c r="BV137" s="350"/>
      <c r="BW137" s="350"/>
      <c r="BX137" s="350"/>
      <c r="BY137" s="698"/>
    </row>
    <row r="138" spans="4:77" x14ac:dyDescent="0.3">
      <c r="D138" s="226"/>
      <c r="E138" s="230" t="s">
        <v>46</v>
      </c>
      <c r="F138" s="328">
        <f>IFERROR(F132/$F$136,0)</f>
        <v>0.33333333333333331</v>
      </c>
      <c r="G138" s="220"/>
      <c r="H138" s="312"/>
      <c r="I138" s="312"/>
      <c r="J138" s="312"/>
      <c r="K138" s="220"/>
      <c r="L138" s="243"/>
      <c r="M138" s="243"/>
      <c r="N138" s="243"/>
      <c r="O138" s="296"/>
      <c r="P138" s="206"/>
      <c r="Q138" s="219"/>
      <c r="R138" s="615" t="s">
        <v>46</v>
      </c>
      <c r="S138" s="328">
        <f>IFERROR(S132/R132,0)</f>
        <v>1</v>
      </c>
      <c r="T138" s="234" t="s">
        <v>53</v>
      </c>
      <c r="U138" s="707" t="e">
        <f t="shared" si="22"/>
        <v>#N/A</v>
      </c>
      <c r="V138" s="708" t="e">
        <f t="shared" si="22"/>
        <v>#N/A</v>
      </c>
      <c r="W138" s="708">
        <f t="shared" si="22"/>
        <v>1</v>
      </c>
      <c r="X138" s="709" t="e">
        <f t="shared" si="22"/>
        <v>#N/A</v>
      </c>
      <c r="Y138" s="243"/>
      <c r="Z138" s="243"/>
      <c r="AA138" s="296"/>
      <c r="AB138" s="207"/>
      <c r="AC138" s="350"/>
      <c r="AD138" s="676"/>
      <c r="AE138" s="676"/>
      <c r="AF138" s="350"/>
      <c r="AG138" s="557"/>
      <c r="AH138" s="350"/>
      <c r="AI138" s="350"/>
      <c r="AJ138" s="677"/>
      <c r="AK138" s="350"/>
      <c r="AL138" s="350"/>
      <c r="AM138" s="350"/>
      <c r="AN138" s="350"/>
      <c r="AO138" s="350"/>
      <c r="AP138" s="350"/>
      <c r="AQ138" s="350"/>
      <c r="AR138" s="350"/>
      <c r="AS138" s="350"/>
      <c r="AT138" s="350"/>
      <c r="AU138" s="632"/>
      <c r="BN138" s="632"/>
      <c r="BO138" s="350"/>
      <c r="BP138" s="350"/>
      <c r="BQ138" s="350"/>
      <c r="BR138" s="710"/>
      <c r="BS138" s="710"/>
      <c r="BT138" s="710"/>
      <c r="BU138" s="710"/>
      <c r="BV138" s="350"/>
      <c r="BW138" s="350"/>
      <c r="BX138" s="350"/>
      <c r="BY138" s="698"/>
    </row>
    <row r="139" spans="4:77" ht="17.25" thickBot="1" x14ac:dyDescent="0.35">
      <c r="D139" s="226"/>
      <c r="E139" s="234" t="s">
        <v>52</v>
      </c>
      <c r="F139" s="340">
        <f>IFERROR(F133/$F$136,0)</f>
        <v>0.66666666666666663</v>
      </c>
      <c r="G139" s="220"/>
      <c r="H139" s="312"/>
      <c r="I139" s="312"/>
      <c r="J139" s="312"/>
      <c r="K139" s="220"/>
      <c r="L139" s="243"/>
      <c r="M139" s="243"/>
      <c r="N139" s="243"/>
      <c r="O139" s="296"/>
      <c r="P139" s="206"/>
      <c r="Q139" s="226"/>
      <c r="R139" s="620" t="s">
        <v>52</v>
      </c>
      <c r="S139" s="340">
        <f>IFERROR(S133/R133,0)</f>
        <v>1</v>
      </c>
      <c r="T139" s="254" t="s">
        <v>495</v>
      </c>
      <c r="U139" s="711">
        <f t="shared" si="22"/>
        <v>0</v>
      </c>
      <c r="V139" s="712" t="e">
        <f t="shared" si="22"/>
        <v>#N/A</v>
      </c>
      <c r="W139" s="712" t="e">
        <f t="shared" si="22"/>
        <v>#N/A</v>
      </c>
      <c r="X139" s="713" t="e">
        <f t="shared" si="22"/>
        <v>#N/A</v>
      </c>
      <c r="Y139" s="243"/>
      <c r="Z139" s="243"/>
      <c r="AA139" s="296"/>
      <c r="AB139" s="207"/>
      <c r="AC139" s="375"/>
      <c r="AD139" s="680"/>
      <c r="AE139" s="680"/>
      <c r="AF139" s="350"/>
      <c r="AG139" s="681"/>
      <c r="AH139" s="350"/>
      <c r="AI139" s="350"/>
      <c r="AJ139" s="677"/>
      <c r="AK139" s="350"/>
      <c r="AL139" s="623"/>
      <c r="AM139" s="350"/>
      <c r="AN139" s="384"/>
      <c r="AO139" s="592"/>
      <c r="AP139" s="714"/>
      <c r="AQ139" s="557"/>
      <c r="AR139" s="624"/>
      <c r="AS139" s="350"/>
      <c r="AT139" s="350"/>
      <c r="AU139" s="632"/>
      <c r="BN139" s="632"/>
      <c r="BO139" s="351"/>
      <c r="BP139" s="351"/>
      <c r="BQ139" s="351"/>
      <c r="BR139" s="351"/>
      <c r="BS139" s="351"/>
      <c r="BT139" s="351"/>
      <c r="BU139" s="351"/>
      <c r="BV139" s="350"/>
      <c r="BW139" s="350"/>
      <c r="BX139" s="350"/>
      <c r="BY139" s="698"/>
    </row>
    <row r="140" spans="4:77" ht="17.25" customHeight="1" x14ac:dyDescent="0.3">
      <c r="D140" s="226"/>
      <c r="E140" s="234" t="s">
        <v>53</v>
      </c>
      <c r="F140" s="340">
        <f>IFERROR(F134/$F$136,0)</f>
        <v>1</v>
      </c>
      <c r="G140" s="220"/>
      <c r="H140" s="312"/>
      <c r="I140" s="312"/>
      <c r="J140" s="312"/>
      <c r="K140" s="220"/>
      <c r="L140" s="243"/>
      <c r="M140" s="243"/>
      <c r="N140" s="243"/>
      <c r="O140" s="296"/>
      <c r="P140" s="206"/>
      <c r="Q140" s="226"/>
      <c r="R140" s="620" t="s">
        <v>53</v>
      </c>
      <c r="S140" s="340">
        <f>IFERROR(S134/R134,0)</f>
        <v>1</v>
      </c>
      <c r="T140" s="220"/>
      <c r="U140" s="312"/>
      <c r="V140" s="312"/>
      <c r="W140" s="312"/>
      <c r="X140" s="220"/>
      <c r="Y140" s="243"/>
      <c r="Z140" s="243"/>
      <c r="AA140" s="296"/>
      <c r="AB140" s="207"/>
      <c r="AC140" s="350"/>
      <c r="AD140" s="350"/>
      <c r="AE140" s="350"/>
      <c r="AF140" s="350"/>
      <c r="AG140" s="350"/>
      <c r="AH140" s="350"/>
      <c r="AI140" s="350"/>
      <c r="AJ140" s="677"/>
      <c r="AK140" s="350"/>
      <c r="AL140" s="623"/>
      <c r="AM140" s="350"/>
      <c r="AN140" s="384"/>
      <c r="AO140" s="384"/>
      <c r="AP140" s="350"/>
      <c r="AQ140" s="557"/>
      <c r="AR140" s="624"/>
      <c r="AS140" s="350"/>
      <c r="AT140" s="350"/>
      <c r="AU140" s="632"/>
      <c r="BN140" s="632"/>
      <c r="BO140" s="350"/>
      <c r="BP140" s="350"/>
      <c r="BQ140" s="350"/>
      <c r="BR140" s="710"/>
      <c r="BS140" s="710"/>
      <c r="BT140" s="710"/>
      <c r="BU140" s="710"/>
      <c r="BV140" s="350"/>
      <c r="BW140" s="350"/>
      <c r="BX140" s="350"/>
      <c r="BY140" s="698"/>
    </row>
    <row r="141" spans="4:77" ht="17.25" customHeight="1" thickBot="1" x14ac:dyDescent="0.35">
      <c r="D141" s="226"/>
      <c r="E141" s="254" t="s">
        <v>495</v>
      </c>
      <c r="F141" s="349">
        <f>IFERROR(F135/$F$136,0)</f>
        <v>0</v>
      </c>
      <c r="G141" s="220"/>
      <c r="H141" s="312"/>
      <c r="I141" s="312"/>
      <c r="J141" s="312"/>
      <c r="K141" s="220"/>
      <c r="L141" s="243"/>
      <c r="M141" s="243"/>
      <c r="N141" s="243"/>
      <c r="O141" s="296"/>
      <c r="P141" s="206"/>
      <c r="Q141" s="226"/>
      <c r="R141" s="630" t="s">
        <v>495</v>
      </c>
      <c r="S141" s="349">
        <f>IFERROR(S135/R135,0)</f>
        <v>0</v>
      </c>
      <c r="T141" s="220"/>
      <c r="U141" s="312"/>
      <c r="V141" s="312"/>
      <c r="W141" s="312"/>
      <c r="X141" s="220"/>
      <c r="Y141" s="243"/>
      <c r="Z141" s="243"/>
      <c r="AA141" s="296"/>
      <c r="AB141" s="207"/>
      <c r="AC141" s="350"/>
      <c r="AD141" s="350"/>
      <c r="AE141" s="350"/>
      <c r="AF141" s="350"/>
      <c r="AG141" s="350"/>
      <c r="AH141" s="350"/>
      <c r="AI141" s="350"/>
      <c r="AJ141" s="677"/>
      <c r="AK141" s="350"/>
      <c r="AL141" s="623"/>
      <c r="AM141" s="393"/>
      <c r="AN141" s="393"/>
      <c r="AO141" s="393"/>
      <c r="AP141" s="368"/>
      <c r="AQ141" s="382"/>
      <c r="AR141" s="382"/>
      <c r="AS141" s="350"/>
      <c r="AT141" s="350"/>
      <c r="AU141" s="632"/>
      <c r="BN141" s="632"/>
      <c r="BO141" s="350"/>
      <c r="BP141" s="350"/>
      <c r="BQ141" s="350"/>
      <c r="BR141" s="710"/>
      <c r="BS141" s="710"/>
      <c r="BT141" s="710"/>
      <c r="BU141" s="710"/>
      <c r="BV141" s="350"/>
      <c r="BW141" s="350"/>
      <c r="BX141" s="350"/>
      <c r="BY141" s="698"/>
    </row>
    <row r="142" spans="4:77" ht="17.25" thickBot="1" x14ac:dyDescent="0.35">
      <c r="D142" s="226"/>
      <c r="E142" s="284" t="s">
        <v>67</v>
      </c>
      <c r="F142" s="357">
        <f>IFERROR(SUM(F138:F140),0)</f>
        <v>2</v>
      </c>
      <c r="G142" s="220"/>
      <c r="H142" s="312"/>
      <c r="I142" s="312"/>
      <c r="J142" s="312"/>
      <c r="K142" s="220"/>
      <c r="L142" s="243"/>
      <c r="M142" s="243"/>
      <c r="N142" s="243"/>
      <c r="O142" s="296"/>
      <c r="P142" s="206"/>
      <c r="Q142" s="226"/>
      <c r="R142" s="284" t="s">
        <v>67</v>
      </c>
      <c r="S142" s="687">
        <f>IFERROR(S136/R136,0)</f>
        <v>1</v>
      </c>
      <c r="T142" s="220"/>
      <c r="U142" s="312"/>
      <c r="V142" s="312"/>
      <c r="W142" s="312"/>
      <c r="X142" s="220"/>
      <c r="Y142" s="243"/>
      <c r="Z142" s="243"/>
      <c r="AA142" s="296"/>
      <c r="AB142" s="207"/>
      <c r="AJ142" s="677"/>
      <c r="AK142" s="350"/>
      <c r="AL142" s="623"/>
      <c r="AM142" s="350"/>
      <c r="AN142" s="384"/>
      <c r="AO142" s="384"/>
      <c r="AP142" s="714"/>
      <c r="AQ142" s="557"/>
      <c r="AR142" s="624"/>
      <c r="AS142" s="350"/>
      <c r="AT142" s="350"/>
      <c r="AU142" s="632"/>
      <c r="BN142" s="632"/>
      <c r="BO142" s="393"/>
      <c r="BP142" s="393"/>
      <c r="BQ142" s="350"/>
      <c r="BR142" s="641"/>
      <c r="BS142" s="641"/>
      <c r="BT142" s="641"/>
      <c r="BU142" s="641"/>
      <c r="BV142" s="350"/>
      <c r="BW142" s="350"/>
      <c r="BX142" s="350"/>
      <c r="BY142" s="698"/>
    </row>
    <row r="143" spans="4:77" ht="17.25" thickBot="1" x14ac:dyDescent="0.35">
      <c r="D143" s="226"/>
      <c r="E143" s="220"/>
      <c r="F143" s="220"/>
      <c r="G143" s="220"/>
      <c r="H143" s="312"/>
      <c r="I143" s="312"/>
      <c r="J143" s="312"/>
      <c r="K143" s="220"/>
      <c r="L143" s="243"/>
      <c r="M143" s="243"/>
      <c r="N143" s="243"/>
      <c r="O143" s="296"/>
      <c r="P143" s="206"/>
      <c r="Q143" s="219"/>
      <c r="R143" s="227"/>
      <c r="S143" s="220"/>
      <c r="T143" s="220"/>
      <c r="U143" s="220"/>
      <c r="V143" s="220"/>
      <c r="W143" s="220"/>
      <c r="X143" s="220"/>
      <c r="Y143" s="243"/>
      <c r="Z143" s="243"/>
      <c r="AA143" s="296"/>
      <c r="AB143" s="207"/>
      <c r="AJ143" s="677"/>
      <c r="AK143" s="647"/>
      <c r="AL143" s="623"/>
      <c r="AM143" s="350"/>
      <c r="AN143" s="599"/>
      <c r="AO143" s="715"/>
      <c r="AP143" s="648"/>
      <c r="AQ143" s="557"/>
      <c r="AR143" s="624"/>
      <c r="AS143" s="350"/>
      <c r="AT143" s="350"/>
      <c r="AU143" s="632"/>
      <c r="BN143" s="632"/>
      <c r="BO143" s="350"/>
      <c r="BP143" s="376"/>
      <c r="BQ143" s="350"/>
      <c r="BR143" s="359"/>
      <c r="BS143" s="359"/>
      <c r="BT143" s="359"/>
      <c r="BU143" s="359"/>
      <c r="BV143" s="350"/>
      <c r="BW143" s="350"/>
      <c r="BX143" s="350"/>
      <c r="BY143" s="698"/>
    </row>
    <row r="144" spans="4:77" ht="17.25" customHeight="1" thickBot="1" x14ac:dyDescent="0.35">
      <c r="D144" s="884" t="s">
        <v>134</v>
      </c>
      <c r="E144" s="885"/>
      <c r="F144" s="885"/>
      <c r="G144" s="885"/>
      <c r="H144" s="885"/>
      <c r="I144" s="885"/>
      <c r="J144" s="885"/>
      <c r="K144" s="885"/>
      <c r="L144" s="885"/>
      <c r="M144" s="885"/>
      <c r="N144" s="885"/>
      <c r="O144" s="886"/>
      <c r="P144" s="206"/>
      <c r="Q144" s="858" t="s">
        <v>134</v>
      </c>
      <c r="R144" s="859"/>
      <c r="S144" s="859"/>
      <c r="T144" s="859"/>
      <c r="U144" s="859"/>
      <c r="V144" s="859"/>
      <c r="W144" s="859"/>
      <c r="X144" s="859"/>
      <c r="Y144" s="859"/>
      <c r="Z144" s="859"/>
      <c r="AA144" s="860"/>
      <c r="AB144" s="207"/>
      <c r="AJ144" s="716"/>
      <c r="AK144" s="647"/>
      <c r="AL144" s="350"/>
      <c r="AM144" s="599"/>
      <c r="AN144" s="599"/>
      <c r="AO144" s="557"/>
      <c r="AP144" s="648"/>
      <c r="AQ144" s="648"/>
      <c r="AR144" s="648"/>
      <c r="AS144" s="350"/>
      <c r="AT144" s="350"/>
      <c r="AU144" s="632"/>
      <c r="BN144" s="632"/>
      <c r="BO144" s="350"/>
      <c r="BP144" s="468"/>
      <c r="BQ144" s="350"/>
      <c r="BR144" s="361"/>
      <c r="BS144" s="361"/>
      <c r="BT144" s="361"/>
      <c r="BU144" s="361"/>
      <c r="BV144" s="350"/>
      <c r="BW144" s="350"/>
      <c r="BX144" s="350"/>
      <c r="BY144" s="698"/>
    </row>
    <row r="145" spans="4:77" ht="17.25" customHeight="1" thickBot="1" x14ac:dyDescent="0.35">
      <c r="D145" s="226"/>
      <c r="E145" s="230" t="s">
        <v>46</v>
      </c>
      <c r="F145" s="233">
        <f>'2. PRODUCTOS'!$W$86</f>
        <v>0</v>
      </c>
      <c r="G145" s="220"/>
      <c r="H145" s="842" t="s">
        <v>47</v>
      </c>
      <c r="I145" s="843"/>
      <c r="J145" s="843"/>
      <c r="K145" s="844"/>
      <c r="L145" s="344"/>
      <c r="M145" s="344"/>
      <c r="N145" s="344"/>
      <c r="O145" s="686"/>
      <c r="P145" s="206"/>
      <c r="Q145" s="223"/>
      <c r="R145" s="228" t="s">
        <v>44</v>
      </c>
      <c r="S145" s="229" t="s">
        <v>45</v>
      </c>
      <c r="T145" s="220"/>
      <c r="U145" s="312"/>
      <c r="V145" s="312"/>
      <c r="W145" s="312"/>
      <c r="X145" s="220"/>
      <c r="Y145" s="344"/>
      <c r="Z145" s="344"/>
      <c r="AA145" s="686"/>
      <c r="AB145" s="207"/>
      <c r="AJ145" s="716"/>
      <c r="AK145" s="647"/>
      <c r="AL145" s="350"/>
      <c r="AM145" s="350"/>
      <c r="AN145" s="350"/>
      <c r="AO145" s="350"/>
      <c r="AP145" s="350"/>
      <c r="AQ145" s="350"/>
      <c r="AR145" s="350"/>
      <c r="AS145" s="350"/>
      <c r="AT145" s="350"/>
      <c r="AU145" s="632"/>
      <c r="BN145" s="632"/>
      <c r="BO145" s="350"/>
      <c r="BP145" s="376"/>
      <c r="BQ145" s="350"/>
      <c r="BR145" s="367"/>
      <c r="BS145" s="717"/>
      <c r="BT145" s="382"/>
      <c r="BU145" s="382"/>
      <c r="BV145" s="350"/>
      <c r="BW145" s="350"/>
      <c r="BX145" s="350"/>
      <c r="BY145" s="698"/>
    </row>
    <row r="146" spans="4:77" ht="21" customHeight="1" thickBot="1" x14ac:dyDescent="0.35">
      <c r="D146" s="219"/>
      <c r="E146" s="234" t="s">
        <v>52</v>
      </c>
      <c r="F146" s="237">
        <f>'2. PRODUCTOS'!$AJ$86</f>
        <v>0</v>
      </c>
      <c r="G146" s="220"/>
      <c r="H146" s="236">
        <v>0</v>
      </c>
      <c r="I146" s="236">
        <v>0.5</v>
      </c>
      <c r="J146" s="236">
        <v>0.75</v>
      </c>
      <c r="K146" s="236">
        <v>1.0009999999999999</v>
      </c>
      <c r="L146" s="243"/>
      <c r="M146" s="243"/>
      <c r="N146" s="243"/>
      <c r="O146" s="296"/>
      <c r="P146" s="718"/>
      <c r="Q146" s="230" t="s">
        <v>46</v>
      </c>
      <c r="R146" s="233">
        <f>'2. PRODUCTOS'!$G$86</f>
        <v>0</v>
      </c>
      <c r="S146" s="233">
        <f>'2. PRODUCTOS'!$W$86</f>
        <v>0</v>
      </c>
      <c r="T146" s="220"/>
      <c r="U146" s="842" t="s">
        <v>47</v>
      </c>
      <c r="V146" s="843"/>
      <c r="W146" s="843"/>
      <c r="X146" s="844"/>
      <c r="Y146" s="243"/>
      <c r="Z146" s="243"/>
      <c r="AA146" s="296"/>
      <c r="AB146" s="207"/>
      <c r="AJ146" s="716"/>
      <c r="AK146" s="647"/>
      <c r="AL146" s="350"/>
      <c r="AM146" s="350"/>
      <c r="AN146" s="350"/>
      <c r="AO146" s="350"/>
      <c r="AP146" s="350"/>
      <c r="AQ146" s="350"/>
      <c r="AR146" s="350"/>
      <c r="AS146" s="350"/>
      <c r="AT146" s="350"/>
      <c r="AU146" s="632"/>
      <c r="BN146" s="632"/>
      <c r="BO146" s="350"/>
      <c r="BP146" s="719"/>
      <c r="BQ146" s="375"/>
      <c r="BR146" s="685"/>
      <c r="BS146" s="685"/>
      <c r="BT146" s="685"/>
      <c r="BU146" s="685"/>
      <c r="BV146" s="350"/>
      <c r="BW146" s="350"/>
      <c r="BX146" s="350"/>
      <c r="BY146" s="698"/>
    </row>
    <row r="147" spans="4:77" ht="17.25" customHeight="1" x14ac:dyDescent="0.3">
      <c r="D147" s="720"/>
      <c r="E147" s="234" t="s">
        <v>53</v>
      </c>
      <c r="F147" s="237">
        <f>'2. PRODUCTOS'!$AW$86</f>
        <v>25</v>
      </c>
      <c r="G147" s="220"/>
      <c r="H147" s="238">
        <v>0.499</v>
      </c>
      <c r="I147" s="238">
        <v>0.749</v>
      </c>
      <c r="J147" s="238">
        <v>1</v>
      </c>
      <c r="K147" s="238">
        <v>4</v>
      </c>
      <c r="L147" s="574"/>
      <c r="M147" s="574"/>
      <c r="N147" s="243"/>
      <c r="O147" s="296"/>
      <c r="P147" s="718"/>
      <c r="Q147" s="234" t="s">
        <v>52</v>
      </c>
      <c r="R147" s="237">
        <f>'2. PRODUCTOS'!$H$86</f>
        <v>50</v>
      </c>
      <c r="S147" s="237">
        <f>'2. PRODUCTOS'!$AJ$86</f>
        <v>0</v>
      </c>
      <c r="T147" s="220"/>
      <c r="U147" s="236">
        <v>0</v>
      </c>
      <c r="V147" s="236">
        <v>0.5</v>
      </c>
      <c r="W147" s="236">
        <v>0.75</v>
      </c>
      <c r="X147" s="236">
        <v>1.0009999999999999</v>
      </c>
      <c r="Y147" s="220"/>
      <c r="Z147" s="220"/>
      <c r="AA147" s="221"/>
      <c r="AB147" s="207"/>
      <c r="AJ147" s="716"/>
      <c r="AK147" s="350"/>
      <c r="AL147" s="350"/>
      <c r="AM147" s="350"/>
      <c r="AN147" s="350"/>
      <c r="AO147" s="350"/>
      <c r="AP147" s="350"/>
      <c r="AQ147" s="350"/>
      <c r="AR147" s="350"/>
      <c r="AS147" s="350"/>
      <c r="AT147" s="350"/>
      <c r="AU147" s="632"/>
      <c r="BN147" s="632"/>
      <c r="BO147" s="350"/>
      <c r="BP147" s="719"/>
      <c r="BQ147" s="684"/>
      <c r="BR147" s="376"/>
      <c r="BS147" s="376"/>
      <c r="BT147" s="376"/>
      <c r="BU147" s="376"/>
      <c r="BV147" s="350"/>
      <c r="BW147" s="350"/>
      <c r="BX147" s="350"/>
      <c r="BY147" s="698"/>
    </row>
    <row r="148" spans="4:77" ht="17.25" customHeight="1" thickBot="1" x14ac:dyDescent="0.35">
      <c r="D148" s="226"/>
      <c r="E148" s="254" t="s">
        <v>495</v>
      </c>
      <c r="F148" s="386">
        <f>'2. PRODUCTOS'!$BJ$86</f>
        <v>15</v>
      </c>
      <c r="G148" s="220"/>
      <c r="H148" s="256" t="s">
        <v>68</v>
      </c>
      <c r="I148" s="257" t="s">
        <v>69</v>
      </c>
      <c r="J148" s="258" t="s">
        <v>70</v>
      </c>
      <c r="K148" s="259" t="s">
        <v>71</v>
      </c>
      <c r="L148" s="341"/>
      <c r="M148" s="341"/>
      <c r="N148" s="341"/>
      <c r="O148" s="470"/>
      <c r="P148" s="718"/>
      <c r="Q148" s="234" t="s">
        <v>53</v>
      </c>
      <c r="R148" s="237">
        <f>'2. PRODUCTOS'!$I$86</f>
        <v>50</v>
      </c>
      <c r="S148" s="237">
        <f>'2. PRODUCTOS'!$AW$86</f>
        <v>25</v>
      </c>
      <c r="T148" s="220"/>
      <c r="U148" s="238">
        <v>0.499</v>
      </c>
      <c r="V148" s="238">
        <v>0.749</v>
      </c>
      <c r="W148" s="238">
        <v>1</v>
      </c>
      <c r="X148" s="238">
        <v>4</v>
      </c>
      <c r="Y148" s="220"/>
      <c r="Z148" s="220"/>
      <c r="AA148" s="221"/>
      <c r="AB148" s="207"/>
      <c r="AJ148" s="716"/>
      <c r="AK148" s="623"/>
      <c r="AL148" s="350"/>
      <c r="AM148" s="350"/>
      <c r="AN148" s="350"/>
      <c r="AO148" s="350"/>
      <c r="AP148" s="350"/>
      <c r="AQ148" s="350"/>
      <c r="AR148" s="350"/>
      <c r="AS148" s="350"/>
      <c r="AT148" s="350"/>
      <c r="AU148" s="632"/>
      <c r="BN148" s="632"/>
      <c r="BO148" s="350"/>
      <c r="BP148" s="719"/>
      <c r="BQ148" s="684"/>
      <c r="BR148" s="376"/>
      <c r="BS148" s="376"/>
      <c r="BT148" s="376"/>
      <c r="BU148" s="376"/>
      <c r="BV148" s="350"/>
      <c r="BW148" s="350"/>
      <c r="BX148" s="350"/>
      <c r="BY148" s="698"/>
    </row>
    <row r="149" spans="4:77" ht="17.25" thickBot="1" x14ac:dyDescent="0.35">
      <c r="D149" s="226"/>
      <c r="E149" s="284" t="s">
        <v>67</v>
      </c>
      <c r="F149" s="463">
        <f>'2. PRODUCTOS'!$E$86</f>
        <v>50</v>
      </c>
      <c r="G149" s="220"/>
      <c r="H149" s="286" t="e">
        <f>IF($F156&gt;=H146,IF($F156&lt;=H147,$F156,NA()),NA())</f>
        <v>#N/A</v>
      </c>
      <c r="I149" s="286">
        <f>IF($F156&gt;=I146,IF($F156&lt;=I147,$F156,NA()),NA())</f>
        <v>0.5</v>
      </c>
      <c r="J149" s="286" t="e">
        <f>IF($F156&gt;=J146,IF($F156&lt;=J147,$F156,NA()),NA())</f>
        <v>#N/A</v>
      </c>
      <c r="K149" s="286" t="e">
        <f>IF($F156&gt;=K146,IF($F156&lt;=K147,$F156,NA()),NA())</f>
        <v>#N/A</v>
      </c>
      <c r="L149" s="243"/>
      <c r="M149" s="243"/>
      <c r="N149" s="243"/>
      <c r="O149" s="296"/>
      <c r="P149" s="718"/>
      <c r="Q149" s="254" t="s">
        <v>495</v>
      </c>
      <c r="R149" s="260">
        <f>'2. PRODUCTOS'!$J$86</f>
        <v>50</v>
      </c>
      <c r="S149" s="386">
        <f>'2. PRODUCTOS'!$BJ$86</f>
        <v>15</v>
      </c>
      <c r="T149" s="220"/>
      <c r="U149" s="262" t="s">
        <v>68</v>
      </c>
      <c r="V149" s="263" t="s">
        <v>69</v>
      </c>
      <c r="W149" s="264" t="s">
        <v>70</v>
      </c>
      <c r="X149" s="265" t="s">
        <v>71</v>
      </c>
      <c r="Y149" s="574"/>
      <c r="Z149" s="243"/>
      <c r="AA149" s="296"/>
      <c r="AB149" s="207"/>
      <c r="AJ149" s="716"/>
      <c r="AK149" s="623"/>
      <c r="AL149" s="721"/>
      <c r="AM149" s="384"/>
      <c r="AN149" s="384"/>
      <c r="AO149" s="376"/>
      <c r="AP149" s="648"/>
      <c r="AQ149" s="648"/>
      <c r="AR149" s="648"/>
      <c r="AS149" s="350"/>
      <c r="AT149" s="350"/>
      <c r="AU149" s="632"/>
      <c r="BN149" s="632"/>
      <c r="BO149" s="375"/>
      <c r="BP149" s="468"/>
      <c r="BQ149" s="375"/>
      <c r="BR149" s="685"/>
      <c r="BS149" s="685"/>
      <c r="BT149" s="685"/>
      <c r="BU149" s="685"/>
      <c r="BV149" s="350"/>
      <c r="BW149" s="350"/>
      <c r="BX149" s="350"/>
      <c r="BY149" s="698"/>
    </row>
    <row r="150" spans="4:77" ht="17.25" customHeight="1" thickBot="1" x14ac:dyDescent="0.35">
      <c r="D150" s="226"/>
      <c r="E150" s="311"/>
      <c r="F150" s="227"/>
      <c r="G150" s="220"/>
      <c r="H150" s="312"/>
      <c r="I150" s="312"/>
      <c r="J150" s="312"/>
      <c r="K150" s="220"/>
      <c r="L150" s="341"/>
      <c r="M150" s="341"/>
      <c r="N150" s="341"/>
      <c r="O150" s="470"/>
      <c r="P150" s="718"/>
      <c r="Q150" s="284" t="s">
        <v>67</v>
      </c>
      <c r="R150" s="463">
        <f>'2. PRODUCTOS'!$E$86</f>
        <v>50</v>
      </c>
      <c r="S150" s="581">
        <f>'2. PRODUCTOS'!$BT$86</f>
        <v>40</v>
      </c>
      <c r="T150" s="615" t="s">
        <v>46</v>
      </c>
      <c r="U150" s="337">
        <f t="shared" ref="U150:X153" si="23">IF($S152&gt;=U$147,IF($S152&lt;=U$148,$S152,NA()),NA())</f>
        <v>0</v>
      </c>
      <c r="V150" s="457" t="e">
        <f t="shared" si="23"/>
        <v>#N/A</v>
      </c>
      <c r="W150" s="457" t="e">
        <f t="shared" si="23"/>
        <v>#N/A</v>
      </c>
      <c r="X150" s="458" t="e">
        <f t="shared" si="23"/>
        <v>#N/A</v>
      </c>
      <c r="Y150" s="341"/>
      <c r="Z150" s="341"/>
      <c r="AA150" s="470"/>
      <c r="AB150" s="207"/>
      <c r="AJ150" s="716"/>
      <c r="AK150" s="623"/>
      <c r="AL150" s="722"/>
      <c r="AM150" s="384"/>
      <c r="AN150" s="384"/>
      <c r="AO150" s="376"/>
      <c r="AP150" s="648"/>
      <c r="AQ150" s="648"/>
      <c r="AR150" s="648"/>
      <c r="AS150" s="350"/>
      <c r="AT150" s="350"/>
      <c r="AU150" s="632"/>
      <c r="BN150" s="632"/>
      <c r="BO150" s="350"/>
      <c r="BP150" s="350"/>
      <c r="BQ150" s="684"/>
      <c r="BR150" s="685"/>
      <c r="BS150" s="685"/>
      <c r="BT150" s="685"/>
      <c r="BU150" s="685"/>
      <c r="BV150" s="350"/>
      <c r="BW150" s="350"/>
      <c r="BX150" s="350"/>
      <c r="BY150" s="698"/>
    </row>
    <row r="151" spans="4:77" ht="15.75" customHeight="1" thickBot="1" x14ac:dyDescent="0.35">
      <c r="D151" s="226"/>
      <c r="E151" s="311"/>
      <c r="F151" s="227"/>
      <c r="G151" s="220"/>
      <c r="H151" s="312"/>
      <c r="I151" s="312"/>
      <c r="J151" s="312"/>
      <c r="K151" s="220"/>
      <c r="L151" s="243"/>
      <c r="M151" s="243"/>
      <c r="N151" s="243"/>
      <c r="O151" s="296"/>
      <c r="P151" s="718"/>
      <c r="Q151" s="226"/>
      <c r="R151" s="227"/>
      <c r="S151" s="220"/>
      <c r="T151" s="620" t="s">
        <v>52</v>
      </c>
      <c r="U151" s="578">
        <f t="shared" si="23"/>
        <v>0</v>
      </c>
      <c r="V151" s="579" t="e">
        <f t="shared" si="23"/>
        <v>#N/A</v>
      </c>
      <c r="W151" s="579" t="e">
        <f t="shared" si="23"/>
        <v>#N/A</v>
      </c>
      <c r="X151" s="580" t="e">
        <f t="shared" si="23"/>
        <v>#N/A</v>
      </c>
      <c r="Y151" s="243"/>
      <c r="Z151" s="243"/>
      <c r="AA151" s="296"/>
      <c r="AB151" s="207"/>
      <c r="AJ151" s="716"/>
      <c r="AK151" s="350"/>
      <c r="AL151" s="350"/>
      <c r="AM151" s="350"/>
      <c r="AN151" s="350"/>
      <c r="AO151" s="350"/>
      <c r="AP151" s="350"/>
      <c r="AQ151" s="350"/>
      <c r="AR151" s="350"/>
      <c r="AS151" s="350"/>
      <c r="AT151" s="350"/>
      <c r="AU151" s="632"/>
      <c r="BN151" s="632"/>
      <c r="BO151" s="350"/>
      <c r="BP151" s="350"/>
      <c r="BQ151" s="684"/>
      <c r="BR151" s="685"/>
      <c r="BS151" s="685"/>
      <c r="BT151" s="685"/>
      <c r="BU151" s="685"/>
      <c r="BV151" s="350"/>
      <c r="BW151" s="350"/>
      <c r="BX151" s="350"/>
      <c r="BY151" s="698"/>
    </row>
    <row r="152" spans="4:77" ht="17.25" customHeight="1" x14ac:dyDescent="0.3">
      <c r="D152" s="226"/>
      <c r="E152" s="615" t="s">
        <v>46</v>
      </c>
      <c r="F152" s="328">
        <f>IFERROR(F145/$F$149,0)</f>
        <v>0</v>
      </c>
      <c r="G152" s="220"/>
      <c r="H152" s="312"/>
      <c r="I152" s="312"/>
      <c r="J152" s="312"/>
      <c r="K152" s="220"/>
      <c r="L152" s="220"/>
      <c r="M152" s="220"/>
      <c r="N152" s="220"/>
      <c r="O152" s="221"/>
      <c r="P152" s="718"/>
      <c r="Q152" s="226"/>
      <c r="R152" s="615" t="s">
        <v>46</v>
      </c>
      <c r="S152" s="328">
        <f>IFERROR(S146/R146,0)</f>
        <v>0</v>
      </c>
      <c r="T152" s="723" t="s">
        <v>53</v>
      </c>
      <c r="U152" s="578" t="e">
        <f t="shared" si="23"/>
        <v>#N/A</v>
      </c>
      <c r="V152" s="579">
        <f t="shared" si="23"/>
        <v>0.5</v>
      </c>
      <c r="W152" s="579" t="e">
        <f t="shared" si="23"/>
        <v>#N/A</v>
      </c>
      <c r="X152" s="580" t="e">
        <f t="shared" si="23"/>
        <v>#N/A</v>
      </c>
      <c r="Y152" s="220"/>
      <c r="Z152" s="220"/>
      <c r="AA152" s="221"/>
      <c r="AB152" s="207"/>
      <c r="AJ152" s="716"/>
      <c r="AK152" s="623"/>
      <c r="AL152" s="350"/>
      <c r="AM152" s="350"/>
      <c r="AN152" s="350"/>
      <c r="AO152" s="350"/>
      <c r="AP152" s="350"/>
      <c r="AQ152" s="350"/>
      <c r="AR152" s="350"/>
      <c r="AS152" s="350"/>
      <c r="AT152" s="350"/>
      <c r="AU152" s="632"/>
      <c r="BN152" s="632"/>
      <c r="BO152" s="350"/>
      <c r="BP152" s="350"/>
      <c r="BQ152" s="350"/>
      <c r="BR152" s="685"/>
      <c r="BS152" s="685"/>
      <c r="BT152" s="685"/>
      <c r="BU152" s="685"/>
      <c r="BV152" s="350"/>
      <c r="BW152" s="350"/>
      <c r="BX152" s="350"/>
      <c r="BY152" s="698"/>
    </row>
    <row r="153" spans="4:77" ht="17.25" thickBot="1" x14ac:dyDescent="0.35">
      <c r="D153" s="219"/>
      <c r="E153" s="620" t="s">
        <v>52</v>
      </c>
      <c r="F153" s="340">
        <f>IFERROR(F146/$F$149,0)</f>
        <v>0</v>
      </c>
      <c r="G153" s="220"/>
      <c r="H153" s="312"/>
      <c r="I153" s="312"/>
      <c r="J153" s="312"/>
      <c r="K153" s="220"/>
      <c r="L153" s="220"/>
      <c r="M153" s="220"/>
      <c r="N153" s="220"/>
      <c r="O153" s="221"/>
      <c r="P153" s="718"/>
      <c r="Q153" s="226"/>
      <c r="R153" s="620" t="s">
        <v>52</v>
      </c>
      <c r="S153" s="340">
        <f>IFERROR(S147/R147,0)</f>
        <v>0</v>
      </c>
      <c r="T153" s="724" t="s">
        <v>495</v>
      </c>
      <c r="U153" s="460">
        <f t="shared" si="23"/>
        <v>0.3</v>
      </c>
      <c r="V153" s="461" t="e">
        <f t="shared" si="23"/>
        <v>#N/A</v>
      </c>
      <c r="W153" s="461" t="e">
        <f t="shared" si="23"/>
        <v>#N/A</v>
      </c>
      <c r="X153" s="462" t="e">
        <f t="shared" si="23"/>
        <v>#N/A</v>
      </c>
      <c r="Y153" s="220"/>
      <c r="Z153" s="220"/>
      <c r="AA153" s="221"/>
      <c r="AB153" s="207"/>
      <c r="AJ153" s="716"/>
      <c r="AK153" s="623"/>
      <c r="AL153" s="350"/>
      <c r="AM153" s="350"/>
      <c r="AN153" s="350"/>
      <c r="AO153" s="350"/>
      <c r="AP153" s="350"/>
      <c r="AQ153" s="350"/>
      <c r="AR153" s="350"/>
      <c r="AS153" s="350"/>
      <c r="AT153" s="350"/>
      <c r="AU153" s="632"/>
      <c r="BN153" s="632"/>
      <c r="BO153" s="641"/>
      <c r="BP153" s="641"/>
      <c r="BQ153" s="641"/>
      <c r="BR153" s="641"/>
      <c r="BS153" s="641"/>
      <c r="BT153" s="641"/>
      <c r="BU153" s="641"/>
      <c r="BV153" s="350"/>
      <c r="BW153" s="350"/>
      <c r="BX153" s="350"/>
      <c r="BY153" s="698"/>
    </row>
    <row r="154" spans="4:77" x14ac:dyDescent="0.3">
      <c r="D154" s="226"/>
      <c r="E154" s="620" t="s">
        <v>53</v>
      </c>
      <c r="F154" s="340">
        <f>IFERROR(F147/$F$149,0)</f>
        <v>0.5</v>
      </c>
      <c r="G154" s="220"/>
      <c r="H154" s="312"/>
      <c r="I154" s="312"/>
      <c r="J154" s="312"/>
      <c r="K154" s="220"/>
      <c r="L154" s="220"/>
      <c r="M154" s="220"/>
      <c r="N154" s="220"/>
      <c r="O154" s="221"/>
      <c r="P154" s="718"/>
      <c r="Q154" s="219"/>
      <c r="R154" s="620" t="s">
        <v>53</v>
      </c>
      <c r="S154" s="340">
        <f>IFERROR(S148/R148,0)</f>
        <v>0.5</v>
      </c>
      <c r="T154" s="220"/>
      <c r="U154" s="312"/>
      <c r="V154" s="312"/>
      <c r="W154" s="312"/>
      <c r="X154" s="220"/>
      <c r="Y154" s="220"/>
      <c r="Z154" s="220"/>
      <c r="AA154" s="221"/>
      <c r="AB154" s="207"/>
      <c r="AJ154" s="716"/>
      <c r="AK154" s="623"/>
      <c r="AL154" s="350"/>
      <c r="AM154" s="350"/>
      <c r="AN154" s="350"/>
      <c r="AO154" s="350"/>
      <c r="AP154" s="350"/>
      <c r="AQ154" s="350"/>
      <c r="AR154" s="350"/>
      <c r="AS154" s="350"/>
      <c r="AT154" s="350"/>
      <c r="AU154" s="632"/>
      <c r="BN154" s="632"/>
      <c r="BO154" s="350"/>
      <c r="BP154" s="350"/>
      <c r="BQ154" s="350"/>
      <c r="BR154" s="350"/>
      <c r="BS154" s="350"/>
      <c r="BT154" s="350"/>
      <c r="BU154" s="350"/>
      <c r="BV154" s="350"/>
      <c r="BW154" s="350"/>
      <c r="BX154" s="350"/>
      <c r="BY154" s="698"/>
    </row>
    <row r="155" spans="4:77" ht="21" customHeight="1" thickBot="1" x14ac:dyDescent="0.35">
      <c r="D155" s="226"/>
      <c r="E155" s="630" t="s">
        <v>495</v>
      </c>
      <c r="F155" s="349">
        <f>IFERROR(F148/$F$149,0)</f>
        <v>0.3</v>
      </c>
      <c r="G155" s="220"/>
      <c r="H155" s="312"/>
      <c r="I155" s="312"/>
      <c r="J155" s="312"/>
      <c r="K155" s="220"/>
      <c r="L155" s="220"/>
      <c r="M155" s="220"/>
      <c r="N155" s="220"/>
      <c r="O155" s="221"/>
      <c r="P155" s="718"/>
      <c r="Q155" s="223"/>
      <c r="R155" s="630" t="s">
        <v>495</v>
      </c>
      <c r="S155" s="349">
        <f>IFERROR(S149/R149,0)</f>
        <v>0.3</v>
      </c>
      <c r="T155" s="220"/>
      <c r="U155" s="312"/>
      <c r="V155" s="312"/>
      <c r="W155" s="312"/>
      <c r="X155" s="220"/>
      <c r="Y155" s="220"/>
      <c r="Z155" s="220"/>
      <c r="AA155" s="221"/>
      <c r="AB155" s="207"/>
      <c r="AJ155" s="716"/>
      <c r="AK155" s="350"/>
      <c r="AL155" s="350"/>
      <c r="AM155" s="350"/>
      <c r="AN155" s="350"/>
      <c r="AO155" s="350"/>
      <c r="AP155" s="350"/>
      <c r="AQ155" s="350"/>
      <c r="AR155" s="350"/>
      <c r="AS155" s="350"/>
      <c r="AT155" s="350"/>
      <c r="AU155" s="632"/>
      <c r="BN155" s="632"/>
      <c r="BO155" s="393"/>
      <c r="BP155" s="393"/>
      <c r="BQ155" s="350"/>
      <c r="BR155" s="641"/>
      <c r="BS155" s="641"/>
      <c r="BT155" s="641"/>
      <c r="BU155" s="641"/>
      <c r="BV155" s="350"/>
      <c r="BW155" s="350"/>
      <c r="BX155" s="350"/>
      <c r="BY155" s="698"/>
    </row>
    <row r="156" spans="4:77" ht="17.25" thickBot="1" x14ac:dyDescent="0.35">
      <c r="D156" s="219"/>
      <c r="E156" s="284" t="s">
        <v>67</v>
      </c>
      <c r="F156" s="357">
        <f>IFERROR(SUM(F152:F154),0)</f>
        <v>0.5</v>
      </c>
      <c r="G156" s="220"/>
      <c r="H156" s="220"/>
      <c r="I156" s="220"/>
      <c r="J156" s="220"/>
      <c r="K156" s="220"/>
      <c r="L156" s="220"/>
      <c r="M156" s="220"/>
      <c r="N156" s="220"/>
      <c r="O156" s="221"/>
      <c r="P156" s="718"/>
      <c r="Q156" s="219"/>
      <c r="R156" s="596" t="s">
        <v>67</v>
      </c>
      <c r="S156" s="357">
        <f>IFERROR(S150/R150,0)</f>
        <v>0.8</v>
      </c>
      <c r="T156" s="220"/>
      <c r="U156" s="220"/>
      <c r="V156" s="220"/>
      <c r="W156" s="220"/>
      <c r="X156" s="220"/>
      <c r="Y156" s="220"/>
      <c r="Z156" s="220"/>
      <c r="AA156" s="221"/>
      <c r="AB156" s="207"/>
      <c r="AJ156" s="716"/>
      <c r="AK156" s="350"/>
      <c r="AL156" s="350"/>
      <c r="AM156" s="350"/>
      <c r="AN156" s="350"/>
      <c r="AO156" s="350"/>
      <c r="AP156" s="350"/>
      <c r="AQ156" s="350"/>
      <c r="AR156" s="350"/>
      <c r="AS156" s="350"/>
      <c r="AT156" s="350"/>
      <c r="AU156" s="632"/>
      <c r="BN156" s="632"/>
      <c r="BO156" s="350"/>
      <c r="BP156" s="376"/>
      <c r="BQ156" s="350"/>
      <c r="BR156" s="359"/>
      <c r="BS156" s="359"/>
      <c r="BT156" s="359"/>
      <c r="BU156" s="359"/>
      <c r="BV156" s="350"/>
      <c r="BW156" s="350"/>
      <c r="BX156" s="350"/>
      <c r="BY156" s="698"/>
    </row>
    <row r="157" spans="4:77" ht="21" thickBot="1" x14ac:dyDescent="0.35">
      <c r="D157" s="884" t="s">
        <v>135</v>
      </c>
      <c r="E157" s="885"/>
      <c r="F157" s="885"/>
      <c r="G157" s="885"/>
      <c r="H157" s="885"/>
      <c r="I157" s="885"/>
      <c r="J157" s="885"/>
      <c r="K157" s="885"/>
      <c r="L157" s="885"/>
      <c r="M157" s="885"/>
      <c r="N157" s="885"/>
      <c r="O157" s="886"/>
      <c r="P157" s="718"/>
      <c r="Q157" s="858" t="s">
        <v>135</v>
      </c>
      <c r="R157" s="859"/>
      <c r="S157" s="859"/>
      <c r="T157" s="859"/>
      <c r="U157" s="859"/>
      <c r="V157" s="859"/>
      <c r="W157" s="859"/>
      <c r="X157" s="859"/>
      <c r="Y157" s="859"/>
      <c r="Z157" s="859"/>
      <c r="AA157" s="860"/>
      <c r="AB157" s="207"/>
      <c r="AJ157" s="716"/>
      <c r="AK157" s="350"/>
      <c r="AL157" s="350"/>
      <c r="AM157" s="350"/>
      <c r="AN157" s="350"/>
      <c r="AO157" s="350"/>
      <c r="AP157" s="350"/>
      <c r="AQ157" s="350"/>
      <c r="AR157" s="350"/>
      <c r="AS157" s="350"/>
      <c r="AT157" s="350"/>
      <c r="AU157" s="632"/>
      <c r="BN157" s="632"/>
      <c r="BO157" s="350"/>
      <c r="BP157" s="468"/>
      <c r="BQ157" s="350"/>
      <c r="BR157" s="361"/>
      <c r="BS157" s="361"/>
      <c r="BT157" s="361"/>
      <c r="BU157" s="361"/>
      <c r="BV157" s="350"/>
      <c r="BW157" s="350"/>
      <c r="BX157" s="350"/>
      <c r="BY157" s="698"/>
    </row>
    <row r="158" spans="4:77" ht="17.25" customHeight="1" thickBot="1" x14ac:dyDescent="0.35">
      <c r="D158" s="559"/>
      <c r="E158" s="230" t="s">
        <v>46</v>
      </c>
      <c r="F158" s="233">
        <f>'2. PRODUCTOS'!$W$98</f>
        <v>0</v>
      </c>
      <c r="G158" s="212"/>
      <c r="H158" s="842" t="s">
        <v>47</v>
      </c>
      <c r="I158" s="843"/>
      <c r="J158" s="843"/>
      <c r="K158" s="844"/>
      <c r="L158" s="212"/>
      <c r="M158" s="212"/>
      <c r="N158" s="212"/>
      <c r="O158" s="213"/>
      <c r="P158" s="718"/>
      <c r="Q158" s="223"/>
      <c r="R158" s="228" t="s">
        <v>44</v>
      </c>
      <c r="S158" s="229" t="s">
        <v>45</v>
      </c>
      <c r="T158" s="220"/>
      <c r="U158" s="312"/>
      <c r="V158" s="312"/>
      <c r="W158" s="312"/>
      <c r="X158" s="220"/>
      <c r="Y158" s="220"/>
      <c r="Z158" s="220"/>
      <c r="AA158" s="221"/>
      <c r="AB158" s="207"/>
      <c r="AJ158" s="716"/>
      <c r="AK158" s="350"/>
      <c r="AL158" s="350"/>
      <c r="AM158" s="350"/>
      <c r="AN158" s="350"/>
      <c r="AO158" s="350"/>
      <c r="AP158" s="350"/>
      <c r="AQ158" s="350"/>
      <c r="AR158" s="350"/>
      <c r="AS158" s="350"/>
      <c r="AT158" s="350"/>
      <c r="AU158" s="632"/>
      <c r="BN158" s="632"/>
      <c r="BO158" s="350"/>
      <c r="BP158" s="376"/>
      <c r="BQ158" s="350"/>
      <c r="BR158" s="367"/>
      <c r="BS158" s="717"/>
      <c r="BT158" s="382"/>
      <c r="BU158" s="382"/>
      <c r="BV158" s="350"/>
      <c r="BW158" s="350"/>
      <c r="BX158" s="350"/>
      <c r="BY158" s="698"/>
    </row>
    <row r="159" spans="4:77" ht="17.25" thickBot="1" x14ac:dyDescent="0.35">
      <c r="D159" s="226"/>
      <c r="E159" s="234" t="s">
        <v>52</v>
      </c>
      <c r="F159" s="237">
        <f>'2. PRODUCTOS'!$AJ$98</f>
        <v>1</v>
      </c>
      <c r="G159" s="220"/>
      <c r="H159" s="236">
        <v>0</v>
      </c>
      <c r="I159" s="236">
        <v>0.5</v>
      </c>
      <c r="J159" s="236">
        <v>0.75</v>
      </c>
      <c r="K159" s="236">
        <v>1.0009999999999999</v>
      </c>
      <c r="L159" s="220"/>
      <c r="M159" s="220"/>
      <c r="N159" s="220"/>
      <c r="O159" s="221"/>
      <c r="P159" s="718"/>
      <c r="Q159" s="230" t="s">
        <v>46</v>
      </c>
      <c r="R159" s="233">
        <f>'2. PRODUCTOS'!$G$98</f>
        <v>0</v>
      </c>
      <c r="S159" s="233">
        <f>'2. PRODUCTOS'!$W$98</f>
        <v>0</v>
      </c>
      <c r="T159" s="220"/>
      <c r="U159" s="842" t="s">
        <v>47</v>
      </c>
      <c r="V159" s="843"/>
      <c r="W159" s="843"/>
      <c r="X159" s="844"/>
      <c r="Y159" s="220"/>
      <c r="Z159" s="220"/>
      <c r="AA159" s="221"/>
      <c r="AB159" s="207"/>
      <c r="AJ159" s="716"/>
      <c r="AU159" s="632"/>
      <c r="BN159" s="632"/>
      <c r="BO159" s="350"/>
      <c r="BP159" s="468"/>
      <c r="BQ159" s="375"/>
      <c r="BR159" s="685"/>
      <c r="BS159" s="685"/>
      <c r="BT159" s="685"/>
      <c r="BU159" s="685"/>
      <c r="BV159" s="350"/>
      <c r="BW159" s="350"/>
      <c r="BX159" s="350"/>
      <c r="BY159" s="698"/>
    </row>
    <row r="160" spans="4:77" x14ac:dyDescent="0.3">
      <c r="D160" s="219"/>
      <c r="E160" s="234" t="s">
        <v>53</v>
      </c>
      <c r="F160" s="237">
        <f>'2. PRODUCTOS'!$AW$98</f>
        <v>1</v>
      </c>
      <c r="G160" s="220"/>
      <c r="H160" s="238">
        <v>0.499</v>
      </c>
      <c r="I160" s="238">
        <v>0.749</v>
      </c>
      <c r="J160" s="238">
        <v>1</v>
      </c>
      <c r="K160" s="238">
        <v>4</v>
      </c>
      <c r="L160" s="220"/>
      <c r="M160" s="220"/>
      <c r="N160" s="220"/>
      <c r="O160" s="221"/>
      <c r="P160" s="718"/>
      <c r="Q160" s="234" t="s">
        <v>52</v>
      </c>
      <c r="R160" s="237">
        <f>'2. PRODUCTOS'!$H$98</f>
        <v>2</v>
      </c>
      <c r="S160" s="237">
        <f>'2. PRODUCTOS'!$AJ$98</f>
        <v>1</v>
      </c>
      <c r="T160" s="220"/>
      <c r="U160" s="236">
        <v>0</v>
      </c>
      <c r="V160" s="236">
        <v>0.5</v>
      </c>
      <c r="W160" s="236">
        <v>0.75</v>
      </c>
      <c r="X160" s="236">
        <v>1.0009999999999999</v>
      </c>
      <c r="Y160" s="220"/>
      <c r="Z160" s="220"/>
      <c r="AA160" s="221"/>
      <c r="AB160" s="207"/>
      <c r="AJ160" s="716"/>
      <c r="AU160" s="632"/>
      <c r="BN160" s="632"/>
      <c r="BO160" s="350"/>
      <c r="BP160" s="468"/>
      <c r="BQ160" s="684"/>
      <c r="BR160" s="376"/>
      <c r="BS160" s="376"/>
      <c r="BT160" s="376"/>
      <c r="BU160" s="376"/>
      <c r="BV160" s="350"/>
      <c r="BW160" s="350"/>
      <c r="BX160" s="350"/>
      <c r="BY160" s="698"/>
    </row>
    <row r="161" spans="4:77" ht="17.25" thickBot="1" x14ac:dyDescent="0.35">
      <c r="D161" s="223"/>
      <c r="E161" s="254" t="s">
        <v>495</v>
      </c>
      <c r="F161" s="386">
        <f>'2. PRODUCTOS'!$BJ$98</f>
        <v>0</v>
      </c>
      <c r="G161" s="220"/>
      <c r="H161" s="256" t="s">
        <v>68</v>
      </c>
      <c r="I161" s="257" t="s">
        <v>69</v>
      </c>
      <c r="J161" s="258" t="s">
        <v>70</v>
      </c>
      <c r="K161" s="259" t="s">
        <v>71</v>
      </c>
      <c r="L161" s="220"/>
      <c r="M161" s="220"/>
      <c r="N161" s="220"/>
      <c r="O161" s="221"/>
      <c r="P161" s="718"/>
      <c r="Q161" s="234" t="s">
        <v>53</v>
      </c>
      <c r="R161" s="237">
        <f>'2. PRODUCTOS'!$I$98</f>
        <v>2</v>
      </c>
      <c r="S161" s="237">
        <f>'2. PRODUCTOS'!$AW$98</f>
        <v>1</v>
      </c>
      <c r="T161" s="220"/>
      <c r="U161" s="238">
        <v>0.499</v>
      </c>
      <c r="V161" s="238">
        <v>0.749</v>
      </c>
      <c r="W161" s="238">
        <v>1</v>
      </c>
      <c r="X161" s="238">
        <v>4</v>
      </c>
      <c r="Y161" s="220"/>
      <c r="Z161" s="220"/>
      <c r="AA161" s="221"/>
      <c r="AB161" s="207"/>
      <c r="AJ161" s="716"/>
      <c r="AU161" s="632"/>
      <c r="BN161" s="632"/>
      <c r="BO161" s="350"/>
      <c r="BP161" s="468"/>
      <c r="BQ161" s="684"/>
      <c r="BR161" s="376"/>
      <c r="BS161" s="376"/>
      <c r="BT161" s="376"/>
      <c r="BU161" s="376"/>
      <c r="BV161" s="350"/>
      <c r="BW161" s="350"/>
      <c r="BX161" s="350"/>
      <c r="BY161" s="698"/>
    </row>
    <row r="162" spans="4:77" ht="17.25" thickBot="1" x14ac:dyDescent="0.35">
      <c r="D162" s="219"/>
      <c r="E162" s="284" t="s">
        <v>67</v>
      </c>
      <c r="F162" s="463">
        <f>'2. PRODUCTOS'!$E$98</f>
        <v>2</v>
      </c>
      <c r="G162" s="220"/>
      <c r="H162" s="286" t="e">
        <f>IF($F169&gt;=H159,IF($F169&lt;=H160,$F169,NA()),NA())</f>
        <v>#N/A</v>
      </c>
      <c r="I162" s="286" t="e">
        <f>IF($F169&gt;=I159,IF($F169&lt;=I160,$F169,NA()),NA())</f>
        <v>#N/A</v>
      </c>
      <c r="J162" s="286">
        <f>IF($F169&gt;=J159,IF($F169&lt;=J160,$F169,NA()),NA())</f>
        <v>1</v>
      </c>
      <c r="K162" s="286" t="e">
        <f>IF($F169&gt;=K159,IF($F169&lt;=K160,$F169,NA()),NA())</f>
        <v>#N/A</v>
      </c>
      <c r="L162" s="220"/>
      <c r="M162" s="220"/>
      <c r="N162" s="220"/>
      <c r="O162" s="221"/>
      <c r="P162" s="718"/>
      <c r="Q162" s="230" t="s">
        <v>495</v>
      </c>
      <c r="R162" s="260">
        <f>'2. PRODUCTOS'!$J$98</f>
        <v>2</v>
      </c>
      <c r="S162" s="386">
        <f>'2. PRODUCTOS'!$BJ$98</f>
        <v>0</v>
      </c>
      <c r="T162" s="220"/>
      <c r="U162" s="262" t="s">
        <v>68</v>
      </c>
      <c r="V162" s="263" t="s">
        <v>69</v>
      </c>
      <c r="W162" s="264" t="s">
        <v>70</v>
      </c>
      <c r="X162" s="265" t="s">
        <v>71</v>
      </c>
      <c r="Y162" s="220"/>
      <c r="Z162" s="220"/>
      <c r="AA162" s="221"/>
      <c r="AB162" s="207"/>
      <c r="AJ162" s="716"/>
      <c r="AU162" s="632"/>
      <c r="BN162" s="632"/>
      <c r="BO162" s="350"/>
      <c r="BP162" s="468"/>
      <c r="BQ162" s="684"/>
      <c r="BR162" s="376"/>
      <c r="BS162" s="376"/>
      <c r="BT162" s="376"/>
      <c r="BU162" s="376"/>
      <c r="BV162" s="350"/>
      <c r="BW162" s="350"/>
      <c r="BX162" s="350"/>
      <c r="BY162" s="698"/>
    </row>
    <row r="163" spans="4:77" ht="17.25" thickBot="1" x14ac:dyDescent="0.35">
      <c r="D163" s="219"/>
      <c r="E163" s="311"/>
      <c r="F163" s="227"/>
      <c r="G163" s="220"/>
      <c r="H163" s="312"/>
      <c r="I163" s="312"/>
      <c r="J163" s="312"/>
      <c r="K163" s="220"/>
      <c r="L163" s="220"/>
      <c r="M163" s="220"/>
      <c r="N163" s="220"/>
      <c r="O163" s="221"/>
      <c r="P163" s="718"/>
      <c r="Q163" s="284" t="s">
        <v>67</v>
      </c>
      <c r="R163" s="463">
        <f>'2. PRODUCTOS'!$E$98</f>
        <v>2</v>
      </c>
      <c r="S163" s="463">
        <f>'2. PRODUCTOS'!$BT$98</f>
        <v>2</v>
      </c>
      <c r="T163" s="615" t="s">
        <v>46</v>
      </c>
      <c r="U163" s="534">
        <f t="shared" ref="U163:X166" si="24">IF($S165&gt;=U$160,IF($S165&lt;=U$161,$S165,NA()),NA())</f>
        <v>0</v>
      </c>
      <c r="V163" s="535" t="e">
        <f t="shared" si="24"/>
        <v>#N/A</v>
      </c>
      <c r="W163" s="535" t="e">
        <f t="shared" si="24"/>
        <v>#N/A</v>
      </c>
      <c r="X163" s="536" t="e">
        <f t="shared" si="24"/>
        <v>#N/A</v>
      </c>
      <c r="Y163" s="220"/>
      <c r="Z163" s="220"/>
      <c r="AA163" s="221"/>
      <c r="AB163" s="207"/>
      <c r="AJ163" s="716"/>
      <c r="AU163" s="632"/>
      <c r="BN163" s="632"/>
      <c r="BO163" s="350"/>
      <c r="BP163" s="468"/>
      <c r="BQ163" s="684"/>
      <c r="BR163" s="376"/>
      <c r="BS163" s="376"/>
      <c r="BT163" s="376"/>
      <c r="BU163" s="376"/>
      <c r="BV163" s="350"/>
      <c r="BW163" s="350"/>
      <c r="BX163" s="350"/>
      <c r="BY163" s="698"/>
    </row>
    <row r="164" spans="4:77" ht="17.25" thickBot="1" x14ac:dyDescent="0.35">
      <c r="D164" s="219"/>
      <c r="E164" s="311"/>
      <c r="F164" s="227"/>
      <c r="G164" s="220"/>
      <c r="H164" s="312"/>
      <c r="I164" s="312"/>
      <c r="J164" s="312"/>
      <c r="K164" s="220"/>
      <c r="L164" s="220"/>
      <c r="M164" s="220"/>
      <c r="N164" s="220"/>
      <c r="O164" s="221"/>
      <c r="P164" s="718"/>
      <c r="Q164" s="226"/>
      <c r="R164" s="227"/>
      <c r="S164" s="220"/>
      <c r="T164" s="620" t="s">
        <v>52</v>
      </c>
      <c r="U164" s="542" t="e">
        <f t="shared" si="24"/>
        <v>#N/A</v>
      </c>
      <c r="V164" s="543">
        <f t="shared" si="24"/>
        <v>0.5</v>
      </c>
      <c r="W164" s="543" t="e">
        <f t="shared" si="24"/>
        <v>#N/A</v>
      </c>
      <c r="X164" s="544" t="e">
        <f t="shared" si="24"/>
        <v>#N/A</v>
      </c>
      <c r="Y164" s="220"/>
      <c r="Z164" s="220"/>
      <c r="AA164" s="221"/>
      <c r="AB164" s="207"/>
      <c r="AJ164" s="716"/>
      <c r="AU164" s="632"/>
      <c r="BN164" s="632"/>
      <c r="BO164" s="350"/>
      <c r="BP164" s="468"/>
      <c r="BQ164" s="684"/>
      <c r="BR164" s="376"/>
      <c r="BS164" s="376"/>
      <c r="BT164" s="376"/>
      <c r="BU164" s="376"/>
      <c r="BV164" s="350"/>
      <c r="BW164" s="350"/>
      <c r="BX164" s="350"/>
      <c r="BY164" s="698"/>
    </row>
    <row r="165" spans="4:77" x14ac:dyDescent="0.3">
      <c r="D165" s="219"/>
      <c r="E165" s="615" t="s">
        <v>46</v>
      </c>
      <c r="F165" s="328">
        <f>IFERROR(F158/$F$162,0)</f>
        <v>0</v>
      </c>
      <c r="G165" s="220"/>
      <c r="H165" s="312"/>
      <c r="I165" s="312"/>
      <c r="J165" s="312"/>
      <c r="K165" s="220"/>
      <c r="L165" s="220"/>
      <c r="M165" s="220"/>
      <c r="N165" s="220"/>
      <c r="O165" s="221"/>
      <c r="P165" s="718"/>
      <c r="Q165" s="226"/>
      <c r="R165" s="230" t="s">
        <v>46</v>
      </c>
      <c r="S165" s="328">
        <f>IFERROR(S159/R159,0)</f>
        <v>0</v>
      </c>
      <c r="T165" s="723" t="s">
        <v>53</v>
      </c>
      <c r="U165" s="542" t="e">
        <f t="shared" si="24"/>
        <v>#N/A</v>
      </c>
      <c r="V165" s="543">
        <f t="shared" si="24"/>
        <v>0.5</v>
      </c>
      <c r="W165" s="543" t="e">
        <f t="shared" si="24"/>
        <v>#N/A</v>
      </c>
      <c r="X165" s="544" t="e">
        <f t="shared" si="24"/>
        <v>#N/A</v>
      </c>
      <c r="Y165" s="220"/>
      <c r="Z165" s="220"/>
      <c r="AA165" s="221"/>
      <c r="AB165" s="207"/>
      <c r="AJ165" s="716"/>
      <c r="AU165" s="632"/>
      <c r="BN165" s="632"/>
      <c r="BO165" s="350"/>
      <c r="BP165" s="468"/>
      <c r="BQ165" s="684"/>
      <c r="BR165" s="376"/>
      <c r="BS165" s="376"/>
      <c r="BT165" s="376"/>
      <c r="BU165" s="376"/>
      <c r="BV165" s="350"/>
      <c r="BW165" s="350"/>
      <c r="BX165" s="350"/>
      <c r="BY165" s="698"/>
    </row>
    <row r="166" spans="4:77" ht="17.25" thickBot="1" x14ac:dyDescent="0.35">
      <c r="D166" s="219"/>
      <c r="E166" s="620" t="s">
        <v>52</v>
      </c>
      <c r="F166" s="340">
        <f>IFERROR(F159/$F$162,0)</f>
        <v>0.5</v>
      </c>
      <c r="G166" s="220"/>
      <c r="H166" s="312"/>
      <c r="I166" s="312"/>
      <c r="J166" s="312"/>
      <c r="K166" s="220"/>
      <c r="L166" s="220"/>
      <c r="M166" s="220"/>
      <c r="N166" s="220"/>
      <c r="O166" s="221"/>
      <c r="P166" s="718"/>
      <c r="Q166" s="226"/>
      <c r="R166" s="234" t="s">
        <v>52</v>
      </c>
      <c r="S166" s="340">
        <f>IFERROR(S160/R160,0)</f>
        <v>0.5</v>
      </c>
      <c r="T166" s="724" t="s">
        <v>495</v>
      </c>
      <c r="U166" s="547">
        <f t="shared" si="24"/>
        <v>0</v>
      </c>
      <c r="V166" s="548" t="e">
        <f t="shared" si="24"/>
        <v>#N/A</v>
      </c>
      <c r="W166" s="548" t="e">
        <f t="shared" si="24"/>
        <v>#N/A</v>
      </c>
      <c r="X166" s="549" t="e">
        <f t="shared" si="24"/>
        <v>#N/A</v>
      </c>
      <c r="Y166" s="220"/>
      <c r="Z166" s="220"/>
      <c r="AA166" s="221"/>
      <c r="AB166" s="207"/>
      <c r="AJ166" s="716"/>
      <c r="AU166" s="632"/>
      <c r="BN166" s="632"/>
      <c r="BO166" s="350"/>
      <c r="BP166" s="468"/>
      <c r="BQ166" s="684"/>
      <c r="BR166" s="376"/>
      <c r="BS166" s="376"/>
      <c r="BT166" s="376"/>
      <c r="BU166" s="376"/>
      <c r="BV166" s="350"/>
      <c r="BW166" s="350"/>
      <c r="BX166" s="350"/>
      <c r="BY166" s="698"/>
    </row>
    <row r="167" spans="4:77" x14ac:dyDescent="0.3">
      <c r="D167" s="219"/>
      <c r="E167" s="620" t="s">
        <v>53</v>
      </c>
      <c r="F167" s="340">
        <f>IFERROR(F160/$F$162,0)</f>
        <v>0.5</v>
      </c>
      <c r="G167" s="220"/>
      <c r="H167" s="312"/>
      <c r="I167" s="312"/>
      <c r="J167" s="312"/>
      <c r="K167" s="220"/>
      <c r="L167" s="220"/>
      <c r="M167" s="220"/>
      <c r="N167" s="220"/>
      <c r="O167" s="221"/>
      <c r="P167" s="718"/>
      <c r="Q167" s="219"/>
      <c r="R167" s="234" t="s">
        <v>53</v>
      </c>
      <c r="S167" s="340">
        <f>IFERROR(S161/R161,0)</f>
        <v>0.5</v>
      </c>
      <c r="T167" s="220"/>
      <c r="U167" s="312"/>
      <c r="V167" s="312"/>
      <c r="W167" s="312"/>
      <c r="X167" s="220"/>
      <c r="Y167" s="220"/>
      <c r="Z167" s="220"/>
      <c r="AA167" s="221"/>
      <c r="AB167" s="207"/>
      <c r="AJ167" s="716"/>
      <c r="AU167" s="632"/>
      <c r="BN167" s="632"/>
      <c r="BO167" s="350"/>
      <c r="BP167" s="468"/>
      <c r="BQ167" s="684"/>
      <c r="BR167" s="376"/>
      <c r="BS167" s="376"/>
      <c r="BT167" s="376"/>
      <c r="BU167" s="376"/>
      <c r="BV167" s="350"/>
      <c r="BW167" s="350"/>
      <c r="BX167" s="350"/>
      <c r="BY167" s="698"/>
    </row>
    <row r="168" spans="4:77" ht="17.25" thickBot="1" x14ac:dyDescent="0.35">
      <c r="D168" s="219"/>
      <c r="E168" s="630" t="s">
        <v>495</v>
      </c>
      <c r="F168" s="349">
        <f>IFERROR(F161/$F$162,0)</f>
        <v>0</v>
      </c>
      <c r="G168" s="220"/>
      <c r="H168" s="312"/>
      <c r="I168" s="312"/>
      <c r="J168" s="312"/>
      <c r="K168" s="220"/>
      <c r="L168" s="220"/>
      <c r="M168" s="220"/>
      <c r="N168" s="220"/>
      <c r="O168" s="221"/>
      <c r="P168" s="718"/>
      <c r="Q168" s="219"/>
      <c r="R168" s="254" t="s">
        <v>495</v>
      </c>
      <c r="S168" s="349">
        <f>IFERROR(S162/R162,0)</f>
        <v>0</v>
      </c>
      <c r="T168" s="220"/>
      <c r="U168" s="220"/>
      <c r="V168" s="220"/>
      <c r="W168" s="220"/>
      <c r="X168" s="220"/>
      <c r="Y168" s="220"/>
      <c r="Z168" s="220"/>
      <c r="AA168" s="221"/>
      <c r="AB168" s="207"/>
      <c r="AJ168" s="716"/>
      <c r="AU168" s="632"/>
      <c r="BN168" s="632"/>
      <c r="BO168" s="350"/>
      <c r="BP168" s="468"/>
      <c r="BQ168" s="684"/>
      <c r="BR168" s="376"/>
      <c r="BS168" s="376"/>
      <c r="BT168" s="376"/>
      <c r="BU168" s="376"/>
      <c r="BV168" s="350"/>
      <c r="BW168" s="350"/>
      <c r="BX168" s="350"/>
      <c r="BY168" s="698"/>
    </row>
    <row r="169" spans="4:77" ht="17.25" thickBot="1" x14ac:dyDescent="0.35">
      <c r="D169" s="649"/>
      <c r="E169" s="284" t="s">
        <v>67</v>
      </c>
      <c r="F169" s="357">
        <f>IFERROR(SUM(F165:F167),0)</f>
        <v>1</v>
      </c>
      <c r="G169" s="725"/>
      <c r="H169" s="725"/>
      <c r="I169" s="725"/>
      <c r="J169" s="725"/>
      <c r="K169" s="449"/>
      <c r="L169" s="449"/>
      <c r="M169" s="449"/>
      <c r="N169" s="449"/>
      <c r="O169" s="450"/>
      <c r="P169" s="718"/>
      <c r="Q169" s="226"/>
      <c r="R169" s="596" t="s">
        <v>67</v>
      </c>
      <c r="S169" s="357">
        <f>IFERROR(S163/R163,0)</f>
        <v>1</v>
      </c>
      <c r="T169" s="224"/>
      <c r="U169" s="224"/>
      <c r="V169" s="224"/>
      <c r="W169" s="224"/>
      <c r="X169" s="220"/>
      <c r="Y169" s="220"/>
      <c r="Z169" s="220"/>
      <c r="AA169" s="221"/>
      <c r="AB169" s="207"/>
      <c r="AJ169" s="716"/>
      <c r="AU169" s="632"/>
      <c r="BN169" s="632"/>
      <c r="BO169" s="350"/>
      <c r="BP169" s="468"/>
      <c r="BQ169" s="684"/>
      <c r="BR169" s="376"/>
      <c r="BS169" s="376"/>
      <c r="BT169" s="376"/>
      <c r="BU169" s="376"/>
      <c r="BV169" s="350"/>
      <c r="BW169" s="350"/>
      <c r="BX169" s="350"/>
      <c r="BY169" s="698"/>
    </row>
    <row r="170" spans="4:77" ht="23.25" thickBot="1" x14ac:dyDescent="0.35">
      <c r="D170" s="881" t="s">
        <v>28</v>
      </c>
      <c r="E170" s="882"/>
      <c r="F170" s="882"/>
      <c r="G170" s="882"/>
      <c r="H170" s="882"/>
      <c r="I170" s="882"/>
      <c r="J170" s="882"/>
      <c r="K170" s="882"/>
      <c r="L170" s="882"/>
      <c r="M170" s="882"/>
      <c r="N170" s="882"/>
      <c r="O170" s="883"/>
      <c r="P170" s="718"/>
      <c r="Q170" s="945" t="s">
        <v>28</v>
      </c>
      <c r="R170" s="946"/>
      <c r="S170" s="946"/>
      <c r="T170" s="946"/>
      <c r="U170" s="946"/>
      <c r="V170" s="946"/>
      <c r="W170" s="946"/>
      <c r="X170" s="946"/>
      <c r="Y170" s="946"/>
      <c r="Z170" s="946"/>
      <c r="AA170" s="947"/>
      <c r="AB170" s="207"/>
      <c r="AJ170" s="716"/>
      <c r="AU170" s="632"/>
      <c r="BN170" s="632"/>
      <c r="BO170" s="350"/>
      <c r="BP170" s="468"/>
      <c r="BQ170" s="684"/>
      <c r="BR170" s="376"/>
      <c r="BS170" s="376"/>
      <c r="BT170" s="376"/>
      <c r="BU170" s="376"/>
      <c r="BV170" s="350"/>
      <c r="BW170" s="350"/>
      <c r="BX170" s="350"/>
      <c r="BY170" s="698"/>
    </row>
    <row r="171" spans="4:77" ht="17.25" thickBot="1" x14ac:dyDescent="0.35">
      <c r="D171" s="219"/>
      <c r="E171" s="220"/>
      <c r="F171" s="220"/>
      <c r="G171" s="220"/>
      <c r="H171" s="220"/>
      <c r="I171" s="220"/>
      <c r="J171" s="220"/>
      <c r="K171" s="220"/>
      <c r="L171" s="220"/>
      <c r="M171" s="220"/>
      <c r="N171" s="220"/>
      <c r="O171" s="221"/>
      <c r="P171" s="718"/>
      <c r="Q171" s="219"/>
      <c r="R171" s="227"/>
      <c r="S171" s="220"/>
      <c r="T171" s="220"/>
      <c r="U171" s="220"/>
      <c r="V171" s="220"/>
      <c r="W171" s="220"/>
      <c r="X171" s="220"/>
      <c r="Y171" s="220"/>
      <c r="Z171" s="220"/>
      <c r="AA171" s="221"/>
      <c r="AB171" s="207"/>
      <c r="AJ171" s="716"/>
      <c r="AU171" s="632"/>
      <c r="BN171" s="632"/>
      <c r="BO171" s="350"/>
      <c r="BP171" s="468"/>
      <c r="BQ171" s="684"/>
      <c r="BR171" s="376"/>
      <c r="BS171" s="376"/>
      <c r="BT171" s="376"/>
      <c r="BU171" s="376"/>
      <c r="BV171" s="350"/>
      <c r="BW171" s="350"/>
      <c r="BX171" s="350"/>
      <c r="BY171" s="698"/>
    </row>
    <row r="172" spans="4:77" ht="21" thickBot="1" x14ac:dyDescent="0.35">
      <c r="D172" s="884" t="s">
        <v>137</v>
      </c>
      <c r="E172" s="885"/>
      <c r="F172" s="885"/>
      <c r="G172" s="885"/>
      <c r="H172" s="885"/>
      <c r="I172" s="885"/>
      <c r="J172" s="885"/>
      <c r="K172" s="885"/>
      <c r="L172" s="885"/>
      <c r="M172" s="885"/>
      <c r="N172" s="885"/>
      <c r="O172" s="886"/>
      <c r="P172" s="718"/>
      <c r="Q172" s="858" t="s">
        <v>137</v>
      </c>
      <c r="R172" s="859"/>
      <c r="S172" s="859"/>
      <c r="T172" s="859"/>
      <c r="U172" s="859"/>
      <c r="V172" s="859"/>
      <c r="W172" s="859"/>
      <c r="X172" s="859"/>
      <c r="Y172" s="859"/>
      <c r="Z172" s="859"/>
      <c r="AA172" s="860"/>
      <c r="AB172" s="207"/>
      <c r="AJ172" s="716"/>
      <c r="AU172" s="632"/>
      <c r="BN172" s="632"/>
      <c r="BO172" s="350"/>
      <c r="BP172" s="468"/>
      <c r="BQ172" s="684"/>
      <c r="BR172" s="376"/>
      <c r="BS172" s="376"/>
      <c r="BT172" s="376"/>
      <c r="BU172" s="376"/>
      <c r="BV172" s="350"/>
      <c r="BW172" s="350"/>
      <c r="BX172" s="350"/>
      <c r="BY172" s="698"/>
    </row>
    <row r="173" spans="4:77" ht="17.25" thickBot="1" x14ac:dyDescent="0.35">
      <c r="D173" s="226"/>
      <c r="E173" s="230" t="s">
        <v>46</v>
      </c>
      <c r="F173" s="233">
        <f>'2. PRODUCTOS'!$W$116</f>
        <v>1</v>
      </c>
      <c r="G173" s="220"/>
      <c r="H173" s="842" t="s">
        <v>47</v>
      </c>
      <c r="I173" s="843"/>
      <c r="J173" s="843"/>
      <c r="K173" s="844"/>
      <c r="L173" s="220"/>
      <c r="M173" s="220"/>
      <c r="N173" s="220"/>
      <c r="O173" s="221"/>
      <c r="P173" s="718"/>
      <c r="Q173" s="223"/>
      <c r="R173" s="228" t="s">
        <v>44</v>
      </c>
      <c r="S173" s="229" t="s">
        <v>45</v>
      </c>
      <c r="T173" s="312"/>
      <c r="U173" s="312"/>
      <c r="V173" s="312"/>
      <c r="W173" s="220"/>
      <c r="X173" s="220"/>
      <c r="Y173" s="220"/>
      <c r="Z173" s="220"/>
      <c r="AA173" s="221"/>
      <c r="AB173" s="207"/>
      <c r="AJ173" s="716"/>
      <c r="AU173" s="632"/>
      <c r="BN173" s="632"/>
      <c r="BO173" s="350"/>
      <c r="BP173" s="468"/>
      <c r="BQ173" s="684"/>
      <c r="BR173" s="376"/>
      <c r="BS173" s="376"/>
      <c r="BT173" s="376"/>
      <c r="BU173" s="376"/>
      <c r="BV173" s="350"/>
      <c r="BW173" s="350"/>
      <c r="BX173" s="350"/>
      <c r="BY173" s="698"/>
    </row>
    <row r="174" spans="4:77" ht="17.25" thickBot="1" x14ac:dyDescent="0.35">
      <c r="D174" s="226"/>
      <c r="E174" s="234" t="s">
        <v>52</v>
      </c>
      <c r="F174" s="237">
        <f>'2. PRODUCTOS'!$AJ$116</f>
        <v>1</v>
      </c>
      <c r="G174" s="220"/>
      <c r="H174" s="236">
        <v>0</v>
      </c>
      <c r="I174" s="236">
        <v>0.5</v>
      </c>
      <c r="J174" s="236">
        <v>0.75</v>
      </c>
      <c r="K174" s="236">
        <v>1.0009999999999999</v>
      </c>
      <c r="L174" s="220"/>
      <c r="M174" s="220"/>
      <c r="N174" s="220"/>
      <c r="O174" s="221"/>
      <c r="P174" s="718"/>
      <c r="Q174" s="230" t="s">
        <v>46</v>
      </c>
      <c r="R174" s="233">
        <f>'2. PRODUCTOS'!$G$116</f>
        <v>1</v>
      </c>
      <c r="S174" s="233">
        <f>'2. PRODUCTOS'!$W$116</f>
        <v>1</v>
      </c>
      <c r="T174" s="220"/>
      <c r="U174" s="842" t="s">
        <v>47</v>
      </c>
      <c r="V174" s="843"/>
      <c r="W174" s="843"/>
      <c r="X174" s="844"/>
      <c r="Y174" s="220"/>
      <c r="Z174" s="220"/>
      <c r="AA174" s="221"/>
      <c r="AB174" s="207"/>
      <c r="AJ174" s="716"/>
      <c r="AU174" s="632"/>
      <c r="BN174" s="632"/>
      <c r="BO174" s="350"/>
      <c r="BP174" s="468"/>
      <c r="BQ174" s="684"/>
      <c r="BR174" s="376"/>
      <c r="BS174" s="376"/>
      <c r="BT174" s="376"/>
      <c r="BU174" s="376"/>
      <c r="BV174" s="350"/>
      <c r="BW174" s="350"/>
      <c r="BX174" s="350"/>
      <c r="BY174" s="698"/>
    </row>
    <row r="175" spans="4:77" x14ac:dyDescent="0.3">
      <c r="D175" s="226"/>
      <c r="E175" s="234" t="s">
        <v>53</v>
      </c>
      <c r="F175" s="237">
        <f>'2. PRODUCTOS'!$AW$116</f>
        <v>0</v>
      </c>
      <c r="G175" s="220"/>
      <c r="H175" s="238">
        <v>0.499</v>
      </c>
      <c r="I175" s="238">
        <v>0.749</v>
      </c>
      <c r="J175" s="238">
        <v>1</v>
      </c>
      <c r="K175" s="238">
        <v>4</v>
      </c>
      <c r="L175" s="220"/>
      <c r="M175" s="220"/>
      <c r="N175" s="220"/>
      <c r="O175" s="221"/>
      <c r="P175" s="718"/>
      <c r="Q175" s="234" t="s">
        <v>52</v>
      </c>
      <c r="R175" s="237">
        <f>'2. PRODUCTOS'!$H$116</f>
        <v>3</v>
      </c>
      <c r="S175" s="237">
        <f>'2. PRODUCTOS'!$AJ$116</f>
        <v>1</v>
      </c>
      <c r="T175" s="220"/>
      <c r="U175" s="236">
        <v>0</v>
      </c>
      <c r="V175" s="236">
        <v>0.5</v>
      </c>
      <c r="W175" s="236">
        <v>0.75</v>
      </c>
      <c r="X175" s="236">
        <v>1.0009999999999999</v>
      </c>
      <c r="Y175" s="220"/>
      <c r="Z175" s="220"/>
      <c r="AA175" s="221"/>
      <c r="AB175" s="207"/>
      <c r="AJ175" s="716"/>
      <c r="AU175" s="632"/>
      <c r="BN175" s="632"/>
      <c r="BO175" s="350"/>
      <c r="BP175" s="468"/>
      <c r="BQ175" s="684"/>
      <c r="BR175" s="376"/>
      <c r="BS175" s="376"/>
      <c r="BT175" s="376"/>
      <c r="BU175" s="376"/>
      <c r="BV175" s="350"/>
      <c r="BW175" s="350"/>
      <c r="BX175" s="350"/>
      <c r="BY175" s="698"/>
    </row>
    <row r="176" spans="4:77" ht="17.25" thickBot="1" x14ac:dyDescent="0.35">
      <c r="D176" s="226"/>
      <c r="E176" s="254" t="s">
        <v>495</v>
      </c>
      <c r="F176" s="386">
        <f>'2. PRODUCTOS'!$BJ$116</f>
        <v>2</v>
      </c>
      <c r="G176" s="220"/>
      <c r="H176" s="256" t="s">
        <v>68</v>
      </c>
      <c r="I176" s="257" t="s">
        <v>69</v>
      </c>
      <c r="J176" s="258" t="s">
        <v>70</v>
      </c>
      <c r="K176" s="259" t="s">
        <v>71</v>
      </c>
      <c r="L176" s="220"/>
      <c r="M176" s="220"/>
      <c r="N176" s="220"/>
      <c r="O176" s="221"/>
      <c r="P176" s="718"/>
      <c r="Q176" s="234" t="s">
        <v>53</v>
      </c>
      <c r="R176" s="237">
        <f>'2. PRODUCTOS'!$I$116</f>
        <v>2</v>
      </c>
      <c r="S176" s="237">
        <f>'2. PRODUCTOS'!$AW$116</f>
        <v>0</v>
      </c>
      <c r="T176" s="220"/>
      <c r="U176" s="238">
        <v>0.499</v>
      </c>
      <c r="V176" s="238">
        <v>0.749</v>
      </c>
      <c r="W176" s="238">
        <v>1</v>
      </c>
      <c r="X176" s="238">
        <v>4</v>
      </c>
      <c r="Y176" s="220"/>
      <c r="Z176" s="220"/>
      <c r="AA176" s="221"/>
      <c r="AB176" s="207"/>
      <c r="AJ176" s="716"/>
      <c r="AU176" s="632"/>
      <c r="BN176" s="632"/>
      <c r="BO176" s="350"/>
      <c r="BP176" s="468"/>
      <c r="BQ176" s="684"/>
      <c r="BR176" s="376"/>
      <c r="BS176" s="376"/>
      <c r="BT176" s="376"/>
      <c r="BU176" s="376"/>
      <c r="BV176" s="350"/>
      <c r="BW176" s="350"/>
      <c r="BX176" s="350"/>
      <c r="BY176" s="698"/>
    </row>
    <row r="177" spans="4:77" ht="17.25" thickBot="1" x14ac:dyDescent="0.35">
      <c r="D177" s="226"/>
      <c r="E177" s="284" t="s">
        <v>67</v>
      </c>
      <c r="F177" s="463">
        <f>'2. PRODUCTOS'!$E$116</f>
        <v>4</v>
      </c>
      <c r="G177" s="220"/>
      <c r="H177" s="286" t="e">
        <f>IF($F183&gt;=H174,IF($F183&lt;=H175,$F183,NA()),NA())</f>
        <v>#N/A</v>
      </c>
      <c r="I177" s="286">
        <f>IF($F183&gt;=I174,IF($F183&lt;=I175,$F183,NA()),NA())</f>
        <v>0.5</v>
      </c>
      <c r="J177" s="286" t="e">
        <f>IF($F183&gt;=J174,IF($F183&lt;=J175,$F183,NA()),NA())</f>
        <v>#N/A</v>
      </c>
      <c r="K177" s="286" t="e">
        <f>IF($F183&gt;=K174,IF($F183&lt;=K175,$F183,NA()),NA())</f>
        <v>#N/A</v>
      </c>
      <c r="L177" s="220"/>
      <c r="M177" s="220"/>
      <c r="N177" s="220"/>
      <c r="O177" s="221"/>
      <c r="P177" s="718"/>
      <c r="Q177" s="254" t="s">
        <v>495</v>
      </c>
      <c r="R177" s="260">
        <f>'2. PRODUCTOS'!$J$116</f>
        <v>4</v>
      </c>
      <c r="S177" s="386">
        <f>'2. PRODUCTOS'!$BJ$116</f>
        <v>2</v>
      </c>
      <c r="T177" s="220"/>
      <c r="U177" s="262" t="s">
        <v>68</v>
      </c>
      <c r="V177" s="263" t="s">
        <v>69</v>
      </c>
      <c r="W177" s="264" t="s">
        <v>70</v>
      </c>
      <c r="X177" s="265" t="s">
        <v>71</v>
      </c>
      <c r="Y177" s="220"/>
      <c r="Z177" s="220"/>
      <c r="AA177" s="221"/>
      <c r="AB177" s="207"/>
      <c r="AJ177" s="716"/>
      <c r="AU177" s="632"/>
      <c r="BN177" s="632"/>
      <c r="BO177" s="350"/>
      <c r="BP177" s="468"/>
      <c r="BQ177" s="684"/>
      <c r="BR177" s="376"/>
      <c r="BS177" s="376"/>
      <c r="BT177" s="376"/>
      <c r="BU177" s="376"/>
      <c r="BV177" s="350"/>
      <c r="BW177" s="350"/>
      <c r="BX177" s="350"/>
      <c r="BY177" s="698"/>
    </row>
    <row r="178" spans="4:77" ht="17.25" thickBot="1" x14ac:dyDescent="0.35">
      <c r="D178" s="226"/>
      <c r="E178" s="220"/>
      <c r="F178" s="220"/>
      <c r="G178" s="220"/>
      <c r="H178" s="220"/>
      <c r="I178" s="220"/>
      <c r="J178" s="220"/>
      <c r="K178" s="220"/>
      <c r="L178" s="220"/>
      <c r="M178" s="220"/>
      <c r="N178" s="220"/>
      <c r="O178" s="221"/>
      <c r="P178" s="718"/>
      <c r="Q178" s="596" t="s">
        <v>67</v>
      </c>
      <c r="R178" s="726">
        <f>'2. PRODUCTOS'!$E$116</f>
        <v>4</v>
      </c>
      <c r="S178" s="726">
        <f>'2. PRODUCTOS'!$BJ$116</f>
        <v>2</v>
      </c>
      <c r="T178" s="230" t="s">
        <v>46</v>
      </c>
      <c r="U178" s="727" t="e">
        <f t="shared" ref="U178:X180" si="25">IF($S179&gt;=U$175,IF($S179&lt;=U$176,$S179,NA()),NA())</f>
        <v>#N/A</v>
      </c>
      <c r="V178" s="290" t="e">
        <f t="shared" si="25"/>
        <v>#N/A</v>
      </c>
      <c r="W178" s="290">
        <f t="shared" si="25"/>
        <v>1</v>
      </c>
      <c r="X178" s="291" t="e">
        <f t="shared" si="25"/>
        <v>#N/A</v>
      </c>
      <c r="Y178" s="220"/>
      <c r="Z178" s="220"/>
      <c r="AA178" s="221"/>
      <c r="AB178" s="207"/>
      <c r="AJ178" s="716"/>
      <c r="AU178" s="632"/>
      <c r="BN178" s="632"/>
      <c r="BO178" s="350"/>
      <c r="BP178" s="468"/>
      <c r="BQ178" s="684"/>
      <c r="BR178" s="376"/>
      <c r="BS178" s="376"/>
      <c r="BT178" s="376"/>
      <c r="BU178" s="376"/>
      <c r="BV178" s="350"/>
      <c r="BW178" s="350"/>
      <c r="BX178" s="350"/>
      <c r="BY178" s="698"/>
    </row>
    <row r="179" spans="4:77" x14ac:dyDescent="0.3">
      <c r="D179" s="226"/>
      <c r="E179" s="615" t="s">
        <v>46</v>
      </c>
      <c r="F179" s="328">
        <f>IFERROR(F173/$F$177,0)</f>
        <v>0.25</v>
      </c>
      <c r="G179" s="220"/>
      <c r="H179" s="312"/>
      <c r="I179" s="312"/>
      <c r="J179" s="312"/>
      <c r="K179" s="220"/>
      <c r="L179" s="220"/>
      <c r="M179" s="220"/>
      <c r="N179" s="220"/>
      <c r="O179" s="221"/>
      <c r="P179" s="718"/>
      <c r="Q179" s="219"/>
      <c r="R179" s="615" t="s">
        <v>46</v>
      </c>
      <c r="S179" s="328">
        <f>IFERROR(S174/R174,0)</f>
        <v>1</v>
      </c>
      <c r="T179" s="728" t="s">
        <v>52</v>
      </c>
      <c r="U179" s="729">
        <f t="shared" si="25"/>
        <v>0.33333333333333331</v>
      </c>
      <c r="V179" s="315" t="e">
        <f t="shared" si="25"/>
        <v>#N/A</v>
      </c>
      <c r="W179" s="315" t="e">
        <f t="shared" si="25"/>
        <v>#N/A</v>
      </c>
      <c r="X179" s="316" t="e">
        <f t="shared" si="25"/>
        <v>#N/A</v>
      </c>
      <c r="Y179" s="220"/>
      <c r="Z179" s="220"/>
      <c r="AA179" s="221"/>
      <c r="AB179" s="207"/>
      <c r="AJ179" s="716"/>
      <c r="AU179" s="632"/>
      <c r="BN179" s="632"/>
      <c r="BO179" s="350"/>
      <c r="BP179" s="468"/>
      <c r="BQ179" s="684"/>
      <c r="BR179" s="376"/>
      <c r="BS179" s="376"/>
      <c r="BT179" s="376"/>
      <c r="BU179" s="376"/>
      <c r="BV179" s="350"/>
      <c r="BW179" s="350"/>
      <c r="BX179" s="350"/>
      <c r="BY179" s="698"/>
    </row>
    <row r="180" spans="4:77" x14ac:dyDescent="0.3">
      <c r="D180" s="226"/>
      <c r="E180" s="620" t="s">
        <v>52</v>
      </c>
      <c r="F180" s="340">
        <f>IFERROR(F174/$F$177,0)</f>
        <v>0.25</v>
      </c>
      <c r="G180" s="220"/>
      <c r="H180" s="312"/>
      <c r="I180" s="312"/>
      <c r="J180" s="312"/>
      <c r="K180" s="220"/>
      <c r="L180" s="220"/>
      <c r="M180" s="220"/>
      <c r="N180" s="220"/>
      <c r="O180" s="221"/>
      <c r="P180" s="718"/>
      <c r="Q180" s="730"/>
      <c r="R180" s="620" t="s">
        <v>52</v>
      </c>
      <c r="S180" s="340">
        <f>IFERROR(S175/R175,0)</f>
        <v>0.33333333333333331</v>
      </c>
      <c r="T180" s="728" t="s">
        <v>53</v>
      </c>
      <c r="U180" s="729">
        <f t="shared" si="25"/>
        <v>0</v>
      </c>
      <c r="V180" s="315" t="e">
        <f t="shared" si="25"/>
        <v>#N/A</v>
      </c>
      <c r="W180" s="315" t="e">
        <f t="shared" si="25"/>
        <v>#N/A</v>
      </c>
      <c r="X180" s="316" t="e">
        <f t="shared" si="25"/>
        <v>#N/A</v>
      </c>
      <c r="Y180" s="220"/>
      <c r="Z180" s="220"/>
      <c r="AA180" s="221"/>
      <c r="AB180" s="207"/>
      <c r="AJ180" s="716"/>
      <c r="AU180" s="632"/>
      <c r="BN180" s="632"/>
      <c r="BO180" s="350"/>
      <c r="BP180" s="468"/>
      <c r="BQ180" s="684"/>
      <c r="BR180" s="376"/>
      <c r="BS180" s="376"/>
      <c r="BT180" s="376"/>
      <c r="BU180" s="376"/>
      <c r="BV180" s="350"/>
      <c r="BW180" s="350"/>
      <c r="BX180" s="350"/>
      <c r="BY180" s="698"/>
    </row>
    <row r="181" spans="4:77" ht="17.25" thickBot="1" x14ac:dyDescent="0.35">
      <c r="D181" s="226"/>
      <c r="E181" s="620" t="s">
        <v>53</v>
      </c>
      <c r="F181" s="340">
        <f>IFERROR(F175/$F$177,0)</f>
        <v>0</v>
      </c>
      <c r="G181" s="220"/>
      <c r="H181" s="312"/>
      <c r="I181" s="312"/>
      <c r="J181" s="312"/>
      <c r="K181" s="220"/>
      <c r="L181" s="220"/>
      <c r="M181" s="220"/>
      <c r="N181" s="220"/>
      <c r="O181" s="221"/>
      <c r="P181" s="718"/>
      <c r="Q181" s="219"/>
      <c r="R181" s="620" t="s">
        <v>53</v>
      </c>
      <c r="S181" s="340">
        <f>IFERROR(S176/R176,0)</f>
        <v>0</v>
      </c>
      <c r="T181" s="731" t="s">
        <v>495</v>
      </c>
      <c r="U181" s="732" t="e">
        <f>IF($S183&gt;=U$175,IF($S183&lt;=U$176,$S183,NA()),NA())</f>
        <v>#N/A</v>
      </c>
      <c r="V181" s="330">
        <f>IF($S183&gt;=V$175,IF($S183&lt;=V$176,$S183,NA()),NA())</f>
        <v>0.5</v>
      </c>
      <c r="W181" s="330" t="e">
        <f>IF($S183&gt;=W$175,IF($S183&lt;=W$176,$S183,NA()),NA())</f>
        <v>#N/A</v>
      </c>
      <c r="X181" s="331" t="e">
        <f>IF($S183&gt;=X$175,IF($S183&lt;=X$176,$S183,NA()),NA())</f>
        <v>#N/A</v>
      </c>
      <c r="Y181" s="220"/>
      <c r="Z181" s="220"/>
      <c r="AA181" s="221"/>
      <c r="AB181" s="207"/>
      <c r="AJ181" s="716"/>
      <c r="AU181" s="632"/>
      <c r="BN181" s="632"/>
      <c r="BO181" s="350"/>
      <c r="BP181" s="468"/>
      <c r="BQ181" s="684"/>
      <c r="BR181" s="376"/>
      <c r="BS181" s="376"/>
      <c r="BT181" s="376"/>
      <c r="BU181" s="376"/>
      <c r="BV181" s="350"/>
      <c r="BW181" s="350"/>
      <c r="BX181" s="350"/>
      <c r="BY181" s="698"/>
    </row>
    <row r="182" spans="4:77" ht="17.25" thickBot="1" x14ac:dyDescent="0.35">
      <c r="D182" s="226"/>
      <c r="E182" s="630" t="s">
        <v>495</v>
      </c>
      <c r="F182" s="349">
        <f>IFERROR(F176/$F$177,0)</f>
        <v>0.5</v>
      </c>
      <c r="G182" s="220"/>
      <c r="H182" s="312"/>
      <c r="I182" s="312"/>
      <c r="J182" s="312"/>
      <c r="K182" s="220"/>
      <c r="L182" s="220"/>
      <c r="M182" s="220"/>
      <c r="N182" s="220"/>
      <c r="O182" s="221"/>
      <c r="P182" s="718"/>
      <c r="Q182" s="226"/>
      <c r="R182" s="630" t="s">
        <v>495</v>
      </c>
      <c r="S182" s="349">
        <f>IFERROR(S177/R177,0)</f>
        <v>0.5</v>
      </c>
      <c r="T182" s="220"/>
      <c r="U182" s="312"/>
      <c r="V182" s="312"/>
      <c r="W182" s="312"/>
      <c r="X182" s="220"/>
      <c r="Y182" s="220"/>
      <c r="Z182" s="220"/>
      <c r="AA182" s="221"/>
      <c r="AB182" s="207"/>
      <c r="AJ182" s="716"/>
      <c r="AU182" s="632"/>
      <c r="BN182" s="632"/>
      <c r="BO182" s="350"/>
      <c r="BP182" s="468"/>
      <c r="BQ182" s="684"/>
      <c r="BR182" s="376"/>
      <c r="BS182" s="376"/>
      <c r="BT182" s="376"/>
      <c r="BU182" s="376"/>
      <c r="BV182" s="350"/>
      <c r="BW182" s="350"/>
      <c r="BX182" s="350"/>
      <c r="BY182" s="698"/>
    </row>
    <row r="183" spans="4:77" ht="17.25" thickBot="1" x14ac:dyDescent="0.35">
      <c r="D183" s="226"/>
      <c r="E183" s="284" t="s">
        <v>67</v>
      </c>
      <c r="F183" s="357">
        <f>IFERROR(SUM(F179:F181),0)</f>
        <v>0.5</v>
      </c>
      <c r="G183" s="220"/>
      <c r="H183" s="312"/>
      <c r="I183" s="312"/>
      <c r="J183" s="312"/>
      <c r="K183" s="220"/>
      <c r="L183" s="220"/>
      <c r="M183" s="220"/>
      <c r="N183" s="220"/>
      <c r="O183" s="221"/>
      <c r="P183" s="718"/>
      <c r="Q183" s="226"/>
      <c r="R183" s="596" t="s">
        <v>67</v>
      </c>
      <c r="S183" s="357">
        <f>IFERROR(S178/R178,0)</f>
        <v>0.5</v>
      </c>
      <c r="T183" s="220"/>
      <c r="U183" s="312"/>
      <c r="V183" s="312"/>
      <c r="W183" s="312"/>
      <c r="X183" s="220"/>
      <c r="Y183" s="220"/>
      <c r="Z183" s="220"/>
      <c r="AA183" s="221"/>
      <c r="AB183" s="207"/>
      <c r="AJ183" s="716"/>
      <c r="AU183" s="632"/>
      <c r="BN183" s="632"/>
      <c r="BO183" s="350"/>
      <c r="BP183" s="468"/>
      <c r="BQ183" s="684"/>
      <c r="BR183" s="376"/>
      <c r="BS183" s="376"/>
      <c r="BT183" s="376"/>
      <c r="BU183" s="376"/>
      <c r="BV183" s="350"/>
      <c r="BW183" s="350"/>
      <c r="BX183" s="350"/>
      <c r="BY183" s="698"/>
    </row>
    <row r="184" spans="4:77" ht="21" thickBot="1" x14ac:dyDescent="0.35">
      <c r="D184" s="884" t="s">
        <v>138</v>
      </c>
      <c r="E184" s="885"/>
      <c r="F184" s="885"/>
      <c r="G184" s="885"/>
      <c r="H184" s="885"/>
      <c r="I184" s="885"/>
      <c r="J184" s="885"/>
      <c r="K184" s="885"/>
      <c r="L184" s="885"/>
      <c r="M184" s="885"/>
      <c r="N184" s="885"/>
      <c r="O184" s="886"/>
      <c r="P184" s="718"/>
      <c r="Q184" s="858" t="s">
        <v>138</v>
      </c>
      <c r="R184" s="859"/>
      <c r="S184" s="859"/>
      <c r="T184" s="859"/>
      <c r="U184" s="859"/>
      <c r="V184" s="859"/>
      <c r="W184" s="859"/>
      <c r="X184" s="859"/>
      <c r="Y184" s="859"/>
      <c r="Z184" s="859"/>
      <c r="AA184" s="860"/>
      <c r="AB184" s="207"/>
      <c r="AJ184" s="716"/>
      <c r="AU184" s="632"/>
      <c r="BN184" s="632"/>
      <c r="BO184" s="350"/>
      <c r="BP184" s="468"/>
      <c r="BQ184" s="684"/>
      <c r="BR184" s="376"/>
      <c r="BS184" s="376"/>
      <c r="BT184" s="376"/>
      <c r="BU184" s="376"/>
      <c r="BV184" s="350"/>
      <c r="BW184" s="350"/>
      <c r="BX184" s="350"/>
      <c r="BY184" s="698"/>
    </row>
    <row r="185" spans="4:77" ht="17.25" thickBot="1" x14ac:dyDescent="0.35">
      <c r="D185" s="226"/>
      <c r="E185" s="230" t="s">
        <v>46</v>
      </c>
      <c r="F185" s="233">
        <f>'2. PRODUCTOS'!$W$128</f>
        <v>2</v>
      </c>
      <c r="G185" s="220"/>
      <c r="H185" s="842" t="s">
        <v>47</v>
      </c>
      <c r="I185" s="843"/>
      <c r="J185" s="843"/>
      <c r="K185" s="844"/>
      <c r="L185" s="220"/>
      <c r="M185" s="220"/>
      <c r="N185" s="220"/>
      <c r="O185" s="221"/>
      <c r="P185" s="718"/>
      <c r="Q185" s="223"/>
      <c r="R185" s="228" t="s">
        <v>44</v>
      </c>
      <c r="S185" s="229" t="s">
        <v>45</v>
      </c>
      <c r="T185" s="312"/>
      <c r="U185" s="312"/>
      <c r="V185" s="312"/>
      <c r="W185" s="220"/>
      <c r="X185" s="220"/>
      <c r="Y185" s="220"/>
      <c r="Z185" s="220"/>
      <c r="AA185" s="221"/>
      <c r="AB185" s="207"/>
      <c r="AJ185" s="716"/>
      <c r="AU185" s="632"/>
      <c r="BN185" s="632"/>
      <c r="BO185" s="350"/>
      <c r="BP185" s="468"/>
      <c r="BQ185" s="684"/>
      <c r="BR185" s="376"/>
      <c r="BS185" s="376"/>
      <c r="BT185" s="376"/>
      <c r="BU185" s="376"/>
      <c r="BV185" s="350"/>
      <c r="BW185" s="350"/>
      <c r="BX185" s="350"/>
      <c r="BY185" s="698"/>
    </row>
    <row r="186" spans="4:77" ht="17.25" thickBot="1" x14ac:dyDescent="0.35">
      <c r="D186" s="226"/>
      <c r="E186" s="234" t="s">
        <v>52</v>
      </c>
      <c r="F186" s="237">
        <f>'2. PRODUCTOS'!$AJ$128</f>
        <v>2</v>
      </c>
      <c r="G186" s="220"/>
      <c r="H186" s="236">
        <v>0</v>
      </c>
      <c r="I186" s="236">
        <v>0.5</v>
      </c>
      <c r="J186" s="236">
        <v>0.75</v>
      </c>
      <c r="K186" s="236">
        <v>1.0009999999999999</v>
      </c>
      <c r="L186" s="220"/>
      <c r="M186" s="220"/>
      <c r="N186" s="220"/>
      <c r="O186" s="221"/>
      <c r="P186" s="718"/>
      <c r="Q186" s="230" t="s">
        <v>46</v>
      </c>
      <c r="R186" s="233">
        <f>'2. PRODUCTOS'!$G$128</f>
        <v>1</v>
      </c>
      <c r="S186" s="233">
        <f>'2. PRODUCTOS'!$W$128</f>
        <v>2</v>
      </c>
      <c r="T186" s="220"/>
      <c r="U186" s="842" t="s">
        <v>47</v>
      </c>
      <c r="V186" s="843"/>
      <c r="W186" s="843"/>
      <c r="X186" s="844"/>
      <c r="Y186" s="220"/>
      <c r="Z186" s="220"/>
      <c r="AA186" s="221"/>
      <c r="AB186" s="207"/>
      <c r="AJ186" s="716"/>
      <c r="AU186" s="632"/>
      <c r="BN186" s="632"/>
      <c r="BO186" s="350"/>
      <c r="BP186" s="468"/>
      <c r="BQ186" s="684"/>
      <c r="BR186" s="376"/>
      <c r="BS186" s="376"/>
      <c r="BT186" s="376"/>
      <c r="BU186" s="376"/>
      <c r="BV186" s="350"/>
      <c r="BW186" s="350"/>
      <c r="BX186" s="350"/>
      <c r="BY186" s="698"/>
    </row>
    <row r="187" spans="4:77" x14ac:dyDescent="0.3">
      <c r="D187" s="226"/>
      <c r="E187" s="234" t="s">
        <v>53</v>
      </c>
      <c r="F187" s="237">
        <f>'2. PRODUCTOS'!$AW$128</f>
        <v>2</v>
      </c>
      <c r="G187" s="220"/>
      <c r="H187" s="238">
        <v>0.499</v>
      </c>
      <c r="I187" s="238">
        <v>0.749</v>
      </c>
      <c r="J187" s="238">
        <v>1</v>
      </c>
      <c r="K187" s="238">
        <v>4</v>
      </c>
      <c r="L187" s="220"/>
      <c r="M187" s="220"/>
      <c r="N187" s="220"/>
      <c r="O187" s="221"/>
      <c r="P187" s="718"/>
      <c r="Q187" s="234" t="s">
        <v>52</v>
      </c>
      <c r="R187" s="237">
        <f>'2. PRODUCTOS'!$H$128</f>
        <v>2</v>
      </c>
      <c r="S187" s="237">
        <f>'2. PRODUCTOS'!$AJ$128</f>
        <v>2</v>
      </c>
      <c r="T187" s="220"/>
      <c r="U187" s="236">
        <v>0</v>
      </c>
      <c r="V187" s="236">
        <v>0.5</v>
      </c>
      <c r="W187" s="236">
        <v>0.75</v>
      </c>
      <c r="X187" s="236">
        <v>1.0009999999999999</v>
      </c>
      <c r="Y187" s="220"/>
      <c r="Z187" s="220"/>
      <c r="AA187" s="221"/>
      <c r="AB187" s="207"/>
      <c r="AJ187" s="716"/>
      <c r="AU187" s="632"/>
      <c r="BN187" s="632"/>
      <c r="BO187" s="350"/>
      <c r="BP187" s="468"/>
      <c r="BQ187" s="684"/>
      <c r="BR187" s="376"/>
      <c r="BS187" s="376"/>
      <c r="BT187" s="376"/>
      <c r="BU187" s="376"/>
      <c r="BV187" s="350"/>
      <c r="BW187" s="350"/>
      <c r="BX187" s="350"/>
      <c r="BY187" s="698"/>
    </row>
    <row r="188" spans="4:77" ht="17.25" thickBot="1" x14ac:dyDescent="0.35">
      <c r="D188" s="226"/>
      <c r="E188" s="254" t="s">
        <v>495</v>
      </c>
      <c r="F188" s="386">
        <f>'2. PRODUCTOS'!$BJ$128</f>
        <v>0</v>
      </c>
      <c r="G188" s="220"/>
      <c r="H188" s="256" t="s">
        <v>68</v>
      </c>
      <c r="I188" s="257" t="s">
        <v>69</v>
      </c>
      <c r="J188" s="258" t="s">
        <v>70</v>
      </c>
      <c r="K188" s="259" t="s">
        <v>71</v>
      </c>
      <c r="L188" s="220"/>
      <c r="M188" s="220"/>
      <c r="N188" s="220"/>
      <c r="O188" s="221"/>
      <c r="P188" s="718"/>
      <c r="Q188" s="234" t="s">
        <v>53</v>
      </c>
      <c r="R188" s="237">
        <f>'2. PRODUCTOS'!$I$128</f>
        <v>3</v>
      </c>
      <c r="S188" s="237">
        <f>'2. PRODUCTOS'!$AW$128</f>
        <v>2</v>
      </c>
      <c r="T188" s="220"/>
      <c r="U188" s="238">
        <v>0.499</v>
      </c>
      <c r="V188" s="238">
        <v>0.749</v>
      </c>
      <c r="W188" s="238">
        <v>1</v>
      </c>
      <c r="X188" s="238">
        <v>4</v>
      </c>
      <c r="Y188" s="220"/>
      <c r="Z188" s="220"/>
      <c r="AA188" s="221"/>
      <c r="AB188" s="207"/>
      <c r="AJ188" s="716"/>
      <c r="AU188" s="632"/>
      <c r="BN188" s="632"/>
      <c r="BO188" s="350"/>
      <c r="BP188" s="468"/>
      <c r="BQ188" s="684"/>
      <c r="BR188" s="376"/>
      <c r="BS188" s="376"/>
      <c r="BT188" s="376"/>
      <c r="BU188" s="376"/>
      <c r="BV188" s="350"/>
      <c r="BW188" s="350"/>
      <c r="BX188" s="350"/>
      <c r="BY188" s="698"/>
    </row>
    <row r="189" spans="4:77" ht="17.25" thickBot="1" x14ac:dyDescent="0.35">
      <c r="D189" s="226"/>
      <c r="E189" s="284" t="s">
        <v>67</v>
      </c>
      <c r="F189" s="463">
        <f>'2. PRODUCTOS'!$E$128</f>
        <v>3</v>
      </c>
      <c r="G189" s="220"/>
      <c r="H189" s="286" t="e">
        <f>IF($F195&gt;=H186,IF($F195&lt;=H187,$F195,NA()),NA())</f>
        <v>#N/A</v>
      </c>
      <c r="I189" s="286" t="e">
        <f>IF($F195&gt;=I186,IF($F195&lt;=I187,$F195,NA()),NA())</f>
        <v>#N/A</v>
      </c>
      <c r="J189" s="286" t="e">
        <f>IF($F195&gt;=J186,IF($F195&lt;=J187,$F195,NA()),NA())</f>
        <v>#N/A</v>
      </c>
      <c r="K189" s="286">
        <f>IF($F195&gt;=K186,IF($F195&lt;=K187,$F195,NA()),NA())</f>
        <v>2</v>
      </c>
      <c r="L189" s="220"/>
      <c r="M189" s="220"/>
      <c r="N189" s="220"/>
      <c r="O189" s="221"/>
      <c r="P189" s="718"/>
      <c r="Q189" s="254" t="s">
        <v>495</v>
      </c>
      <c r="R189" s="260">
        <f>'2. PRODUCTOS'!$J$128</f>
        <v>3</v>
      </c>
      <c r="S189" s="386">
        <f>'2. PRODUCTOS'!$BJ$128</f>
        <v>0</v>
      </c>
      <c r="T189" s="220"/>
      <c r="U189" s="262" t="s">
        <v>68</v>
      </c>
      <c r="V189" s="263" t="s">
        <v>69</v>
      </c>
      <c r="W189" s="264" t="s">
        <v>70</v>
      </c>
      <c r="X189" s="265" t="s">
        <v>71</v>
      </c>
      <c r="Y189" s="220"/>
      <c r="Z189" s="220"/>
      <c r="AA189" s="221"/>
      <c r="AB189" s="207"/>
      <c r="AJ189" s="716"/>
      <c r="AU189" s="632"/>
      <c r="BN189" s="632"/>
      <c r="BO189" s="350"/>
      <c r="BP189" s="468"/>
      <c r="BQ189" s="684"/>
      <c r="BR189" s="376"/>
      <c r="BS189" s="376"/>
      <c r="BT189" s="376"/>
      <c r="BU189" s="376"/>
      <c r="BV189" s="350"/>
      <c r="BW189" s="350"/>
      <c r="BX189" s="350"/>
      <c r="BY189" s="698"/>
    </row>
    <row r="190" spans="4:77" ht="17.25" thickBot="1" x14ac:dyDescent="0.35">
      <c r="D190" s="226"/>
      <c r="E190" s="220"/>
      <c r="F190" s="220"/>
      <c r="G190" s="220"/>
      <c r="H190" s="220"/>
      <c r="I190" s="220"/>
      <c r="J190" s="220"/>
      <c r="K190" s="220"/>
      <c r="L190" s="220"/>
      <c r="M190" s="220"/>
      <c r="N190" s="220"/>
      <c r="O190" s="221"/>
      <c r="P190" s="718"/>
      <c r="Q190" s="596" t="s">
        <v>67</v>
      </c>
      <c r="R190" s="726">
        <f>'2. PRODUCTOS'!$E$128</f>
        <v>3</v>
      </c>
      <c r="S190" s="726">
        <f>'2. PRODUCTOS'!$BT$128</f>
        <v>2</v>
      </c>
      <c r="T190" s="230" t="s">
        <v>46</v>
      </c>
      <c r="U190" s="289" t="e">
        <f t="shared" ref="U190:X193" si="26">IF($S191&gt;=U$187,IF($S191&lt;=U$188,$S191,NA()),NA())</f>
        <v>#N/A</v>
      </c>
      <c r="V190" s="290" t="e">
        <f t="shared" si="26"/>
        <v>#N/A</v>
      </c>
      <c r="W190" s="290" t="e">
        <f t="shared" si="26"/>
        <v>#N/A</v>
      </c>
      <c r="X190" s="291">
        <f t="shared" si="26"/>
        <v>2</v>
      </c>
      <c r="Y190" s="220"/>
      <c r="Z190" s="220"/>
      <c r="AA190" s="221"/>
      <c r="AB190" s="207"/>
      <c r="AJ190" s="716"/>
      <c r="AU190" s="632"/>
      <c r="BN190" s="632"/>
      <c r="BO190" s="350"/>
      <c r="BP190" s="468"/>
      <c r="BQ190" s="684"/>
      <c r="BR190" s="376"/>
      <c r="BS190" s="376"/>
      <c r="BT190" s="376"/>
      <c r="BU190" s="376"/>
      <c r="BV190" s="350"/>
      <c r="BW190" s="350"/>
      <c r="BX190" s="350"/>
      <c r="BY190" s="698"/>
    </row>
    <row r="191" spans="4:77" x14ac:dyDescent="0.3">
      <c r="D191" s="226"/>
      <c r="E191" s="615" t="s">
        <v>46</v>
      </c>
      <c r="F191" s="328">
        <f>IFERROR(F185/$F$189,0)</f>
        <v>0.66666666666666663</v>
      </c>
      <c r="G191" s="220"/>
      <c r="H191" s="312"/>
      <c r="I191" s="312"/>
      <c r="J191" s="312"/>
      <c r="K191" s="220"/>
      <c r="L191" s="220"/>
      <c r="M191" s="220"/>
      <c r="N191" s="220"/>
      <c r="O191" s="221"/>
      <c r="P191" s="718"/>
      <c r="Q191" s="219"/>
      <c r="R191" s="615" t="s">
        <v>46</v>
      </c>
      <c r="S191" s="328">
        <f>IFERROR(S186/R186,0)</f>
        <v>2</v>
      </c>
      <c r="T191" s="234" t="s">
        <v>52</v>
      </c>
      <c r="U191" s="314" t="e">
        <f t="shared" si="26"/>
        <v>#N/A</v>
      </c>
      <c r="V191" s="315" t="e">
        <f t="shared" si="26"/>
        <v>#N/A</v>
      </c>
      <c r="W191" s="315">
        <f t="shared" si="26"/>
        <v>1</v>
      </c>
      <c r="X191" s="316" t="e">
        <f t="shared" si="26"/>
        <v>#N/A</v>
      </c>
      <c r="Y191" s="220"/>
      <c r="Z191" s="220"/>
      <c r="AA191" s="221"/>
      <c r="AB191" s="207"/>
      <c r="AJ191" s="716"/>
      <c r="AU191" s="632"/>
      <c r="BN191" s="632"/>
      <c r="BO191" s="350"/>
      <c r="BP191" s="468"/>
      <c r="BQ191" s="684"/>
      <c r="BR191" s="376"/>
      <c r="BS191" s="376"/>
      <c r="BT191" s="376"/>
      <c r="BU191" s="376"/>
      <c r="BV191" s="350"/>
      <c r="BW191" s="350"/>
      <c r="BX191" s="350"/>
      <c r="BY191" s="698"/>
    </row>
    <row r="192" spans="4:77" x14ac:dyDescent="0.3">
      <c r="D192" s="226"/>
      <c r="E192" s="620" t="s">
        <v>52</v>
      </c>
      <c r="F192" s="340">
        <f>IFERROR(F186/$F$189,0)</f>
        <v>0.66666666666666663</v>
      </c>
      <c r="G192" s="220"/>
      <c r="H192" s="312"/>
      <c r="I192" s="312"/>
      <c r="J192" s="312"/>
      <c r="K192" s="220"/>
      <c r="L192" s="220"/>
      <c r="M192" s="220"/>
      <c r="N192" s="220"/>
      <c r="O192" s="221"/>
      <c r="P192" s="718"/>
      <c r="Q192" s="730"/>
      <c r="R192" s="620" t="s">
        <v>52</v>
      </c>
      <c r="S192" s="340">
        <f>IFERROR(S187/R187,0)</f>
        <v>1</v>
      </c>
      <c r="T192" s="234" t="s">
        <v>53</v>
      </c>
      <c r="U192" s="314" t="e">
        <f t="shared" si="26"/>
        <v>#N/A</v>
      </c>
      <c r="V192" s="315">
        <f t="shared" si="26"/>
        <v>0.66666666666666663</v>
      </c>
      <c r="W192" s="315" t="e">
        <f t="shared" si="26"/>
        <v>#N/A</v>
      </c>
      <c r="X192" s="316" t="e">
        <f t="shared" si="26"/>
        <v>#N/A</v>
      </c>
      <c r="Y192" s="220"/>
      <c r="Z192" s="220"/>
      <c r="AA192" s="221"/>
      <c r="AB192" s="207"/>
      <c r="AJ192" s="716"/>
      <c r="AU192" s="632"/>
      <c r="BN192" s="632"/>
      <c r="BO192" s="375"/>
      <c r="BP192" s="488"/>
      <c r="BQ192" s="375"/>
      <c r="BR192" s="685"/>
      <c r="BS192" s="685"/>
      <c r="BT192" s="685"/>
      <c r="BU192" s="685"/>
      <c r="BV192" s="350"/>
      <c r="BW192" s="350"/>
      <c r="BX192" s="350"/>
      <c r="BY192" s="698"/>
    </row>
    <row r="193" spans="4:77" ht="17.25" thickBot="1" x14ac:dyDescent="0.35">
      <c r="D193" s="226"/>
      <c r="E193" s="620" t="s">
        <v>53</v>
      </c>
      <c r="F193" s="340">
        <f>IFERROR(F187/$F$189,0)</f>
        <v>0.66666666666666663</v>
      </c>
      <c r="G193" s="220"/>
      <c r="H193" s="312"/>
      <c r="I193" s="312"/>
      <c r="J193" s="312"/>
      <c r="K193" s="220"/>
      <c r="L193" s="220"/>
      <c r="M193" s="220"/>
      <c r="N193" s="220"/>
      <c r="O193" s="221"/>
      <c r="P193" s="718"/>
      <c r="Q193" s="219"/>
      <c r="R193" s="620" t="s">
        <v>53</v>
      </c>
      <c r="S193" s="340">
        <f>IFERROR(S188/R188,0)</f>
        <v>0.66666666666666663</v>
      </c>
      <c r="T193" s="254" t="s">
        <v>495</v>
      </c>
      <c r="U193" s="329">
        <f t="shared" si="26"/>
        <v>0</v>
      </c>
      <c r="V193" s="330" t="e">
        <f t="shared" si="26"/>
        <v>#N/A</v>
      </c>
      <c r="W193" s="330" t="e">
        <f t="shared" si="26"/>
        <v>#N/A</v>
      </c>
      <c r="X193" s="331" t="e">
        <f t="shared" si="26"/>
        <v>#N/A</v>
      </c>
      <c r="Y193" s="220"/>
      <c r="Z193" s="220"/>
      <c r="AA193" s="221"/>
      <c r="AB193" s="207"/>
      <c r="AJ193" s="716"/>
      <c r="AU193" s="632"/>
      <c r="BN193" s="632"/>
      <c r="BO193" s="375"/>
      <c r="BP193" s="488"/>
      <c r="BQ193" s="375"/>
      <c r="BR193" s="685"/>
      <c r="BS193" s="685"/>
      <c r="BT193" s="685"/>
      <c r="BU193" s="685"/>
      <c r="BV193" s="350"/>
      <c r="BW193" s="350"/>
      <c r="BX193" s="350"/>
      <c r="BY193" s="698"/>
    </row>
    <row r="194" spans="4:77" ht="17.25" thickBot="1" x14ac:dyDescent="0.35">
      <c r="D194" s="226"/>
      <c r="E194" s="630" t="s">
        <v>495</v>
      </c>
      <c r="F194" s="349">
        <f>IFERROR(F188/$F$189,0)</f>
        <v>0</v>
      </c>
      <c r="G194" s="220"/>
      <c r="H194" s="312"/>
      <c r="I194" s="312"/>
      <c r="J194" s="312"/>
      <c r="K194" s="220"/>
      <c r="L194" s="220"/>
      <c r="M194" s="220"/>
      <c r="N194" s="220"/>
      <c r="O194" s="221"/>
      <c r="P194" s="206"/>
      <c r="Q194" s="226"/>
      <c r="R194" s="630" t="s">
        <v>495</v>
      </c>
      <c r="S194" s="349">
        <f>IFERROR(S189/R189,0)</f>
        <v>0</v>
      </c>
      <c r="T194" s="220"/>
      <c r="U194" s="312"/>
      <c r="V194" s="312"/>
      <c r="W194" s="312"/>
      <c r="X194" s="220"/>
      <c r="Y194" s="220"/>
      <c r="Z194" s="220"/>
      <c r="AA194" s="221"/>
      <c r="AB194" s="207"/>
      <c r="AJ194" s="716"/>
      <c r="AU194" s="632"/>
      <c r="BN194" s="632"/>
      <c r="BO194" s="350"/>
      <c r="BP194" s="350"/>
      <c r="BQ194" s="684"/>
      <c r="BR194" s="685"/>
      <c r="BS194" s="685"/>
      <c r="BT194" s="685"/>
      <c r="BU194" s="685"/>
      <c r="BV194" s="350"/>
      <c r="BW194" s="350"/>
      <c r="BX194" s="350"/>
      <c r="BY194" s="698"/>
    </row>
    <row r="195" spans="4:77" ht="20.25" customHeight="1" thickBot="1" x14ac:dyDescent="0.35">
      <c r="D195" s="226"/>
      <c r="E195" s="284" t="s">
        <v>67</v>
      </c>
      <c r="F195" s="357">
        <f>IFERROR(SUM(F191:F193),0)</f>
        <v>2</v>
      </c>
      <c r="G195" s="220"/>
      <c r="H195" s="312"/>
      <c r="I195" s="312"/>
      <c r="J195" s="312"/>
      <c r="K195" s="220"/>
      <c r="L195" s="220"/>
      <c r="M195" s="220"/>
      <c r="N195" s="220"/>
      <c r="O195" s="221"/>
      <c r="P195" s="206"/>
      <c r="Q195" s="226"/>
      <c r="R195" s="596" t="s">
        <v>67</v>
      </c>
      <c r="S195" s="357">
        <f>IFERROR(S190/R190,0)</f>
        <v>0.66666666666666663</v>
      </c>
      <c r="T195" s="220"/>
      <c r="U195" s="312"/>
      <c r="V195" s="312"/>
      <c r="W195" s="312"/>
      <c r="X195" s="220"/>
      <c r="Y195" s="220"/>
      <c r="Z195" s="220"/>
      <c r="AA195" s="221"/>
      <c r="AB195" s="207"/>
      <c r="AJ195" s="716"/>
      <c r="AK195" s="733"/>
      <c r="AL195" s="734"/>
      <c r="AM195" s="734"/>
      <c r="AN195" s="734"/>
      <c r="AO195" s="734"/>
      <c r="AP195" s="734"/>
      <c r="AQ195" s="734"/>
      <c r="AR195" s="734"/>
      <c r="AU195" s="632"/>
      <c r="BN195" s="632"/>
      <c r="BO195" s="350"/>
      <c r="BP195" s="350"/>
      <c r="BQ195" s="684"/>
      <c r="BR195" s="685"/>
      <c r="BS195" s="685"/>
      <c r="BT195" s="685"/>
      <c r="BU195" s="685"/>
      <c r="BV195" s="350"/>
      <c r="BW195" s="350"/>
      <c r="BX195" s="350"/>
      <c r="BY195" s="698"/>
    </row>
    <row r="196" spans="4:77" ht="21" thickBot="1" x14ac:dyDescent="0.35">
      <c r="D196" s="884" t="s">
        <v>139</v>
      </c>
      <c r="E196" s="885"/>
      <c r="F196" s="885"/>
      <c r="G196" s="885"/>
      <c r="H196" s="885"/>
      <c r="I196" s="885"/>
      <c r="J196" s="885"/>
      <c r="K196" s="885"/>
      <c r="L196" s="885"/>
      <c r="M196" s="885"/>
      <c r="N196" s="885"/>
      <c r="O196" s="886"/>
      <c r="P196" s="206"/>
      <c r="Q196" s="858" t="s">
        <v>139</v>
      </c>
      <c r="R196" s="859"/>
      <c r="S196" s="859"/>
      <c r="T196" s="859"/>
      <c r="U196" s="859"/>
      <c r="V196" s="859"/>
      <c r="W196" s="859"/>
      <c r="X196" s="859"/>
      <c r="Y196" s="859"/>
      <c r="Z196" s="859"/>
      <c r="AA196" s="860"/>
      <c r="AB196" s="207"/>
      <c r="AJ196" s="716"/>
      <c r="AU196" s="632"/>
      <c r="BN196" s="632"/>
      <c r="BO196" s="350"/>
      <c r="BP196" s="350"/>
      <c r="BQ196" s="382"/>
      <c r="BR196" s="685"/>
      <c r="BS196" s="685"/>
      <c r="BT196" s="685"/>
      <c r="BU196" s="685"/>
      <c r="BV196" s="350"/>
      <c r="BW196" s="350"/>
      <c r="BX196" s="350"/>
      <c r="BY196" s="698"/>
    </row>
    <row r="197" spans="4:77" ht="17.25" customHeight="1" thickBot="1" x14ac:dyDescent="0.35">
      <c r="D197" s="226"/>
      <c r="E197" s="230" t="s">
        <v>46</v>
      </c>
      <c r="F197" s="233">
        <f>'2. PRODUCTOS'!$W$140</f>
        <v>0</v>
      </c>
      <c r="G197" s="220"/>
      <c r="H197" s="842" t="s">
        <v>47</v>
      </c>
      <c r="I197" s="843"/>
      <c r="J197" s="843"/>
      <c r="K197" s="844"/>
      <c r="L197" s="220"/>
      <c r="M197" s="220"/>
      <c r="N197" s="220"/>
      <c r="O197" s="221"/>
      <c r="P197" s="206"/>
      <c r="Q197" s="223"/>
      <c r="R197" s="228" t="s">
        <v>44</v>
      </c>
      <c r="S197" s="229" t="s">
        <v>45</v>
      </c>
      <c r="T197" s="312"/>
      <c r="U197" s="312"/>
      <c r="V197" s="312"/>
      <c r="W197" s="220"/>
      <c r="X197" s="220"/>
      <c r="Y197" s="220"/>
      <c r="Z197" s="220"/>
      <c r="AA197" s="221"/>
      <c r="AB197" s="207"/>
      <c r="AJ197" s="350"/>
      <c r="AU197" s="632"/>
      <c r="BN197" s="632"/>
      <c r="BO197" s="350"/>
      <c r="BP197" s="350"/>
      <c r="BQ197" s="350"/>
      <c r="BR197" s="350"/>
      <c r="BS197" s="350"/>
      <c r="BT197" s="350"/>
      <c r="BU197" s="350"/>
      <c r="BV197" s="350"/>
      <c r="BW197" s="350"/>
      <c r="BX197" s="350"/>
      <c r="BY197" s="698"/>
    </row>
    <row r="198" spans="4:77" ht="17.25" thickBot="1" x14ac:dyDescent="0.35">
      <c r="D198" s="226"/>
      <c r="E198" s="234" t="s">
        <v>52</v>
      </c>
      <c r="F198" s="237">
        <f>'2. PRODUCTOS'!$AJ$140</f>
        <v>0</v>
      </c>
      <c r="G198" s="220"/>
      <c r="H198" s="236">
        <v>0</v>
      </c>
      <c r="I198" s="236">
        <v>0.5</v>
      </c>
      <c r="J198" s="236">
        <v>0.75</v>
      </c>
      <c r="K198" s="236">
        <v>1.0009999999999999</v>
      </c>
      <c r="L198" s="220"/>
      <c r="M198" s="220"/>
      <c r="N198" s="220"/>
      <c r="O198" s="221"/>
      <c r="P198" s="206"/>
      <c r="Q198" s="230" t="s">
        <v>46</v>
      </c>
      <c r="R198" s="233">
        <f>'2. PRODUCTOS'!$G$140</f>
        <v>0</v>
      </c>
      <c r="S198" s="233">
        <f>'2. PRODUCTOS'!$W$140</f>
        <v>0</v>
      </c>
      <c r="T198" s="220"/>
      <c r="U198" s="842" t="s">
        <v>47</v>
      </c>
      <c r="V198" s="843"/>
      <c r="W198" s="843"/>
      <c r="X198" s="844"/>
      <c r="Y198" s="220"/>
      <c r="Z198" s="220"/>
      <c r="AA198" s="221"/>
      <c r="AB198" s="207"/>
      <c r="AJ198" s="350"/>
      <c r="AU198" s="632"/>
      <c r="BN198" s="632"/>
      <c r="BO198" s="350"/>
      <c r="BP198" s="350"/>
      <c r="BQ198" s="350"/>
      <c r="BR198" s="350"/>
      <c r="BS198" s="350"/>
      <c r="BT198" s="350"/>
      <c r="BU198" s="350"/>
      <c r="BV198" s="350"/>
      <c r="BW198" s="350"/>
      <c r="BX198" s="350"/>
      <c r="BY198" s="698"/>
    </row>
    <row r="199" spans="4:77" x14ac:dyDescent="0.3">
      <c r="D199" s="226"/>
      <c r="E199" s="234" t="s">
        <v>53</v>
      </c>
      <c r="F199" s="237">
        <f>'2. PRODUCTOS'!$AW$140</f>
        <v>10</v>
      </c>
      <c r="G199" s="220"/>
      <c r="H199" s="238">
        <v>0.499</v>
      </c>
      <c r="I199" s="238">
        <v>0.749</v>
      </c>
      <c r="J199" s="238">
        <v>1</v>
      </c>
      <c r="K199" s="238">
        <v>4</v>
      </c>
      <c r="L199" s="220"/>
      <c r="M199" s="220"/>
      <c r="N199" s="220"/>
      <c r="O199" s="221"/>
      <c r="P199" s="206"/>
      <c r="Q199" s="234" t="s">
        <v>52</v>
      </c>
      <c r="R199" s="237">
        <f>'2. PRODUCTOS'!$H$140</f>
        <v>10</v>
      </c>
      <c r="S199" s="237">
        <f>'2. PRODUCTOS'!$AJ$140</f>
        <v>0</v>
      </c>
      <c r="T199" s="220"/>
      <c r="U199" s="236">
        <v>0</v>
      </c>
      <c r="V199" s="236">
        <v>0.5</v>
      </c>
      <c r="W199" s="236">
        <v>0.75</v>
      </c>
      <c r="X199" s="236">
        <v>1.0009999999999999</v>
      </c>
      <c r="Y199" s="220"/>
      <c r="Z199" s="220"/>
      <c r="AA199" s="221"/>
      <c r="AB199" s="207"/>
      <c r="AJ199" s="350"/>
      <c r="AU199" s="632"/>
      <c r="BN199" s="632"/>
      <c r="BO199" s="350"/>
      <c r="BP199" s="350"/>
      <c r="BQ199" s="350"/>
      <c r="BR199" s="350"/>
      <c r="BS199" s="350"/>
      <c r="BT199" s="350"/>
      <c r="BU199" s="350"/>
      <c r="BV199" s="350"/>
      <c r="BW199" s="350"/>
      <c r="BX199" s="350"/>
      <c r="BY199" s="698"/>
    </row>
    <row r="200" spans="4:77" ht="17.25" thickBot="1" x14ac:dyDescent="0.35">
      <c r="D200" s="226"/>
      <c r="E200" s="254" t="s">
        <v>495</v>
      </c>
      <c r="F200" s="386">
        <f>'2. PRODUCTOS'!$BJ$140</f>
        <v>0</v>
      </c>
      <c r="G200" s="220"/>
      <c r="H200" s="256" t="s">
        <v>68</v>
      </c>
      <c r="I200" s="257" t="s">
        <v>69</v>
      </c>
      <c r="J200" s="258" t="s">
        <v>70</v>
      </c>
      <c r="K200" s="259" t="s">
        <v>71</v>
      </c>
      <c r="L200" s="220"/>
      <c r="M200" s="220"/>
      <c r="N200" s="220"/>
      <c r="O200" s="221"/>
      <c r="P200" s="206"/>
      <c r="Q200" s="234" t="s">
        <v>53</v>
      </c>
      <c r="R200" s="237">
        <f>'2. PRODUCTOS'!$I$140</f>
        <v>10</v>
      </c>
      <c r="S200" s="237">
        <f>'2. PRODUCTOS'!$AW$140</f>
        <v>10</v>
      </c>
      <c r="T200" s="220"/>
      <c r="U200" s="238">
        <v>0.499</v>
      </c>
      <c r="V200" s="238">
        <v>0.749</v>
      </c>
      <c r="W200" s="238">
        <v>1</v>
      </c>
      <c r="X200" s="238">
        <v>4</v>
      </c>
      <c r="Y200" s="220"/>
      <c r="Z200" s="220"/>
      <c r="AA200" s="221"/>
      <c r="AB200" s="207"/>
      <c r="AJ200" s="350"/>
      <c r="AU200" s="632"/>
      <c r="BN200" s="632"/>
      <c r="BO200" s="350"/>
      <c r="BP200" s="350"/>
      <c r="BQ200" s="350"/>
      <c r="BR200" s="350"/>
      <c r="BS200" s="350"/>
      <c r="BT200" s="350"/>
      <c r="BU200" s="350"/>
      <c r="BV200" s="350"/>
      <c r="BW200" s="350"/>
      <c r="BX200" s="350"/>
      <c r="BY200" s="698"/>
    </row>
    <row r="201" spans="4:77" ht="17.25" thickBot="1" x14ac:dyDescent="0.35">
      <c r="D201" s="226"/>
      <c r="E201" s="284" t="s">
        <v>67</v>
      </c>
      <c r="F201" s="463">
        <f>'2. PRODUCTOS'!$E$140</f>
        <v>10</v>
      </c>
      <c r="G201" s="220"/>
      <c r="H201" s="286" t="e">
        <f>IF($F207&gt;=H198,IF($F207&lt;=H199,$F207,NA()),NA())</f>
        <v>#N/A</v>
      </c>
      <c r="I201" s="286" t="e">
        <f>IF($F207&gt;=I198,IF($F207&lt;=I199,$F207,NA()),NA())</f>
        <v>#N/A</v>
      </c>
      <c r="J201" s="286">
        <f>IF($F207&gt;=J198,IF($F207&lt;=J199,$F207,NA()),NA())</f>
        <v>1</v>
      </c>
      <c r="K201" s="286" t="e">
        <f>IF($F207&gt;=K198,IF($F207&lt;=K199,$F207,NA()),NA())</f>
        <v>#N/A</v>
      </c>
      <c r="L201" s="220"/>
      <c r="M201" s="220"/>
      <c r="N201" s="220"/>
      <c r="O201" s="221"/>
      <c r="P201" s="206"/>
      <c r="Q201" s="254" t="s">
        <v>495</v>
      </c>
      <c r="R201" s="260">
        <f>'2. PRODUCTOS'!$J$140</f>
        <v>10</v>
      </c>
      <c r="S201" s="386">
        <f>'2. PRODUCTOS'!$BJ$152</f>
        <v>0</v>
      </c>
      <c r="T201" s="220"/>
      <c r="U201" s="262" t="s">
        <v>68</v>
      </c>
      <c r="V201" s="263" t="s">
        <v>69</v>
      </c>
      <c r="W201" s="264" t="s">
        <v>70</v>
      </c>
      <c r="X201" s="265" t="s">
        <v>71</v>
      </c>
      <c r="Y201" s="220"/>
      <c r="Z201" s="220"/>
      <c r="AA201" s="221"/>
      <c r="AB201" s="207"/>
      <c r="AJ201" s="350"/>
      <c r="AU201" s="632"/>
      <c r="BN201" s="632"/>
      <c r="BO201" s="350"/>
      <c r="BP201" s="350"/>
      <c r="BQ201" s="350"/>
      <c r="BR201" s="350"/>
      <c r="BS201" s="350"/>
      <c r="BT201" s="350"/>
      <c r="BU201" s="350"/>
      <c r="BV201" s="350"/>
      <c r="BW201" s="350"/>
      <c r="BX201" s="350"/>
      <c r="BY201" s="698"/>
    </row>
    <row r="202" spans="4:77" ht="17.25" thickBot="1" x14ac:dyDescent="0.35">
      <c r="D202" s="226"/>
      <c r="E202" s="220"/>
      <c r="F202" s="220"/>
      <c r="G202" s="220"/>
      <c r="H202" s="220"/>
      <c r="I202" s="220"/>
      <c r="J202" s="220"/>
      <c r="K202" s="220"/>
      <c r="L202" s="220"/>
      <c r="M202" s="220"/>
      <c r="N202" s="220"/>
      <c r="O202" s="221"/>
      <c r="P202" s="206"/>
      <c r="Q202" s="596" t="s">
        <v>67</v>
      </c>
      <c r="R202" s="726">
        <f>'2. PRODUCTOS'!$E$140</f>
        <v>10</v>
      </c>
      <c r="S202" s="735">
        <f>'2. PRODUCTOS'!$BT$140</f>
        <v>10</v>
      </c>
      <c r="T202" s="230" t="s">
        <v>46</v>
      </c>
      <c r="U202" s="289">
        <f t="shared" ref="U202:X205" si="27">IF($S203&gt;=U$199,IF($S203&lt;=U$200,$S203,NA()),NA())</f>
        <v>0</v>
      </c>
      <c r="V202" s="290" t="e">
        <f t="shared" si="27"/>
        <v>#N/A</v>
      </c>
      <c r="W202" s="290" t="e">
        <f t="shared" si="27"/>
        <v>#N/A</v>
      </c>
      <c r="X202" s="291" t="e">
        <f t="shared" si="27"/>
        <v>#N/A</v>
      </c>
      <c r="Y202" s="220"/>
      <c r="Z202" s="220"/>
      <c r="AA202" s="221"/>
      <c r="AB202" s="207"/>
      <c r="AJ202" s="350"/>
      <c r="AU202" s="632"/>
      <c r="BN202" s="632"/>
      <c r="BO202" s="350"/>
      <c r="BP202" s="350"/>
      <c r="BQ202" s="350"/>
      <c r="BR202" s="350"/>
      <c r="BS202" s="350"/>
      <c r="BT202" s="350"/>
      <c r="BU202" s="350"/>
      <c r="BV202" s="350"/>
      <c r="BW202" s="350"/>
      <c r="BX202" s="350"/>
      <c r="BY202" s="698"/>
    </row>
    <row r="203" spans="4:77" ht="17.25" customHeight="1" x14ac:dyDescent="0.3">
      <c r="D203" s="226"/>
      <c r="E203" s="615" t="s">
        <v>46</v>
      </c>
      <c r="F203" s="328">
        <f>IFERROR(F197/$F$201,0)</f>
        <v>0</v>
      </c>
      <c r="G203" s="220"/>
      <c r="H203" s="312"/>
      <c r="I203" s="312"/>
      <c r="J203" s="312"/>
      <c r="K203" s="220"/>
      <c r="L203" s="220"/>
      <c r="M203" s="220"/>
      <c r="N203" s="220"/>
      <c r="O203" s="221"/>
      <c r="P203" s="206"/>
      <c r="Q203" s="219"/>
      <c r="R203" s="615" t="s">
        <v>46</v>
      </c>
      <c r="S203" s="328">
        <f>IFERROR(S198/R198,0)</f>
        <v>0</v>
      </c>
      <c r="T203" s="728" t="s">
        <v>52</v>
      </c>
      <c r="U203" s="314">
        <f t="shared" si="27"/>
        <v>0</v>
      </c>
      <c r="V203" s="315" t="e">
        <f t="shared" si="27"/>
        <v>#N/A</v>
      </c>
      <c r="W203" s="315" t="e">
        <f t="shared" si="27"/>
        <v>#N/A</v>
      </c>
      <c r="X203" s="316" t="e">
        <f t="shared" si="27"/>
        <v>#N/A</v>
      </c>
      <c r="Y203" s="220"/>
      <c r="Z203" s="220"/>
      <c r="AA203" s="221"/>
      <c r="AB203" s="207"/>
      <c r="AJ203" s="350"/>
      <c r="AU203" s="632"/>
      <c r="BN203" s="632"/>
      <c r="BO203" s="641"/>
      <c r="BP203" s="641"/>
      <c r="BQ203" s="641"/>
      <c r="BR203" s="641"/>
      <c r="BS203" s="641"/>
      <c r="BT203" s="641"/>
      <c r="BU203" s="641"/>
      <c r="BV203" s="350"/>
      <c r="BW203" s="350"/>
      <c r="BX203" s="350"/>
      <c r="BY203" s="698"/>
    </row>
    <row r="204" spans="4:77" x14ac:dyDescent="0.3">
      <c r="D204" s="226"/>
      <c r="E204" s="620" t="s">
        <v>52</v>
      </c>
      <c r="F204" s="340">
        <f>IFERROR(F198/$F$201,0)</f>
        <v>0</v>
      </c>
      <c r="G204" s="220"/>
      <c r="H204" s="312"/>
      <c r="I204" s="312"/>
      <c r="J204" s="312"/>
      <c r="K204" s="220"/>
      <c r="L204" s="220"/>
      <c r="M204" s="220"/>
      <c r="N204" s="220"/>
      <c r="O204" s="221"/>
      <c r="P204" s="206"/>
      <c r="Q204" s="730"/>
      <c r="R204" s="620" t="s">
        <v>52</v>
      </c>
      <c r="S204" s="340">
        <f>IFERROR(S199/R199,0)</f>
        <v>0</v>
      </c>
      <c r="T204" s="728" t="s">
        <v>53</v>
      </c>
      <c r="U204" s="314" t="e">
        <f t="shared" si="27"/>
        <v>#N/A</v>
      </c>
      <c r="V204" s="315" t="e">
        <f t="shared" si="27"/>
        <v>#N/A</v>
      </c>
      <c r="W204" s="315">
        <f t="shared" si="27"/>
        <v>1</v>
      </c>
      <c r="X204" s="316" t="e">
        <f t="shared" si="27"/>
        <v>#N/A</v>
      </c>
      <c r="Y204" s="220"/>
      <c r="Z204" s="220"/>
      <c r="AA204" s="221"/>
      <c r="AB204" s="207"/>
      <c r="AJ204" s="350"/>
      <c r="AU204" s="632"/>
      <c r="BN204" s="632"/>
      <c r="BO204" s="350"/>
      <c r="BP204" s="350"/>
      <c r="BQ204" s="350"/>
      <c r="BR204" s="350"/>
      <c r="BS204" s="350"/>
      <c r="BT204" s="350"/>
      <c r="BU204" s="350"/>
      <c r="BV204" s="350"/>
      <c r="BW204" s="350"/>
      <c r="BX204" s="350"/>
      <c r="BY204" s="698"/>
    </row>
    <row r="205" spans="4:77" ht="21" customHeight="1" thickBot="1" x14ac:dyDescent="0.35">
      <c r="D205" s="226"/>
      <c r="E205" s="620" t="s">
        <v>53</v>
      </c>
      <c r="F205" s="340">
        <f>IFERROR(F199/$F$201,0)</f>
        <v>1</v>
      </c>
      <c r="G205" s="220"/>
      <c r="H205" s="312"/>
      <c r="I205" s="312"/>
      <c r="J205" s="312"/>
      <c r="K205" s="220"/>
      <c r="L205" s="220"/>
      <c r="M205" s="220"/>
      <c r="N205" s="220"/>
      <c r="O205" s="221"/>
      <c r="P205" s="206"/>
      <c r="Q205" s="219"/>
      <c r="R205" s="620" t="s">
        <v>53</v>
      </c>
      <c r="S205" s="340">
        <f>IFERROR(S200/R200,0)</f>
        <v>1</v>
      </c>
      <c r="T205" s="731" t="s">
        <v>495</v>
      </c>
      <c r="U205" s="329">
        <f t="shared" si="27"/>
        <v>0</v>
      </c>
      <c r="V205" s="330" t="e">
        <f t="shared" si="27"/>
        <v>#N/A</v>
      </c>
      <c r="W205" s="330" t="e">
        <f t="shared" si="27"/>
        <v>#N/A</v>
      </c>
      <c r="X205" s="331" t="e">
        <f t="shared" si="27"/>
        <v>#N/A</v>
      </c>
      <c r="Y205" s="220"/>
      <c r="Z205" s="220"/>
      <c r="AA205" s="221"/>
      <c r="AB205" s="207"/>
      <c r="AJ205" s="350"/>
      <c r="AU205" s="632"/>
      <c r="BN205" s="632"/>
      <c r="BO205" s="393"/>
      <c r="BP205" s="393"/>
      <c r="BQ205" s="350"/>
      <c r="BR205" s="641"/>
      <c r="BS205" s="641"/>
      <c r="BT205" s="641"/>
      <c r="BU205" s="641"/>
      <c r="BV205" s="350"/>
      <c r="BW205" s="350"/>
      <c r="BX205" s="350"/>
      <c r="BY205" s="698"/>
    </row>
    <row r="206" spans="4:77" ht="23.25" customHeight="1" thickBot="1" x14ac:dyDescent="0.35">
      <c r="D206" s="226"/>
      <c r="E206" s="630" t="s">
        <v>495</v>
      </c>
      <c r="F206" s="349">
        <f>IFERROR(F200/$F$201,0)</f>
        <v>0</v>
      </c>
      <c r="G206" s="220"/>
      <c r="H206" s="312"/>
      <c r="I206" s="312"/>
      <c r="J206" s="312"/>
      <c r="K206" s="220"/>
      <c r="L206" s="220"/>
      <c r="M206" s="220"/>
      <c r="N206" s="220"/>
      <c r="O206" s="221"/>
      <c r="P206" s="206"/>
      <c r="Q206" s="226"/>
      <c r="R206" s="630" t="s">
        <v>495</v>
      </c>
      <c r="S206" s="349">
        <f>IFERROR(S201/R201,0)</f>
        <v>0</v>
      </c>
      <c r="T206" s="220"/>
      <c r="U206" s="312"/>
      <c r="V206" s="312"/>
      <c r="W206" s="312"/>
      <c r="X206" s="220"/>
      <c r="Y206" s="220"/>
      <c r="Z206" s="220"/>
      <c r="AA206" s="221"/>
      <c r="AB206" s="207"/>
      <c r="AJ206" s="350"/>
      <c r="AU206" s="632"/>
      <c r="BN206" s="632"/>
      <c r="BO206" s="350"/>
      <c r="BP206" s="376"/>
      <c r="BQ206" s="350"/>
      <c r="BR206" s="359"/>
      <c r="BS206" s="359"/>
      <c r="BT206" s="359"/>
      <c r="BU206" s="359"/>
      <c r="BV206" s="350"/>
      <c r="BW206" s="350"/>
      <c r="BX206" s="350"/>
      <c r="BY206" s="698"/>
    </row>
    <row r="207" spans="4:77" ht="17.25" customHeight="1" thickBot="1" x14ac:dyDescent="0.35">
      <c r="D207" s="226"/>
      <c r="E207" s="284" t="s">
        <v>67</v>
      </c>
      <c r="F207" s="357">
        <f>IFERROR(SUM(F203:F205),0)</f>
        <v>1</v>
      </c>
      <c r="G207" s="220"/>
      <c r="H207" s="312"/>
      <c r="I207" s="312"/>
      <c r="J207" s="312"/>
      <c r="K207" s="220"/>
      <c r="L207" s="220"/>
      <c r="M207" s="220"/>
      <c r="N207" s="220"/>
      <c r="O207" s="221"/>
      <c r="P207" s="206"/>
      <c r="Q207" s="226"/>
      <c r="R207" s="596" t="s">
        <v>67</v>
      </c>
      <c r="S207" s="357">
        <f>IFERROR(S202/R202,0)</f>
        <v>1</v>
      </c>
      <c r="T207" s="220"/>
      <c r="U207" s="312"/>
      <c r="V207" s="312"/>
      <c r="W207" s="312"/>
      <c r="X207" s="220"/>
      <c r="Y207" s="220"/>
      <c r="Z207" s="220"/>
      <c r="AA207" s="221"/>
      <c r="AB207" s="207"/>
      <c r="AJ207" s="350"/>
      <c r="AU207" s="632"/>
      <c r="BN207" s="632"/>
      <c r="BO207" s="350"/>
      <c r="BP207" s="468"/>
      <c r="BQ207" s="350"/>
      <c r="BR207" s="361"/>
      <c r="BS207" s="361"/>
      <c r="BT207" s="361"/>
      <c r="BU207" s="361"/>
      <c r="BV207" s="350"/>
      <c r="BW207" s="350"/>
      <c r="BX207" s="350"/>
    </row>
    <row r="208" spans="4:77" ht="21" thickBot="1" x14ac:dyDescent="0.35">
      <c r="D208" s="884" t="s">
        <v>140</v>
      </c>
      <c r="E208" s="885"/>
      <c r="F208" s="885"/>
      <c r="G208" s="885"/>
      <c r="H208" s="885"/>
      <c r="I208" s="885"/>
      <c r="J208" s="885"/>
      <c r="K208" s="885"/>
      <c r="L208" s="885"/>
      <c r="M208" s="885"/>
      <c r="N208" s="885"/>
      <c r="O208" s="886"/>
      <c r="P208" s="206"/>
      <c r="Q208" s="858" t="s">
        <v>140</v>
      </c>
      <c r="R208" s="859"/>
      <c r="S208" s="859"/>
      <c r="T208" s="859"/>
      <c r="U208" s="859"/>
      <c r="V208" s="859"/>
      <c r="W208" s="859"/>
      <c r="X208" s="859"/>
      <c r="Y208" s="859"/>
      <c r="Z208" s="859"/>
      <c r="AA208" s="860"/>
      <c r="AB208" s="207"/>
      <c r="AJ208" s="350"/>
      <c r="AU208" s="632"/>
      <c r="BN208" s="632"/>
      <c r="BO208" s="350"/>
      <c r="BP208" s="376"/>
      <c r="BQ208" s="350"/>
      <c r="BR208" s="367"/>
      <c r="BS208" s="717"/>
      <c r="BT208" s="382"/>
      <c r="BU208" s="382"/>
      <c r="BV208" s="350"/>
      <c r="BW208" s="350"/>
      <c r="BX208" s="350"/>
    </row>
    <row r="209" spans="4:76" ht="17.25" thickBot="1" x14ac:dyDescent="0.35">
      <c r="D209" s="226"/>
      <c r="E209" s="227"/>
      <c r="F209" s="220"/>
      <c r="G209" s="224"/>
      <c r="H209" s="224"/>
      <c r="I209" s="224"/>
      <c r="J209" s="224"/>
      <c r="K209" s="220"/>
      <c r="L209" s="220"/>
      <c r="M209" s="220"/>
      <c r="N209" s="220"/>
      <c r="O209" s="221"/>
      <c r="P209" s="206"/>
      <c r="Q209" s="223"/>
      <c r="R209" s="228" t="s">
        <v>44</v>
      </c>
      <c r="S209" s="229" t="s">
        <v>45</v>
      </c>
      <c r="T209" s="312"/>
      <c r="U209" s="312"/>
      <c r="V209" s="312"/>
      <c r="W209" s="220"/>
      <c r="X209" s="220"/>
      <c r="Y209" s="220"/>
      <c r="Z209" s="220"/>
      <c r="AA209" s="221"/>
      <c r="AB209" s="207"/>
      <c r="AJ209" s="350"/>
      <c r="AU209" s="632"/>
      <c r="BN209" s="632"/>
      <c r="BO209" s="350"/>
      <c r="BP209" s="468"/>
      <c r="BQ209" s="375"/>
      <c r="BR209" s="710"/>
      <c r="BS209" s="710"/>
      <c r="BT209" s="710"/>
      <c r="BU209" s="710"/>
      <c r="BV209" s="350"/>
      <c r="BW209" s="350"/>
      <c r="BX209" s="350"/>
    </row>
    <row r="210" spans="4:76" ht="17.25" thickBot="1" x14ac:dyDescent="0.35">
      <c r="D210" s="226"/>
      <c r="E210" s="230" t="s">
        <v>46</v>
      </c>
      <c r="F210" s="233">
        <f>'2. PRODUCTOS'!$W$152</f>
        <v>0</v>
      </c>
      <c r="G210" s="220"/>
      <c r="H210" s="842" t="s">
        <v>47</v>
      </c>
      <c r="I210" s="843"/>
      <c r="J210" s="843"/>
      <c r="K210" s="844"/>
      <c r="L210" s="220"/>
      <c r="M210" s="220"/>
      <c r="N210" s="220"/>
      <c r="O210" s="221"/>
      <c r="P210" s="206"/>
      <c r="Q210" s="230" t="s">
        <v>46</v>
      </c>
      <c r="R210" s="233">
        <f>'2. PRODUCTOS'!$G$152</f>
        <v>0</v>
      </c>
      <c r="S210" s="233">
        <f>'2. PRODUCTOS'!$W$152</f>
        <v>0</v>
      </c>
      <c r="T210" s="220"/>
      <c r="U210" s="842" t="s">
        <v>47</v>
      </c>
      <c r="V210" s="843"/>
      <c r="W210" s="843"/>
      <c r="X210" s="844"/>
      <c r="Y210" s="220"/>
      <c r="Z210" s="220"/>
      <c r="AA210" s="221"/>
      <c r="AB210" s="207"/>
      <c r="AJ210" s="350"/>
      <c r="AU210" s="632"/>
      <c r="BN210" s="632"/>
      <c r="BO210" s="350"/>
      <c r="BP210" s="468"/>
      <c r="BQ210" s="684"/>
      <c r="BR210" s="714"/>
      <c r="BS210" s="714"/>
      <c r="BT210" s="714"/>
      <c r="BU210" s="714"/>
      <c r="BV210" s="350"/>
      <c r="BW210" s="350"/>
      <c r="BX210" s="350"/>
    </row>
    <row r="211" spans="4:76" ht="17.25" customHeight="1" x14ac:dyDescent="0.3">
      <c r="D211" s="226"/>
      <c r="E211" s="234" t="s">
        <v>52</v>
      </c>
      <c r="F211" s="237">
        <f>'2. PRODUCTOS'!$AJ$152</f>
        <v>0</v>
      </c>
      <c r="G211" s="220"/>
      <c r="H211" s="236">
        <v>0</v>
      </c>
      <c r="I211" s="236">
        <v>0.5</v>
      </c>
      <c r="J211" s="236">
        <v>0.75</v>
      </c>
      <c r="K211" s="236">
        <v>1.0009999999999999</v>
      </c>
      <c r="L211" s="220"/>
      <c r="M211" s="220"/>
      <c r="N211" s="220"/>
      <c r="O211" s="221"/>
      <c r="P211" s="206"/>
      <c r="Q211" s="234" t="s">
        <v>52</v>
      </c>
      <c r="R211" s="237">
        <f>'2. PRODUCTOS'!$H$152</f>
        <v>15</v>
      </c>
      <c r="S211" s="237">
        <f>'2. PRODUCTOS'!$AJ$152</f>
        <v>0</v>
      </c>
      <c r="T211" s="220"/>
      <c r="U211" s="236">
        <v>0</v>
      </c>
      <c r="V211" s="236">
        <v>0.5</v>
      </c>
      <c r="W211" s="236">
        <v>0.75</v>
      </c>
      <c r="X211" s="236">
        <v>1.0009999999999999</v>
      </c>
      <c r="Y211" s="220"/>
      <c r="Z211" s="220"/>
      <c r="AA211" s="221"/>
      <c r="AB211" s="207"/>
      <c r="AJ211" s="350"/>
      <c r="AU211" s="632"/>
      <c r="BN211" s="632"/>
      <c r="BO211" s="350"/>
      <c r="BP211" s="488"/>
      <c r="BQ211" s="684"/>
      <c r="BR211" s="714"/>
      <c r="BS211" s="714"/>
      <c r="BT211" s="714"/>
      <c r="BU211" s="714"/>
      <c r="BV211" s="350"/>
      <c r="BW211" s="350"/>
      <c r="BX211" s="350"/>
    </row>
    <row r="212" spans="4:76" x14ac:dyDescent="0.3">
      <c r="D212" s="226"/>
      <c r="E212" s="234" t="s">
        <v>53</v>
      </c>
      <c r="F212" s="237">
        <f>'2. PRODUCTOS'!$AW$152</f>
        <v>0</v>
      </c>
      <c r="G212" s="220"/>
      <c r="H212" s="238">
        <v>0.499</v>
      </c>
      <c r="I212" s="238">
        <v>0.749</v>
      </c>
      <c r="J212" s="238">
        <v>1</v>
      </c>
      <c r="K212" s="238">
        <v>4</v>
      </c>
      <c r="L212" s="220"/>
      <c r="M212" s="220"/>
      <c r="N212" s="220"/>
      <c r="O212" s="221"/>
      <c r="P212" s="206"/>
      <c r="Q212" s="234" t="s">
        <v>53</v>
      </c>
      <c r="R212" s="237">
        <f>'2. PRODUCTOS'!$I$152</f>
        <v>15</v>
      </c>
      <c r="S212" s="237">
        <f>'2. PRODUCTOS'!$AW$152</f>
        <v>0</v>
      </c>
      <c r="T212" s="220"/>
      <c r="U212" s="238">
        <v>0.499</v>
      </c>
      <c r="V212" s="238">
        <v>0.749</v>
      </c>
      <c r="W212" s="238">
        <v>1</v>
      </c>
      <c r="X212" s="238">
        <v>4</v>
      </c>
      <c r="Y212" s="220"/>
      <c r="Z212" s="220"/>
      <c r="AA212" s="221"/>
      <c r="AB212" s="207"/>
      <c r="AJ212" s="350"/>
      <c r="AU212" s="632"/>
      <c r="BN212" s="632"/>
      <c r="BO212" s="375"/>
      <c r="BP212" s="488"/>
      <c r="BQ212" s="375"/>
      <c r="BR212" s="710"/>
      <c r="BS212" s="710"/>
      <c r="BT212" s="710"/>
      <c r="BU212" s="710"/>
      <c r="BV212" s="350"/>
      <c r="BW212" s="350"/>
      <c r="BX212" s="350"/>
    </row>
    <row r="213" spans="4:76" ht="21" customHeight="1" thickBot="1" x14ac:dyDescent="0.35">
      <c r="D213" s="226"/>
      <c r="E213" s="254" t="s">
        <v>495</v>
      </c>
      <c r="F213" s="386">
        <f>'2. PRODUCTOS'!$J$152</f>
        <v>15</v>
      </c>
      <c r="G213" s="220"/>
      <c r="H213" s="256" t="s">
        <v>68</v>
      </c>
      <c r="I213" s="257" t="s">
        <v>69</v>
      </c>
      <c r="J213" s="258" t="s">
        <v>70</v>
      </c>
      <c r="K213" s="259" t="s">
        <v>71</v>
      </c>
      <c r="L213" s="220"/>
      <c r="M213" s="220"/>
      <c r="N213" s="220"/>
      <c r="O213" s="221"/>
      <c r="P213" s="206"/>
      <c r="Q213" s="254" t="s">
        <v>495</v>
      </c>
      <c r="R213" s="260">
        <f>'2. PRODUCTOS'!$J$152</f>
        <v>15</v>
      </c>
      <c r="S213" s="386">
        <f>'2. PRODUCTOS'!$AW$152</f>
        <v>0</v>
      </c>
      <c r="T213" s="220"/>
      <c r="U213" s="262" t="s">
        <v>68</v>
      </c>
      <c r="V213" s="263" t="s">
        <v>69</v>
      </c>
      <c r="W213" s="264" t="s">
        <v>70</v>
      </c>
      <c r="X213" s="265" t="s">
        <v>71</v>
      </c>
      <c r="Y213" s="220"/>
      <c r="Z213" s="220"/>
      <c r="AA213" s="221"/>
      <c r="AB213" s="207"/>
      <c r="AJ213" s="350"/>
      <c r="AU213" s="632"/>
      <c r="BN213" s="632"/>
      <c r="BO213" s="350"/>
      <c r="BP213" s="350"/>
      <c r="BQ213" s="684"/>
      <c r="BR213" s="710"/>
      <c r="BS213" s="710"/>
      <c r="BT213" s="710"/>
      <c r="BU213" s="710"/>
      <c r="BV213" s="350"/>
      <c r="BW213" s="350"/>
      <c r="BX213" s="350"/>
    </row>
    <row r="214" spans="4:76" ht="17.25" thickBot="1" x14ac:dyDescent="0.35">
      <c r="D214" s="226"/>
      <c r="E214" s="284" t="s">
        <v>67</v>
      </c>
      <c r="F214" s="463">
        <f>'2. PRODUCTOS'!$E$152</f>
        <v>15</v>
      </c>
      <c r="G214" s="220"/>
      <c r="H214" s="286">
        <f>IF($F220&gt;=H211,IF($F220&lt;=H212,$F220,NA()),NA())</f>
        <v>0</v>
      </c>
      <c r="I214" s="286" t="e">
        <f>IF($F220&gt;=I211,IF($F220&lt;=I212,$F220,NA()),NA())</f>
        <v>#N/A</v>
      </c>
      <c r="J214" s="286" t="e">
        <f>IF($F220&gt;=J211,IF($F220&lt;=J212,$F220,NA()),NA())</f>
        <v>#N/A</v>
      </c>
      <c r="K214" s="286" t="e">
        <f>IF($F220&gt;=K211,IF($F220&lt;=K212,$F220,NA()),NA())</f>
        <v>#N/A</v>
      </c>
      <c r="L214" s="220"/>
      <c r="M214" s="220"/>
      <c r="N214" s="220"/>
      <c r="O214" s="221"/>
      <c r="P214" s="206"/>
      <c r="Q214" s="596" t="s">
        <v>67</v>
      </c>
      <c r="R214" s="463">
        <f>'2. PRODUCTOS'!$E$152</f>
        <v>15</v>
      </c>
      <c r="S214" s="463">
        <f>'2. PRODUCTOS'!$BT$152</f>
        <v>0</v>
      </c>
      <c r="T214" s="230" t="s">
        <v>46</v>
      </c>
      <c r="U214" s="289">
        <f t="shared" ref="U214:X217" si="28">IF($S216&gt;=U$211,IF($S216&lt;=U$212,$S216,NA()),NA())</f>
        <v>0</v>
      </c>
      <c r="V214" s="290" t="e">
        <f t="shared" si="28"/>
        <v>#N/A</v>
      </c>
      <c r="W214" s="290" t="e">
        <f t="shared" si="28"/>
        <v>#N/A</v>
      </c>
      <c r="X214" s="291" t="e">
        <f t="shared" si="28"/>
        <v>#N/A</v>
      </c>
      <c r="Y214" s="220"/>
      <c r="Z214" s="220"/>
      <c r="AA214" s="221"/>
      <c r="AB214" s="207"/>
      <c r="AJ214" s="350"/>
      <c r="AU214" s="632"/>
      <c r="BN214" s="632"/>
      <c r="BO214" s="350"/>
      <c r="BP214" s="350"/>
      <c r="BQ214" s="684"/>
      <c r="BR214" s="710"/>
      <c r="BS214" s="710"/>
      <c r="BT214" s="710"/>
      <c r="BU214" s="710"/>
      <c r="BV214" s="350"/>
      <c r="BW214" s="350"/>
      <c r="BX214" s="350"/>
    </row>
    <row r="215" spans="4:76" ht="17.25" customHeight="1" thickBot="1" x14ac:dyDescent="0.35">
      <c r="D215" s="226"/>
      <c r="E215" s="220"/>
      <c r="F215" s="220"/>
      <c r="G215" s="220"/>
      <c r="H215" s="312"/>
      <c r="I215" s="312"/>
      <c r="J215" s="312"/>
      <c r="K215" s="220"/>
      <c r="L215" s="220"/>
      <c r="M215" s="220"/>
      <c r="N215" s="220"/>
      <c r="O215" s="221"/>
      <c r="P215" s="206"/>
      <c r="Q215" s="219"/>
      <c r="R215" s="227"/>
      <c r="S215" s="220"/>
      <c r="T215" s="234" t="s">
        <v>52</v>
      </c>
      <c r="U215" s="314">
        <f t="shared" si="28"/>
        <v>0</v>
      </c>
      <c r="V215" s="315" t="e">
        <f t="shared" si="28"/>
        <v>#N/A</v>
      </c>
      <c r="W215" s="315" t="e">
        <f t="shared" si="28"/>
        <v>#N/A</v>
      </c>
      <c r="X215" s="316" t="e">
        <f t="shared" si="28"/>
        <v>#N/A</v>
      </c>
      <c r="Y215" s="220"/>
      <c r="Z215" s="220"/>
      <c r="AA215" s="221"/>
      <c r="AB215" s="207"/>
      <c r="AJ215" s="350"/>
      <c r="AU215" s="632"/>
      <c r="BN215" s="632"/>
      <c r="BO215" s="350"/>
      <c r="BP215" s="350"/>
      <c r="BQ215" s="375"/>
      <c r="BR215" s="710"/>
      <c r="BS215" s="710"/>
      <c r="BT215" s="710"/>
      <c r="BU215" s="710"/>
      <c r="BV215" s="350"/>
      <c r="BW215" s="350"/>
      <c r="BX215" s="350"/>
    </row>
    <row r="216" spans="4:76" x14ac:dyDescent="0.3">
      <c r="D216" s="226"/>
      <c r="E216" s="230" t="s">
        <v>46</v>
      </c>
      <c r="F216" s="328">
        <f>IFERROR(F210/$F$214,0)</f>
        <v>0</v>
      </c>
      <c r="G216" s="220"/>
      <c r="H216" s="312"/>
      <c r="I216" s="312"/>
      <c r="J216" s="312"/>
      <c r="K216" s="220"/>
      <c r="L216" s="220"/>
      <c r="M216" s="220"/>
      <c r="N216" s="220"/>
      <c r="O216" s="221"/>
      <c r="P216" s="206"/>
      <c r="Q216" s="730"/>
      <c r="R216" s="615" t="s">
        <v>46</v>
      </c>
      <c r="S216" s="328">
        <f>IFERROR(S210/R210,0)</f>
        <v>0</v>
      </c>
      <c r="T216" s="234" t="s">
        <v>53</v>
      </c>
      <c r="U216" s="314">
        <f t="shared" si="28"/>
        <v>0</v>
      </c>
      <c r="V216" s="315" t="e">
        <f t="shared" si="28"/>
        <v>#N/A</v>
      </c>
      <c r="W216" s="315" t="e">
        <f t="shared" si="28"/>
        <v>#N/A</v>
      </c>
      <c r="X216" s="316" t="e">
        <f t="shared" si="28"/>
        <v>#N/A</v>
      </c>
      <c r="Y216" s="220"/>
      <c r="Z216" s="220"/>
      <c r="AA216" s="221"/>
      <c r="AB216" s="207"/>
      <c r="AJ216" s="350"/>
      <c r="AU216" s="632"/>
      <c r="BN216" s="632"/>
      <c r="BO216" s="350"/>
      <c r="BP216" s="350"/>
      <c r="BQ216" s="350"/>
      <c r="BR216" s="350"/>
      <c r="BS216" s="350"/>
      <c r="BT216" s="350"/>
      <c r="BU216" s="350"/>
      <c r="BV216" s="350"/>
      <c r="BW216" s="350"/>
      <c r="BX216" s="350"/>
    </row>
    <row r="217" spans="4:76" ht="17.25" thickBot="1" x14ac:dyDescent="0.35">
      <c r="D217" s="226"/>
      <c r="E217" s="234" t="s">
        <v>52</v>
      </c>
      <c r="F217" s="340">
        <f>IFERROR(F211/$F$214,0)</f>
        <v>0</v>
      </c>
      <c r="G217" s="220"/>
      <c r="H217" s="312"/>
      <c r="I217" s="312"/>
      <c r="J217" s="312"/>
      <c r="K217" s="220"/>
      <c r="L217" s="220"/>
      <c r="M217" s="220"/>
      <c r="N217" s="220"/>
      <c r="O217" s="221"/>
      <c r="P217" s="206"/>
      <c r="Q217" s="219"/>
      <c r="R217" s="620" t="s">
        <v>52</v>
      </c>
      <c r="S217" s="340">
        <f>IFERROR(S211/R211,0)</f>
        <v>0</v>
      </c>
      <c r="T217" s="254" t="s">
        <v>495</v>
      </c>
      <c r="U217" s="329">
        <f t="shared" si="28"/>
        <v>0</v>
      </c>
      <c r="V217" s="330" t="e">
        <f t="shared" si="28"/>
        <v>#N/A</v>
      </c>
      <c r="W217" s="330" t="e">
        <f t="shared" si="28"/>
        <v>#N/A</v>
      </c>
      <c r="X217" s="331" t="e">
        <f t="shared" si="28"/>
        <v>#N/A</v>
      </c>
      <c r="Y217" s="220"/>
      <c r="Z217" s="220"/>
      <c r="AA217" s="221"/>
      <c r="AB217" s="207"/>
      <c r="AJ217" s="350"/>
      <c r="AU217" s="632"/>
      <c r="BN217" s="632"/>
      <c r="BO217" s="350"/>
      <c r="BP217" s="350"/>
      <c r="BQ217" s="350"/>
      <c r="BR217" s="350"/>
      <c r="BS217" s="350"/>
      <c r="BT217" s="350"/>
      <c r="BU217" s="350"/>
      <c r="BV217" s="350"/>
      <c r="BW217" s="350"/>
      <c r="BX217" s="350"/>
    </row>
    <row r="218" spans="4:76" x14ac:dyDescent="0.3">
      <c r="D218" s="226"/>
      <c r="E218" s="234" t="s">
        <v>53</v>
      </c>
      <c r="F218" s="340">
        <f>IFERROR(F212/$F$214,0)</f>
        <v>0</v>
      </c>
      <c r="G218" s="220"/>
      <c r="H218" s="312"/>
      <c r="I218" s="312"/>
      <c r="J218" s="312"/>
      <c r="K218" s="220"/>
      <c r="L218" s="220"/>
      <c r="M218" s="220"/>
      <c r="N218" s="220"/>
      <c r="O218" s="221"/>
      <c r="P218" s="206"/>
      <c r="Q218" s="226"/>
      <c r="R218" s="620" t="s">
        <v>53</v>
      </c>
      <c r="S218" s="340">
        <f>IFERROR(S212/R212,0)</f>
        <v>0</v>
      </c>
      <c r="T218" s="220"/>
      <c r="U218" s="312"/>
      <c r="V218" s="312"/>
      <c r="W218" s="312"/>
      <c r="X218" s="220"/>
      <c r="Y218" s="220"/>
      <c r="Z218" s="220"/>
      <c r="AA218" s="221"/>
      <c r="AB218" s="207"/>
      <c r="AJ218" s="350"/>
      <c r="AU218" s="632"/>
      <c r="BN218" s="632"/>
      <c r="BO218" s="350"/>
      <c r="BP218" s="350"/>
      <c r="BQ218" s="350"/>
      <c r="BR218" s="350"/>
      <c r="BS218" s="350"/>
      <c r="BT218" s="350"/>
      <c r="BU218" s="350"/>
      <c r="BV218" s="350"/>
      <c r="BW218" s="350"/>
      <c r="BX218" s="350"/>
    </row>
    <row r="219" spans="4:76" ht="17.25" thickBot="1" x14ac:dyDescent="0.35">
      <c r="D219" s="226"/>
      <c r="E219" s="254" t="s">
        <v>495</v>
      </c>
      <c r="F219" s="410"/>
      <c r="G219" s="220"/>
      <c r="H219" s="312"/>
      <c r="I219" s="312"/>
      <c r="J219" s="312"/>
      <c r="K219" s="220"/>
      <c r="L219" s="220"/>
      <c r="M219" s="220"/>
      <c r="N219" s="220"/>
      <c r="O219" s="221"/>
      <c r="P219" s="206"/>
      <c r="Q219" s="226"/>
      <c r="R219" s="630" t="s">
        <v>495</v>
      </c>
      <c r="S219" s="349">
        <f>IFERROR(S213/R213,0)</f>
        <v>0</v>
      </c>
      <c r="T219" s="220"/>
      <c r="U219" s="312"/>
      <c r="V219" s="312"/>
      <c r="W219" s="312"/>
      <c r="X219" s="220"/>
      <c r="Y219" s="220"/>
      <c r="Z219" s="220"/>
      <c r="AA219" s="221"/>
      <c r="AB219" s="207"/>
      <c r="AJ219" s="350"/>
      <c r="AU219" s="632"/>
      <c r="BN219" s="632"/>
      <c r="BO219" s="350"/>
      <c r="BP219" s="350"/>
      <c r="BQ219" s="350"/>
      <c r="BR219" s="350"/>
      <c r="BS219" s="350"/>
      <c r="BT219" s="350"/>
      <c r="BU219" s="350"/>
      <c r="BV219" s="350"/>
      <c r="BW219" s="350"/>
      <c r="BX219" s="350"/>
    </row>
    <row r="220" spans="4:76" ht="17.25" thickBot="1" x14ac:dyDescent="0.35">
      <c r="D220" s="226"/>
      <c r="E220" s="284" t="s">
        <v>67</v>
      </c>
      <c r="F220" s="357">
        <f>IFERROR(SUM(F216:F218),0)</f>
        <v>0</v>
      </c>
      <c r="G220" s="220"/>
      <c r="H220" s="312"/>
      <c r="I220" s="312"/>
      <c r="J220" s="312"/>
      <c r="K220" s="220"/>
      <c r="L220" s="220"/>
      <c r="M220" s="220"/>
      <c r="N220" s="220"/>
      <c r="O220" s="221"/>
      <c r="P220" s="206"/>
      <c r="Q220" s="226"/>
      <c r="R220" s="596" t="s">
        <v>67</v>
      </c>
      <c r="S220" s="357">
        <f>IFERROR(S214/R214,0)</f>
        <v>0</v>
      </c>
      <c r="T220" s="220"/>
      <c r="U220" s="312"/>
      <c r="V220" s="312"/>
      <c r="W220" s="312"/>
      <c r="X220" s="220"/>
      <c r="Y220" s="220"/>
      <c r="Z220" s="220"/>
      <c r="AA220" s="221"/>
      <c r="AB220" s="207"/>
      <c r="AJ220" s="350"/>
      <c r="AU220" s="632"/>
      <c r="BN220" s="632"/>
      <c r="BO220" s="350"/>
      <c r="BP220" s="350"/>
      <c r="BQ220" s="350"/>
      <c r="BR220" s="350"/>
      <c r="BS220" s="350"/>
      <c r="BT220" s="350"/>
      <c r="BU220" s="350"/>
      <c r="BV220" s="350"/>
      <c r="BW220" s="350"/>
      <c r="BX220" s="350"/>
    </row>
    <row r="221" spans="4:76" x14ac:dyDescent="0.3">
      <c r="D221" s="226"/>
      <c r="E221" s="220"/>
      <c r="F221" s="220"/>
      <c r="G221" s="220"/>
      <c r="H221" s="312"/>
      <c r="I221" s="312"/>
      <c r="J221" s="312"/>
      <c r="K221" s="220"/>
      <c r="L221" s="220"/>
      <c r="M221" s="220"/>
      <c r="N221" s="220"/>
      <c r="O221" s="221"/>
      <c r="P221" s="206"/>
      <c r="Q221" s="219"/>
      <c r="R221" s="227"/>
      <c r="S221" s="220"/>
      <c r="T221" s="220"/>
      <c r="U221" s="220"/>
      <c r="V221" s="220"/>
      <c r="W221" s="220"/>
      <c r="X221" s="220"/>
      <c r="Y221" s="220"/>
      <c r="Z221" s="220"/>
      <c r="AA221" s="221"/>
      <c r="AB221" s="207"/>
      <c r="AJ221" s="350"/>
      <c r="AU221" s="632"/>
      <c r="BN221" s="632"/>
      <c r="BO221" s="350"/>
      <c r="BP221" s="350"/>
      <c r="BQ221" s="350"/>
      <c r="BR221" s="350"/>
      <c r="BS221" s="350"/>
      <c r="BT221" s="350"/>
      <c r="BU221" s="350"/>
      <c r="BV221" s="350"/>
      <c r="BW221" s="350"/>
      <c r="BX221" s="350"/>
    </row>
    <row r="222" spans="4:76" x14ac:dyDescent="0.3">
      <c r="D222" s="226"/>
      <c r="E222" s="220"/>
      <c r="F222" s="220"/>
      <c r="G222" s="220"/>
      <c r="H222" s="312"/>
      <c r="I222" s="312"/>
      <c r="J222" s="312"/>
      <c r="K222" s="220"/>
      <c r="L222" s="220"/>
      <c r="M222" s="220"/>
      <c r="N222" s="220"/>
      <c r="O222" s="221"/>
      <c r="P222" s="206"/>
      <c r="Q222" s="219"/>
      <c r="R222" s="227"/>
      <c r="S222" s="220"/>
      <c r="T222" s="220"/>
      <c r="U222" s="220"/>
      <c r="V222" s="220"/>
      <c r="W222" s="220"/>
      <c r="X222" s="220"/>
      <c r="Y222" s="220"/>
      <c r="Z222" s="220"/>
      <c r="AA222" s="221"/>
      <c r="AB222" s="207"/>
      <c r="AJ222" s="350"/>
      <c r="AU222" s="632"/>
      <c r="BN222" s="632"/>
      <c r="BO222" s="350"/>
      <c r="BP222" s="350"/>
      <c r="BQ222" s="350"/>
      <c r="BR222" s="350"/>
      <c r="BS222" s="350"/>
      <c r="BT222" s="350"/>
      <c r="BU222" s="350"/>
      <c r="BV222" s="350"/>
      <c r="BW222" s="350"/>
      <c r="BX222" s="350"/>
    </row>
    <row r="223" spans="4:76" ht="17.25" customHeight="1" x14ac:dyDescent="0.3">
      <c r="D223" s="226"/>
      <c r="E223" s="220"/>
      <c r="F223" s="220"/>
      <c r="G223" s="220"/>
      <c r="H223" s="312"/>
      <c r="I223" s="312"/>
      <c r="J223" s="312"/>
      <c r="K223" s="220"/>
      <c r="L223" s="220"/>
      <c r="M223" s="220"/>
      <c r="N223" s="220"/>
      <c r="O223" s="221"/>
      <c r="P223" s="206"/>
      <c r="Q223" s="219"/>
      <c r="R223" s="227"/>
      <c r="S223" s="220"/>
      <c r="T223" s="220"/>
      <c r="U223" s="220"/>
      <c r="V223" s="220"/>
      <c r="W223" s="220"/>
      <c r="X223" s="220"/>
      <c r="Y223" s="220"/>
      <c r="Z223" s="220"/>
      <c r="AA223" s="221"/>
      <c r="AB223" s="207"/>
      <c r="AJ223" s="350"/>
      <c r="AU223" s="632"/>
      <c r="BN223" s="632"/>
      <c r="BO223" s="350"/>
      <c r="BP223" s="350"/>
      <c r="BQ223" s="350"/>
      <c r="BR223" s="350"/>
      <c r="BS223" s="350"/>
      <c r="BT223" s="350"/>
      <c r="BU223" s="350"/>
      <c r="BV223" s="350"/>
      <c r="BW223" s="350"/>
      <c r="BX223" s="350"/>
    </row>
    <row r="224" spans="4:76" x14ac:dyDescent="0.3">
      <c r="D224" s="226"/>
      <c r="E224" s="220"/>
      <c r="F224" s="220"/>
      <c r="G224" s="220"/>
      <c r="H224" s="312"/>
      <c r="I224" s="312"/>
      <c r="J224" s="312"/>
      <c r="K224" s="220"/>
      <c r="L224" s="220"/>
      <c r="M224" s="220"/>
      <c r="N224" s="220"/>
      <c r="O224" s="221"/>
      <c r="P224" s="206"/>
      <c r="Q224" s="219"/>
      <c r="R224" s="227"/>
      <c r="S224" s="220"/>
      <c r="T224" s="220"/>
      <c r="U224" s="220"/>
      <c r="V224" s="220"/>
      <c r="W224" s="220"/>
      <c r="X224" s="220"/>
      <c r="Y224" s="220"/>
      <c r="Z224" s="220"/>
      <c r="AA224" s="221"/>
      <c r="AB224" s="207"/>
      <c r="AJ224" s="350"/>
      <c r="AK224" s="526"/>
      <c r="AL224" s="526"/>
      <c r="AM224" s="526"/>
      <c r="AN224" s="526"/>
      <c r="AO224" s="526"/>
      <c r="AP224" s="526"/>
      <c r="AQ224" s="526"/>
      <c r="AU224" s="632"/>
      <c r="BN224" s="632"/>
      <c r="BO224" s="350"/>
      <c r="BP224" s="350"/>
      <c r="BQ224" s="350"/>
      <c r="BR224" s="350"/>
      <c r="BS224" s="350"/>
      <c r="BT224" s="350"/>
      <c r="BU224" s="350"/>
      <c r="BV224" s="350"/>
      <c r="BW224" s="350"/>
      <c r="BX224" s="350"/>
    </row>
    <row r="225" spans="4:87" ht="18" customHeight="1" x14ac:dyDescent="0.3">
      <c r="D225" s="226"/>
      <c r="E225" s="220"/>
      <c r="F225" s="220"/>
      <c r="G225" s="220"/>
      <c r="H225" s="312"/>
      <c r="I225" s="312"/>
      <c r="J225" s="312"/>
      <c r="K225" s="220"/>
      <c r="L225" s="220"/>
      <c r="M225" s="220"/>
      <c r="N225" s="220"/>
      <c r="O225" s="221"/>
      <c r="P225" s="206"/>
      <c r="Q225" s="219"/>
      <c r="R225" s="227"/>
      <c r="S225" s="220"/>
      <c r="T225" s="220"/>
      <c r="U225" s="220"/>
      <c r="V225" s="220"/>
      <c r="W225" s="220"/>
      <c r="X225" s="220"/>
      <c r="Y225" s="220"/>
      <c r="Z225" s="220"/>
      <c r="AA225" s="221"/>
      <c r="AB225" s="207"/>
      <c r="AJ225" s="350"/>
      <c r="AU225" s="632"/>
      <c r="BN225" s="632"/>
      <c r="BO225" s="350"/>
      <c r="BP225" s="350"/>
      <c r="BQ225" s="350"/>
      <c r="BR225" s="350"/>
      <c r="BS225" s="350"/>
      <c r="BT225" s="350"/>
      <c r="BU225" s="350"/>
      <c r="BV225" s="350"/>
      <c r="BW225" s="350"/>
      <c r="BX225" s="350"/>
    </row>
    <row r="226" spans="4:87" ht="17.25" customHeight="1" x14ac:dyDescent="0.3">
      <c r="D226" s="226"/>
      <c r="E226" s="220"/>
      <c r="F226" s="220"/>
      <c r="G226" s="220"/>
      <c r="H226" s="312"/>
      <c r="I226" s="312"/>
      <c r="J226" s="312"/>
      <c r="K226" s="220"/>
      <c r="L226" s="220"/>
      <c r="M226" s="220"/>
      <c r="N226" s="220"/>
      <c r="O226" s="221"/>
      <c r="P226" s="206"/>
      <c r="Q226" s="219"/>
      <c r="R226" s="227"/>
      <c r="S226" s="220"/>
      <c r="T226" s="220"/>
      <c r="U226" s="220"/>
      <c r="V226" s="220"/>
      <c r="W226" s="220"/>
      <c r="X226" s="220"/>
      <c r="Y226" s="220"/>
      <c r="Z226" s="220"/>
      <c r="AA226" s="221"/>
      <c r="AB226" s="207"/>
      <c r="AJ226" s="350"/>
      <c r="AU226" s="632"/>
      <c r="BN226" s="632"/>
      <c r="BO226" s="350"/>
      <c r="BP226" s="350"/>
      <c r="BQ226" s="350"/>
      <c r="BR226" s="350"/>
      <c r="BS226" s="350"/>
      <c r="BT226" s="350"/>
      <c r="BU226" s="350"/>
      <c r="BV226" s="350"/>
      <c r="BW226" s="350"/>
      <c r="BX226" s="350"/>
    </row>
    <row r="227" spans="4:87" ht="17.25" customHeight="1" x14ac:dyDescent="0.3">
      <c r="D227" s="226"/>
      <c r="E227" s="220"/>
      <c r="F227" s="220"/>
      <c r="G227" s="220"/>
      <c r="H227" s="312"/>
      <c r="I227" s="312"/>
      <c r="J227" s="312"/>
      <c r="K227" s="220"/>
      <c r="L227" s="220"/>
      <c r="M227" s="220"/>
      <c r="N227" s="220"/>
      <c r="O227" s="221"/>
      <c r="P227" s="206"/>
      <c r="Q227" s="219"/>
      <c r="R227" s="227"/>
      <c r="S227" s="220"/>
      <c r="T227" s="220"/>
      <c r="U227" s="220"/>
      <c r="V227" s="220"/>
      <c r="W227" s="220"/>
      <c r="X227" s="220"/>
      <c r="Y227" s="220"/>
      <c r="Z227" s="220"/>
      <c r="AA227" s="221"/>
      <c r="AB227" s="207"/>
      <c r="AJ227" s="350"/>
      <c r="AK227" s="526"/>
      <c r="AL227" s="526"/>
      <c r="AM227" s="526"/>
      <c r="AN227" s="526"/>
      <c r="AO227" s="526"/>
      <c r="AU227" s="632"/>
      <c r="BN227" s="632"/>
      <c r="BO227" s="350"/>
      <c r="BP227" s="350"/>
      <c r="BQ227" s="350"/>
      <c r="BR227" s="350"/>
      <c r="BS227" s="350"/>
      <c r="BT227" s="350"/>
      <c r="BU227" s="350"/>
      <c r="BV227" s="350"/>
      <c r="BW227" s="350"/>
      <c r="BX227" s="350"/>
    </row>
    <row r="228" spans="4:87" ht="17.25" thickBot="1" x14ac:dyDescent="0.35">
      <c r="D228" s="226"/>
      <c r="E228" s="220"/>
      <c r="F228" s="220"/>
      <c r="G228" s="220"/>
      <c r="H228" s="312"/>
      <c r="I228" s="312"/>
      <c r="J228" s="312"/>
      <c r="K228" s="220"/>
      <c r="L228" s="220"/>
      <c r="M228" s="220"/>
      <c r="N228" s="220"/>
      <c r="O228" s="221"/>
      <c r="P228" s="206"/>
      <c r="Q228" s="219"/>
      <c r="R228" s="227"/>
      <c r="S228" s="220"/>
      <c r="T228" s="220"/>
      <c r="U228" s="220"/>
      <c r="V228" s="220"/>
      <c r="W228" s="220"/>
      <c r="X228" s="220"/>
      <c r="Y228" s="220"/>
      <c r="Z228" s="220"/>
      <c r="AA228" s="221"/>
      <c r="AB228" s="207"/>
      <c r="AJ228" s="350"/>
      <c r="AL228" s="736"/>
      <c r="AM228" s="736"/>
      <c r="AN228" s="736"/>
      <c r="AO228" s="736"/>
      <c r="AU228" s="632"/>
      <c r="BN228" s="632"/>
      <c r="BO228" s="350"/>
      <c r="BP228" s="350"/>
      <c r="BQ228" s="350"/>
      <c r="BR228" s="350"/>
      <c r="BS228" s="350"/>
      <c r="BT228" s="350"/>
      <c r="BU228" s="350"/>
      <c r="BV228" s="350"/>
      <c r="BW228" s="350"/>
      <c r="BX228" s="350"/>
    </row>
    <row r="229" spans="4:87" ht="23.25" thickBot="1" x14ac:dyDescent="0.35">
      <c r="D229" s="881" t="s">
        <v>32</v>
      </c>
      <c r="E229" s="882"/>
      <c r="F229" s="882"/>
      <c r="G229" s="882"/>
      <c r="H229" s="882"/>
      <c r="I229" s="882"/>
      <c r="J229" s="882"/>
      <c r="K229" s="882"/>
      <c r="L229" s="882"/>
      <c r="M229" s="882"/>
      <c r="N229" s="882"/>
      <c r="O229" s="883"/>
      <c r="P229" s="206"/>
      <c r="Q229" s="945" t="s">
        <v>32</v>
      </c>
      <c r="R229" s="946"/>
      <c r="S229" s="946"/>
      <c r="T229" s="946"/>
      <c r="U229" s="946"/>
      <c r="V229" s="946"/>
      <c r="W229" s="946"/>
      <c r="X229" s="946"/>
      <c r="Y229" s="946"/>
      <c r="Z229" s="946"/>
      <c r="AA229" s="947"/>
      <c r="AB229" s="207"/>
      <c r="AJ229" s="350"/>
      <c r="AL229" s="736"/>
      <c r="AM229" s="736"/>
      <c r="AN229" s="736"/>
      <c r="AO229" s="736"/>
      <c r="AU229" s="632"/>
      <c r="BN229" s="632"/>
      <c r="BO229" s="350"/>
      <c r="BP229" s="350"/>
      <c r="BQ229" s="350"/>
      <c r="BR229" s="350"/>
      <c r="BS229" s="350"/>
      <c r="BT229" s="350"/>
      <c r="BU229" s="350"/>
      <c r="BV229" s="350"/>
      <c r="BW229" s="350"/>
      <c r="BX229" s="350"/>
    </row>
    <row r="230" spans="4:87" ht="17.25" thickBot="1" x14ac:dyDescent="0.35">
      <c r="D230" s="226"/>
      <c r="E230" s="227"/>
      <c r="F230" s="220"/>
      <c r="G230" s="574"/>
      <c r="H230" s="574"/>
      <c r="I230" s="574"/>
      <c r="J230" s="574"/>
      <c r="K230" s="220"/>
      <c r="L230" s="220"/>
      <c r="M230" s="220"/>
      <c r="N230" s="220"/>
      <c r="O230" s="221"/>
      <c r="P230" s="206"/>
      <c r="Q230" s="226"/>
      <c r="R230" s="227"/>
      <c r="S230" s="220"/>
      <c r="T230" s="574"/>
      <c r="U230" s="574"/>
      <c r="V230" s="574"/>
      <c r="W230" s="574"/>
      <c r="X230" s="220"/>
      <c r="Y230" s="220"/>
      <c r="Z230" s="220"/>
      <c r="AA230" s="221"/>
      <c r="AB230" s="207"/>
      <c r="AJ230" s="350"/>
      <c r="AL230" s="737"/>
      <c r="AM230" s="737"/>
      <c r="AN230" s="737"/>
      <c r="AO230" s="737"/>
      <c r="AU230" s="632"/>
      <c r="BN230" s="632"/>
      <c r="BO230" s="350"/>
      <c r="BP230" s="350"/>
      <c r="BQ230" s="350"/>
      <c r="BR230" s="350"/>
      <c r="BS230" s="350"/>
      <c r="BT230" s="350"/>
      <c r="BU230" s="350"/>
      <c r="BV230" s="350"/>
      <c r="BW230" s="350"/>
      <c r="BX230" s="350"/>
      <c r="CG230" s="526"/>
      <c r="CH230" s="526"/>
      <c r="CI230" s="526"/>
    </row>
    <row r="231" spans="4:87" ht="17.25" customHeight="1" thickBot="1" x14ac:dyDescent="0.35">
      <c r="D231" s="884" t="s">
        <v>143</v>
      </c>
      <c r="E231" s="885"/>
      <c r="F231" s="885"/>
      <c r="G231" s="885"/>
      <c r="H231" s="885"/>
      <c r="I231" s="885"/>
      <c r="J231" s="885"/>
      <c r="K231" s="885"/>
      <c r="L231" s="885"/>
      <c r="M231" s="885"/>
      <c r="N231" s="885"/>
      <c r="O231" s="886"/>
      <c r="P231" s="206"/>
      <c r="Q231" s="858" t="s">
        <v>143</v>
      </c>
      <c r="R231" s="859"/>
      <c r="S231" s="859"/>
      <c r="T231" s="859"/>
      <c r="U231" s="859"/>
      <c r="V231" s="859"/>
      <c r="W231" s="859"/>
      <c r="X231" s="859"/>
      <c r="Y231" s="859"/>
      <c r="Z231" s="859"/>
      <c r="AA231" s="860"/>
      <c r="AB231" s="207"/>
      <c r="AJ231" s="350"/>
      <c r="AK231" s="738"/>
      <c r="AL231" s="739"/>
      <c r="AM231" s="739"/>
      <c r="AN231" s="739"/>
      <c r="AO231" s="739"/>
      <c r="AU231" s="632"/>
      <c r="BN231" s="632"/>
      <c r="BO231" s="350"/>
      <c r="BP231" s="350"/>
      <c r="BQ231" s="350"/>
      <c r="BR231" s="350"/>
      <c r="BS231" s="350"/>
      <c r="BT231" s="350"/>
      <c r="BU231" s="350"/>
      <c r="BV231" s="350"/>
      <c r="BW231" s="350"/>
      <c r="BX231" s="350"/>
      <c r="CG231" s="526"/>
      <c r="CH231" s="526"/>
      <c r="CI231" s="526"/>
    </row>
    <row r="232" spans="4:87" ht="17.25" thickBot="1" x14ac:dyDescent="0.35">
      <c r="D232" s="226"/>
      <c r="E232" s="227"/>
      <c r="F232" s="220"/>
      <c r="G232" s="312"/>
      <c r="H232" s="312"/>
      <c r="I232" s="312"/>
      <c r="J232" s="243"/>
      <c r="K232" s="220"/>
      <c r="L232" s="220"/>
      <c r="M232" s="220"/>
      <c r="N232" s="220"/>
      <c r="O232" s="221"/>
      <c r="P232" s="206"/>
      <c r="Q232" s="226"/>
      <c r="R232" s="227"/>
      <c r="S232" s="220"/>
      <c r="T232" s="312"/>
      <c r="U232" s="312"/>
      <c r="V232" s="312"/>
      <c r="W232" s="312"/>
      <c r="X232" s="220"/>
      <c r="Y232" s="220"/>
      <c r="Z232" s="220"/>
      <c r="AA232" s="221"/>
      <c r="AB232" s="207"/>
      <c r="AJ232" s="350"/>
      <c r="AK232" s="526"/>
      <c r="AL232" s="526"/>
      <c r="AU232" s="632"/>
      <c r="BN232" s="632"/>
      <c r="BO232" s="350"/>
      <c r="BP232" s="350"/>
      <c r="BQ232" s="350"/>
      <c r="BR232" s="350"/>
      <c r="BS232" s="350"/>
      <c r="BT232" s="350"/>
      <c r="BU232" s="350"/>
      <c r="BV232" s="350"/>
      <c r="BW232" s="350"/>
      <c r="BX232" s="350"/>
      <c r="CG232" s="526"/>
      <c r="CH232" s="526"/>
      <c r="CI232" s="526"/>
    </row>
    <row r="233" spans="4:87" ht="17.25" customHeight="1" thickBot="1" x14ac:dyDescent="0.35">
      <c r="D233" s="226"/>
      <c r="E233" s="230" t="s">
        <v>46</v>
      </c>
      <c r="F233" s="233">
        <f>'2. PRODUCTOS'!$W$170</f>
        <v>0</v>
      </c>
      <c r="G233" s="220"/>
      <c r="H233" s="842" t="s">
        <v>47</v>
      </c>
      <c r="I233" s="843"/>
      <c r="J233" s="843"/>
      <c r="K233" s="844"/>
      <c r="L233" s="220"/>
      <c r="M233" s="220"/>
      <c r="N233" s="220"/>
      <c r="O233" s="221"/>
      <c r="P233" s="206"/>
      <c r="Q233" s="223"/>
      <c r="R233" s="228" t="s">
        <v>44</v>
      </c>
      <c r="S233" s="229" t="s">
        <v>45</v>
      </c>
      <c r="T233" s="220"/>
      <c r="U233" s="220"/>
      <c r="V233" s="220"/>
      <c r="W233" s="220"/>
      <c r="X233" s="220"/>
      <c r="Y233" s="220"/>
      <c r="Z233" s="220"/>
      <c r="AA233" s="221"/>
      <c r="AB233" s="207"/>
      <c r="AJ233" s="350"/>
      <c r="AM233" s="526"/>
      <c r="AN233" s="526"/>
      <c r="AO233" s="526"/>
      <c r="AU233" s="632"/>
      <c r="BN233" s="632"/>
      <c r="BO233" s="350"/>
      <c r="BP233" s="350"/>
      <c r="BQ233" s="350"/>
      <c r="BR233" s="350"/>
      <c r="BS233" s="350"/>
      <c r="BT233" s="350"/>
      <c r="BU233" s="350"/>
      <c r="BV233" s="350"/>
      <c r="BW233" s="350"/>
      <c r="BX233" s="350"/>
      <c r="CG233" s="526"/>
      <c r="CH233" s="526"/>
      <c r="CI233" s="526"/>
    </row>
    <row r="234" spans="4:87" ht="17.25" thickBot="1" x14ac:dyDescent="0.35">
      <c r="D234" s="226"/>
      <c r="E234" s="234" t="s">
        <v>52</v>
      </c>
      <c r="F234" s="237">
        <f>'2. PRODUCTOS'!$AJ$170</f>
        <v>0</v>
      </c>
      <c r="G234" s="220"/>
      <c r="H234" s="236">
        <v>0</v>
      </c>
      <c r="I234" s="236">
        <v>0.5</v>
      </c>
      <c r="J234" s="236">
        <v>0.75</v>
      </c>
      <c r="K234" s="236">
        <v>1.0009999999999999</v>
      </c>
      <c r="L234" s="220"/>
      <c r="M234" s="220"/>
      <c r="N234" s="220"/>
      <c r="O234" s="221"/>
      <c r="P234" s="206"/>
      <c r="Q234" s="230" t="s">
        <v>46</v>
      </c>
      <c r="R234" s="233">
        <f>'2. PRODUCTOS'!$G$170</f>
        <v>1</v>
      </c>
      <c r="S234" s="233">
        <f>'2. PRODUCTOS'!$W$170</f>
        <v>0</v>
      </c>
      <c r="T234" s="220"/>
      <c r="U234" s="842" t="s">
        <v>47</v>
      </c>
      <c r="V234" s="843"/>
      <c r="W234" s="843"/>
      <c r="X234" s="844"/>
      <c r="Y234" s="220"/>
      <c r="Z234" s="220"/>
      <c r="AA234" s="221"/>
      <c r="AB234" s="207"/>
      <c r="AJ234" s="350"/>
      <c r="AM234" s="740"/>
      <c r="AN234" s="740"/>
      <c r="AO234" s="740"/>
      <c r="AP234" s="741"/>
      <c r="AU234" s="632"/>
      <c r="BN234" s="632"/>
      <c r="BO234" s="350"/>
      <c r="BP234" s="350"/>
      <c r="BQ234" s="350"/>
      <c r="BR234" s="350"/>
      <c r="BS234" s="350"/>
      <c r="BT234" s="350"/>
      <c r="BU234" s="350"/>
      <c r="BV234" s="350"/>
      <c r="BW234" s="350"/>
      <c r="BX234" s="350"/>
      <c r="CG234" s="526"/>
      <c r="CH234" s="526"/>
      <c r="CI234" s="526"/>
    </row>
    <row r="235" spans="4:87" ht="17.25" customHeight="1" x14ac:dyDescent="0.3">
      <c r="D235" s="226"/>
      <c r="E235" s="234" t="s">
        <v>53</v>
      </c>
      <c r="F235" s="237">
        <f>'2. PRODUCTOS'!$AW$170</f>
        <v>1</v>
      </c>
      <c r="G235" s="220"/>
      <c r="H235" s="238">
        <v>0.499</v>
      </c>
      <c r="I235" s="238">
        <v>0.749</v>
      </c>
      <c r="J235" s="238">
        <v>1</v>
      </c>
      <c r="K235" s="238">
        <v>4</v>
      </c>
      <c r="L235" s="220"/>
      <c r="M235" s="220"/>
      <c r="N235" s="220"/>
      <c r="O235" s="221"/>
      <c r="P235" s="206"/>
      <c r="Q235" s="234" t="s">
        <v>52</v>
      </c>
      <c r="R235" s="237">
        <f>'2. PRODUCTOS'!$H$170</f>
        <v>2</v>
      </c>
      <c r="S235" s="237">
        <f>'2. PRODUCTOS'!$AJ$170</f>
        <v>0</v>
      </c>
      <c r="T235" s="220"/>
      <c r="U235" s="236">
        <v>0</v>
      </c>
      <c r="V235" s="236">
        <v>0.5</v>
      </c>
      <c r="W235" s="236">
        <v>0.75</v>
      </c>
      <c r="X235" s="236">
        <v>1.0009999999999999</v>
      </c>
      <c r="Y235" s="220"/>
      <c r="Z235" s="220"/>
      <c r="AA235" s="221"/>
      <c r="AB235" s="207"/>
      <c r="AJ235" s="350"/>
      <c r="AM235" s="740"/>
      <c r="AN235" s="740"/>
      <c r="AO235" s="740"/>
      <c r="AP235" s="741"/>
      <c r="AU235" s="632"/>
      <c r="BN235" s="632"/>
      <c r="BO235" s="350"/>
      <c r="BP235" s="350"/>
      <c r="BQ235" s="350"/>
      <c r="BR235" s="350"/>
      <c r="BS235" s="350"/>
      <c r="BT235" s="350"/>
      <c r="BU235" s="350"/>
      <c r="BV235" s="350"/>
      <c r="BW235" s="350"/>
      <c r="BX235" s="350"/>
      <c r="CG235" s="526"/>
      <c r="CH235" s="526"/>
      <c r="CI235" s="526"/>
    </row>
    <row r="236" spans="4:87" ht="17.25" thickBot="1" x14ac:dyDescent="0.35">
      <c r="D236" s="226"/>
      <c r="E236" s="254" t="s">
        <v>495</v>
      </c>
      <c r="F236" s="386">
        <f>'2. PRODUCTOS'!$BJ$170</f>
        <v>0</v>
      </c>
      <c r="G236" s="220"/>
      <c r="H236" s="256" t="s">
        <v>68</v>
      </c>
      <c r="I236" s="257" t="s">
        <v>69</v>
      </c>
      <c r="J236" s="258" t="s">
        <v>70</v>
      </c>
      <c r="K236" s="259" t="s">
        <v>71</v>
      </c>
      <c r="L236" s="220"/>
      <c r="M236" s="220"/>
      <c r="N236" s="220"/>
      <c r="O236" s="221"/>
      <c r="P236" s="206"/>
      <c r="Q236" s="234" t="s">
        <v>53</v>
      </c>
      <c r="R236" s="237">
        <f>'2. PRODUCTOS'!$I$170</f>
        <v>3</v>
      </c>
      <c r="S236" s="237">
        <f>'2. PRODUCTOS'!$AW$170</f>
        <v>1</v>
      </c>
      <c r="T236" s="220"/>
      <c r="U236" s="238">
        <v>0.499</v>
      </c>
      <c r="V236" s="238">
        <v>0.749</v>
      </c>
      <c r="W236" s="238">
        <v>1</v>
      </c>
      <c r="X236" s="238">
        <v>4</v>
      </c>
      <c r="Y236" s="220"/>
      <c r="Z236" s="220"/>
      <c r="AA236" s="221"/>
      <c r="AB236" s="207"/>
      <c r="AJ236" s="350"/>
      <c r="AM236" s="740"/>
      <c r="AN236" s="740"/>
      <c r="AO236" s="740"/>
      <c r="AP236" s="742"/>
      <c r="AQ236" s="743"/>
      <c r="AU236" s="632"/>
      <c r="BN236" s="632"/>
      <c r="BO236" s="350"/>
      <c r="BP236" s="350"/>
      <c r="BQ236" s="350"/>
      <c r="BR236" s="350"/>
      <c r="BS236" s="350"/>
      <c r="BT236" s="350"/>
      <c r="BU236" s="350"/>
      <c r="BV236" s="350"/>
      <c r="BW236" s="350"/>
      <c r="BX236" s="350"/>
      <c r="CG236" s="526"/>
      <c r="CH236" s="526"/>
      <c r="CI236" s="526"/>
    </row>
    <row r="237" spans="4:87" ht="17.25" customHeight="1" thickBot="1" x14ac:dyDescent="0.35">
      <c r="D237" s="226"/>
      <c r="E237" s="744" t="s">
        <v>496</v>
      </c>
      <c r="F237" s="463">
        <f>'2. PRODUCTOS'!$E$170</f>
        <v>5</v>
      </c>
      <c r="G237" s="220"/>
      <c r="H237" s="286">
        <f>IF($F244&gt;=H234,IF($F244&lt;=H235,$F244,NA()),NA())</f>
        <v>0.2</v>
      </c>
      <c r="I237" s="286" t="e">
        <f>IF($F244&gt;=I234,IF($F244&lt;=I235,$F244,NA()),NA())</f>
        <v>#N/A</v>
      </c>
      <c r="J237" s="286" t="e">
        <f>IF($F244&gt;=J234,IF($F244&lt;=J235,$F244,NA()),NA())</f>
        <v>#N/A</v>
      </c>
      <c r="K237" s="286" t="e">
        <f>IF($F244&gt;=K234,IF($F244&lt;=K235,$F244,NA()),NA())</f>
        <v>#N/A</v>
      </c>
      <c r="L237" s="220"/>
      <c r="M237" s="220"/>
      <c r="N237" s="220"/>
      <c r="O237" s="221"/>
      <c r="P237" s="206"/>
      <c r="Q237" s="254" t="s">
        <v>495</v>
      </c>
      <c r="R237" s="260">
        <f>'2. PRODUCTOS'!$J$170</f>
        <v>5</v>
      </c>
      <c r="S237" s="386">
        <f>'2. PRODUCTOS'!$BJ$170</f>
        <v>0</v>
      </c>
      <c r="T237" s="220"/>
      <c r="U237" s="262" t="s">
        <v>68</v>
      </c>
      <c r="V237" s="263" t="s">
        <v>69</v>
      </c>
      <c r="W237" s="264" t="s">
        <v>70</v>
      </c>
      <c r="X237" s="265" t="s">
        <v>71</v>
      </c>
      <c r="Y237" s="220"/>
      <c r="Z237" s="220"/>
      <c r="AA237" s="221"/>
      <c r="AB237" s="207"/>
      <c r="AJ237" s="350"/>
      <c r="AM237" s="745"/>
      <c r="AN237" s="745"/>
      <c r="AO237" s="745"/>
      <c r="AP237" s="742"/>
      <c r="AQ237" s="743"/>
      <c r="AU237" s="632"/>
      <c r="BN237" s="632"/>
      <c r="BO237" s="350"/>
      <c r="BP237" s="350"/>
      <c r="BQ237" s="350"/>
      <c r="BR237" s="350"/>
      <c r="BS237" s="350"/>
      <c r="BT237" s="350"/>
      <c r="BU237" s="350"/>
      <c r="BV237" s="350"/>
      <c r="BW237" s="350"/>
      <c r="BX237" s="350"/>
    </row>
    <row r="238" spans="4:87" ht="18" customHeight="1" thickBot="1" x14ac:dyDescent="0.35">
      <c r="D238" s="226"/>
      <c r="E238" s="220"/>
      <c r="F238" s="220"/>
      <c r="G238" s="220"/>
      <c r="H238" s="220"/>
      <c r="I238" s="220"/>
      <c r="J238" s="220"/>
      <c r="K238" s="220"/>
      <c r="L238" s="220"/>
      <c r="M238" s="220"/>
      <c r="N238" s="220"/>
      <c r="O238" s="221"/>
      <c r="P238" s="206"/>
      <c r="Q238" s="596" t="s">
        <v>67</v>
      </c>
      <c r="R238" s="463">
        <f>'2. PRODUCTOS'!$E$170</f>
        <v>5</v>
      </c>
      <c r="S238" s="581">
        <f>'2. PRODUCTOS'!$BT$170</f>
        <v>1</v>
      </c>
      <c r="T238" s="230" t="s">
        <v>46</v>
      </c>
      <c r="U238" s="337">
        <f t="shared" ref="U238:X241" si="29">IF($S240&gt;=U$235,IF($S240&lt;=U$236,$S240,NA()),NA())</f>
        <v>0</v>
      </c>
      <c r="V238" s="457" t="e">
        <f t="shared" si="29"/>
        <v>#N/A</v>
      </c>
      <c r="W238" s="457" t="e">
        <f t="shared" si="29"/>
        <v>#N/A</v>
      </c>
      <c r="X238" s="458" t="e">
        <f t="shared" si="29"/>
        <v>#N/A</v>
      </c>
      <c r="Y238" s="220"/>
      <c r="Z238" s="220"/>
      <c r="AA238" s="221"/>
      <c r="AB238" s="207"/>
      <c r="AJ238" s="350"/>
      <c r="AU238" s="632"/>
      <c r="BN238" s="632"/>
      <c r="BO238" s="350"/>
      <c r="BP238" s="350"/>
      <c r="BQ238" s="350"/>
      <c r="BR238" s="350"/>
      <c r="BS238" s="350"/>
      <c r="BT238" s="350"/>
      <c r="BU238" s="350"/>
      <c r="BV238" s="350"/>
      <c r="BW238" s="350"/>
      <c r="BX238" s="350"/>
    </row>
    <row r="239" spans="4:87" ht="17.25" customHeight="1" thickBot="1" x14ac:dyDescent="0.35">
      <c r="D239" s="219"/>
      <c r="E239" s="311"/>
      <c r="F239" s="227"/>
      <c r="G239" s="220"/>
      <c r="H239" s="312"/>
      <c r="I239" s="312"/>
      <c r="J239" s="312"/>
      <c r="K239" s="220"/>
      <c r="L239" s="220"/>
      <c r="M239" s="220"/>
      <c r="N239" s="220"/>
      <c r="O239" s="221"/>
      <c r="P239" s="206"/>
      <c r="Q239" s="226"/>
      <c r="R239" s="311"/>
      <c r="S239" s="227"/>
      <c r="T239" s="234" t="s">
        <v>52</v>
      </c>
      <c r="U239" s="578">
        <f t="shared" si="29"/>
        <v>0</v>
      </c>
      <c r="V239" s="579" t="e">
        <f t="shared" si="29"/>
        <v>#N/A</v>
      </c>
      <c r="W239" s="579" t="e">
        <f t="shared" si="29"/>
        <v>#N/A</v>
      </c>
      <c r="X239" s="580" t="e">
        <f t="shared" si="29"/>
        <v>#N/A</v>
      </c>
      <c r="Y239" s="220"/>
      <c r="Z239" s="220"/>
      <c r="AA239" s="221"/>
      <c r="AB239" s="207"/>
      <c r="AJ239" s="350"/>
      <c r="AU239" s="632"/>
      <c r="BN239" s="632"/>
      <c r="BO239" s="350"/>
      <c r="BP239" s="350"/>
      <c r="BQ239" s="350"/>
      <c r="BR239" s="350"/>
      <c r="BS239" s="350"/>
      <c r="BT239" s="350"/>
      <c r="BU239" s="350"/>
      <c r="BV239" s="350"/>
      <c r="BW239" s="350"/>
      <c r="BX239" s="350"/>
    </row>
    <row r="240" spans="4:87" x14ac:dyDescent="0.3">
      <c r="D240" s="219"/>
      <c r="E240" s="230" t="s">
        <v>46</v>
      </c>
      <c r="F240" s="328">
        <f>IFERROR(F233/$F$237,0)</f>
        <v>0</v>
      </c>
      <c r="G240" s="220"/>
      <c r="H240" s="312"/>
      <c r="I240" s="312"/>
      <c r="J240" s="312"/>
      <c r="K240" s="220"/>
      <c r="L240" s="220"/>
      <c r="M240" s="220"/>
      <c r="N240" s="220"/>
      <c r="O240" s="221"/>
      <c r="P240" s="206"/>
      <c r="Q240" s="226"/>
      <c r="R240" s="230" t="s">
        <v>46</v>
      </c>
      <c r="S240" s="594">
        <f>IFERROR(S234/R234,0)</f>
        <v>0</v>
      </c>
      <c r="T240" s="234" t="s">
        <v>53</v>
      </c>
      <c r="U240" s="578">
        <f t="shared" si="29"/>
        <v>0.33333333333333331</v>
      </c>
      <c r="V240" s="579" t="e">
        <f t="shared" si="29"/>
        <v>#N/A</v>
      </c>
      <c r="W240" s="579" t="e">
        <f t="shared" si="29"/>
        <v>#N/A</v>
      </c>
      <c r="X240" s="580" t="e">
        <f t="shared" si="29"/>
        <v>#N/A</v>
      </c>
      <c r="Y240" s="220"/>
      <c r="Z240" s="220"/>
      <c r="AA240" s="221"/>
      <c r="AB240" s="207"/>
      <c r="AJ240" s="350"/>
      <c r="AU240" s="632"/>
      <c r="BN240" s="632"/>
      <c r="BO240" s="350"/>
      <c r="BP240" s="350"/>
      <c r="BQ240" s="350"/>
      <c r="BR240" s="350"/>
      <c r="BS240" s="350"/>
      <c r="BT240" s="350"/>
      <c r="BU240" s="350"/>
      <c r="BV240" s="350"/>
      <c r="BW240" s="350"/>
      <c r="BX240" s="350"/>
    </row>
    <row r="241" spans="4:76" ht="17.25" customHeight="1" thickBot="1" x14ac:dyDescent="0.35">
      <c r="D241" s="730"/>
      <c r="E241" s="234" t="s">
        <v>52</v>
      </c>
      <c r="F241" s="340">
        <f>IFERROR(F234/$F$237,0)</f>
        <v>0</v>
      </c>
      <c r="G241" s="220"/>
      <c r="H241" s="312"/>
      <c r="I241" s="312"/>
      <c r="J241" s="312"/>
      <c r="K241" s="220"/>
      <c r="L241" s="587"/>
      <c r="M241" s="587"/>
      <c r="N241" s="587"/>
      <c r="O241" s="588"/>
      <c r="P241" s="206"/>
      <c r="Q241" s="226"/>
      <c r="R241" s="234" t="s">
        <v>52</v>
      </c>
      <c r="S241" s="746">
        <f>IFERROR(S235/R235,0)</f>
        <v>0</v>
      </c>
      <c r="T241" s="254" t="s">
        <v>495</v>
      </c>
      <c r="U241" s="460">
        <f t="shared" si="29"/>
        <v>0</v>
      </c>
      <c r="V241" s="461" t="e">
        <f t="shared" si="29"/>
        <v>#N/A</v>
      </c>
      <c r="W241" s="461" t="e">
        <f t="shared" si="29"/>
        <v>#N/A</v>
      </c>
      <c r="X241" s="462" t="e">
        <f t="shared" si="29"/>
        <v>#N/A</v>
      </c>
      <c r="Y241" s="587"/>
      <c r="Z241" s="587"/>
      <c r="AA241" s="588"/>
      <c r="AB241" s="207"/>
      <c r="AJ241" s="350"/>
      <c r="AU241" s="632"/>
      <c r="BN241" s="632"/>
      <c r="BO241" s="350"/>
      <c r="BP241" s="350"/>
      <c r="BQ241" s="350"/>
      <c r="BR241" s="350"/>
      <c r="BS241" s="350"/>
      <c r="BT241" s="350"/>
      <c r="BU241" s="350"/>
      <c r="BV241" s="350"/>
      <c r="BW241" s="350"/>
      <c r="BX241" s="350"/>
    </row>
    <row r="242" spans="4:76" x14ac:dyDescent="0.3">
      <c r="D242" s="219"/>
      <c r="E242" s="234" t="s">
        <v>53</v>
      </c>
      <c r="F242" s="340">
        <f>IFERROR(F235/$F$237,0)</f>
        <v>0.2</v>
      </c>
      <c r="G242" s="220"/>
      <c r="H242" s="312"/>
      <c r="I242" s="312"/>
      <c r="J242" s="312"/>
      <c r="K242" s="220"/>
      <c r="L242" s="220"/>
      <c r="M242" s="220"/>
      <c r="N242" s="220"/>
      <c r="O242" s="221"/>
      <c r="P242" s="206"/>
      <c r="Q242" s="226"/>
      <c r="R242" s="234" t="s">
        <v>53</v>
      </c>
      <c r="S242" s="593">
        <f>IFERROR(S236/R236,0)</f>
        <v>0.33333333333333331</v>
      </c>
      <c r="T242" s="220"/>
      <c r="U242" s="312"/>
      <c r="V242" s="312"/>
      <c r="W242" s="312"/>
      <c r="X242" s="220"/>
      <c r="Y242" s="220"/>
      <c r="Z242" s="220"/>
      <c r="AA242" s="221"/>
      <c r="AB242" s="207"/>
      <c r="AJ242" s="350"/>
      <c r="AU242" s="632"/>
      <c r="BN242" s="632"/>
      <c r="BO242" s="350"/>
      <c r="BP242" s="350"/>
      <c r="BQ242" s="350"/>
      <c r="BR242" s="350"/>
      <c r="BS242" s="350"/>
      <c r="BT242" s="350"/>
      <c r="BU242" s="350"/>
      <c r="BV242" s="350"/>
      <c r="BW242" s="350"/>
      <c r="BX242" s="350"/>
    </row>
    <row r="243" spans="4:76" ht="17.25" customHeight="1" thickBot="1" x14ac:dyDescent="0.35">
      <c r="D243" s="226"/>
      <c r="E243" s="254" t="s">
        <v>495</v>
      </c>
      <c r="F243" s="349">
        <f>IFERROR(F236/$F$237,0)</f>
        <v>0</v>
      </c>
      <c r="G243" s="220"/>
      <c r="H243" s="312"/>
      <c r="I243" s="312"/>
      <c r="J243" s="312"/>
      <c r="K243" s="220"/>
      <c r="L243" s="220"/>
      <c r="M243" s="220"/>
      <c r="N243" s="220"/>
      <c r="O243" s="221"/>
      <c r="P243" s="206"/>
      <c r="Q243" s="226"/>
      <c r="R243" s="254" t="s">
        <v>495</v>
      </c>
      <c r="S243" s="595">
        <f>IFERROR(S237/R237,0)</f>
        <v>0</v>
      </c>
      <c r="T243" s="220"/>
      <c r="U243" s="312"/>
      <c r="V243" s="312"/>
      <c r="W243" s="312"/>
      <c r="X243" s="220"/>
      <c r="Y243" s="220"/>
      <c r="Z243" s="220"/>
      <c r="AA243" s="221"/>
      <c r="AB243" s="207"/>
      <c r="AJ243" s="350"/>
      <c r="AU243" s="632"/>
      <c r="BN243" s="632"/>
      <c r="BO243" s="350"/>
      <c r="BP243" s="350"/>
      <c r="BQ243" s="350"/>
      <c r="BR243" s="350"/>
      <c r="BS243" s="350"/>
      <c r="BT243" s="350"/>
      <c r="BU243" s="350"/>
      <c r="BV243" s="382"/>
      <c r="BW243" s="382"/>
      <c r="BX243" s="382"/>
    </row>
    <row r="244" spans="4:76" ht="17.25" thickBot="1" x14ac:dyDescent="0.35">
      <c r="D244" s="226"/>
      <c r="E244" s="284" t="s">
        <v>67</v>
      </c>
      <c r="F244" s="357">
        <f>IFERROR(SUM(F240:F242),0)</f>
        <v>0.2</v>
      </c>
      <c r="G244" s="220"/>
      <c r="H244" s="312"/>
      <c r="I244" s="312"/>
      <c r="J244" s="312"/>
      <c r="K244" s="220"/>
      <c r="L244" s="220"/>
      <c r="M244" s="220"/>
      <c r="N244" s="220"/>
      <c r="O244" s="221"/>
      <c r="P244" s="206"/>
      <c r="Q244" s="226"/>
      <c r="R244" s="284" t="s">
        <v>67</v>
      </c>
      <c r="S244" s="357">
        <f>IFERROR(S238/R238,0)</f>
        <v>0.2</v>
      </c>
      <c r="T244" s="220"/>
      <c r="U244" s="312"/>
      <c r="V244" s="312"/>
      <c r="W244" s="312"/>
      <c r="X244" s="220"/>
      <c r="Y244" s="220"/>
      <c r="Z244" s="220"/>
      <c r="AA244" s="221"/>
      <c r="AB244" s="207"/>
      <c r="AJ244" s="350"/>
      <c r="AU244" s="632"/>
      <c r="BN244" s="632"/>
      <c r="BO244" s="350"/>
      <c r="BP244" s="350"/>
      <c r="BQ244" s="350"/>
      <c r="BR244" s="350"/>
      <c r="BS244" s="350"/>
      <c r="BT244" s="350"/>
      <c r="BU244" s="350"/>
      <c r="BV244" s="350"/>
      <c r="BW244" s="350"/>
      <c r="BX244" s="350"/>
    </row>
    <row r="245" spans="4:76" ht="17.25" customHeight="1" thickBot="1" x14ac:dyDescent="0.35">
      <c r="D245" s="226"/>
      <c r="E245" s="220"/>
      <c r="F245" s="220"/>
      <c r="G245" s="220"/>
      <c r="H245" s="220"/>
      <c r="I245" s="220"/>
      <c r="J245" s="220"/>
      <c r="K245" s="220"/>
      <c r="L245" s="220"/>
      <c r="M245" s="220"/>
      <c r="N245" s="220"/>
      <c r="O245" s="221"/>
      <c r="P245" s="206"/>
      <c r="Q245" s="219"/>
      <c r="R245" s="227"/>
      <c r="S245" s="220"/>
      <c r="T245" s="220"/>
      <c r="U245" s="220"/>
      <c r="V245" s="220"/>
      <c r="W245" s="220"/>
      <c r="X245" s="220"/>
      <c r="Y245" s="220"/>
      <c r="Z245" s="220"/>
      <c r="AA245" s="221"/>
      <c r="AB245" s="207"/>
      <c r="AJ245" s="350"/>
      <c r="AU245" s="632"/>
      <c r="BN245" s="632"/>
      <c r="BO245" s="350"/>
      <c r="BP245" s="350"/>
      <c r="BQ245" s="350"/>
      <c r="BR245" s="350"/>
      <c r="BS245" s="350"/>
      <c r="BT245" s="350"/>
      <c r="BU245" s="350"/>
      <c r="BV245" s="350"/>
      <c r="BW245" s="350"/>
      <c r="BX245" s="350"/>
    </row>
    <row r="246" spans="4:76" ht="21" thickBot="1" x14ac:dyDescent="0.35">
      <c r="D246" s="884" t="s">
        <v>144</v>
      </c>
      <c r="E246" s="885"/>
      <c r="F246" s="885"/>
      <c r="G246" s="885"/>
      <c r="H246" s="885"/>
      <c r="I246" s="885"/>
      <c r="J246" s="885"/>
      <c r="K246" s="885"/>
      <c r="L246" s="885"/>
      <c r="M246" s="885"/>
      <c r="N246" s="885"/>
      <c r="O246" s="886"/>
      <c r="P246" s="206"/>
      <c r="Q246" s="858" t="s">
        <v>144</v>
      </c>
      <c r="R246" s="859"/>
      <c r="S246" s="859"/>
      <c r="T246" s="859"/>
      <c r="U246" s="859"/>
      <c r="V246" s="859"/>
      <c r="W246" s="859"/>
      <c r="X246" s="859"/>
      <c r="Y246" s="859"/>
      <c r="Z246" s="859"/>
      <c r="AA246" s="860"/>
      <c r="AB246" s="207"/>
      <c r="AJ246" s="350"/>
      <c r="AU246" s="632"/>
      <c r="BN246" s="632"/>
      <c r="BO246" s="367"/>
      <c r="BP246" s="367"/>
      <c r="BQ246" s="350"/>
      <c r="BR246" s="382"/>
      <c r="BS246" s="382"/>
      <c r="BT246" s="382"/>
      <c r="BU246" s="382"/>
      <c r="BV246" s="350"/>
      <c r="BW246" s="350"/>
      <c r="BX246" s="350"/>
    </row>
    <row r="247" spans="4:76" ht="17.25" customHeight="1" thickBot="1" x14ac:dyDescent="0.35">
      <c r="D247" s="226"/>
      <c r="E247" s="227"/>
      <c r="F247" s="220"/>
      <c r="G247" s="312"/>
      <c r="H247" s="312"/>
      <c r="I247" s="312"/>
      <c r="J247" s="243"/>
      <c r="K247" s="220"/>
      <c r="L247" s="220"/>
      <c r="M247" s="220"/>
      <c r="N247" s="220"/>
      <c r="O247" s="221"/>
      <c r="P247" s="206"/>
      <c r="Q247" s="226"/>
      <c r="R247" s="227"/>
      <c r="S247" s="220"/>
      <c r="T247" s="312"/>
      <c r="U247" s="312"/>
      <c r="V247" s="312"/>
      <c r="W247" s="312"/>
      <c r="X247" s="220"/>
      <c r="Y247" s="220"/>
      <c r="Z247" s="220"/>
      <c r="AA247" s="221"/>
      <c r="AB247" s="207"/>
      <c r="AJ247" s="350"/>
      <c r="AU247" s="632"/>
      <c r="BN247" s="632"/>
      <c r="BO247" s="350"/>
      <c r="BP247" s="747"/>
      <c r="BQ247" s="350"/>
      <c r="BR247" s="359"/>
      <c r="BS247" s="359"/>
      <c r="BT247" s="359"/>
      <c r="BU247" s="359"/>
      <c r="BV247" s="350"/>
      <c r="BW247" s="350"/>
      <c r="BX247" s="350"/>
    </row>
    <row r="248" spans="4:76" ht="17.25" thickBot="1" x14ac:dyDescent="0.35">
      <c r="D248" s="226"/>
      <c r="E248" s="227"/>
      <c r="F248" s="220"/>
      <c r="G248" s="312"/>
      <c r="H248" s="312"/>
      <c r="I248" s="312"/>
      <c r="J248" s="220"/>
      <c r="K248" s="220"/>
      <c r="L248" s="220"/>
      <c r="M248" s="220"/>
      <c r="N248" s="220"/>
      <c r="O248" s="221"/>
      <c r="P248" s="206"/>
      <c r="Q248" s="223"/>
      <c r="R248" s="228" t="s">
        <v>44</v>
      </c>
      <c r="S248" s="229" t="s">
        <v>45</v>
      </c>
      <c r="T248" s="220"/>
      <c r="U248" s="220"/>
      <c r="V248" s="220"/>
      <c r="W248" s="220"/>
      <c r="X248" s="220"/>
      <c r="Y248" s="220"/>
      <c r="Z248" s="220"/>
      <c r="AA248" s="221"/>
      <c r="AB248" s="207"/>
      <c r="AJ248" s="350"/>
      <c r="AU248" s="632"/>
      <c r="BN248" s="632"/>
      <c r="BO248" s="350"/>
      <c r="BP248" s="747"/>
      <c r="BQ248" s="350"/>
      <c r="BR248" s="361"/>
      <c r="BS248" s="361"/>
      <c r="BT248" s="361"/>
      <c r="BU248" s="361"/>
      <c r="BV248" s="350"/>
      <c r="BW248" s="350"/>
      <c r="BX248" s="350"/>
    </row>
    <row r="249" spans="4:76" ht="17.25" customHeight="1" thickBot="1" x14ac:dyDescent="0.35">
      <c r="D249" s="226"/>
      <c r="E249" s="230" t="s">
        <v>46</v>
      </c>
      <c r="F249" s="233">
        <f>'2. PRODUCTOS'!$W$182</f>
        <v>17</v>
      </c>
      <c r="G249" s="220"/>
      <c r="H249" s="842" t="s">
        <v>47</v>
      </c>
      <c r="I249" s="843"/>
      <c r="J249" s="843"/>
      <c r="K249" s="844"/>
      <c r="L249" s="220"/>
      <c r="M249" s="220"/>
      <c r="N249" s="220"/>
      <c r="O249" s="221"/>
      <c r="P249" s="206"/>
      <c r="Q249" s="230" t="s">
        <v>46</v>
      </c>
      <c r="R249" s="233">
        <f>'2. PRODUCTOS'!$G$182</f>
        <v>100</v>
      </c>
      <c r="S249" s="233">
        <f>'2. PRODUCTOS'!$W$182</f>
        <v>17</v>
      </c>
      <c r="T249" s="220"/>
      <c r="U249" s="842" t="s">
        <v>47</v>
      </c>
      <c r="V249" s="843"/>
      <c r="W249" s="843"/>
      <c r="X249" s="844"/>
      <c r="Y249" s="220"/>
      <c r="Z249" s="220"/>
      <c r="AA249" s="221"/>
      <c r="AB249" s="207"/>
      <c r="AJ249" s="350"/>
      <c r="AU249" s="632"/>
      <c r="BN249" s="632"/>
      <c r="BO249" s="350"/>
      <c r="BP249" s="747"/>
      <c r="BQ249" s="350"/>
      <c r="BR249" s="367"/>
      <c r="BS249" s="717"/>
      <c r="BT249" s="382"/>
      <c r="BU249" s="382"/>
      <c r="BV249" s="350"/>
      <c r="BW249" s="350"/>
      <c r="BX249" s="350"/>
    </row>
    <row r="250" spans="4:76" x14ac:dyDescent="0.3">
      <c r="D250" s="226"/>
      <c r="E250" s="234" t="s">
        <v>52</v>
      </c>
      <c r="F250" s="237">
        <f>'2. PRODUCTOS'!$AJ$182</f>
        <v>0</v>
      </c>
      <c r="G250" s="220"/>
      <c r="H250" s="236">
        <v>0</v>
      </c>
      <c r="I250" s="236">
        <v>0.5</v>
      </c>
      <c r="J250" s="236">
        <v>0.75</v>
      </c>
      <c r="K250" s="236">
        <v>1.0009999999999999</v>
      </c>
      <c r="L250" s="220"/>
      <c r="M250" s="220"/>
      <c r="N250" s="220"/>
      <c r="O250" s="221"/>
      <c r="P250" s="206"/>
      <c r="Q250" s="234" t="s">
        <v>52</v>
      </c>
      <c r="R250" s="237">
        <f>'2. PRODUCTOS'!$H$182</f>
        <v>200</v>
      </c>
      <c r="S250" s="237">
        <f>'2. PRODUCTOS'!$AJ$182</f>
        <v>0</v>
      </c>
      <c r="T250" s="220"/>
      <c r="U250" s="236">
        <v>0</v>
      </c>
      <c r="V250" s="236">
        <v>0.5</v>
      </c>
      <c r="W250" s="236">
        <v>0.75</v>
      </c>
      <c r="X250" s="236">
        <v>1.0009999999999999</v>
      </c>
      <c r="Y250" s="220"/>
      <c r="Z250" s="220"/>
      <c r="AA250" s="221"/>
      <c r="AB250" s="207"/>
      <c r="AJ250" s="350"/>
      <c r="AU250" s="632"/>
      <c r="BN250" s="632"/>
      <c r="BO250" s="350"/>
      <c r="BP250" s="350"/>
      <c r="BQ250" s="350"/>
      <c r="BR250" s="710"/>
      <c r="BS250" s="710"/>
      <c r="BT250" s="710"/>
      <c r="BU250" s="710"/>
      <c r="BV250" s="350"/>
      <c r="BW250" s="350"/>
      <c r="BX250" s="350"/>
    </row>
    <row r="251" spans="4:76" ht="17.25" customHeight="1" x14ac:dyDescent="0.3">
      <c r="D251" s="226"/>
      <c r="E251" s="234" t="s">
        <v>53</v>
      </c>
      <c r="F251" s="237">
        <f>'2. PRODUCTOS'!$AW$182</f>
        <v>80</v>
      </c>
      <c r="G251" s="220"/>
      <c r="H251" s="238">
        <v>0.499</v>
      </c>
      <c r="I251" s="238">
        <v>0.749</v>
      </c>
      <c r="J251" s="238">
        <v>1</v>
      </c>
      <c r="K251" s="238">
        <v>4</v>
      </c>
      <c r="L251" s="220"/>
      <c r="M251" s="220"/>
      <c r="N251" s="220"/>
      <c r="O251" s="221"/>
      <c r="P251" s="206"/>
      <c r="Q251" s="234" t="s">
        <v>53</v>
      </c>
      <c r="R251" s="237">
        <f>'2. PRODUCTOS'!$I$182</f>
        <v>100</v>
      </c>
      <c r="S251" s="237">
        <f>'2. PRODUCTOS'!$AW$182</f>
        <v>80</v>
      </c>
      <c r="T251" s="220"/>
      <c r="U251" s="238">
        <v>0.499</v>
      </c>
      <c r="V251" s="238">
        <v>0.749</v>
      </c>
      <c r="W251" s="238">
        <v>1</v>
      </c>
      <c r="X251" s="238">
        <v>4</v>
      </c>
      <c r="Y251" s="220"/>
      <c r="Z251" s="220"/>
      <c r="AA251" s="221"/>
      <c r="AB251" s="207"/>
      <c r="AJ251" s="350"/>
      <c r="AU251" s="632"/>
      <c r="BN251" s="632"/>
      <c r="BO251" s="350"/>
      <c r="BP251" s="350"/>
      <c r="BQ251" s="350"/>
      <c r="BR251" s="710"/>
      <c r="BS251" s="710"/>
      <c r="BT251" s="710"/>
      <c r="BU251" s="710"/>
      <c r="BV251" s="350"/>
      <c r="BW251" s="350"/>
      <c r="BX251" s="350"/>
    </row>
    <row r="252" spans="4:76" ht="17.25" thickBot="1" x14ac:dyDescent="0.35">
      <c r="D252" s="226"/>
      <c r="E252" s="254" t="s">
        <v>495</v>
      </c>
      <c r="F252" s="386">
        <f>'2. PRODUCTOS'!$BJ$182</f>
        <v>96</v>
      </c>
      <c r="G252" s="220"/>
      <c r="H252" s="256" t="s">
        <v>68</v>
      </c>
      <c r="I252" s="257" t="s">
        <v>69</v>
      </c>
      <c r="J252" s="258" t="s">
        <v>70</v>
      </c>
      <c r="K252" s="259" t="s">
        <v>71</v>
      </c>
      <c r="L252" s="220"/>
      <c r="M252" s="220"/>
      <c r="N252" s="220"/>
      <c r="O252" s="221"/>
      <c r="P252" s="206"/>
      <c r="Q252" s="254" t="s">
        <v>495</v>
      </c>
      <c r="R252" s="260">
        <f>'2. PRODUCTOS'!$J$182</f>
        <v>300</v>
      </c>
      <c r="S252" s="386">
        <f>'2. PRODUCTOS'!$BJ$182</f>
        <v>96</v>
      </c>
      <c r="T252" s="220"/>
      <c r="U252" s="262" t="s">
        <v>68</v>
      </c>
      <c r="V252" s="263" t="s">
        <v>69</v>
      </c>
      <c r="W252" s="264" t="s">
        <v>70</v>
      </c>
      <c r="X252" s="265" t="s">
        <v>71</v>
      </c>
      <c r="Y252" s="220"/>
      <c r="Z252" s="220"/>
      <c r="AA252" s="221"/>
      <c r="AB252" s="207"/>
      <c r="AJ252" s="350"/>
      <c r="AU252" s="632"/>
      <c r="BN252" s="632"/>
      <c r="BO252" s="350"/>
      <c r="BP252" s="350"/>
      <c r="BQ252" s="350"/>
      <c r="BR252" s="350"/>
      <c r="BS252" s="350"/>
      <c r="BT252" s="350"/>
      <c r="BU252" s="350"/>
      <c r="BV252" s="350"/>
      <c r="BW252" s="350"/>
      <c r="BX252" s="350"/>
    </row>
    <row r="253" spans="4:76" ht="17.25" thickBot="1" x14ac:dyDescent="0.35">
      <c r="D253" s="226"/>
      <c r="E253" s="284" t="s">
        <v>67</v>
      </c>
      <c r="F253" s="463">
        <f>'2. PRODUCTOS'!$E$182</f>
        <v>300</v>
      </c>
      <c r="G253" s="220"/>
      <c r="H253" s="286">
        <f>IF($F260&gt;=H250,IF($F260&lt;=H251,$F260,NA()),NA())</f>
        <v>0.32333333333333331</v>
      </c>
      <c r="I253" s="286" t="e">
        <f>IF($F260&gt;=I250,IF($F260&lt;=I251,$F260,NA()),NA())</f>
        <v>#N/A</v>
      </c>
      <c r="J253" s="286" t="e">
        <f>IF($F260&gt;=J250,IF($F260&lt;=J251,$F260,NA()),NA())</f>
        <v>#N/A</v>
      </c>
      <c r="K253" s="286" t="e">
        <f>IF($F260&gt;=K250,IF($F260&lt;=K251,$F260,NA()),NA())</f>
        <v>#N/A</v>
      </c>
      <c r="L253" s="220"/>
      <c r="M253" s="220"/>
      <c r="N253" s="220"/>
      <c r="O253" s="221"/>
      <c r="P253" s="206"/>
      <c r="Q253" s="596" t="s">
        <v>67</v>
      </c>
      <c r="R253" s="463">
        <f>'2. PRODUCTOS'!$E$182</f>
        <v>300</v>
      </c>
      <c r="S253" s="581">
        <f>'2. PRODUCTOS'!$BT$182</f>
        <v>176</v>
      </c>
      <c r="T253" s="230" t="s">
        <v>46</v>
      </c>
      <c r="U253" s="337">
        <f>IF($S256&gt;=U250,IF($S256&lt;=U251,$S256,NA()),NA())</f>
        <v>0.17</v>
      </c>
      <c r="V253" s="457" t="e">
        <f>IF($S256&gt;=V250,IF($S256&lt;=V251,$S256,NA()),NA())</f>
        <v>#N/A</v>
      </c>
      <c r="W253" s="457" t="e">
        <f>IF($S256&gt;=W250,IF($S256&lt;=W251,$S256,NA()),NA())</f>
        <v>#N/A</v>
      </c>
      <c r="X253" s="458" t="e">
        <f>IF($S256&gt;=X250,IF($S256&lt;=X251,$S256,NA()),NA())</f>
        <v>#N/A</v>
      </c>
      <c r="Y253" s="220"/>
      <c r="Z253" s="220"/>
      <c r="AA253" s="221"/>
      <c r="AB253" s="207"/>
      <c r="AJ253" s="350"/>
      <c r="AU253" s="632"/>
      <c r="BN253" s="632"/>
      <c r="BO253" s="350"/>
      <c r="BP253" s="350"/>
      <c r="BQ253" s="350"/>
      <c r="BR253" s="350"/>
      <c r="BS253" s="350"/>
      <c r="BT253" s="350"/>
      <c r="BU253" s="350"/>
      <c r="BV253" s="350"/>
      <c r="BW253" s="350"/>
      <c r="BX253" s="350"/>
    </row>
    <row r="254" spans="4:76" x14ac:dyDescent="0.3">
      <c r="D254" s="219"/>
      <c r="E254" s="311"/>
      <c r="F254" s="227"/>
      <c r="G254" s="220"/>
      <c r="H254" s="312"/>
      <c r="I254" s="312"/>
      <c r="J254" s="312"/>
      <c r="K254" s="220"/>
      <c r="L254" s="220"/>
      <c r="M254" s="220"/>
      <c r="N254" s="220"/>
      <c r="O254" s="221"/>
      <c r="P254" s="206"/>
      <c r="Q254" s="226"/>
      <c r="R254" s="311"/>
      <c r="S254" s="227"/>
      <c r="T254" s="234" t="s">
        <v>52</v>
      </c>
      <c r="U254" s="578">
        <f>IF($S257&gt;=U250,IF($S257&lt;=U251,$S257,NA()),NA())</f>
        <v>0</v>
      </c>
      <c r="V254" s="579" t="e">
        <f>IF($S257&gt;=V250,IF($S257&lt;=V251,$S257,NA()),NA())</f>
        <v>#N/A</v>
      </c>
      <c r="W254" s="579" t="e">
        <f>IF($S257&gt;=W250,IF($S257&lt;=W251,$S257,NA()),NA())</f>
        <v>#N/A</v>
      </c>
      <c r="X254" s="580" t="e">
        <f>IF($S257&gt;=X250,IF($S257&lt;=X251,$S257,NA()),NA())</f>
        <v>#N/A</v>
      </c>
      <c r="Y254" s="220"/>
      <c r="Z254" s="220"/>
      <c r="AA254" s="221"/>
      <c r="AB254" s="207"/>
      <c r="AJ254" s="350"/>
      <c r="AU254" s="632"/>
      <c r="BN254" s="632"/>
      <c r="BO254" s="350"/>
      <c r="BP254" s="350"/>
      <c r="BQ254" s="350"/>
      <c r="BR254" s="350"/>
      <c r="BS254" s="350"/>
      <c r="BT254" s="350"/>
      <c r="BU254" s="350"/>
      <c r="BV254" s="350"/>
      <c r="BW254" s="350"/>
      <c r="BX254" s="350"/>
    </row>
    <row r="255" spans="4:76" ht="17.25" thickBot="1" x14ac:dyDescent="0.35">
      <c r="D255" s="219"/>
      <c r="E255" s="311"/>
      <c r="F255" s="227"/>
      <c r="G255" s="220"/>
      <c r="H255" s="312"/>
      <c r="I255" s="312"/>
      <c r="J255" s="312"/>
      <c r="K255" s="220"/>
      <c r="L255" s="220"/>
      <c r="M255" s="220"/>
      <c r="N255" s="220"/>
      <c r="O255" s="221"/>
      <c r="P255" s="206"/>
      <c r="Q255" s="226"/>
      <c r="R255" s="311"/>
      <c r="S255" s="227"/>
      <c r="T255" s="234" t="s">
        <v>53</v>
      </c>
      <c r="U255" s="578" t="e">
        <f>IF($S258&gt;=U250,IF($S258&lt;=U251,$S258,NA()),NA())</f>
        <v>#N/A</v>
      </c>
      <c r="V255" s="579" t="e">
        <f>IF($S258&gt;=V250,IF($S258&lt;=V251,$S258,NA()),NA())</f>
        <v>#N/A</v>
      </c>
      <c r="W255" s="579">
        <f>IF($S258&gt;=W250,IF($S258&lt;=W251,$S258,NA()),NA())</f>
        <v>0.8</v>
      </c>
      <c r="X255" s="580" t="e">
        <f>IF($S258&gt;=X250,IF($S258&lt;=X251,$S258,NA()),NA())</f>
        <v>#N/A</v>
      </c>
      <c r="Y255" s="220"/>
      <c r="Z255" s="220"/>
      <c r="AA255" s="221"/>
      <c r="AB255" s="207"/>
      <c r="AJ255" s="350"/>
      <c r="AU255" s="632"/>
      <c r="BN255" s="632"/>
      <c r="BO255" s="350"/>
      <c r="BP255" s="350"/>
      <c r="BQ255" s="350"/>
      <c r="BR255" s="350"/>
      <c r="BS255" s="350"/>
      <c r="BT255" s="350"/>
      <c r="BU255" s="350"/>
      <c r="BV255" s="350"/>
      <c r="BW255" s="350"/>
      <c r="BX255" s="350"/>
    </row>
    <row r="256" spans="4:76" ht="17.25" thickBot="1" x14ac:dyDescent="0.35">
      <c r="D256" s="730"/>
      <c r="E256" s="230" t="s">
        <v>46</v>
      </c>
      <c r="F256" s="328">
        <f>IFERROR(F249/$F$253,0)</f>
        <v>5.6666666666666664E-2</v>
      </c>
      <c r="G256" s="220"/>
      <c r="H256" s="312"/>
      <c r="I256" s="312"/>
      <c r="J256" s="312"/>
      <c r="K256" s="220"/>
      <c r="L256" s="587"/>
      <c r="M256" s="587"/>
      <c r="N256" s="587"/>
      <c r="O256" s="588"/>
      <c r="P256" s="206"/>
      <c r="Q256" s="226"/>
      <c r="R256" s="230" t="s">
        <v>46</v>
      </c>
      <c r="S256" s="328">
        <f>IFERROR(S249/R249,0)</f>
        <v>0.17</v>
      </c>
      <c r="T256" s="254" t="s">
        <v>495</v>
      </c>
      <c r="U256" s="460" t="e">
        <f>IF($S259&gt;=U253,IF($S259&lt;=U254,$S259,NA()),NA())</f>
        <v>#N/A</v>
      </c>
      <c r="V256" s="461" t="e">
        <f>IF($S259&gt;=V253,IF($S259&lt;=V254,$S259,NA()),NA())</f>
        <v>#N/A</v>
      </c>
      <c r="W256" s="461" t="e">
        <f>IF($S259&gt;=W253,IF($S259&lt;=W254,$S259,NA()),NA())</f>
        <v>#N/A</v>
      </c>
      <c r="X256" s="462" t="e">
        <f>IF($S259&gt;=X253,IF($S259&lt;=X254,$S259,NA()),NA())</f>
        <v>#N/A</v>
      </c>
      <c r="Y256" s="587"/>
      <c r="Z256" s="587"/>
      <c r="AA256" s="588"/>
      <c r="AB256" s="207"/>
      <c r="AJ256" s="350"/>
      <c r="AU256" s="632"/>
      <c r="BN256" s="632"/>
      <c r="BO256" s="350"/>
      <c r="BP256" s="350"/>
      <c r="BQ256" s="350"/>
      <c r="BR256" s="350"/>
      <c r="BS256" s="350"/>
      <c r="BT256" s="350"/>
      <c r="BU256" s="350"/>
      <c r="BV256" s="350"/>
      <c r="BW256" s="350"/>
      <c r="BX256" s="350"/>
    </row>
    <row r="257" spans="4:76" ht="17.25" customHeight="1" x14ac:dyDescent="0.3">
      <c r="D257" s="219"/>
      <c r="E257" s="234" t="s">
        <v>52</v>
      </c>
      <c r="F257" s="340">
        <f>IFERROR(F250/$F$253,0)</f>
        <v>0</v>
      </c>
      <c r="G257" s="220"/>
      <c r="H257" s="312"/>
      <c r="I257" s="312"/>
      <c r="J257" s="312"/>
      <c r="K257" s="220"/>
      <c r="L257" s="220"/>
      <c r="M257" s="220"/>
      <c r="N257" s="220"/>
      <c r="O257" s="221"/>
      <c r="P257" s="206"/>
      <c r="Q257" s="226"/>
      <c r="R257" s="234" t="s">
        <v>52</v>
      </c>
      <c r="S257" s="340">
        <f>IFERROR(S250/R250,0)</f>
        <v>0</v>
      </c>
      <c r="T257" s="220"/>
      <c r="U257" s="312"/>
      <c r="V257" s="312"/>
      <c r="W257" s="312"/>
      <c r="X257" s="220"/>
      <c r="Y257" s="220"/>
      <c r="Z257" s="220"/>
      <c r="AA257" s="221"/>
      <c r="AB257" s="207"/>
      <c r="AJ257" s="350"/>
      <c r="AU257" s="632"/>
      <c r="BN257" s="632"/>
      <c r="BO257" s="350"/>
      <c r="BP257" s="350"/>
      <c r="BQ257" s="350"/>
      <c r="BR257" s="350"/>
      <c r="BS257" s="350"/>
      <c r="BT257" s="350"/>
      <c r="BU257" s="350"/>
      <c r="BV257" s="350"/>
      <c r="BW257" s="350"/>
      <c r="BX257" s="350"/>
    </row>
    <row r="258" spans="4:76" x14ac:dyDescent="0.3">
      <c r="D258" s="226"/>
      <c r="E258" s="234" t="s">
        <v>53</v>
      </c>
      <c r="F258" s="340">
        <f>IFERROR(F251/$F$253,0)</f>
        <v>0.26666666666666666</v>
      </c>
      <c r="G258" s="220"/>
      <c r="H258" s="312"/>
      <c r="I258" s="312"/>
      <c r="J258" s="312"/>
      <c r="K258" s="220"/>
      <c r="L258" s="220"/>
      <c r="M258" s="220"/>
      <c r="N258" s="220"/>
      <c r="O258" s="221"/>
      <c r="P258" s="206"/>
      <c r="Q258" s="226"/>
      <c r="R258" s="234" t="s">
        <v>53</v>
      </c>
      <c r="S258" s="340">
        <f>IFERROR(S251/R251,0)</f>
        <v>0.8</v>
      </c>
      <c r="T258" s="220"/>
      <c r="U258" s="312"/>
      <c r="V258" s="312"/>
      <c r="W258" s="312"/>
      <c r="X258" s="220"/>
      <c r="Y258" s="220"/>
      <c r="Z258" s="220"/>
      <c r="AA258" s="221"/>
      <c r="AB258" s="207"/>
      <c r="AJ258" s="350"/>
      <c r="AU258" s="632"/>
      <c r="BN258" s="632"/>
      <c r="BO258" s="350"/>
      <c r="BP258" s="350"/>
      <c r="BQ258" s="350"/>
      <c r="BR258" s="350"/>
      <c r="BS258" s="350"/>
      <c r="BT258" s="350"/>
      <c r="BU258" s="350"/>
      <c r="BV258" s="350"/>
      <c r="BW258" s="350"/>
      <c r="BX258" s="350"/>
    </row>
    <row r="259" spans="4:76" ht="17.25" thickBot="1" x14ac:dyDescent="0.35">
      <c r="D259" s="226"/>
      <c r="E259" s="254" t="s">
        <v>495</v>
      </c>
      <c r="F259" s="349">
        <f>IFERROR(F252/$F$253,0)</f>
        <v>0.32</v>
      </c>
      <c r="G259" s="220"/>
      <c r="H259" s="312"/>
      <c r="I259" s="312"/>
      <c r="J259" s="312"/>
      <c r="K259" s="220"/>
      <c r="L259" s="220"/>
      <c r="M259" s="220"/>
      <c r="N259" s="220"/>
      <c r="O259" s="221"/>
      <c r="P259" s="206"/>
      <c r="Q259" s="226"/>
      <c r="R259" s="254" t="s">
        <v>495</v>
      </c>
      <c r="S259" s="349">
        <f>IFERROR(S252/R252,0)</f>
        <v>0.32</v>
      </c>
      <c r="T259" s="220"/>
      <c r="U259" s="312"/>
      <c r="V259" s="312"/>
      <c r="W259" s="312"/>
      <c r="X259" s="220"/>
      <c r="Y259" s="220"/>
      <c r="Z259" s="220"/>
      <c r="AA259" s="221"/>
      <c r="AB259" s="207"/>
      <c r="AJ259" s="350"/>
      <c r="AU259" s="632"/>
      <c r="BN259" s="632"/>
      <c r="BO259" s="350"/>
      <c r="BP259" s="350"/>
      <c r="BQ259" s="350"/>
      <c r="BR259" s="350"/>
      <c r="BS259" s="350"/>
      <c r="BT259" s="350"/>
      <c r="BU259" s="350"/>
      <c r="BV259" s="350"/>
      <c r="BW259" s="350"/>
      <c r="BX259" s="350"/>
    </row>
    <row r="260" spans="4:76" ht="17.25" thickBot="1" x14ac:dyDescent="0.35">
      <c r="D260" s="219"/>
      <c r="E260" s="284" t="s">
        <v>67</v>
      </c>
      <c r="F260" s="357">
        <f>IFERROR(SUM(F256:F258),0)</f>
        <v>0.32333333333333331</v>
      </c>
      <c r="G260" s="220"/>
      <c r="H260" s="220"/>
      <c r="I260" s="220"/>
      <c r="J260" s="220"/>
      <c r="K260" s="220"/>
      <c r="L260" s="220"/>
      <c r="M260" s="220"/>
      <c r="N260" s="220"/>
      <c r="O260" s="221"/>
      <c r="P260" s="206"/>
      <c r="Q260" s="219"/>
      <c r="R260" s="284" t="s">
        <v>67</v>
      </c>
      <c r="S260" s="357">
        <f>IFERROR(S253/R253,0)</f>
        <v>0.58666666666666667</v>
      </c>
      <c r="T260" s="220"/>
      <c r="U260" s="220"/>
      <c r="V260" s="220"/>
      <c r="W260" s="220"/>
      <c r="X260" s="220"/>
      <c r="Y260" s="220"/>
      <c r="Z260" s="220"/>
      <c r="AA260" s="221"/>
      <c r="AB260" s="207"/>
      <c r="AJ260" s="350"/>
      <c r="AU260" s="632"/>
      <c r="BN260" s="632"/>
      <c r="BO260" s="350"/>
      <c r="BP260" s="350"/>
      <c r="BQ260" s="350"/>
      <c r="BR260" s="350"/>
      <c r="BS260" s="350"/>
      <c r="BT260" s="350"/>
      <c r="BU260" s="350"/>
      <c r="BV260" s="350"/>
      <c r="BW260" s="350"/>
      <c r="BX260" s="350"/>
    </row>
    <row r="261" spans="4:76" ht="17.25" thickBot="1" x14ac:dyDescent="0.35">
      <c r="D261" s="226"/>
      <c r="E261" s="295"/>
      <c r="F261" s="220"/>
      <c r="G261" s="312"/>
      <c r="H261" s="312"/>
      <c r="I261" s="312"/>
      <c r="J261" s="220"/>
      <c r="K261" s="220"/>
      <c r="L261" s="220"/>
      <c r="M261" s="220"/>
      <c r="N261" s="220"/>
      <c r="O261" s="221"/>
      <c r="P261" s="206"/>
      <c r="Q261" s="226"/>
      <c r="R261" s="295"/>
      <c r="S261" s="220"/>
      <c r="T261" s="312"/>
      <c r="U261" s="312"/>
      <c r="V261" s="312"/>
      <c r="W261" s="220"/>
      <c r="X261" s="220"/>
      <c r="Y261" s="220"/>
      <c r="Z261" s="220"/>
      <c r="AA261" s="221"/>
      <c r="AB261" s="207"/>
      <c r="AJ261" s="350"/>
      <c r="AU261" s="632"/>
      <c r="BN261" s="632"/>
      <c r="BO261" s="350"/>
      <c r="BP261" s="350"/>
      <c r="BQ261" s="350"/>
      <c r="BR261" s="350"/>
      <c r="BS261" s="350"/>
      <c r="BT261" s="350"/>
      <c r="BU261" s="350"/>
      <c r="BV261" s="350"/>
      <c r="BW261" s="350"/>
      <c r="BX261" s="350"/>
    </row>
    <row r="262" spans="4:76" ht="21" thickBot="1" x14ac:dyDescent="0.35">
      <c r="D262" s="884" t="s">
        <v>146</v>
      </c>
      <c r="E262" s="885"/>
      <c r="F262" s="885"/>
      <c r="G262" s="885"/>
      <c r="H262" s="885"/>
      <c r="I262" s="885"/>
      <c r="J262" s="885"/>
      <c r="K262" s="885"/>
      <c r="L262" s="885"/>
      <c r="M262" s="885"/>
      <c r="N262" s="885"/>
      <c r="O262" s="886"/>
      <c r="P262" s="206"/>
      <c r="Q262" s="858" t="s">
        <v>146</v>
      </c>
      <c r="R262" s="859"/>
      <c r="S262" s="859"/>
      <c r="T262" s="859"/>
      <c r="U262" s="859"/>
      <c r="V262" s="859"/>
      <c r="W262" s="859"/>
      <c r="X262" s="859"/>
      <c r="Y262" s="859"/>
      <c r="Z262" s="859"/>
      <c r="AA262" s="860"/>
      <c r="AB262" s="207"/>
      <c r="AJ262" s="350"/>
      <c r="AU262" s="632"/>
      <c r="BN262" s="632"/>
      <c r="BO262" s="350"/>
      <c r="BP262" s="350"/>
      <c r="BQ262" s="350"/>
      <c r="BR262" s="350"/>
      <c r="BS262" s="350"/>
      <c r="BT262" s="350"/>
      <c r="BU262" s="350"/>
      <c r="BV262" s="350"/>
      <c r="BW262" s="350"/>
      <c r="BX262" s="350"/>
    </row>
    <row r="263" spans="4:76" ht="17.25" customHeight="1" thickBot="1" x14ac:dyDescent="0.35">
      <c r="D263" s="226"/>
      <c r="E263" s="227"/>
      <c r="F263" s="220"/>
      <c r="G263" s="336"/>
      <c r="H263" s="616"/>
      <c r="I263" s="224"/>
      <c r="J263" s="224"/>
      <c r="K263" s="220"/>
      <c r="L263" s="220"/>
      <c r="M263" s="220"/>
      <c r="N263" s="220"/>
      <c r="O263" s="221"/>
      <c r="P263" s="206"/>
      <c r="Q263" s="226"/>
      <c r="R263" s="227"/>
      <c r="S263" s="220"/>
      <c r="T263" s="336"/>
      <c r="U263" s="616"/>
      <c r="V263" s="224"/>
      <c r="W263" s="224"/>
      <c r="X263" s="220"/>
      <c r="Y263" s="220"/>
      <c r="Z263" s="220"/>
      <c r="AA263" s="221"/>
      <c r="AB263" s="207"/>
      <c r="AJ263" s="350"/>
      <c r="AU263" s="632"/>
      <c r="BN263" s="632"/>
      <c r="BO263" s="350"/>
      <c r="BP263" s="350"/>
      <c r="BQ263" s="350"/>
      <c r="BR263" s="350"/>
      <c r="BS263" s="350"/>
      <c r="BT263" s="350"/>
      <c r="BU263" s="350"/>
      <c r="BV263" s="350"/>
      <c r="BW263" s="350"/>
      <c r="BX263" s="350"/>
    </row>
    <row r="264" spans="4:76" ht="17.25" thickBot="1" x14ac:dyDescent="0.35">
      <c r="D264" s="226"/>
      <c r="E264" s="227"/>
      <c r="F264" s="220"/>
      <c r="G264" s="336"/>
      <c r="H264" s="616"/>
      <c r="I264" s="224"/>
      <c r="J264" s="224"/>
      <c r="K264" s="220"/>
      <c r="L264" s="220"/>
      <c r="M264" s="220"/>
      <c r="N264" s="220"/>
      <c r="O264" s="221"/>
      <c r="P264" s="206"/>
      <c r="Q264" s="223"/>
      <c r="R264" s="228" t="s">
        <v>44</v>
      </c>
      <c r="S264" s="229" t="s">
        <v>45</v>
      </c>
      <c r="T264" s="220"/>
      <c r="U264" s="220"/>
      <c r="V264" s="220"/>
      <c r="W264" s="220"/>
      <c r="X264" s="220"/>
      <c r="Y264" s="220"/>
      <c r="Z264" s="220"/>
      <c r="AA264" s="221"/>
      <c r="AB264" s="207"/>
      <c r="AJ264" s="350"/>
      <c r="AU264" s="632"/>
      <c r="BN264" s="632"/>
      <c r="BO264" s="350"/>
      <c r="BP264" s="350"/>
      <c r="BQ264" s="350"/>
      <c r="BR264" s="350"/>
      <c r="BS264" s="350"/>
      <c r="BT264" s="350"/>
      <c r="BU264" s="350"/>
      <c r="BV264" s="350"/>
      <c r="BW264" s="350"/>
      <c r="BX264" s="350"/>
    </row>
    <row r="265" spans="4:76" ht="17.25" thickBot="1" x14ac:dyDescent="0.35">
      <c r="D265" s="226"/>
      <c r="E265" s="230" t="s">
        <v>46</v>
      </c>
      <c r="F265" s="233">
        <f>'2. PRODUCTOS'!$W$194</f>
        <v>0</v>
      </c>
      <c r="G265" s="220"/>
      <c r="H265" s="842" t="s">
        <v>47</v>
      </c>
      <c r="I265" s="843"/>
      <c r="J265" s="843"/>
      <c r="K265" s="844"/>
      <c r="L265" s="220"/>
      <c r="M265" s="220"/>
      <c r="N265" s="220"/>
      <c r="O265" s="221"/>
      <c r="P265" s="206"/>
      <c r="Q265" s="230" t="s">
        <v>46</v>
      </c>
      <c r="R265" s="233">
        <f>'2. PRODUCTOS'!$G$194</f>
        <v>483</v>
      </c>
      <c r="S265" s="233">
        <f>'2. PRODUCTOS'!$W$194</f>
        <v>0</v>
      </c>
      <c r="T265" s="220"/>
      <c r="U265" s="842" t="s">
        <v>47</v>
      </c>
      <c r="V265" s="843"/>
      <c r="W265" s="843"/>
      <c r="X265" s="844"/>
      <c r="Y265" s="220"/>
      <c r="Z265" s="220"/>
      <c r="AA265" s="221"/>
      <c r="AB265" s="207"/>
      <c r="AJ265" s="350"/>
      <c r="AU265" s="632"/>
      <c r="BN265" s="632"/>
      <c r="BO265" s="350"/>
      <c r="BP265" s="350"/>
      <c r="BQ265" s="350"/>
      <c r="BR265" s="350"/>
      <c r="BS265" s="350"/>
      <c r="BT265" s="350"/>
      <c r="BU265" s="350"/>
      <c r="BV265" s="350"/>
      <c r="BW265" s="350"/>
      <c r="BX265" s="350"/>
    </row>
    <row r="266" spans="4:76" x14ac:dyDescent="0.3">
      <c r="D266" s="226"/>
      <c r="E266" s="234" t="s">
        <v>52</v>
      </c>
      <c r="F266" s="237">
        <f>'2. PRODUCTOS'!$AJ$194</f>
        <v>0</v>
      </c>
      <c r="G266" s="220"/>
      <c r="H266" s="236">
        <v>0</v>
      </c>
      <c r="I266" s="236">
        <v>0.5</v>
      </c>
      <c r="J266" s="236">
        <v>0.75</v>
      </c>
      <c r="K266" s="236">
        <v>1.0009999999999999</v>
      </c>
      <c r="L266" s="220"/>
      <c r="M266" s="220"/>
      <c r="N266" s="220"/>
      <c r="O266" s="221"/>
      <c r="P266" s="206"/>
      <c r="Q266" s="234" t="s">
        <v>52</v>
      </c>
      <c r="R266" s="237">
        <f>'2. PRODUCTOS'!$H$194</f>
        <v>135</v>
      </c>
      <c r="S266" s="237">
        <f>'2. PRODUCTOS'!$AJ$194</f>
        <v>0</v>
      </c>
      <c r="T266" s="220"/>
      <c r="U266" s="236">
        <v>0</v>
      </c>
      <c r="V266" s="236">
        <v>0.5</v>
      </c>
      <c r="W266" s="236">
        <v>0.75</v>
      </c>
      <c r="X266" s="236">
        <v>1.0009999999999999</v>
      </c>
      <c r="Y266" s="220"/>
      <c r="Z266" s="220"/>
      <c r="AA266" s="221"/>
      <c r="AB266" s="207"/>
      <c r="AJ266" s="350"/>
      <c r="AU266" s="632"/>
      <c r="BN266" s="632"/>
      <c r="BO266" s="350"/>
      <c r="BP266" s="350"/>
      <c r="BQ266" s="350"/>
      <c r="BR266" s="350"/>
      <c r="BS266" s="350"/>
      <c r="BT266" s="350"/>
      <c r="BU266" s="350"/>
      <c r="BV266" s="350"/>
      <c r="BW266" s="350"/>
      <c r="BX266" s="350"/>
    </row>
    <row r="267" spans="4:76" x14ac:dyDescent="0.3">
      <c r="D267" s="226"/>
      <c r="E267" s="234" t="s">
        <v>53</v>
      </c>
      <c r="F267" s="237">
        <f>'2. PRODUCTOS'!$AW$194</f>
        <v>15</v>
      </c>
      <c r="G267" s="220"/>
      <c r="H267" s="238">
        <v>0.499</v>
      </c>
      <c r="I267" s="238">
        <v>0.749</v>
      </c>
      <c r="J267" s="238">
        <v>1</v>
      </c>
      <c r="K267" s="238">
        <v>4</v>
      </c>
      <c r="L267" s="220"/>
      <c r="M267" s="220"/>
      <c r="N267" s="220"/>
      <c r="O267" s="221"/>
      <c r="P267" s="206"/>
      <c r="Q267" s="234" t="s">
        <v>53</v>
      </c>
      <c r="R267" s="237">
        <f>'2. PRODUCTOS'!$I$194</f>
        <v>25</v>
      </c>
      <c r="S267" s="237">
        <f>'2. PRODUCTOS'!$AW$194</f>
        <v>15</v>
      </c>
      <c r="T267" s="220"/>
      <c r="U267" s="238">
        <v>0.499</v>
      </c>
      <c r="V267" s="238">
        <v>0.749</v>
      </c>
      <c r="W267" s="238">
        <v>1</v>
      </c>
      <c r="X267" s="238">
        <v>4</v>
      </c>
      <c r="Y267" s="220"/>
      <c r="Z267" s="220"/>
      <c r="AA267" s="221"/>
      <c r="AB267" s="207"/>
      <c r="AJ267" s="350"/>
      <c r="AU267" s="632"/>
      <c r="BN267" s="632"/>
      <c r="BO267" s="350"/>
      <c r="BP267" s="350"/>
      <c r="BQ267" s="350"/>
      <c r="BR267" s="350"/>
      <c r="BS267" s="350"/>
      <c r="BT267" s="350"/>
      <c r="BU267" s="350"/>
      <c r="BV267" s="350"/>
      <c r="BW267" s="350"/>
      <c r="BX267" s="350"/>
    </row>
    <row r="268" spans="4:76" ht="17.25" thickBot="1" x14ac:dyDescent="0.35">
      <c r="D268" s="226"/>
      <c r="E268" s="254" t="s">
        <v>495</v>
      </c>
      <c r="F268" s="386">
        <f>'2. PRODUCTOS'!$BJ$194</f>
        <v>7</v>
      </c>
      <c r="G268" s="220"/>
      <c r="H268" s="256" t="s">
        <v>68</v>
      </c>
      <c r="I268" s="257" t="s">
        <v>69</v>
      </c>
      <c r="J268" s="258" t="s">
        <v>70</v>
      </c>
      <c r="K268" s="259" t="s">
        <v>71</v>
      </c>
      <c r="L268" s="220"/>
      <c r="M268" s="220"/>
      <c r="N268" s="220"/>
      <c r="O268" s="221"/>
      <c r="P268" s="206"/>
      <c r="Q268" s="254" t="s">
        <v>495</v>
      </c>
      <c r="R268" s="260">
        <f>'2. PRODUCTOS'!$J$194</f>
        <v>50</v>
      </c>
      <c r="S268" s="386">
        <f>'2. PRODUCTOS'!$BJ$194</f>
        <v>7</v>
      </c>
      <c r="T268" s="220"/>
      <c r="U268" s="262" t="s">
        <v>68</v>
      </c>
      <c r="V268" s="263" t="s">
        <v>69</v>
      </c>
      <c r="W268" s="264" t="s">
        <v>70</v>
      </c>
      <c r="X268" s="265" t="s">
        <v>71</v>
      </c>
      <c r="Y268" s="220"/>
      <c r="Z268" s="220"/>
      <c r="AA268" s="221"/>
      <c r="AB268" s="207"/>
      <c r="AJ268" s="350"/>
      <c r="AU268" s="632"/>
      <c r="BN268" s="632"/>
      <c r="BO268" s="350"/>
      <c r="BP268" s="350"/>
      <c r="BQ268" s="350"/>
      <c r="BR268" s="350"/>
      <c r="BS268" s="350"/>
      <c r="BT268" s="350"/>
      <c r="BU268" s="350"/>
      <c r="BV268" s="350"/>
      <c r="BW268" s="350"/>
      <c r="BX268" s="350"/>
    </row>
    <row r="269" spans="4:76" ht="17.25" thickBot="1" x14ac:dyDescent="0.35">
      <c r="D269" s="226"/>
      <c r="E269" s="284" t="s">
        <v>67</v>
      </c>
      <c r="F269" s="463">
        <f>'2. PRODUCTOS'!$E$194</f>
        <v>50</v>
      </c>
      <c r="G269" s="220"/>
      <c r="H269" s="286">
        <f>IF($F276&gt;=H266,IF($F276&lt;=H267,$F276,NA()),NA())</f>
        <v>0.3</v>
      </c>
      <c r="I269" s="286" t="e">
        <f>IF($F276&gt;=I266,IF($F276&lt;=I267,$F276,NA()),NA())</f>
        <v>#N/A</v>
      </c>
      <c r="J269" s="286" t="e">
        <f>IF($F276&gt;=J266,IF($F276&lt;=J267,$F276,NA()),NA())</f>
        <v>#N/A</v>
      </c>
      <c r="K269" s="286" t="e">
        <f>IF($F276&gt;=K266,IF($F276&lt;=K267,$F276,NA()),NA())</f>
        <v>#N/A</v>
      </c>
      <c r="L269" s="220"/>
      <c r="M269" s="220"/>
      <c r="N269" s="220"/>
      <c r="O269" s="221"/>
      <c r="P269" s="206"/>
      <c r="Q269" s="596" t="s">
        <v>67</v>
      </c>
      <c r="R269" s="463">
        <f>'2. PRODUCTOS'!$E$194</f>
        <v>50</v>
      </c>
      <c r="S269" s="581">
        <f>'2. PRODUCTOS'!$BT$194</f>
        <v>22</v>
      </c>
      <c r="T269" s="615" t="s">
        <v>46</v>
      </c>
      <c r="U269" s="337">
        <f t="shared" ref="U269:X272" si="30">IF($S272&gt;=U$266,IF($S272&lt;=U$267,$S272,NA()),NA())</f>
        <v>0</v>
      </c>
      <c r="V269" s="457" t="e">
        <f t="shared" si="30"/>
        <v>#N/A</v>
      </c>
      <c r="W269" s="457" t="e">
        <f t="shared" si="30"/>
        <v>#N/A</v>
      </c>
      <c r="X269" s="458" t="e">
        <f t="shared" si="30"/>
        <v>#N/A</v>
      </c>
      <c r="Y269" s="220"/>
      <c r="Z269" s="220"/>
      <c r="AA269" s="221"/>
      <c r="AB269" s="207"/>
      <c r="AJ269" s="350"/>
      <c r="AU269" s="632"/>
      <c r="BN269" s="632"/>
      <c r="BO269" s="350"/>
      <c r="BP269" s="350"/>
      <c r="BQ269" s="350"/>
      <c r="BR269" s="350"/>
      <c r="BS269" s="350"/>
      <c r="BT269" s="350"/>
      <c r="BU269" s="350"/>
      <c r="BV269" s="350"/>
      <c r="BW269" s="350"/>
      <c r="BX269" s="350"/>
    </row>
    <row r="270" spans="4:76" ht="25.5" x14ac:dyDescent="0.3">
      <c r="D270" s="226"/>
      <c r="E270" s="311"/>
      <c r="F270" s="227"/>
      <c r="G270" s="220"/>
      <c r="H270" s="312"/>
      <c r="I270" s="312"/>
      <c r="J270" s="312"/>
      <c r="K270" s="220"/>
      <c r="L270" s="220"/>
      <c r="M270" s="220"/>
      <c r="N270" s="220"/>
      <c r="O270" s="221"/>
      <c r="P270" s="206"/>
      <c r="Q270" s="226"/>
      <c r="R270" s="311"/>
      <c r="S270" s="227"/>
      <c r="T270" s="620" t="s">
        <v>52</v>
      </c>
      <c r="U270" s="578">
        <f t="shared" si="30"/>
        <v>0</v>
      </c>
      <c r="V270" s="579" t="e">
        <f t="shared" si="30"/>
        <v>#N/A</v>
      </c>
      <c r="W270" s="579" t="e">
        <f t="shared" si="30"/>
        <v>#N/A</v>
      </c>
      <c r="X270" s="580" t="e">
        <f t="shared" si="30"/>
        <v>#N/A</v>
      </c>
      <c r="Y270" s="220"/>
      <c r="Z270" s="220"/>
      <c r="AA270" s="221"/>
      <c r="AB270" s="207"/>
      <c r="AJ270" s="350"/>
      <c r="AU270" s="632"/>
      <c r="AV270" s="748"/>
      <c r="AW270" s="748"/>
      <c r="AX270" s="748"/>
      <c r="AY270" s="748"/>
      <c r="AZ270" s="748"/>
      <c r="BA270" s="748"/>
      <c r="BB270" s="748"/>
      <c r="BC270" s="748"/>
      <c r="BD270" s="748"/>
      <c r="BE270" s="748"/>
      <c r="BF270" s="748"/>
      <c r="BG270" s="748"/>
      <c r="BH270" s="748"/>
      <c r="BI270" s="748"/>
      <c r="BJ270" s="748"/>
      <c r="BK270" s="748"/>
      <c r="BL270" s="748"/>
      <c r="BM270" s="748"/>
      <c r="BN270" s="632"/>
      <c r="BO270" s="350"/>
      <c r="BP270" s="350"/>
      <c r="BQ270" s="350"/>
      <c r="BR270" s="350"/>
      <c r="BS270" s="350"/>
      <c r="BT270" s="350"/>
      <c r="BU270" s="350"/>
      <c r="BV270" s="350"/>
      <c r="BW270" s="350"/>
      <c r="BX270" s="350"/>
    </row>
    <row r="271" spans="4:76" ht="17.25" thickBot="1" x14ac:dyDescent="0.35">
      <c r="D271" s="226"/>
      <c r="E271" s="311"/>
      <c r="F271" s="227"/>
      <c r="G271" s="220"/>
      <c r="H271" s="312"/>
      <c r="I271" s="312"/>
      <c r="J271" s="312"/>
      <c r="K271" s="220"/>
      <c r="L271" s="220"/>
      <c r="M271" s="220"/>
      <c r="N271" s="220"/>
      <c r="O271" s="221"/>
      <c r="P271" s="206"/>
      <c r="Q271" s="226"/>
      <c r="R271" s="311"/>
      <c r="S271" s="227"/>
      <c r="T271" s="620" t="s">
        <v>53</v>
      </c>
      <c r="U271" s="578" t="e">
        <f t="shared" si="30"/>
        <v>#N/A</v>
      </c>
      <c r="V271" s="579">
        <f t="shared" si="30"/>
        <v>0.6</v>
      </c>
      <c r="W271" s="579" t="e">
        <f t="shared" si="30"/>
        <v>#N/A</v>
      </c>
      <c r="X271" s="580" t="e">
        <f t="shared" si="30"/>
        <v>#N/A</v>
      </c>
      <c r="Y271" s="220"/>
      <c r="Z271" s="220"/>
      <c r="AA271" s="221"/>
      <c r="AB271" s="207"/>
      <c r="AJ271" s="350"/>
      <c r="AU271" s="632"/>
      <c r="AV271" s="647"/>
      <c r="AW271" s="383"/>
      <c r="AX271" s="599"/>
      <c r="AY271" s="599"/>
      <c r="AZ271" s="557"/>
      <c r="BA271" s="714"/>
      <c r="BB271" s="376"/>
      <c r="BC271" s="376"/>
      <c r="BD271" s="376"/>
      <c r="BE271" s="376"/>
      <c r="BF271" s="376"/>
      <c r="BG271" s="376"/>
      <c r="BH271" s="350"/>
      <c r="BI271" s="350"/>
      <c r="BJ271" s="350"/>
      <c r="BK271" s="350"/>
      <c r="BL271" s="350"/>
      <c r="BM271" s="350"/>
      <c r="BN271" s="632"/>
      <c r="BO271" s="350"/>
      <c r="BP271" s="350"/>
      <c r="BQ271" s="350"/>
      <c r="BR271" s="350"/>
      <c r="BS271" s="350"/>
      <c r="BT271" s="350"/>
      <c r="BU271" s="350"/>
      <c r="BV271" s="350"/>
      <c r="BW271" s="350"/>
      <c r="BX271" s="350"/>
    </row>
    <row r="272" spans="4:76" ht="17.25" thickBot="1" x14ac:dyDescent="0.35">
      <c r="D272" s="226"/>
      <c r="E272" s="230" t="s">
        <v>46</v>
      </c>
      <c r="F272" s="328">
        <f>IFERROR(F265/$F$269,0)</f>
        <v>0</v>
      </c>
      <c r="G272" s="220"/>
      <c r="H272" s="312"/>
      <c r="I272" s="312"/>
      <c r="J272" s="312"/>
      <c r="K272" s="220"/>
      <c r="L272" s="220"/>
      <c r="M272" s="220"/>
      <c r="N272" s="220"/>
      <c r="O272" s="221"/>
      <c r="P272" s="206"/>
      <c r="Q272" s="226"/>
      <c r="R272" s="230" t="s">
        <v>46</v>
      </c>
      <c r="S272" s="328">
        <f>IFERROR(S265/R265,0)</f>
        <v>0</v>
      </c>
      <c r="T272" s="630" t="s">
        <v>495</v>
      </c>
      <c r="U272" s="460">
        <f t="shared" si="30"/>
        <v>0.14000000000000001</v>
      </c>
      <c r="V272" s="461" t="e">
        <f t="shared" si="30"/>
        <v>#N/A</v>
      </c>
      <c r="W272" s="461" t="e">
        <f t="shared" si="30"/>
        <v>#N/A</v>
      </c>
      <c r="X272" s="462" t="e">
        <f t="shared" si="30"/>
        <v>#N/A</v>
      </c>
      <c r="Y272" s="220"/>
      <c r="Z272" s="220"/>
      <c r="AA272" s="221"/>
      <c r="AB272" s="207"/>
      <c r="AJ272" s="350"/>
      <c r="AU272" s="632"/>
      <c r="AV272" s="641"/>
      <c r="AW272" s="641"/>
      <c r="AX272" s="641"/>
      <c r="AY272" s="641"/>
      <c r="AZ272" s="641"/>
      <c r="BA272" s="641"/>
      <c r="BB272" s="641"/>
      <c r="BC272" s="641"/>
      <c r="BD272" s="641"/>
      <c r="BE272" s="641"/>
      <c r="BF272" s="641"/>
      <c r="BG272" s="641"/>
      <c r="BH272" s="641"/>
      <c r="BI272" s="641"/>
      <c r="BJ272" s="641"/>
      <c r="BK272" s="641"/>
      <c r="BL272" s="641"/>
      <c r="BM272" s="641"/>
      <c r="BN272" s="632"/>
      <c r="BO272" s="350"/>
      <c r="BP272" s="350"/>
      <c r="BQ272" s="350"/>
      <c r="BR272" s="350"/>
      <c r="BS272" s="350"/>
      <c r="BT272" s="350"/>
      <c r="BU272" s="350"/>
      <c r="BV272" s="350"/>
      <c r="BW272" s="350"/>
      <c r="BX272" s="350"/>
    </row>
    <row r="273" spans="4:78" x14ac:dyDescent="0.3">
      <c r="D273" s="226"/>
      <c r="E273" s="234" t="s">
        <v>52</v>
      </c>
      <c r="F273" s="340">
        <f>IFERROR(F266/$F$269,0)</f>
        <v>0</v>
      </c>
      <c r="G273" s="220"/>
      <c r="H273" s="312"/>
      <c r="I273" s="312"/>
      <c r="J273" s="312"/>
      <c r="K273" s="220"/>
      <c r="L273" s="220"/>
      <c r="M273" s="220"/>
      <c r="N273" s="220"/>
      <c r="O273" s="221"/>
      <c r="P273" s="206"/>
      <c r="Q273" s="226"/>
      <c r="R273" s="234" t="s">
        <v>52</v>
      </c>
      <c r="S273" s="340">
        <f>IFERROR(S266/R266,0)</f>
        <v>0</v>
      </c>
      <c r="T273" s="220"/>
      <c r="U273" s="312"/>
      <c r="V273" s="312"/>
      <c r="W273" s="312"/>
      <c r="X273" s="220"/>
      <c r="Y273" s="220"/>
      <c r="Z273" s="220"/>
      <c r="AA273" s="221"/>
      <c r="AB273" s="207"/>
      <c r="AJ273" s="350"/>
      <c r="AU273" s="632"/>
      <c r="AV273" s="647"/>
      <c r="AW273" s="350"/>
      <c r="AX273" s="599"/>
      <c r="AY273" s="368"/>
      <c r="AZ273" s="368"/>
      <c r="BA273" s="368"/>
      <c r="BB273" s="368"/>
      <c r="BC273" s="350"/>
      <c r="BD273" s="350"/>
      <c r="BE273" s="350"/>
      <c r="BF273" s="376"/>
      <c r="BG273" s="376"/>
      <c r="BH273" s="350"/>
      <c r="BI273" s="350"/>
      <c r="BJ273" s="350"/>
      <c r="BK273" s="350"/>
      <c r="BL273" s="350"/>
      <c r="BM273" s="350"/>
      <c r="BN273" s="632"/>
      <c r="BO273" s="350"/>
      <c r="BP273" s="350"/>
      <c r="BQ273" s="350"/>
      <c r="BR273" s="350"/>
      <c r="BS273" s="350"/>
      <c r="BT273" s="350"/>
      <c r="BU273" s="350"/>
      <c r="BV273" s="350"/>
      <c r="BW273" s="350"/>
      <c r="BX273" s="350"/>
    </row>
    <row r="274" spans="4:78" ht="17.25" customHeight="1" x14ac:dyDescent="0.3">
      <c r="D274" s="226"/>
      <c r="E274" s="234" t="s">
        <v>53</v>
      </c>
      <c r="F274" s="340">
        <f>IFERROR(F267/$F$269,0)</f>
        <v>0.3</v>
      </c>
      <c r="G274" s="220"/>
      <c r="H274" s="312"/>
      <c r="I274" s="312"/>
      <c r="J274" s="312"/>
      <c r="K274" s="220"/>
      <c r="L274" s="220"/>
      <c r="M274" s="220"/>
      <c r="N274" s="220"/>
      <c r="O274" s="221"/>
      <c r="P274" s="206"/>
      <c r="Q274" s="226"/>
      <c r="R274" s="234" t="s">
        <v>53</v>
      </c>
      <c r="S274" s="340">
        <f>IFERROR(S267/R267,0)</f>
        <v>0.6</v>
      </c>
      <c r="T274" s="220"/>
      <c r="U274" s="312"/>
      <c r="V274" s="312"/>
      <c r="W274" s="312"/>
      <c r="X274" s="220"/>
      <c r="Y274" s="220"/>
      <c r="Z274" s="220"/>
      <c r="AA274" s="221"/>
      <c r="AB274" s="207"/>
      <c r="AJ274" s="350"/>
      <c r="AU274" s="632"/>
      <c r="AV274" s="350"/>
      <c r="AW274" s="350"/>
      <c r="AX274" s="350"/>
      <c r="AY274" s="749"/>
      <c r="AZ274" s="393"/>
      <c r="BA274" s="393"/>
      <c r="BB274" s="393"/>
      <c r="BC274" s="382"/>
      <c r="BD274" s="382"/>
      <c r="BE274" s="382"/>
      <c r="BF274" s="350"/>
      <c r="BG274" s="350"/>
      <c r="BH274" s="350"/>
      <c r="BI274" s="350"/>
      <c r="BJ274" s="350"/>
      <c r="BK274" s="350"/>
      <c r="BL274" s="350"/>
      <c r="BM274" s="350"/>
      <c r="BN274" s="632"/>
      <c r="BO274" s="350"/>
      <c r="BP274" s="350"/>
      <c r="BQ274" s="350"/>
      <c r="BR274" s="350"/>
      <c r="BS274" s="350"/>
      <c r="BT274" s="350"/>
      <c r="BU274" s="350"/>
      <c r="BV274" s="350"/>
      <c r="BW274" s="350"/>
      <c r="BX274" s="350"/>
    </row>
    <row r="275" spans="4:78" ht="17.25" customHeight="1" thickBot="1" x14ac:dyDescent="0.35">
      <c r="D275" s="226"/>
      <c r="E275" s="254" t="s">
        <v>495</v>
      </c>
      <c r="F275" s="349">
        <f>IFERROR(F268/$F$269,0)</f>
        <v>0.14000000000000001</v>
      </c>
      <c r="G275" s="220"/>
      <c r="H275" s="312"/>
      <c r="I275" s="312"/>
      <c r="J275" s="312"/>
      <c r="K275" s="220"/>
      <c r="L275" s="220"/>
      <c r="M275" s="220"/>
      <c r="N275" s="220"/>
      <c r="O275" s="221"/>
      <c r="P275" s="206"/>
      <c r="Q275" s="226"/>
      <c r="R275" s="254" t="s">
        <v>495</v>
      </c>
      <c r="S275" s="349">
        <f>IFERROR(S268/R268,0)</f>
        <v>0.14000000000000001</v>
      </c>
      <c r="T275" s="220"/>
      <c r="U275" s="312"/>
      <c r="V275" s="312"/>
      <c r="W275" s="312"/>
      <c r="X275" s="220"/>
      <c r="Y275" s="220"/>
      <c r="Z275" s="220"/>
      <c r="AA275" s="221"/>
      <c r="AB275" s="207"/>
      <c r="AJ275" s="350"/>
      <c r="AU275" s="632"/>
      <c r="AV275" s="350"/>
      <c r="AW275" s="350"/>
      <c r="AX275" s="350"/>
      <c r="AY275" s="749"/>
      <c r="AZ275" s="350"/>
      <c r="BA275" s="383"/>
      <c r="BB275" s="384"/>
      <c r="BC275" s="350"/>
      <c r="BD275" s="557"/>
      <c r="BE275" s="468"/>
      <c r="BF275" s="350"/>
      <c r="BG275" s="350"/>
      <c r="BH275" s="350"/>
      <c r="BI275" s="350"/>
      <c r="BJ275" s="350"/>
      <c r="BK275" s="350"/>
      <c r="BL275" s="350"/>
      <c r="BM275" s="350"/>
      <c r="BN275" s="632"/>
      <c r="BO275" s="350"/>
      <c r="BP275" s="350"/>
      <c r="BQ275" s="350"/>
      <c r="BR275" s="350"/>
      <c r="BS275" s="350"/>
      <c r="BT275" s="350"/>
      <c r="BU275" s="350"/>
      <c r="BV275" s="350"/>
      <c r="BW275" s="350"/>
      <c r="BX275" s="350"/>
    </row>
    <row r="276" spans="4:78" ht="17.25" thickBot="1" x14ac:dyDescent="0.35">
      <c r="D276" s="219"/>
      <c r="E276" s="284" t="s">
        <v>67</v>
      </c>
      <c r="F276" s="357">
        <f>IFERROR(SUM(F272:F274),0)</f>
        <v>0.3</v>
      </c>
      <c r="G276" s="220"/>
      <c r="H276" s="220"/>
      <c r="I276" s="220"/>
      <c r="J276" s="220"/>
      <c r="K276" s="220"/>
      <c r="L276" s="220"/>
      <c r="M276" s="220"/>
      <c r="N276" s="220"/>
      <c r="O276" s="221"/>
      <c r="P276" s="206"/>
      <c r="Q276" s="219"/>
      <c r="R276" s="284" t="s">
        <v>67</v>
      </c>
      <c r="S276" s="357">
        <f>IFERROR(S269/R269,0)</f>
        <v>0.44</v>
      </c>
      <c r="T276" s="220"/>
      <c r="U276" s="220"/>
      <c r="V276" s="220"/>
      <c r="W276" s="220"/>
      <c r="X276" s="220"/>
      <c r="Y276" s="220"/>
      <c r="Z276" s="220"/>
      <c r="AA276" s="221"/>
      <c r="AB276" s="207"/>
      <c r="AC276" s="350"/>
      <c r="AD276" s="350"/>
      <c r="AE276" s="350"/>
      <c r="AF276" s="350"/>
      <c r="AG276" s="350"/>
      <c r="AH276" s="350"/>
      <c r="AI276" s="350"/>
      <c r="AJ276" s="350"/>
      <c r="AU276" s="632"/>
      <c r="AV276" s="647"/>
      <c r="AW276" s="382"/>
      <c r="AX276" s="382"/>
      <c r="AY276" s="749"/>
      <c r="AZ276" s="350"/>
      <c r="BA276" s="599"/>
      <c r="BB276" s="414"/>
      <c r="BC276" s="382"/>
      <c r="BD276" s="557"/>
      <c r="BE276" s="468"/>
      <c r="BF276" s="382"/>
      <c r="BG276" s="382"/>
      <c r="BH276" s="350"/>
      <c r="BI276" s="350"/>
      <c r="BJ276" s="350"/>
      <c r="BK276" s="350"/>
      <c r="BL276" s="350"/>
      <c r="BM276" s="350"/>
      <c r="BN276" s="632"/>
      <c r="BO276" s="350"/>
      <c r="BP276" s="350"/>
      <c r="BQ276" s="350"/>
      <c r="BR276" s="350"/>
      <c r="BS276" s="350"/>
      <c r="BT276" s="350"/>
      <c r="BU276" s="350"/>
      <c r="BV276" s="350"/>
      <c r="BW276" s="350"/>
      <c r="BX276" s="350"/>
    </row>
    <row r="277" spans="4:78" ht="17.25" thickBot="1" x14ac:dyDescent="0.35">
      <c r="D277" s="226"/>
      <c r="E277" s="227"/>
      <c r="F277" s="220"/>
      <c r="G277" s="224"/>
      <c r="H277" s="224"/>
      <c r="I277" s="224"/>
      <c r="J277" s="224"/>
      <c r="K277" s="220"/>
      <c r="L277" s="220"/>
      <c r="M277" s="220"/>
      <c r="N277" s="220"/>
      <c r="O277" s="221"/>
      <c r="P277" s="206"/>
      <c r="Q277" s="226"/>
      <c r="R277" s="227"/>
      <c r="S277" s="220"/>
      <c r="T277" s="224"/>
      <c r="U277" s="224"/>
      <c r="V277" s="224"/>
      <c r="W277" s="224"/>
      <c r="X277" s="220"/>
      <c r="Y277" s="220"/>
      <c r="Z277" s="220"/>
      <c r="AA277" s="221"/>
      <c r="AB277" s="207"/>
      <c r="AU277" s="632"/>
      <c r="AV277" s="647"/>
      <c r="AW277" s="350"/>
      <c r="AX277" s="599"/>
      <c r="AY277" s="749"/>
      <c r="AZ277" s="350"/>
      <c r="BA277" s="599"/>
      <c r="BB277" s="562"/>
      <c r="BC277" s="648"/>
      <c r="BD277" s="557"/>
      <c r="BE277" s="468"/>
      <c r="BF277" s="376"/>
      <c r="BG277" s="376"/>
      <c r="BH277" s="350"/>
      <c r="BI277" s="350"/>
      <c r="BJ277" s="350"/>
      <c r="BK277" s="350"/>
      <c r="BL277" s="350"/>
      <c r="BM277" s="350"/>
      <c r="BN277" s="632"/>
      <c r="BO277" s="350"/>
      <c r="BP277" s="350"/>
      <c r="BQ277" s="350"/>
      <c r="BR277" s="350"/>
      <c r="BS277" s="350"/>
      <c r="BT277" s="350"/>
      <c r="BU277" s="350"/>
      <c r="BV277" s="350"/>
      <c r="BW277" s="350"/>
      <c r="BX277" s="350"/>
    </row>
    <row r="278" spans="4:78" ht="23.25" thickBot="1" x14ac:dyDescent="0.35">
      <c r="D278" s="881" t="s">
        <v>180</v>
      </c>
      <c r="E278" s="882"/>
      <c r="F278" s="882"/>
      <c r="G278" s="882"/>
      <c r="H278" s="882"/>
      <c r="I278" s="882"/>
      <c r="J278" s="882"/>
      <c r="K278" s="882"/>
      <c r="L278" s="882"/>
      <c r="M278" s="882"/>
      <c r="N278" s="882"/>
      <c r="O278" s="883"/>
      <c r="P278" s="206"/>
      <c r="Q278" s="945" t="s">
        <v>180</v>
      </c>
      <c r="R278" s="946"/>
      <c r="S278" s="946"/>
      <c r="T278" s="946"/>
      <c r="U278" s="946"/>
      <c r="V278" s="946"/>
      <c r="W278" s="946"/>
      <c r="X278" s="946"/>
      <c r="Y278" s="946"/>
      <c r="Z278" s="946"/>
      <c r="AA278" s="947"/>
      <c r="AB278" s="207"/>
      <c r="AU278" s="632"/>
      <c r="AV278" s="647"/>
      <c r="AW278" s="350"/>
      <c r="AX278" s="599"/>
      <c r="AY278" s="749"/>
      <c r="AZ278" s="350"/>
      <c r="BA278" s="599"/>
      <c r="BB278" s="562"/>
      <c r="BC278" s="648"/>
      <c r="BD278" s="557"/>
      <c r="BE278" s="468"/>
      <c r="BF278" s="376"/>
      <c r="BG278" s="376"/>
      <c r="BH278" s="350"/>
      <c r="BI278" s="350"/>
      <c r="BJ278" s="350"/>
      <c r="BK278" s="350"/>
      <c r="BL278" s="350"/>
      <c r="BM278" s="350"/>
      <c r="BN278" s="632"/>
      <c r="BO278" s="350"/>
      <c r="BP278" s="350"/>
      <c r="BQ278" s="350"/>
      <c r="BR278" s="350"/>
      <c r="BS278" s="350"/>
      <c r="BT278" s="350"/>
      <c r="BU278" s="350"/>
      <c r="BV278" s="350"/>
      <c r="BW278" s="350"/>
      <c r="BX278" s="350"/>
    </row>
    <row r="279" spans="4:78" ht="17.25" thickBot="1" x14ac:dyDescent="0.35">
      <c r="D279" s="211"/>
      <c r="E279" s="212"/>
      <c r="F279" s="212"/>
      <c r="G279" s="212"/>
      <c r="H279" s="212"/>
      <c r="I279" s="212"/>
      <c r="J279" s="212"/>
      <c r="K279" s="212"/>
      <c r="L279" s="212"/>
      <c r="M279" s="212"/>
      <c r="N279" s="212"/>
      <c r="O279" s="213"/>
      <c r="P279" s="206"/>
      <c r="Q279" s="219"/>
      <c r="R279" s="227"/>
      <c r="S279" s="220"/>
      <c r="T279" s="220"/>
      <c r="U279" s="220"/>
      <c r="V279" s="220"/>
      <c r="W279" s="220"/>
      <c r="X279" s="220"/>
      <c r="Y279" s="220"/>
      <c r="Z279" s="220"/>
      <c r="AA279" s="221"/>
      <c r="AB279" s="207"/>
      <c r="AU279" s="632"/>
      <c r="AV279" s="647"/>
      <c r="AW279" s="350"/>
      <c r="AX279" s="599"/>
      <c r="AY279" s="749"/>
      <c r="AZ279" s="350"/>
      <c r="BA279" s="599"/>
      <c r="BB279" s="562"/>
      <c r="BC279" s="648"/>
      <c r="BD279" s="557"/>
      <c r="BE279" s="468"/>
      <c r="BF279" s="376"/>
      <c r="BG279" s="376"/>
      <c r="BH279" s="350"/>
      <c r="BI279" s="350"/>
      <c r="BJ279" s="350"/>
      <c r="BK279" s="350"/>
      <c r="BL279" s="350"/>
      <c r="BM279" s="350"/>
      <c r="BN279" s="632"/>
      <c r="BO279" s="350"/>
      <c r="BP279" s="350"/>
      <c r="BQ279" s="350"/>
      <c r="BR279" s="350"/>
      <c r="BS279" s="350"/>
      <c r="BT279" s="350"/>
      <c r="BU279" s="350"/>
      <c r="BV279" s="350"/>
      <c r="BW279" s="350"/>
      <c r="BX279" s="350"/>
      <c r="BY279" s="698"/>
      <c r="BZ279" s="698"/>
    </row>
    <row r="280" spans="4:78" ht="21" thickBot="1" x14ac:dyDescent="0.35">
      <c r="D280" s="863" t="s">
        <v>497</v>
      </c>
      <c r="E280" s="864"/>
      <c r="F280" s="864"/>
      <c r="G280" s="864"/>
      <c r="H280" s="864"/>
      <c r="I280" s="864"/>
      <c r="J280" s="864"/>
      <c r="K280" s="864"/>
      <c r="L280" s="864"/>
      <c r="M280" s="864"/>
      <c r="N280" s="864"/>
      <c r="O280" s="865"/>
      <c r="P280" s="206"/>
      <c r="Q280" s="851" t="s">
        <v>497</v>
      </c>
      <c r="R280" s="852"/>
      <c r="S280" s="852"/>
      <c r="T280" s="852"/>
      <c r="U280" s="852"/>
      <c r="V280" s="852"/>
      <c r="W280" s="852"/>
      <c r="X280" s="852"/>
      <c r="Y280" s="852"/>
      <c r="Z280" s="852"/>
      <c r="AA280" s="853"/>
      <c r="AB280" s="207"/>
      <c r="AU280" s="632"/>
      <c r="AV280" s="647"/>
      <c r="AW280" s="350"/>
      <c r="AX280" s="599"/>
      <c r="AY280" s="368"/>
      <c r="AZ280" s="368"/>
      <c r="BA280" s="368"/>
      <c r="BB280" s="368"/>
      <c r="BC280" s="350"/>
      <c r="BD280" s="350"/>
      <c r="BE280" s="350"/>
      <c r="BF280" s="376"/>
      <c r="BG280" s="376"/>
      <c r="BH280" s="350"/>
      <c r="BI280" s="350"/>
      <c r="BJ280" s="350"/>
      <c r="BK280" s="350"/>
      <c r="BL280" s="350"/>
      <c r="BM280" s="350"/>
      <c r="BN280" s="632"/>
      <c r="BO280" s="350"/>
      <c r="BP280" s="350"/>
      <c r="BQ280" s="350"/>
      <c r="BR280" s="350"/>
      <c r="BS280" s="350"/>
      <c r="BT280" s="350"/>
      <c r="BU280" s="350"/>
      <c r="BV280" s="350"/>
      <c r="BW280" s="350"/>
      <c r="BX280" s="350"/>
      <c r="BY280" s="698"/>
      <c r="BZ280" s="698"/>
    </row>
    <row r="281" spans="4:78" ht="17.25" customHeight="1" x14ac:dyDescent="0.3">
      <c r="D281" s="226"/>
      <c r="E281" s="227"/>
      <c r="F281" s="220"/>
      <c r="G281" s="574"/>
      <c r="H281" s="574"/>
      <c r="I281" s="574"/>
      <c r="J281" s="574"/>
      <c r="K281" s="220"/>
      <c r="L281" s="220"/>
      <c r="M281" s="220"/>
      <c r="N281" s="220"/>
      <c r="O281" s="221"/>
      <c r="P281" s="206"/>
      <c r="Q281" s="219"/>
      <c r="R281" s="227"/>
      <c r="S281" s="220"/>
      <c r="T281" s="220"/>
      <c r="U281" s="220"/>
      <c r="V281" s="220"/>
      <c r="W281" s="220"/>
      <c r="X281" s="220"/>
      <c r="Y281" s="220"/>
      <c r="Z281" s="220"/>
      <c r="AA281" s="221"/>
      <c r="AB281" s="207"/>
      <c r="AU281" s="632"/>
      <c r="AV281" s="647"/>
      <c r="AW281" s="350"/>
      <c r="AX281" s="599"/>
      <c r="AY281" s="749"/>
      <c r="AZ281" s="393"/>
      <c r="BA281" s="393"/>
      <c r="BB281" s="393"/>
      <c r="BC281" s="382"/>
      <c r="BD281" s="382"/>
      <c r="BE281" s="382"/>
      <c r="BF281" s="376"/>
      <c r="BG281" s="376"/>
      <c r="BH281" s="350"/>
      <c r="BI281" s="350"/>
      <c r="BJ281" s="350"/>
      <c r="BK281" s="350"/>
      <c r="BL281" s="350"/>
      <c r="BM281" s="350"/>
      <c r="BN281" s="632"/>
      <c r="BO281" s="350"/>
      <c r="BP281" s="350"/>
      <c r="BQ281" s="350"/>
      <c r="BR281" s="350"/>
      <c r="BS281" s="350"/>
      <c r="BT281" s="350"/>
      <c r="BU281" s="350"/>
      <c r="BV281" s="350"/>
      <c r="BW281" s="350"/>
      <c r="BX281" s="350"/>
      <c r="BY281" s="698"/>
      <c r="BZ281" s="698"/>
    </row>
    <row r="282" spans="4:78" ht="17.25" thickBot="1" x14ac:dyDescent="0.35">
      <c r="D282" s="226"/>
      <c r="E282" s="227"/>
      <c r="F282" s="220"/>
      <c r="G282" s="341"/>
      <c r="H282" s="341"/>
      <c r="I282" s="341"/>
      <c r="J282" s="341"/>
      <c r="K282" s="220"/>
      <c r="L282" s="220"/>
      <c r="M282" s="220"/>
      <c r="N282" s="220"/>
      <c r="O282" s="221"/>
      <c r="P282" s="206"/>
      <c r="Q282" s="219"/>
      <c r="R282" s="227"/>
      <c r="S282" s="220"/>
      <c r="T282" s="220"/>
      <c r="U282" s="220"/>
      <c r="V282" s="220"/>
      <c r="W282" s="220"/>
      <c r="X282" s="220"/>
      <c r="Y282" s="220"/>
      <c r="Z282" s="220"/>
      <c r="AA282" s="221"/>
      <c r="AB282" s="207"/>
      <c r="AU282" s="632"/>
      <c r="AV282" s="647"/>
      <c r="AW282" s="350"/>
      <c r="AX282" s="599"/>
      <c r="AY282" s="749"/>
      <c r="AZ282" s="350"/>
      <c r="BA282" s="384"/>
      <c r="BB282" s="384"/>
      <c r="BC282" s="350"/>
      <c r="BD282" s="557"/>
      <c r="BE282" s="468"/>
      <c r="BF282" s="376"/>
      <c r="BG282" s="376"/>
      <c r="BH282" s="350"/>
      <c r="BI282" s="350"/>
      <c r="BJ282" s="350"/>
      <c r="BK282" s="350"/>
      <c r="BL282" s="350"/>
      <c r="BM282" s="350"/>
      <c r="BN282" s="632"/>
      <c r="BO282" s="350"/>
      <c r="BP282" s="350"/>
      <c r="BQ282" s="350"/>
      <c r="BR282" s="350"/>
      <c r="BS282" s="350"/>
      <c r="BT282" s="350"/>
      <c r="BU282" s="350"/>
      <c r="BV282" s="350"/>
      <c r="BW282" s="350"/>
      <c r="BX282" s="350"/>
      <c r="BY282" s="698"/>
      <c r="BZ282" s="698"/>
    </row>
    <row r="283" spans="4:78" ht="17.25" thickBot="1" x14ac:dyDescent="0.35">
      <c r="D283" s="226"/>
      <c r="E283" s="227"/>
      <c r="F283" s="220"/>
      <c r="G283" s="312"/>
      <c r="H283" s="243"/>
      <c r="I283" s="312"/>
      <c r="J283" s="243"/>
      <c r="K283" s="220"/>
      <c r="L283" s="220"/>
      <c r="M283" s="220"/>
      <c r="N283" s="220"/>
      <c r="O283" s="221"/>
      <c r="P283" s="206"/>
      <c r="Q283" s="223"/>
      <c r="R283" s="228" t="s">
        <v>44</v>
      </c>
      <c r="S283" s="220"/>
      <c r="T283" s="312"/>
      <c r="U283" s="312"/>
      <c r="V283" s="312"/>
      <c r="W283" s="312"/>
      <c r="X283" s="220"/>
      <c r="Y283" s="220"/>
      <c r="Z283" s="220"/>
      <c r="AA283" s="221"/>
      <c r="AB283" s="207"/>
      <c r="AU283" s="632"/>
      <c r="AV283" s="647"/>
      <c r="AW283" s="350"/>
      <c r="AX283" s="599"/>
      <c r="AY283" s="749"/>
      <c r="AZ283" s="350"/>
      <c r="BA283" s="384"/>
      <c r="BB283" s="592"/>
      <c r="BC283" s="382"/>
      <c r="BD283" s="557"/>
      <c r="BE283" s="468"/>
      <c r="BF283" s="376"/>
      <c r="BG283" s="376"/>
      <c r="BH283" s="350"/>
      <c r="BI283" s="350"/>
      <c r="BJ283" s="350"/>
      <c r="BK283" s="350"/>
      <c r="BL283" s="350"/>
      <c r="BM283" s="350"/>
      <c r="BN283" s="632"/>
      <c r="BO283" s="350"/>
      <c r="BP283" s="350"/>
      <c r="BQ283" s="350"/>
      <c r="BR283" s="350"/>
      <c r="BS283" s="350"/>
      <c r="BT283" s="350"/>
      <c r="BU283" s="350"/>
      <c r="BV283" s="350"/>
      <c r="BW283" s="350"/>
      <c r="BX283" s="350"/>
      <c r="BY283" s="698"/>
      <c r="BZ283" s="698"/>
    </row>
    <row r="284" spans="4:78" ht="17.25" customHeight="1" thickBot="1" x14ac:dyDescent="0.35">
      <c r="D284" s="226"/>
      <c r="E284" s="230" t="s">
        <v>46</v>
      </c>
      <c r="F284" s="233">
        <f>'2. PRODUCTOS'!$W$212</f>
        <v>0</v>
      </c>
      <c r="G284" s="220"/>
      <c r="H284" s="842" t="s">
        <v>47</v>
      </c>
      <c r="I284" s="843"/>
      <c r="J284" s="843"/>
      <c r="K284" s="844"/>
      <c r="L284" s="220"/>
      <c r="M284" s="220"/>
      <c r="N284" s="220"/>
      <c r="O284" s="221"/>
      <c r="P284" s="206"/>
      <c r="Q284" s="230" t="s">
        <v>46</v>
      </c>
      <c r="R284" s="233">
        <f>'2. PRODUCTOS'!$G$212</f>
        <v>0</v>
      </c>
      <c r="S284" s="233">
        <f>'2. PRODUCTOS'!$W$212</f>
        <v>0</v>
      </c>
      <c r="T284" s="220"/>
      <c r="U284" s="842" t="s">
        <v>47</v>
      </c>
      <c r="V284" s="843"/>
      <c r="W284" s="843"/>
      <c r="X284" s="844"/>
      <c r="Y284" s="220"/>
      <c r="Z284" s="220"/>
      <c r="AA284" s="221"/>
      <c r="AB284" s="207"/>
      <c r="AU284" s="632"/>
      <c r="AV284" s="647"/>
      <c r="AW284" s="350"/>
      <c r="AX284" s="599"/>
      <c r="AY284" s="749"/>
      <c r="AZ284" s="350"/>
      <c r="BA284" s="384"/>
      <c r="BB284" s="715"/>
      <c r="BC284" s="648"/>
      <c r="BD284" s="557"/>
      <c r="BE284" s="468"/>
      <c r="BF284" s="376"/>
      <c r="BG284" s="376"/>
      <c r="BH284" s="350"/>
      <c r="BI284" s="350"/>
      <c r="BJ284" s="350"/>
      <c r="BK284" s="350"/>
      <c r="BL284" s="350"/>
      <c r="BM284" s="350"/>
      <c r="BN284" s="632"/>
      <c r="BO284" s="350"/>
      <c r="BP284" s="350"/>
      <c r="BQ284" s="350"/>
      <c r="BR284" s="350"/>
      <c r="BS284" s="350"/>
      <c r="BT284" s="350"/>
      <c r="BU284" s="350"/>
      <c r="BV284" s="350"/>
      <c r="BW284" s="350"/>
      <c r="BX284" s="350"/>
      <c r="BY284" s="698"/>
      <c r="BZ284" s="698"/>
    </row>
    <row r="285" spans="4:78" x14ac:dyDescent="0.3">
      <c r="D285" s="226"/>
      <c r="E285" s="234" t="s">
        <v>52</v>
      </c>
      <c r="F285" s="237">
        <f>'2. PRODUCTOS'!$AJ$212</f>
        <v>0</v>
      </c>
      <c r="G285" s="220"/>
      <c r="H285" s="236">
        <v>0</v>
      </c>
      <c r="I285" s="236">
        <v>0.5</v>
      </c>
      <c r="J285" s="236">
        <v>0.75</v>
      </c>
      <c r="K285" s="236">
        <v>1.0009999999999999</v>
      </c>
      <c r="L285" s="220"/>
      <c r="M285" s="220"/>
      <c r="N285" s="220"/>
      <c r="O285" s="221"/>
      <c r="P285" s="206"/>
      <c r="Q285" s="234" t="s">
        <v>52</v>
      </c>
      <c r="R285" s="237">
        <f>'2. PRODUCTOS'!$H$212</f>
        <v>0</v>
      </c>
      <c r="S285" s="237">
        <f>'2. PRODUCTOS'!$AJ$212</f>
        <v>0</v>
      </c>
      <c r="T285" s="220"/>
      <c r="U285" s="236">
        <v>0</v>
      </c>
      <c r="V285" s="236">
        <v>0.5</v>
      </c>
      <c r="W285" s="236">
        <v>0.75</v>
      </c>
      <c r="X285" s="236">
        <v>1.0009999999999999</v>
      </c>
      <c r="Y285" s="220"/>
      <c r="Z285" s="220"/>
      <c r="AA285" s="221"/>
      <c r="AB285" s="207"/>
      <c r="AU285" s="632"/>
      <c r="AV285" s="647"/>
      <c r="AW285" s="350"/>
      <c r="AX285" s="599"/>
      <c r="AY285" s="749"/>
      <c r="AZ285" s="350"/>
      <c r="BA285" s="383"/>
      <c r="BB285" s="383"/>
      <c r="BC285" s="350"/>
      <c r="BD285" s="557"/>
      <c r="BE285" s="468"/>
      <c r="BF285" s="376"/>
      <c r="BG285" s="376"/>
      <c r="BH285" s="350"/>
      <c r="BI285" s="350"/>
      <c r="BJ285" s="350"/>
      <c r="BK285" s="350"/>
      <c r="BL285" s="350"/>
      <c r="BM285" s="350"/>
      <c r="BN285" s="632"/>
      <c r="BO285" s="350"/>
      <c r="BP285" s="350"/>
      <c r="BQ285" s="350"/>
      <c r="BR285" s="350"/>
      <c r="BS285" s="350"/>
      <c r="BT285" s="350"/>
      <c r="BU285" s="350"/>
      <c r="BV285" s="350"/>
      <c r="BW285" s="350"/>
      <c r="BX285" s="350"/>
      <c r="BY285" s="698"/>
      <c r="BZ285" s="698"/>
    </row>
    <row r="286" spans="4:78" x14ac:dyDescent="0.3">
      <c r="D286" s="226"/>
      <c r="E286" s="234" t="s">
        <v>53</v>
      </c>
      <c r="F286" s="237">
        <f>'2. PRODUCTOS'!$AW$212</f>
        <v>3</v>
      </c>
      <c r="G286" s="220"/>
      <c r="H286" s="238">
        <v>0.499</v>
      </c>
      <c r="I286" s="238">
        <v>0.749</v>
      </c>
      <c r="J286" s="238">
        <v>1</v>
      </c>
      <c r="K286" s="238">
        <v>4</v>
      </c>
      <c r="L286" s="220"/>
      <c r="M286" s="220"/>
      <c r="N286" s="220"/>
      <c r="O286" s="221"/>
      <c r="P286" s="206"/>
      <c r="Q286" s="234" t="s">
        <v>53</v>
      </c>
      <c r="R286" s="237">
        <f>'2. PRODUCTOS'!$I$212</f>
        <v>3</v>
      </c>
      <c r="S286" s="237">
        <f>'2. PRODUCTOS'!$AW$212</f>
        <v>3</v>
      </c>
      <c r="T286" s="220"/>
      <c r="U286" s="238">
        <v>0.499</v>
      </c>
      <c r="V286" s="238">
        <v>0.749</v>
      </c>
      <c r="W286" s="238">
        <v>1</v>
      </c>
      <c r="X286" s="238">
        <v>4</v>
      </c>
      <c r="Y286" s="220"/>
      <c r="Z286" s="220"/>
      <c r="AA286" s="221"/>
      <c r="AB286" s="207"/>
      <c r="AU286" s="632"/>
      <c r="AV286" s="647"/>
      <c r="AW286" s="350"/>
      <c r="AX286" s="599"/>
      <c r="AY286" s="749"/>
      <c r="AZ286" s="350"/>
      <c r="BA286" s="383"/>
      <c r="BB286" s="383"/>
      <c r="BC286" s="350"/>
      <c r="BD286" s="557"/>
      <c r="BE286" s="468"/>
      <c r="BF286" s="376"/>
      <c r="BG286" s="376"/>
      <c r="BH286" s="350"/>
      <c r="BI286" s="350"/>
      <c r="BJ286" s="350"/>
      <c r="BK286" s="350"/>
      <c r="BL286" s="350"/>
      <c r="BM286" s="350"/>
      <c r="BN286" s="632"/>
      <c r="BO286" s="350"/>
      <c r="BP286" s="350"/>
      <c r="BQ286" s="350"/>
      <c r="BR286" s="350"/>
      <c r="BS286" s="350"/>
      <c r="BT286" s="350"/>
      <c r="BU286" s="350"/>
      <c r="BV286" s="350"/>
      <c r="BW286" s="350"/>
      <c r="BX286" s="350"/>
      <c r="BY286" s="698"/>
      <c r="BZ286" s="698"/>
    </row>
    <row r="287" spans="4:78" ht="17.25" thickBot="1" x14ac:dyDescent="0.35">
      <c r="D287" s="226"/>
      <c r="E287" s="254" t="s">
        <v>495</v>
      </c>
      <c r="F287" s="386">
        <f>'2. PRODUCTOS'!$BJ$212</f>
        <v>0</v>
      </c>
      <c r="G287" s="220"/>
      <c r="H287" s="256" t="s">
        <v>68</v>
      </c>
      <c r="I287" s="257" t="s">
        <v>69</v>
      </c>
      <c r="J287" s="258" t="s">
        <v>70</v>
      </c>
      <c r="K287" s="259" t="s">
        <v>71</v>
      </c>
      <c r="L287" s="220"/>
      <c r="M287" s="220"/>
      <c r="N287" s="220"/>
      <c r="O287" s="221"/>
      <c r="P287" s="206"/>
      <c r="Q287" s="254" t="s">
        <v>495</v>
      </c>
      <c r="R287" s="260">
        <f>'2. PRODUCTOS'!$J$212</f>
        <v>3</v>
      </c>
      <c r="S287" s="386">
        <f>'2. PRODUCTOS'!$BJ$212</f>
        <v>0</v>
      </c>
      <c r="T287" s="220"/>
      <c r="U287" s="262" t="s">
        <v>68</v>
      </c>
      <c r="V287" s="263" t="s">
        <v>69</v>
      </c>
      <c r="W287" s="264" t="s">
        <v>70</v>
      </c>
      <c r="X287" s="265" t="s">
        <v>71</v>
      </c>
      <c r="Y287" s="220"/>
      <c r="Z287" s="220"/>
      <c r="AA287" s="221"/>
      <c r="AB287" s="207"/>
      <c r="AU287" s="632"/>
      <c r="AV287" s="647"/>
      <c r="AW287" s="350"/>
      <c r="AX287" s="599"/>
      <c r="AY287" s="368"/>
      <c r="AZ287" s="368"/>
      <c r="BA287" s="368"/>
      <c r="BB287" s="368"/>
      <c r="BC287" s="350"/>
      <c r="BD287" s="350"/>
      <c r="BE287" s="350"/>
      <c r="BF287" s="376"/>
      <c r="BG287" s="376"/>
      <c r="BH287" s="350"/>
      <c r="BI287" s="350"/>
      <c r="BJ287" s="350"/>
      <c r="BK287" s="350"/>
      <c r="BL287" s="350"/>
      <c r="BM287" s="350"/>
      <c r="BN287" s="632"/>
      <c r="BO287" s="350"/>
      <c r="BP287" s="350"/>
      <c r="BQ287" s="350"/>
      <c r="BR287" s="350"/>
      <c r="BS287" s="350"/>
      <c r="BT287" s="350"/>
      <c r="BU287" s="350"/>
      <c r="BV287" s="350"/>
      <c r="BW287" s="350"/>
      <c r="BX287" s="350"/>
      <c r="BY287" s="698"/>
      <c r="BZ287" s="698"/>
    </row>
    <row r="288" spans="4:78" ht="17.25" customHeight="1" thickBot="1" x14ac:dyDescent="0.35">
      <c r="D288" s="226"/>
      <c r="E288" s="284" t="s">
        <v>67</v>
      </c>
      <c r="F288" s="463">
        <f>'2. PRODUCTOS'!$E$212</f>
        <v>3</v>
      </c>
      <c r="G288" s="220"/>
      <c r="H288" s="286" t="e">
        <f>IF($F295&gt;=H285,IF($F295&lt;=H286,$F295,NA()),NA())</f>
        <v>#N/A</v>
      </c>
      <c r="I288" s="286" t="e">
        <f>IF($F295&gt;=I285,IF($F295&lt;=I286,$F295,NA()),NA())</f>
        <v>#N/A</v>
      </c>
      <c r="J288" s="286">
        <f>IF($F295&gt;=J285,IF($F295&lt;=J286,$F295,NA()),NA())</f>
        <v>1</v>
      </c>
      <c r="K288" s="286" t="e">
        <f>IF($F295&gt;=K285,IF($F295&lt;=K286,$F295,NA()),NA())</f>
        <v>#N/A</v>
      </c>
      <c r="L288" s="220"/>
      <c r="M288" s="220"/>
      <c r="N288" s="220"/>
      <c r="O288" s="221"/>
      <c r="P288" s="206"/>
      <c r="Q288" s="596" t="s">
        <v>67</v>
      </c>
      <c r="R288" s="463">
        <f>'2. PRODUCTOS'!$E$212</f>
        <v>3</v>
      </c>
      <c r="S288" s="581">
        <f>'2. PRODUCTOS'!$BT$212</f>
        <v>3</v>
      </c>
      <c r="T288" s="615" t="s">
        <v>46</v>
      </c>
      <c r="U288" s="289">
        <f t="shared" ref="U288:X291" si="31">IF($S291&gt;=U$285,IF($S291&lt;=U$286,$S291,NA()),NA())</f>
        <v>0</v>
      </c>
      <c r="V288" s="290" t="e">
        <f t="shared" si="31"/>
        <v>#N/A</v>
      </c>
      <c r="W288" s="290" t="e">
        <f t="shared" si="31"/>
        <v>#N/A</v>
      </c>
      <c r="X288" s="291" t="e">
        <f t="shared" si="31"/>
        <v>#N/A</v>
      </c>
      <c r="Y288" s="220"/>
      <c r="Z288" s="220"/>
      <c r="AA288" s="221"/>
      <c r="AB288" s="207"/>
      <c r="AU288" s="632"/>
      <c r="AV288" s="647"/>
      <c r="AW288" s="350"/>
      <c r="AX288" s="599"/>
      <c r="AY288" s="749"/>
      <c r="AZ288" s="393"/>
      <c r="BA288" s="393"/>
      <c r="BB288" s="393"/>
      <c r="BC288" s="382"/>
      <c r="BD288" s="382"/>
      <c r="BE288" s="382"/>
      <c r="BF288" s="376"/>
      <c r="BG288" s="376"/>
      <c r="BH288" s="350"/>
      <c r="BI288" s="350"/>
      <c r="BJ288" s="350"/>
      <c r="BK288" s="350"/>
      <c r="BL288" s="350"/>
      <c r="BM288" s="350"/>
      <c r="BN288" s="632"/>
      <c r="BO288" s="350"/>
      <c r="BP288" s="350"/>
      <c r="BQ288" s="350"/>
      <c r="BR288" s="350"/>
      <c r="BS288" s="350"/>
      <c r="BT288" s="350"/>
      <c r="BU288" s="350"/>
      <c r="BV288" s="350"/>
      <c r="BW288" s="350"/>
      <c r="BX288" s="350"/>
      <c r="BY288" s="698"/>
      <c r="BZ288" s="698"/>
    </row>
    <row r="289" spans="4:78" x14ac:dyDescent="0.3">
      <c r="D289" s="226"/>
      <c r="E289" s="311"/>
      <c r="F289" s="227"/>
      <c r="G289" s="220"/>
      <c r="H289" s="312"/>
      <c r="I289" s="312"/>
      <c r="J289" s="312"/>
      <c r="K289" s="220"/>
      <c r="L289" s="220"/>
      <c r="M289" s="220"/>
      <c r="N289" s="220"/>
      <c r="O289" s="221"/>
      <c r="P289" s="206"/>
      <c r="Q289" s="226"/>
      <c r="R289" s="311"/>
      <c r="S289" s="227"/>
      <c r="T289" s="620" t="s">
        <v>52</v>
      </c>
      <c r="U289" s="314">
        <f t="shared" si="31"/>
        <v>0</v>
      </c>
      <c r="V289" s="315" t="e">
        <f t="shared" si="31"/>
        <v>#N/A</v>
      </c>
      <c r="W289" s="315" t="e">
        <f t="shared" si="31"/>
        <v>#N/A</v>
      </c>
      <c r="X289" s="316" t="e">
        <f t="shared" si="31"/>
        <v>#N/A</v>
      </c>
      <c r="Y289" s="220"/>
      <c r="Z289" s="220"/>
      <c r="AA289" s="221"/>
      <c r="AB289" s="207"/>
      <c r="AU289" s="632"/>
      <c r="AV289" s="350"/>
      <c r="AW289" s="350"/>
      <c r="AX289" s="350"/>
      <c r="AY289" s="749"/>
      <c r="AZ289" s="350"/>
      <c r="BA289" s="384"/>
      <c r="BB289" s="384"/>
      <c r="BC289" s="350"/>
      <c r="BD289" s="557"/>
      <c r="BE289" s="468"/>
      <c r="BF289" s="350"/>
      <c r="BG289" s="350"/>
      <c r="BH289" s="350"/>
      <c r="BI289" s="350"/>
      <c r="BJ289" s="350"/>
      <c r="BK289" s="350"/>
      <c r="BL289" s="350"/>
      <c r="BM289" s="350"/>
      <c r="BN289" s="632"/>
      <c r="BO289" s="350"/>
      <c r="BP289" s="350"/>
      <c r="BQ289" s="350"/>
      <c r="BR289" s="350"/>
      <c r="BS289" s="350"/>
      <c r="BT289" s="350"/>
      <c r="BU289" s="350"/>
      <c r="BV289" s="350"/>
      <c r="BW289" s="350"/>
      <c r="BX289" s="350"/>
      <c r="BY289" s="698"/>
      <c r="BZ289" s="698"/>
    </row>
    <row r="290" spans="4:78" ht="17.25" customHeight="1" thickBot="1" x14ac:dyDescent="0.35">
      <c r="D290" s="219"/>
      <c r="E290" s="311"/>
      <c r="F290" s="227"/>
      <c r="G290" s="220"/>
      <c r="H290" s="312"/>
      <c r="I290" s="312"/>
      <c r="J290" s="312"/>
      <c r="K290" s="220"/>
      <c r="L290" s="220"/>
      <c r="M290" s="220"/>
      <c r="N290" s="220"/>
      <c r="O290" s="221"/>
      <c r="P290" s="206"/>
      <c r="Q290" s="219"/>
      <c r="R290" s="311"/>
      <c r="S290" s="227"/>
      <c r="T290" s="620" t="s">
        <v>53</v>
      </c>
      <c r="U290" s="314" t="e">
        <f t="shared" si="31"/>
        <v>#N/A</v>
      </c>
      <c r="V290" s="315" t="e">
        <f t="shared" si="31"/>
        <v>#N/A</v>
      </c>
      <c r="W290" s="315">
        <f t="shared" si="31"/>
        <v>1</v>
      </c>
      <c r="X290" s="316" t="e">
        <f t="shared" si="31"/>
        <v>#N/A</v>
      </c>
      <c r="Y290" s="220"/>
      <c r="Z290" s="220"/>
      <c r="AA290" s="221"/>
      <c r="AB290" s="207"/>
      <c r="AU290" s="632"/>
      <c r="AV290" s="350"/>
      <c r="AW290" s="350"/>
      <c r="AX290" s="350"/>
      <c r="AY290" s="749"/>
      <c r="AZ290" s="350"/>
      <c r="BA290" s="384"/>
      <c r="BB290" s="592"/>
      <c r="BC290" s="382"/>
      <c r="BD290" s="557"/>
      <c r="BE290" s="468"/>
      <c r="BF290" s="350"/>
      <c r="BG290" s="350"/>
      <c r="BH290" s="350"/>
      <c r="BI290" s="350"/>
      <c r="BJ290" s="350"/>
      <c r="BK290" s="350"/>
      <c r="BL290" s="350"/>
      <c r="BM290" s="350"/>
      <c r="BN290" s="632"/>
      <c r="BO290" s="350"/>
      <c r="BP290" s="350"/>
      <c r="BQ290" s="350"/>
      <c r="BR290" s="350"/>
      <c r="BS290" s="350"/>
      <c r="BT290" s="350"/>
      <c r="BU290" s="350"/>
      <c r="BV290" s="350"/>
      <c r="BW290" s="350"/>
      <c r="BX290" s="350"/>
      <c r="BY290" s="698"/>
      <c r="BZ290" s="698"/>
    </row>
    <row r="291" spans="4:78" ht="17.25" customHeight="1" thickBot="1" x14ac:dyDescent="0.35">
      <c r="D291" s="730"/>
      <c r="E291" s="230" t="s">
        <v>46</v>
      </c>
      <c r="F291" s="328">
        <f>IFERROR(F284/$F$288,0)</f>
        <v>0</v>
      </c>
      <c r="G291" s="220"/>
      <c r="H291" s="312"/>
      <c r="I291" s="312"/>
      <c r="J291" s="312"/>
      <c r="K291" s="220"/>
      <c r="L291" s="587"/>
      <c r="M291" s="587"/>
      <c r="N291" s="587"/>
      <c r="O291" s="588"/>
      <c r="P291" s="206"/>
      <c r="Q291" s="223"/>
      <c r="R291" s="230" t="s">
        <v>46</v>
      </c>
      <c r="S291" s="328">
        <f>IFERROR(S284/R284,0)</f>
        <v>0</v>
      </c>
      <c r="T291" s="630" t="s">
        <v>495</v>
      </c>
      <c r="U291" s="329">
        <f t="shared" si="31"/>
        <v>0</v>
      </c>
      <c r="V291" s="330" t="e">
        <f t="shared" si="31"/>
        <v>#N/A</v>
      </c>
      <c r="W291" s="330" t="e">
        <f t="shared" si="31"/>
        <v>#N/A</v>
      </c>
      <c r="X291" s="331" t="e">
        <f t="shared" si="31"/>
        <v>#N/A</v>
      </c>
      <c r="Y291" s="220"/>
      <c r="Z291" s="220"/>
      <c r="AA291" s="221"/>
      <c r="AB291" s="207"/>
      <c r="AU291" s="632"/>
      <c r="AV291" s="647"/>
      <c r="AW291" s="382"/>
      <c r="AX291" s="382"/>
      <c r="AY291" s="749"/>
      <c r="AZ291" s="350"/>
      <c r="BA291" s="384"/>
      <c r="BB291" s="715"/>
      <c r="BC291" s="648"/>
      <c r="BD291" s="557"/>
      <c r="BE291" s="468"/>
      <c r="BF291" s="382"/>
      <c r="BG291" s="382"/>
      <c r="BH291" s="350"/>
      <c r="BI291" s="350"/>
      <c r="BJ291" s="350"/>
      <c r="BK291" s="350"/>
      <c r="BL291" s="350"/>
      <c r="BM291" s="350"/>
      <c r="BN291" s="632"/>
      <c r="BO291" s="350"/>
      <c r="BP291" s="350"/>
      <c r="BQ291" s="350"/>
      <c r="BR291" s="350"/>
      <c r="BS291" s="350"/>
      <c r="BT291" s="350"/>
      <c r="BU291" s="350"/>
      <c r="BV291" s="350"/>
      <c r="BW291" s="350"/>
      <c r="BX291" s="350"/>
      <c r="BY291" s="698"/>
      <c r="BZ291" s="698"/>
    </row>
    <row r="292" spans="4:78" ht="17.25" customHeight="1" x14ac:dyDescent="0.3">
      <c r="D292" s="219"/>
      <c r="E292" s="234" t="s">
        <v>52</v>
      </c>
      <c r="F292" s="340">
        <f>IFERROR(F285/$F$288,0)</f>
        <v>0</v>
      </c>
      <c r="G292" s="220"/>
      <c r="H292" s="312"/>
      <c r="I292" s="312"/>
      <c r="J292" s="312"/>
      <c r="K292" s="220"/>
      <c r="L292" s="220"/>
      <c r="M292" s="220"/>
      <c r="N292" s="220"/>
      <c r="O292" s="221"/>
      <c r="P292" s="206"/>
      <c r="Q292" s="219"/>
      <c r="R292" s="234" t="s">
        <v>52</v>
      </c>
      <c r="S292" s="340">
        <f>IFERROR(S285/R285,0)</f>
        <v>0</v>
      </c>
      <c r="T292" s="220" t="s">
        <v>149</v>
      </c>
      <c r="U292" s="312"/>
      <c r="V292" s="312"/>
      <c r="W292" s="312"/>
      <c r="X292" s="220"/>
      <c r="Y292" s="220"/>
      <c r="Z292" s="220"/>
      <c r="AA292" s="221"/>
      <c r="AB292" s="207"/>
      <c r="AU292" s="632"/>
      <c r="AV292" s="350"/>
      <c r="AW292" s="350"/>
      <c r="AX292" s="350"/>
      <c r="AY292" s="749"/>
      <c r="AZ292" s="350"/>
      <c r="BA292" s="383"/>
      <c r="BB292" s="383"/>
      <c r="BC292" s="350"/>
      <c r="BD292" s="557"/>
      <c r="BE292" s="468"/>
      <c r="BF292" s="350"/>
      <c r="BG292" s="350"/>
      <c r="BH292" s="350"/>
      <c r="BI292" s="350"/>
      <c r="BJ292" s="350"/>
      <c r="BK292" s="350"/>
      <c r="BL292" s="350"/>
      <c r="BM292" s="350"/>
      <c r="BN292" s="632"/>
      <c r="BO292" s="350"/>
      <c r="BP292" s="350"/>
      <c r="BQ292" s="350"/>
      <c r="BR292" s="350"/>
      <c r="BS292" s="350"/>
      <c r="BT292" s="350"/>
      <c r="BU292" s="350"/>
      <c r="BV292" s="350"/>
      <c r="BW292" s="350"/>
      <c r="BX292" s="350"/>
      <c r="BY292" s="698"/>
      <c r="BZ292" s="698"/>
    </row>
    <row r="293" spans="4:78" ht="17.25" customHeight="1" x14ac:dyDescent="0.3">
      <c r="D293" s="226"/>
      <c r="E293" s="234" t="s">
        <v>53</v>
      </c>
      <c r="F293" s="340">
        <f>IFERROR(F286/$F$288,0)</f>
        <v>1</v>
      </c>
      <c r="G293" s="220"/>
      <c r="H293" s="312"/>
      <c r="I293" s="312"/>
      <c r="J293" s="312"/>
      <c r="K293" s="220"/>
      <c r="L293" s="220"/>
      <c r="M293" s="220"/>
      <c r="N293" s="220"/>
      <c r="O293" s="221"/>
      <c r="P293" s="206"/>
      <c r="Q293" s="226"/>
      <c r="R293" s="234" t="s">
        <v>53</v>
      </c>
      <c r="S293" s="340">
        <f>IFERROR(S286/R286,0)</f>
        <v>1</v>
      </c>
      <c r="T293" s="220"/>
      <c r="U293" s="312"/>
      <c r="V293" s="312"/>
      <c r="W293" s="312"/>
      <c r="X293" s="220"/>
      <c r="Y293" s="220"/>
      <c r="Z293" s="220"/>
      <c r="AA293" s="221"/>
      <c r="AB293" s="207"/>
      <c r="AU293" s="632"/>
      <c r="AV293" s="350"/>
      <c r="AW293" s="350"/>
      <c r="AX293" s="350"/>
      <c r="AY293" s="749"/>
      <c r="AZ293" s="350"/>
      <c r="BA293" s="383"/>
      <c r="BB293" s="383"/>
      <c r="BC293" s="350"/>
      <c r="BD293" s="557"/>
      <c r="BE293" s="468"/>
      <c r="BF293" s="350"/>
      <c r="BG293" s="350"/>
      <c r="BH293" s="350"/>
      <c r="BI293" s="350"/>
      <c r="BJ293" s="350"/>
      <c r="BK293" s="350"/>
      <c r="BL293" s="350"/>
      <c r="BM293" s="350"/>
      <c r="BN293" s="632"/>
      <c r="BO293" s="350"/>
      <c r="BP293" s="350"/>
      <c r="BQ293" s="350"/>
      <c r="BR293" s="350"/>
      <c r="BS293" s="350"/>
      <c r="BT293" s="350"/>
      <c r="BU293" s="350"/>
      <c r="BV293" s="350"/>
      <c r="BW293" s="350"/>
      <c r="BX293" s="350"/>
      <c r="BY293" s="698"/>
      <c r="BZ293" s="698"/>
    </row>
    <row r="294" spans="4:78" ht="17.25" customHeight="1" thickBot="1" x14ac:dyDescent="0.35">
      <c r="D294" s="226"/>
      <c r="E294" s="254" t="s">
        <v>495</v>
      </c>
      <c r="F294" s="349">
        <f>IFERROR(F287/$F$288,0)</f>
        <v>0</v>
      </c>
      <c r="G294" s="220"/>
      <c r="H294" s="312"/>
      <c r="I294" s="312"/>
      <c r="J294" s="312"/>
      <c r="K294" s="220"/>
      <c r="L294" s="220"/>
      <c r="M294" s="220"/>
      <c r="N294" s="220"/>
      <c r="O294" s="221"/>
      <c r="P294" s="206"/>
      <c r="Q294" s="226"/>
      <c r="R294" s="254" t="s">
        <v>495</v>
      </c>
      <c r="S294" s="349">
        <f>IFERROR(S287/R287,0)</f>
        <v>0</v>
      </c>
      <c r="T294" s="220"/>
      <c r="U294" s="312"/>
      <c r="V294" s="312"/>
      <c r="W294" s="312"/>
      <c r="X294" s="220"/>
      <c r="Y294" s="224"/>
      <c r="Z294" s="224"/>
      <c r="AA294" s="225"/>
      <c r="AB294" s="207"/>
      <c r="AU294" s="632"/>
      <c r="AV294" s="350"/>
      <c r="AW294" s="350"/>
      <c r="AX294" s="350"/>
      <c r="AY294" s="350"/>
      <c r="AZ294" s="350"/>
      <c r="BA294" s="350"/>
      <c r="BB294" s="350"/>
      <c r="BC294" s="350"/>
      <c r="BD294" s="350"/>
      <c r="BE294" s="350"/>
      <c r="BF294" s="350"/>
      <c r="BG294" s="350"/>
      <c r="BH294" s="350"/>
      <c r="BI294" s="350"/>
      <c r="BJ294" s="350"/>
      <c r="BK294" s="350"/>
      <c r="BL294" s="350"/>
      <c r="BM294" s="350"/>
      <c r="BN294" s="632"/>
      <c r="BO294" s="350"/>
      <c r="BP294" s="350"/>
      <c r="BQ294" s="350"/>
      <c r="BR294" s="350"/>
      <c r="BS294" s="350"/>
      <c r="BT294" s="350"/>
      <c r="BU294" s="350"/>
      <c r="BV294" s="350"/>
      <c r="BW294" s="350"/>
      <c r="BX294" s="350"/>
      <c r="BY294" s="698"/>
      <c r="BZ294" s="698"/>
    </row>
    <row r="295" spans="4:78" ht="17.25" customHeight="1" thickBot="1" x14ac:dyDescent="0.35">
      <c r="D295" s="219"/>
      <c r="E295" s="284" t="s">
        <v>67</v>
      </c>
      <c r="F295" s="357">
        <f>IFERROR(SUM(F291:F293),0)</f>
        <v>1</v>
      </c>
      <c r="G295" s="220"/>
      <c r="H295" s="220"/>
      <c r="I295" s="220"/>
      <c r="J295" s="220"/>
      <c r="K295" s="220"/>
      <c r="L295" s="220"/>
      <c r="M295" s="220"/>
      <c r="N295" s="220"/>
      <c r="O295" s="221"/>
      <c r="P295" s="206"/>
      <c r="Q295" s="219"/>
      <c r="R295" s="596" t="s">
        <v>67</v>
      </c>
      <c r="S295" s="357">
        <f>IFERROR(S288/R288,0)</f>
        <v>1</v>
      </c>
      <c r="T295" s="220"/>
      <c r="U295" s="220"/>
      <c r="V295" s="220"/>
      <c r="W295" s="220"/>
      <c r="X295" s="220"/>
      <c r="Y295" s="220"/>
      <c r="Z295" s="220"/>
      <c r="AA295" s="221"/>
      <c r="AB295" s="207"/>
      <c r="AU295" s="632"/>
      <c r="AV295" s="350"/>
      <c r="AW295" s="350"/>
      <c r="AX295" s="350"/>
      <c r="AY295" s="350"/>
      <c r="AZ295" s="350"/>
      <c r="BA295" s="350"/>
      <c r="BB295" s="350"/>
      <c r="BC295" s="350"/>
      <c r="BD295" s="350"/>
      <c r="BE295" s="350"/>
      <c r="BF295" s="350"/>
      <c r="BG295" s="350"/>
      <c r="BH295" s="350"/>
      <c r="BI295" s="350"/>
      <c r="BJ295" s="350"/>
      <c r="BK295" s="350"/>
      <c r="BL295" s="350"/>
      <c r="BM295" s="350"/>
      <c r="BN295" s="632"/>
      <c r="BO295" s="350"/>
      <c r="BP295" s="350"/>
      <c r="BQ295" s="350"/>
      <c r="BR295" s="350"/>
      <c r="BS295" s="350"/>
      <c r="BT295" s="350"/>
      <c r="BU295" s="350"/>
      <c r="BV295" s="350"/>
      <c r="BW295" s="350"/>
      <c r="BX295" s="350"/>
      <c r="BY295" s="698"/>
      <c r="BZ295" s="698"/>
    </row>
    <row r="296" spans="4:78" x14ac:dyDescent="0.3">
      <c r="D296" s="219"/>
      <c r="E296" s="220"/>
      <c r="F296" s="220"/>
      <c r="G296" s="220"/>
      <c r="H296" s="220"/>
      <c r="I296" s="220"/>
      <c r="J296" s="220"/>
      <c r="K296" s="220"/>
      <c r="L296" s="220"/>
      <c r="M296" s="220"/>
      <c r="N296" s="220"/>
      <c r="O296" s="221"/>
      <c r="P296" s="206"/>
      <c r="Q296" s="219"/>
      <c r="R296" s="227"/>
      <c r="S296" s="220"/>
      <c r="T296" s="220"/>
      <c r="U296" s="220"/>
      <c r="V296" s="220"/>
      <c r="W296" s="220"/>
      <c r="X296" s="220"/>
      <c r="Y296" s="220"/>
      <c r="Z296" s="220"/>
      <c r="AA296" s="221"/>
      <c r="AB296" s="207"/>
      <c r="AU296" s="632"/>
      <c r="BN296" s="632"/>
      <c r="BO296" s="350"/>
      <c r="BP296" s="350"/>
      <c r="BQ296" s="350"/>
      <c r="BR296" s="350"/>
      <c r="BS296" s="350"/>
      <c r="BT296" s="350"/>
      <c r="BU296" s="350"/>
      <c r="BV296" s="350"/>
      <c r="BW296" s="350"/>
      <c r="BX296" s="350"/>
      <c r="BY296" s="698"/>
      <c r="BZ296" s="698"/>
    </row>
    <row r="297" spans="4:78" x14ac:dyDescent="0.3">
      <c r="D297" s="219"/>
      <c r="E297" s="220"/>
      <c r="F297" s="220"/>
      <c r="G297" s="220"/>
      <c r="H297" s="220"/>
      <c r="I297" s="220"/>
      <c r="J297" s="220"/>
      <c r="K297" s="220"/>
      <c r="L297" s="220"/>
      <c r="M297" s="220"/>
      <c r="N297" s="220"/>
      <c r="O297" s="221"/>
      <c r="P297" s="206"/>
      <c r="Q297" s="219"/>
      <c r="R297" s="227"/>
      <c r="S297" s="220"/>
      <c r="T297" s="220"/>
      <c r="U297" s="220"/>
      <c r="V297" s="220"/>
      <c r="W297" s="220"/>
      <c r="X297" s="220"/>
      <c r="Y297" s="220"/>
      <c r="Z297" s="220"/>
      <c r="AA297" s="221"/>
      <c r="AB297" s="207"/>
      <c r="AU297" s="632"/>
      <c r="BN297" s="632"/>
      <c r="BO297" s="350"/>
      <c r="BP297" s="350"/>
      <c r="BQ297" s="350"/>
      <c r="BR297" s="350"/>
      <c r="BS297" s="350"/>
      <c r="BT297" s="350"/>
      <c r="BU297" s="350"/>
      <c r="BV297" s="350"/>
      <c r="BW297" s="350"/>
      <c r="BX297" s="350"/>
      <c r="BY297" s="698"/>
      <c r="BZ297" s="698"/>
    </row>
    <row r="298" spans="4:78" ht="17.25" thickBot="1" x14ac:dyDescent="0.35">
      <c r="D298" s="446"/>
      <c r="E298" s="449"/>
      <c r="F298" s="449"/>
      <c r="G298" s="449"/>
      <c r="H298" s="449"/>
      <c r="I298" s="449"/>
      <c r="J298" s="449"/>
      <c r="K298" s="449"/>
      <c r="L298" s="449"/>
      <c r="M298" s="449"/>
      <c r="N298" s="449"/>
      <c r="O298" s="450"/>
      <c r="P298" s="206"/>
      <c r="Q298" s="219"/>
      <c r="R298" s="227"/>
      <c r="S298" s="220"/>
      <c r="T298" s="220"/>
      <c r="U298" s="220"/>
      <c r="V298" s="220"/>
      <c r="W298" s="220"/>
      <c r="X298" s="220"/>
      <c r="Y298" s="220"/>
      <c r="Z298" s="220"/>
      <c r="AA298" s="221"/>
      <c r="AB298" s="207"/>
      <c r="AU298" s="632"/>
      <c r="BN298" s="632"/>
      <c r="BO298" s="350"/>
      <c r="BP298" s="350"/>
      <c r="BQ298" s="350"/>
      <c r="BR298" s="350"/>
      <c r="BS298" s="350"/>
      <c r="BT298" s="350"/>
      <c r="BU298" s="350"/>
      <c r="BV298" s="350"/>
      <c r="BW298" s="350"/>
      <c r="BX298" s="350"/>
      <c r="BY298" s="698"/>
      <c r="BZ298" s="698"/>
    </row>
    <row r="299" spans="4:78" ht="21" thickBot="1" x14ac:dyDescent="0.35">
      <c r="D299" s="863" t="s">
        <v>498</v>
      </c>
      <c r="E299" s="864"/>
      <c r="F299" s="864"/>
      <c r="G299" s="864"/>
      <c r="H299" s="864"/>
      <c r="I299" s="864"/>
      <c r="J299" s="864"/>
      <c r="K299" s="864"/>
      <c r="L299" s="864"/>
      <c r="M299" s="864"/>
      <c r="N299" s="864"/>
      <c r="O299" s="865"/>
      <c r="P299" s="206"/>
      <c r="Q299" s="851" t="s">
        <v>498</v>
      </c>
      <c r="R299" s="852"/>
      <c r="S299" s="852"/>
      <c r="T299" s="852"/>
      <c r="U299" s="852"/>
      <c r="V299" s="852"/>
      <c r="W299" s="852"/>
      <c r="X299" s="852"/>
      <c r="Y299" s="852"/>
      <c r="Z299" s="852"/>
      <c r="AA299" s="853"/>
      <c r="AB299" s="207"/>
      <c r="AU299" s="632"/>
      <c r="BN299" s="632"/>
      <c r="BO299" s="350"/>
      <c r="BP299" s="350"/>
      <c r="BQ299" s="350"/>
      <c r="BR299" s="350"/>
      <c r="BS299" s="350"/>
      <c r="BT299" s="350"/>
      <c r="BU299" s="350"/>
      <c r="BV299" s="350"/>
      <c r="BW299" s="350"/>
      <c r="BX299" s="350"/>
      <c r="BY299" s="698"/>
      <c r="BZ299" s="698"/>
    </row>
    <row r="300" spans="4:78" x14ac:dyDescent="0.3">
      <c r="D300" s="219"/>
      <c r="E300" s="220"/>
      <c r="F300" s="220"/>
      <c r="G300" s="220"/>
      <c r="H300" s="220"/>
      <c r="I300" s="220"/>
      <c r="J300" s="220"/>
      <c r="K300" s="220"/>
      <c r="L300" s="220"/>
      <c r="M300" s="220"/>
      <c r="N300" s="220"/>
      <c r="O300" s="221"/>
      <c r="P300" s="206"/>
      <c r="Q300" s="219"/>
      <c r="R300" s="227"/>
      <c r="S300" s="220"/>
      <c r="T300" s="220"/>
      <c r="U300" s="220"/>
      <c r="V300" s="220"/>
      <c r="W300" s="220"/>
      <c r="X300" s="220"/>
      <c r="Y300" s="220"/>
      <c r="Z300" s="220"/>
      <c r="AA300" s="221"/>
      <c r="AB300" s="207"/>
      <c r="AU300" s="632"/>
      <c r="BN300" s="632"/>
      <c r="BO300" s="350"/>
      <c r="BP300" s="350"/>
      <c r="BQ300" s="350"/>
      <c r="BR300" s="350"/>
      <c r="BS300" s="350"/>
      <c r="BT300" s="350"/>
      <c r="BU300" s="350"/>
      <c r="BV300" s="350"/>
      <c r="BW300" s="350"/>
      <c r="BX300" s="350"/>
      <c r="BY300" s="698"/>
      <c r="BZ300" s="698"/>
    </row>
    <row r="301" spans="4:78" ht="17.25" customHeight="1" thickBot="1" x14ac:dyDescent="0.35">
      <c r="D301" s="219"/>
      <c r="E301" s="220"/>
      <c r="F301" s="220"/>
      <c r="G301" s="220"/>
      <c r="H301" s="220"/>
      <c r="I301" s="220"/>
      <c r="J301" s="220"/>
      <c r="K301" s="220"/>
      <c r="L301" s="220"/>
      <c r="M301" s="220"/>
      <c r="N301" s="220"/>
      <c r="O301" s="221"/>
      <c r="P301" s="206"/>
      <c r="Q301" s="219"/>
      <c r="R301" s="220"/>
      <c r="S301" s="220"/>
      <c r="T301" s="220"/>
      <c r="U301" s="220"/>
      <c r="V301" s="220"/>
      <c r="W301" s="220"/>
      <c r="X301" s="220"/>
      <c r="Y301" s="220"/>
      <c r="Z301" s="220"/>
      <c r="AA301" s="221"/>
      <c r="AB301" s="207"/>
      <c r="AU301" s="632"/>
      <c r="BN301" s="632"/>
      <c r="BO301" s="350"/>
      <c r="BP301" s="350"/>
      <c r="BQ301" s="350"/>
      <c r="BR301" s="350"/>
      <c r="BS301" s="350"/>
      <c r="BT301" s="350"/>
      <c r="BU301" s="350"/>
      <c r="BV301" s="350"/>
      <c r="BW301" s="350"/>
      <c r="BX301" s="350"/>
      <c r="BY301" s="698"/>
      <c r="BZ301" s="698"/>
    </row>
    <row r="302" spans="4:78" ht="17.25" thickBot="1" x14ac:dyDescent="0.35">
      <c r="D302" s="226"/>
      <c r="E302" s="227"/>
      <c r="F302" s="220"/>
      <c r="G302" s="224"/>
      <c r="H302" s="224"/>
      <c r="I302" s="224"/>
      <c r="J302" s="224"/>
      <c r="K302" s="220"/>
      <c r="L302" s="220"/>
      <c r="M302" s="220"/>
      <c r="N302" s="220"/>
      <c r="O302" s="221"/>
      <c r="P302" s="206"/>
      <c r="Q302" s="223"/>
      <c r="R302" s="228" t="s">
        <v>44</v>
      </c>
      <c r="S302" s="220"/>
      <c r="T302" s="224"/>
      <c r="U302" s="224"/>
      <c r="V302" s="224"/>
      <c r="W302" s="224"/>
      <c r="X302" s="220"/>
      <c r="Y302" s="220"/>
      <c r="Z302" s="220"/>
      <c r="AA302" s="221"/>
      <c r="AB302" s="207"/>
      <c r="AU302" s="632"/>
      <c r="BN302" s="632"/>
      <c r="BO302" s="350"/>
      <c r="BP302" s="350"/>
      <c r="BQ302" s="350"/>
      <c r="BR302" s="350"/>
      <c r="BS302" s="350"/>
      <c r="BT302" s="350"/>
      <c r="BU302" s="350"/>
      <c r="BV302" s="350"/>
      <c r="BW302" s="350"/>
      <c r="BX302" s="350"/>
      <c r="BY302" s="698"/>
      <c r="BZ302" s="698"/>
    </row>
    <row r="303" spans="4:78" ht="17.25" thickBot="1" x14ac:dyDescent="0.35">
      <c r="D303" s="226"/>
      <c r="E303" s="615" t="s">
        <v>46</v>
      </c>
      <c r="F303" s="233">
        <f>'2. PRODUCTOS'!$W$224</f>
        <v>0</v>
      </c>
      <c r="G303" s="220"/>
      <c r="H303" s="842" t="s">
        <v>47</v>
      </c>
      <c r="I303" s="843"/>
      <c r="J303" s="843"/>
      <c r="K303" s="844"/>
      <c r="L303" s="220"/>
      <c r="M303" s="220"/>
      <c r="N303" s="220"/>
      <c r="O303" s="221"/>
      <c r="P303" s="206"/>
      <c r="Q303" s="615" t="s">
        <v>46</v>
      </c>
      <c r="R303" s="233">
        <f>'2. PRODUCTOS'!$G$224</f>
        <v>0</v>
      </c>
      <c r="S303" s="233">
        <f>'2. PRODUCTOS'!$W$224</f>
        <v>0</v>
      </c>
      <c r="T303" s="220"/>
      <c r="U303" s="842" t="s">
        <v>47</v>
      </c>
      <c r="V303" s="843"/>
      <c r="W303" s="843"/>
      <c r="X303" s="844"/>
      <c r="Y303" s="220"/>
      <c r="Z303" s="220"/>
      <c r="AA303" s="221"/>
      <c r="AB303" s="207"/>
      <c r="AU303" s="632"/>
      <c r="BN303" s="632"/>
      <c r="BO303" s="350"/>
      <c r="BP303" s="350"/>
      <c r="BQ303" s="350"/>
      <c r="BR303" s="350"/>
      <c r="BS303" s="350"/>
      <c r="BT303" s="350"/>
      <c r="BU303" s="350"/>
      <c r="BV303" s="350"/>
      <c r="BW303" s="350"/>
      <c r="BX303" s="350"/>
      <c r="BY303" s="698"/>
      <c r="BZ303" s="698"/>
    </row>
    <row r="304" spans="4:78" x14ac:dyDescent="0.3">
      <c r="D304" s="226"/>
      <c r="E304" s="620" t="s">
        <v>52</v>
      </c>
      <c r="F304" s="237">
        <f>'2. PRODUCTOS'!$AJ$224</f>
        <v>0</v>
      </c>
      <c r="G304" s="220"/>
      <c r="H304" s="236">
        <v>0</v>
      </c>
      <c r="I304" s="236">
        <v>0.5</v>
      </c>
      <c r="J304" s="236">
        <v>0.75</v>
      </c>
      <c r="K304" s="236">
        <v>1.0009999999999999</v>
      </c>
      <c r="L304" s="220"/>
      <c r="M304" s="220"/>
      <c r="N304" s="220"/>
      <c r="O304" s="221"/>
      <c r="P304" s="206"/>
      <c r="Q304" s="620" t="s">
        <v>52</v>
      </c>
      <c r="R304" s="237">
        <f>'2. PRODUCTOS'!$H$224</f>
        <v>0</v>
      </c>
      <c r="S304" s="237">
        <f>'2. PRODUCTOS'!$AJ$224</f>
        <v>0</v>
      </c>
      <c r="T304" s="220"/>
      <c r="U304" s="236">
        <v>0</v>
      </c>
      <c r="V304" s="236">
        <v>0.5</v>
      </c>
      <c r="W304" s="236">
        <v>0.75</v>
      </c>
      <c r="X304" s="236">
        <v>1.0009999999999999</v>
      </c>
      <c r="Y304" s="220"/>
      <c r="Z304" s="220"/>
      <c r="AA304" s="221"/>
      <c r="AB304" s="207"/>
      <c r="AU304" s="632"/>
      <c r="BN304" s="632"/>
      <c r="BO304" s="350"/>
      <c r="BP304" s="350"/>
      <c r="BQ304" s="350"/>
      <c r="BR304" s="350"/>
      <c r="BS304" s="350"/>
      <c r="BT304" s="350"/>
      <c r="BU304" s="350"/>
      <c r="BV304" s="350"/>
      <c r="BW304" s="350"/>
      <c r="BX304" s="350"/>
    </row>
    <row r="305" spans="4:76" x14ac:dyDescent="0.3">
      <c r="D305" s="226"/>
      <c r="E305" s="620" t="s">
        <v>53</v>
      </c>
      <c r="F305" s="237">
        <f>'2. PRODUCTOS'!$AW$224</f>
        <v>34</v>
      </c>
      <c r="G305" s="220"/>
      <c r="H305" s="238">
        <v>0.499</v>
      </c>
      <c r="I305" s="238">
        <v>0.749</v>
      </c>
      <c r="J305" s="238">
        <v>1</v>
      </c>
      <c r="K305" s="238">
        <v>4</v>
      </c>
      <c r="L305" s="220"/>
      <c r="M305" s="220"/>
      <c r="N305" s="220"/>
      <c r="O305" s="221"/>
      <c r="P305" s="206"/>
      <c r="Q305" s="620" t="s">
        <v>53</v>
      </c>
      <c r="R305" s="237">
        <f>'2. PRODUCTOS'!$I$224</f>
        <v>15</v>
      </c>
      <c r="S305" s="237">
        <f>'2. PRODUCTOS'!$AW$224</f>
        <v>34</v>
      </c>
      <c r="T305" s="220"/>
      <c r="U305" s="238">
        <v>0.499</v>
      </c>
      <c r="V305" s="238">
        <v>0.749</v>
      </c>
      <c r="W305" s="238">
        <v>1</v>
      </c>
      <c r="X305" s="238">
        <v>4</v>
      </c>
      <c r="Y305" s="220"/>
      <c r="Z305" s="220"/>
      <c r="AA305" s="221"/>
      <c r="AB305" s="207"/>
      <c r="AU305" s="632"/>
      <c r="BN305" s="632"/>
      <c r="BO305" s="350"/>
      <c r="BP305" s="350"/>
      <c r="BQ305" s="350"/>
      <c r="BR305" s="350"/>
      <c r="BS305" s="350"/>
      <c r="BT305" s="350"/>
      <c r="BU305" s="350"/>
      <c r="BV305" s="350"/>
      <c r="BW305" s="350"/>
      <c r="BX305" s="350"/>
    </row>
    <row r="306" spans="4:76" ht="17.25" thickBot="1" x14ac:dyDescent="0.35">
      <c r="D306" s="226"/>
      <c r="E306" s="630" t="s">
        <v>495</v>
      </c>
      <c r="F306" s="386">
        <f>'2. PRODUCTOS'!$BJ$224</f>
        <v>0</v>
      </c>
      <c r="G306" s="220"/>
      <c r="H306" s="256" t="s">
        <v>68</v>
      </c>
      <c r="I306" s="257" t="s">
        <v>69</v>
      </c>
      <c r="J306" s="258" t="s">
        <v>70</v>
      </c>
      <c r="K306" s="259" t="s">
        <v>71</v>
      </c>
      <c r="L306" s="220"/>
      <c r="M306" s="220"/>
      <c r="N306" s="220"/>
      <c r="O306" s="221"/>
      <c r="P306" s="206"/>
      <c r="Q306" s="630" t="s">
        <v>495</v>
      </c>
      <c r="R306" s="260">
        <f>'2. PRODUCTOS'!$J$224</f>
        <v>15</v>
      </c>
      <c r="S306" s="386">
        <f>'2. PRODUCTOS'!$BJ$224</f>
        <v>0</v>
      </c>
      <c r="T306" s="220"/>
      <c r="U306" s="262" t="s">
        <v>68</v>
      </c>
      <c r="V306" s="263" t="s">
        <v>69</v>
      </c>
      <c r="W306" s="264" t="s">
        <v>70</v>
      </c>
      <c r="X306" s="265" t="s">
        <v>71</v>
      </c>
      <c r="Y306" s="220"/>
      <c r="Z306" s="220"/>
      <c r="AA306" s="221"/>
      <c r="AB306" s="207"/>
      <c r="AU306" s="632"/>
      <c r="BN306" s="632"/>
      <c r="BO306" s="350"/>
      <c r="BP306" s="350"/>
      <c r="BQ306" s="350"/>
      <c r="BR306" s="350"/>
      <c r="BS306" s="350"/>
      <c r="BT306" s="350"/>
      <c r="BU306" s="350"/>
      <c r="BV306" s="350"/>
      <c r="BW306" s="350"/>
      <c r="BX306" s="350"/>
    </row>
    <row r="307" spans="4:76" ht="17.25" thickBot="1" x14ac:dyDescent="0.35">
      <c r="D307" s="226"/>
      <c r="E307" s="284" t="s">
        <v>67</v>
      </c>
      <c r="F307" s="463">
        <f>'2. PRODUCTOS'!$E$224</f>
        <v>15</v>
      </c>
      <c r="G307" s="220"/>
      <c r="H307" s="286" t="e">
        <f>IF($F314&gt;=H304,IF($F314&lt;=H305,$F314,NA()),NA())</f>
        <v>#N/A</v>
      </c>
      <c r="I307" s="286" t="e">
        <f>IF($F314&gt;=I304,IF($F314&lt;=I305,$F314,NA()),NA())</f>
        <v>#N/A</v>
      </c>
      <c r="J307" s="286" t="e">
        <f>IF($F314&gt;=J304,IF($F314&lt;=J305,$F314,NA()),NA())</f>
        <v>#N/A</v>
      </c>
      <c r="K307" s="286">
        <f>IF($F314&gt;=K304,IF($F314&lt;=K305,$F314,NA()),NA())</f>
        <v>2.2666666666666666</v>
      </c>
      <c r="L307" s="220"/>
      <c r="M307" s="220"/>
      <c r="N307" s="220"/>
      <c r="O307" s="221"/>
      <c r="P307" s="206"/>
      <c r="Q307" s="596" t="s">
        <v>67</v>
      </c>
      <c r="R307" s="463">
        <f>'2. PRODUCTOS'!$E$224</f>
        <v>15</v>
      </c>
      <c r="S307" s="581">
        <f>'2. PRODUCTOS'!$BT$224</f>
        <v>34</v>
      </c>
      <c r="T307" s="615" t="s">
        <v>46</v>
      </c>
      <c r="U307" s="337">
        <f t="shared" ref="U307:X310" si="32">IF($S310&gt;=U$304,IF($S310&lt;=U$305,$S310,NA()),NA())</f>
        <v>0</v>
      </c>
      <c r="V307" s="457" t="e">
        <f t="shared" si="32"/>
        <v>#N/A</v>
      </c>
      <c r="W307" s="457" t="e">
        <f t="shared" si="32"/>
        <v>#N/A</v>
      </c>
      <c r="X307" s="458" t="e">
        <f t="shared" si="32"/>
        <v>#N/A</v>
      </c>
      <c r="Y307" s="220"/>
      <c r="Z307" s="220"/>
      <c r="AA307" s="221"/>
      <c r="AB307" s="207"/>
      <c r="AU307" s="632"/>
      <c r="BN307" s="632"/>
      <c r="BO307" s="350"/>
      <c r="BP307" s="350"/>
      <c r="BQ307" s="350"/>
      <c r="BR307" s="350"/>
      <c r="BS307" s="350"/>
      <c r="BT307" s="350"/>
      <c r="BU307" s="350"/>
      <c r="BV307" s="350"/>
      <c r="BW307" s="350"/>
      <c r="BX307" s="350"/>
    </row>
    <row r="308" spans="4:76" x14ac:dyDescent="0.3">
      <c r="D308" s="226"/>
      <c r="E308" s="311"/>
      <c r="F308" s="227"/>
      <c r="G308" s="220"/>
      <c r="H308" s="312"/>
      <c r="I308" s="312"/>
      <c r="J308" s="312"/>
      <c r="K308" s="220"/>
      <c r="L308" s="220"/>
      <c r="M308" s="220"/>
      <c r="N308" s="220"/>
      <c r="O308" s="221"/>
      <c r="P308" s="206"/>
      <c r="Q308" s="226"/>
      <c r="R308" s="311"/>
      <c r="S308" s="227"/>
      <c r="T308" s="620" t="s">
        <v>52</v>
      </c>
      <c r="U308" s="578">
        <f t="shared" si="32"/>
        <v>0</v>
      </c>
      <c r="V308" s="579" t="e">
        <f t="shared" si="32"/>
        <v>#N/A</v>
      </c>
      <c r="W308" s="579" t="e">
        <f t="shared" si="32"/>
        <v>#N/A</v>
      </c>
      <c r="X308" s="580" t="e">
        <f t="shared" si="32"/>
        <v>#N/A</v>
      </c>
      <c r="Y308" s="220"/>
      <c r="Z308" s="220"/>
      <c r="AA308" s="221"/>
      <c r="AB308" s="207"/>
      <c r="AU308" s="632"/>
      <c r="BN308" s="632"/>
      <c r="BO308" s="350"/>
      <c r="BP308" s="350"/>
      <c r="BQ308" s="350"/>
      <c r="BR308" s="350"/>
      <c r="BS308" s="350"/>
      <c r="BT308" s="350"/>
      <c r="BU308" s="350"/>
      <c r="BV308" s="350"/>
      <c r="BW308" s="350"/>
      <c r="BX308" s="350"/>
    </row>
    <row r="309" spans="4:76" ht="17.25" thickBot="1" x14ac:dyDescent="0.35">
      <c r="D309" s="226"/>
      <c r="E309" s="311"/>
      <c r="F309" s="227"/>
      <c r="G309" s="220"/>
      <c r="H309" s="312"/>
      <c r="I309" s="312"/>
      <c r="J309" s="312"/>
      <c r="K309" s="220"/>
      <c r="L309" s="220"/>
      <c r="M309" s="220"/>
      <c r="N309" s="220"/>
      <c r="O309" s="221"/>
      <c r="P309" s="206"/>
      <c r="Q309" s="226"/>
      <c r="R309" s="311"/>
      <c r="S309" s="227"/>
      <c r="T309" s="620" t="s">
        <v>53</v>
      </c>
      <c r="U309" s="578" t="e">
        <f t="shared" si="32"/>
        <v>#N/A</v>
      </c>
      <c r="V309" s="579" t="e">
        <f t="shared" si="32"/>
        <v>#N/A</v>
      </c>
      <c r="W309" s="579" t="e">
        <f t="shared" si="32"/>
        <v>#N/A</v>
      </c>
      <c r="X309" s="580">
        <f t="shared" si="32"/>
        <v>2.2666666666666666</v>
      </c>
      <c r="Y309" s="220"/>
      <c r="Z309" s="220"/>
      <c r="AA309" s="221"/>
      <c r="AB309" s="207"/>
      <c r="AU309" s="632"/>
      <c r="AV309" s="641"/>
      <c r="AW309" s="641"/>
      <c r="AX309" s="641"/>
      <c r="AY309" s="641"/>
      <c r="AZ309" s="641"/>
      <c r="BA309" s="641"/>
      <c r="BB309" s="641"/>
      <c r="BC309" s="641"/>
      <c r="BD309" s="641"/>
      <c r="BE309" s="641"/>
      <c r="BF309" s="641"/>
      <c r="BG309" s="641"/>
      <c r="BH309" s="641"/>
      <c r="BI309" s="641"/>
      <c r="BJ309" s="641"/>
      <c r="BK309" s="641"/>
      <c r="BL309" s="641"/>
      <c r="BM309" s="641"/>
      <c r="BN309" s="632"/>
      <c r="BO309" s="350"/>
      <c r="BP309" s="350"/>
      <c r="BQ309" s="350"/>
      <c r="BR309" s="350"/>
      <c r="BS309" s="350"/>
      <c r="BT309" s="350"/>
      <c r="BU309" s="350"/>
      <c r="BV309" s="350"/>
      <c r="BW309" s="350"/>
      <c r="BX309" s="350"/>
    </row>
    <row r="310" spans="4:76" ht="17.25" thickBot="1" x14ac:dyDescent="0.35">
      <c r="D310" s="226"/>
      <c r="E310" s="615" t="s">
        <v>46</v>
      </c>
      <c r="F310" s="328">
        <f>IFERROR(F303/$F$307,0)</f>
        <v>0</v>
      </c>
      <c r="G310" s="220"/>
      <c r="H310" s="312"/>
      <c r="I310" s="312"/>
      <c r="J310" s="312"/>
      <c r="K310" s="220"/>
      <c r="L310" s="220"/>
      <c r="M310" s="220"/>
      <c r="N310" s="220"/>
      <c r="O310" s="221"/>
      <c r="P310" s="206"/>
      <c r="Q310" s="226"/>
      <c r="R310" s="615" t="s">
        <v>46</v>
      </c>
      <c r="S310" s="328">
        <f>IFERROR(S303/R303,0)</f>
        <v>0</v>
      </c>
      <c r="T310" s="724" t="s">
        <v>495</v>
      </c>
      <c r="U310" s="460">
        <f t="shared" si="32"/>
        <v>0</v>
      </c>
      <c r="V310" s="461" t="e">
        <f t="shared" si="32"/>
        <v>#N/A</v>
      </c>
      <c r="W310" s="461" t="e">
        <f t="shared" si="32"/>
        <v>#N/A</v>
      </c>
      <c r="X310" s="462" t="e">
        <f t="shared" si="32"/>
        <v>#N/A</v>
      </c>
      <c r="Y310" s="220"/>
      <c r="Z310" s="220"/>
      <c r="AA310" s="221"/>
      <c r="AB310" s="207"/>
      <c r="AU310" s="632"/>
      <c r="AV310" s="647"/>
      <c r="AW310" s="383"/>
      <c r="AX310" s="599"/>
      <c r="AY310" s="350"/>
      <c r="AZ310" s="350"/>
      <c r="BA310" s="350"/>
      <c r="BB310" s="350"/>
      <c r="BC310" s="350"/>
      <c r="BD310" s="350"/>
      <c r="BE310" s="350"/>
      <c r="BF310" s="376"/>
      <c r="BG310" s="376"/>
      <c r="BH310" s="350"/>
      <c r="BI310" s="350"/>
      <c r="BJ310" s="350"/>
      <c r="BK310" s="350"/>
      <c r="BL310" s="350"/>
      <c r="BM310" s="350"/>
      <c r="BN310" s="632"/>
      <c r="BO310" s="350"/>
      <c r="BP310" s="350"/>
      <c r="BQ310" s="350"/>
      <c r="BR310" s="350"/>
      <c r="BS310" s="350"/>
      <c r="BT310" s="350"/>
      <c r="BU310" s="350"/>
      <c r="BV310" s="350"/>
      <c r="BW310" s="350"/>
      <c r="BX310" s="350"/>
    </row>
    <row r="311" spans="4:76" x14ac:dyDescent="0.3">
      <c r="D311" s="226"/>
      <c r="E311" s="620" t="s">
        <v>52</v>
      </c>
      <c r="F311" s="340">
        <f>IFERROR(F304/$F$307,0)</f>
        <v>0</v>
      </c>
      <c r="G311" s="220"/>
      <c r="H311" s="312"/>
      <c r="I311" s="312"/>
      <c r="J311" s="312"/>
      <c r="K311" s="220"/>
      <c r="L311" s="220"/>
      <c r="M311" s="220"/>
      <c r="N311" s="220"/>
      <c r="O311" s="221"/>
      <c r="P311" s="206"/>
      <c r="Q311" s="226"/>
      <c r="R311" s="620" t="s">
        <v>52</v>
      </c>
      <c r="S311" s="340">
        <f>IFERROR(S304/R304,0)</f>
        <v>0</v>
      </c>
      <c r="T311" s="220"/>
      <c r="U311" s="312"/>
      <c r="V311" s="312"/>
      <c r="W311" s="312"/>
      <c r="X311" s="220"/>
      <c r="Y311" s="220"/>
      <c r="Z311" s="220"/>
      <c r="AA311" s="221"/>
      <c r="AB311" s="207"/>
      <c r="AU311" s="632"/>
      <c r="AV311" s="350"/>
      <c r="AW311" s="350"/>
      <c r="AX311" s="350"/>
      <c r="AY311" s="368"/>
      <c r="AZ311" s="368"/>
      <c r="BA311" s="368"/>
      <c r="BB311" s="368"/>
      <c r="BC311" s="350"/>
      <c r="BD311" s="350"/>
      <c r="BE311" s="350"/>
      <c r="BF311" s="350"/>
      <c r="BG311" s="350"/>
      <c r="BH311" s="350"/>
      <c r="BI311" s="350"/>
      <c r="BJ311" s="350"/>
      <c r="BK311" s="350"/>
      <c r="BL311" s="350"/>
      <c r="BM311" s="350"/>
      <c r="BN311" s="632"/>
      <c r="BO311" s="350"/>
      <c r="BP311" s="350"/>
      <c r="BQ311" s="350"/>
      <c r="BR311" s="350"/>
      <c r="BS311" s="350"/>
      <c r="BT311" s="350"/>
      <c r="BU311" s="350"/>
      <c r="BV311" s="350"/>
      <c r="BW311" s="350"/>
      <c r="BX311" s="350"/>
    </row>
    <row r="312" spans="4:76" x14ac:dyDescent="0.3">
      <c r="D312" s="226"/>
      <c r="E312" s="620" t="s">
        <v>53</v>
      </c>
      <c r="F312" s="340">
        <f>IFERROR(F305/$F$307,0)</f>
        <v>2.2666666666666666</v>
      </c>
      <c r="G312" s="220"/>
      <c r="H312" s="312"/>
      <c r="I312" s="312"/>
      <c r="J312" s="312"/>
      <c r="K312" s="220"/>
      <c r="L312" s="220"/>
      <c r="M312" s="220"/>
      <c r="N312" s="220"/>
      <c r="O312" s="221"/>
      <c r="P312" s="206"/>
      <c r="Q312" s="226"/>
      <c r="R312" s="620" t="s">
        <v>53</v>
      </c>
      <c r="S312" s="340">
        <f>IFERROR(S305/R305,0)</f>
        <v>2.2666666666666666</v>
      </c>
      <c r="T312" s="220"/>
      <c r="U312" s="312"/>
      <c r="V312" s="312"/>
      <c r="W312" s="312"/>
      <c r="X312" s="220"/>
      <c r="Y312" s="220"/>
      <c r="Z312" s="220"/>
      <c r="AA312" s="221"/>
      <c r="AB312" s="207"/>
      <c r="AU312" s="632"/>
      <c r="AV312" s="555"/>
      <c r="AW312" s="393"/>
      <c r="AX312" s="393"/>
      <c r="AY312" s="750"/>
      <c r="AZ312" s="393"/>
      <c r="BA312" s="393"/>
      <c r="BB312" s="393"/>
      <c r="BC312" s="382"/>
      <c r="BD312" s="382"/>
      <c r="BE312" s="382"/>
      <c r="BF312" s="382"/>
      <c r="BG312" s="382"/>
      <c r="BH312" s="382"/>
      <c r="BI312" s="382"/>
      <c r="BJ312" s="382"/>
      <c r="BK312" s="382"/>
      <c r="BL312" s="382"/>
      <c r="BM312" s="382"/>
      <c r="BN312" s="632"/>
      <c r="BO312" s="350"/>
      <c r="BP312" s="350"/>
      <c r="BQ312" s="350"/>
      <c r="BR312" s="350"/>
      <c r="BS312" s="350"/>
      <c r="BT312" s="350"/>
      <c r="BU312" s="350"/>
      <c r="BV312" s="350"/>
      <c r="BW312" s="350"/>
      <c r="BX312" s="350"/>
    </row>
    <row r="313" spans="4:76" ht="17.25" thickBot="1" x14ac:dyDescent="0.35">
      <c r="D313" s="226"/>
      <c r="E313" s="630" t="s">
        <v>495</v>
      </c>
      <c r="F313" s="349">
        <f>IFERROR(F306/$F$307,0)</f>
        <v>0</v>
      </c>
      <c r="G313" s="220"/>
      <c r="H313" s="312"/>
      <c r="I313" s="312"/>
      <c r="J313" s="312"/>
      <c r="K313" s="220"/>
      <c r="L313" s="220"/>
      <c r="M313" s="220"/>
      <c r="N313" s="220"/>
      <c r="O313" s="221"/>
      <c r="P313" s="206"/>
      <c r="Q313" s="226"/>
      <c r="R313" s="630" t="s">
        <v>495</v>
      </c>
      <c r="S313" s="349">
        <f>IFERROR(S306/R306,0)</f>
        <v>0</v>
      </c>
      <c r="T313" s="220"/>
      <c r="U313" s="312"/>
      <c r="V313" s="312"/>
      <c r="W313" s="312"/>
      <c r="X313" s="220"/>
      <c r="Y313" s="220"/>
      <c r="Z313" s="220"/>
      <c r="AA313" s="221"/>
      <c r="AB313" s="207"/>
      <c r="AU313" s="632"/>
      <c r="AV313" s="555"/>
      <c r="AW313" s="350"/>
      <c r="AX313" s="383"/>
      <c r="AY313" s="750"/>
      <c r="AZ313" s="350"/>
      <c r="BA313" s="383"/>
      <c r="BB313" s="384"/>
      <c r="BC313" s="350"/>
      <c r="BD313" s="557"/>
      <c r="BE313" s="468"/>
      <c r="BF313" s="350"/>
      <c r="BG313" s="350"/>
      <c r="BH313" s="350"/>
      <c r="BI313" s="350"/>
      <c r="BJ313" s="350"/>
      <c r="BK313" s="350"/>
      <c r="BL313" s="350"/>
      <c r="BM313" s="350"/>
      <c r="BN313" s="632"/>
      <c r="BO313" s="350"/>
      <c r="BP313" s="350"/>
      <c r="BQ313" s="350"/>
      <c r="BR313" s="350"/>
      <c r="BS313" s="350"/>
      <c r="BT313" s="350"/>
      <c r="BU313" s="350"/>
      <c r="BV313" s="350"/>
      <c r="BW313" s="350"/>
      <c r="BX313" s="350"/>
    </row>
    <row r="314" spans="4:76" ht="17.25" thickBot="1" x14ac:dyDescent="0.35">
      <c r="D314" s="219"/>
      <c r="E314" s="284" t="s">
        <v>67</v>
      </c>
      <c r="F314" s="357">
        <f>IFERROR(SUM(F310:F312),0)</f>
        <v>2.2666666666666666</v>
      </c>
      <c r="G314" s="220"/>
      <c r="H314" s="220"/>
      <c r="I314" s="220"/>
      <c r="J314" s="220"/>
      <c r="K314" s="220"/>
      <c r="L314" s="220"/>
      <c r="M314" s="220"/>
      <c r="N314" s="220"/>
      <c r="O314" s="221"/>
      <c r="P314" s="206"/>
      <c r="Q314" s="219"/>
      <c r="R314" s="596" t="s">
        <v>67</v>
      </c>
      <c r="S314" s="357">
        <f>IFERROR(S307/R307,0)</f>
        <v>2.2666666666666666</v>
      </c>
      <c r="T314" s="220"/>
      <c r="U314" s="220"/>
      <c r="V314" s="220"/>
      <c r="W314" s="220"/>
      <c r="X314" s="220"/>
      <c r="Y314" s="220"/>
      <c r="Z314" s="220"/>
      <c r="AA314" s="221"/>
      <c r="AB314" s="207"/>
      <c r="AU314" s="632"/>
      <c r="AV314" s="555"/>
      <c r="AW314" s="350"/>
      <c r="AX314" s="599"/>
      <c r="AY314" s="750"/>
      <c r="AZ314" s="350"/>
      <c r="BA314" s="599"/>
      <c r="BB314" s="414"/>
      <c r="BC314" s="382"/>
      <c r="BD314" s="557"/>
      <c r="BE314" s="468"/>
      <c r="BF314" s="382"/>
      <c r="BG314" s="382"/>
      <c r="BH314" s="350"/>
      <c r="BI314" s="350"/>
      <c r="BJ314" s="350"/>
      <c r="BK314" s="350"/>
      <c r="BL314" s="350"/>
      <c r="BM314" s="350"/>
      <c r="BN314" s="632"/>
      <c r="BO314" s="350"/>
      <c r="BP314" s="350"/>
      <c r="BQ314" s="350"/>
      <c r="BR314" s="350"/>
      <c r="BS314" s="350"/>
      <c r="BT314" s="350"/>
      <c r="BU314" s="350"/>
      <c r="BV314" s="350"/>
      <c r="BW314" s="350"/>
      <c r="BX314" s="350"/>
    </row>
    <row r="315" spans="4:76" x14ac:dyDescent="0.3">
      <c r="D315" s="219"/>
      <c r="E315" s="220"/>
      <c r="F315" s="220"/>
      <c r="G315" s="220"/>
      <c r="H315" s="220"/>
      <c r="I315" s="220"/>
      <c r="J315" s="220"/>
      <c r="K315" s="220"/>
      <c r="L315" s="220"/>
      <c r="M315" s="220"/>
      <c r="N315" s="220"/>
      <c r="O315" s="221"/>
      <c r="P315" s="206"/>
      <c r="Q315" s="219"/>
      <c r="R315" s="227"/>
      <c r="S315" s="220"/>
      <c r="T315" s="220"/>
      <c r="U315" s="220"/>
      <c r="V315" s="220"/>
      <c r="W315" s="220"/>
      <c r="X315" s="220"/>
      <c r="Y315" s="220"/>
      <c r="Z315" s="220"/>
      <c r="AA315" s="221"/>
      <c r="AB315" s="207"/>
      <c r="AU315" s="632"/>
      <c r="AV315" s="647"/>
      <c r="AW315" s="350"/>
      <c r="AX315" s="599"/>
      <c r="AY315" s="750"/>
      <c r="AZ315" s="350"/>
      <c r="BA315" s="599"/>
      <c r="BB315" s="562"/>
      <c r="BC315" s="648"/>
      <c r="BD315" s="557"/>
      <c r="BE315" s="468"/>
      <c r="BF315" s="376"/>
      <c r="BG315" s="376"/>
      <c r="BH315" s="350"/>
      <c r="BI315" s="350"/>
      <c r="BJ315" s="350"/>
      <c r="BK315" s="350"/>
      <c r="BL315" s="350"/>
      <c r="BM315" s="350"/>
      <c r="BN315" s="632"/>
      <c r="BO315" s="350"/>
      <c r="BP315" s="350"/>
      <c r="BQ315" s="350"/>
      <c r="BR315" s="350"/>
      <c r="BS315" s="350"/>
      <c r="BT315" s="350"/>
      <c r="BU315" s="350"/>
      <c r="BV315" s="350"/>
      <c r="BW315" s="350"/>
      <c r="BX315" s="350"/>
    </row>
    <row r="316" spans="4:76" ht="17.25" thickBot="1" x14ac:dyDescent="0.35">
      <c r="D316" s="751"/>
      <c r="E316" s="752"/>
      <c r="F316" s="752"/>
      <c r="G316" s="752"/>
      <c r="H316" s="752"/>
      <c r="I316" s="752"/>
      <c r="J316" s="752"/>
      <c r="K316" s="752"/>
      <c r="L316" s="752"/>
      <c r="M316" s="752"/>
      <c r="N316" s="752"/>
      <c r="O316" s="753"/>
      <c r="P316" s="206"/>
      <c r="Q316" s="751"/>
      <c r="R316" s="752"/>
      <c r="S316" s="752"/>
      <c r="T316" s="752"/>
      <c r="U316" s="752"/>
      <c r="V316" s="752"/>
      <c r="W316" s="752"/>
      <c r="X316" s="752"/>
      <c r="Y316" s="752"/>
      <c r="Z316" s="752"/>
      <c r="AA316" s="753"/>
      <c r="AB316" s="207"/>
      <c r="AU316" s="632"/>
      <c r="AV316" s="350"/>
      <c r="AW316" s="384"/>
      <c r="AX316" s="384"/>
      <c r="AY316" s="750"/>
      <c r="AZ316" s="350"/>
      <c r="BA316" s="599"/>
      <c r="BB316" s="562"/>
      <c r="BC316" s="648"/>
      <c r="BD316" s="557"/>
      <c r="BE316" s="468"/>
      <c r="BF316" s="384"/>
      <c r="BG316" s="350"/>
      <c r="BH316" s="350"/>
      <c r="BI316" s="350"/>
      <c r="BJ316" s="350"/>
      <c r="BK316" s="350"/>
      <c r="BL316" s="350"/>
      <c r="BM316" s="350"/>
      <c r="BN316" s="632"/>
      <c r="BO316" s="350"/>
      <c r="BP316" s="350"/>
      <c r="BQ316" s="350"/>
      <c r="BR316" s="350"/>
      <c r="BS316" s="350"/>
      <c r="BT316" s="350"/>
      <c r="BU316" s="350"/>
      <c r="BV316" s="350"/>
      <c r="BW316" s="350"/>
      <c r="BX316" s="350"/>
    </row>
    <row r="317" spans="4:76" ht="21" thickBot="1" x14ac:dyDescent="0.35">
      <c r="D317" s="863" t="s">
        <v>499</v>
      </c>
      <c r="E317" s="864"/>
      <c r="F317" s="864"/>
      <c r="G317" s="864"/>
      <c r="H317" s="864"/>
      <c r="I317" s="864"/>
      <c r="J317" s="864"/>
      <c r="K317" s="864"/>
      <c r="L317" s="864"/>
      <c r="M317" s="864"/>
      <c r="N317" s="864"/>
      <c r="O317" s="865"/>
      <c r="P317" s="206"/>
      <c r="Q317" s="851" t="s">
        <v>499</v>
      </c>
      <c r="R317" s="852"/>
      <c r="S317" s="852"/>
      <c r="T317" s="852"/>
      <c r="U317" s="852"/>
      <c r="V317" s="852"/>
      <c r="W317" s="852"/>
      <c r="X317" s="852"/>
      <c r="Y317" s="852"/>
      <c r="Z317" s="852"/>
      <c r="AA317" s="853"/>
      <c r="AB317" s="207"/>
      <c r="AU317" s="632"/>
      <c r="AV317" s="350"/>
      <c r="AW317" s="384"/>
      <c r="AX317" s="384"/>
      <c r="AY317" s="749"/>
      <c r="AZ317" s="350"/>
      <c r="BA317" s="599"/>
      <c r="BB317" s="562"/>
      <c r="BC317" s="648"/>
      <c r="BD317" s="557"/>
      <c r="BE317" s="624"/>
      <c r="BF317" s="384"/>
      <c r="BG317" s="350"/>
      <c r="BH317" s="350"/>
      <c r="BI317" s="350"/>
      <c r="BJ317" s="350"/>
      <c r="BK317" s="350"/>
      <c r="BL317" s="350"/>
      <c r="BM317" s="350"/>
      <c r="BN317" s="632"/>
      <c r="BO317" s="350"/>
      <c r="BP317" s="350"/>
      <c r="BQ317" s="350"/>
      <c r="BR317" s="350"/>
      <c r="BS317" s="350"/>
      <c r="BT317" s="350"/>
      <c r="BU317" s="350"/>
      <c r="BV317" s="350"/>
      <c r="BW317" s="350"/>
      <c r="BX317" s="350"/>
    </row>
    <row r="318" spans="4:76" ht="17.25" thickBot="1" x14ac:dyDescent="0.35">
      <c r="D318" s="219"/>
      <c r="E318" s="220"/>
      <c r="F318" s="220"/>
      <c r="G318" s="220"/>
      <c r="H318" s="220"/>
      <c r="I318" s="220"/>
      <c r="J318" s="220"/>
      <c r="K318" s="220"/>
      <c r="L318" s="220"/>
      <c r="M318" s="220"/>
      <c r="N318" s="220"/>
      <c r="O318" s="221"/>
      <c r="P318" s="206"/>
      <c r="Q318" s="219"/>
      <c r="R318" s="227"/>
      <c r="S318" s="220"/>
      <c r="T318" s="220"/>
      <c r="U318" s="220"/>
      <c r="V318" s="220"/>
      <c r="W318" s="220"/>
      <c r="X318" s="220"/>
      <c r="Y318" s="220"/>
      <c r="Z318" s="220"/>
      <c r="AA318" s="221"/>
      <c r="AB318" s="207"/>
      <c r="AU318" s="632"/>
      <c r="AV318" s="350"/>
      <c r="AW318" s="384"/>
      <c r="AX318" s="384"/>
      <c r="AY318" s="368"/>
      <c r="AZ318" s="368"/>
      <c r="BA318" s="368"/>
      <c r="BB318" s="368"/>
      <c r="BC318" s="350"/>
      <c r="BD318" s="350"/>
      <c r="BE318" s="350"/>
      <c r="BF318" s="384"/>
      <c r="BG318" s="350"/>
      <c r="BH318" s="350"/>
      <c r="BI318" s="350"/>
      <c r="BJ318" s="350"/>
      <c r="BK318" s="350"/>
      <c r="BL318" s="350"/>
      <c r="BM318" s="350"/>
      <c r="BN318" s="632"/>
      <c r="BO318" s="350"/>
      <c r="BP318" s="350"/>
      <c r="BQ318" s="350"/>
      <c r="BR318" s="350"/>
      <c r="BS318" s="350"/>
      <c r="BT318" s="350"/>
      <c r="BU318" s="350"/>
      <c r="BV318" s="350"/>
      <c r="BW318" s="350"/>
      <c r="BX318" s="350"/>
    </row>
    <row r="319" spans="4:76" ht="17.25" thickBot="1" x14ac:dyDescent="0.35">
      <c r="D319" s="219"/>
      <c r="E319" s="220"/>
      <c r="F319" s="220"/>
      <c r="G319" s="220"/>
      <c r="H319" s="220"/>
      <c r="I319" s="220"/>
      <c r="J319" s="220"/>
      <c r="K319" s="220"/>
      <c r="L319" s="220"/>
      <c r="M319" s="220"/>
      <c r="N319" s="220"/>
      <c r="O319" s="221"/>
      <c r="P319" s="206"/>
      <c r="Q319" s="223"/>
      <c r="R319" s="228" t="s">
        <v>44</v>
      </c>
      <c r="S319" s="220"/>
      <c r="T319" s="224"/>
      <c r="U319" s="224"/>
      <c r="V319" s="224"/>
      <c r="W319" s="224"/>
      <c r="X319" s="220"/>
      <c r="Y319" s="220"/>
      <c r="Z319" s="220"/>
      <c r="AA319" s="221"/>
      <c r="AB319" s="207"/>
      <c r="AU319" s="632"/>
      <c r="AV319" s="350"/>
      <c r="AW319" s="384"/>
      <c r="AX319" s="384"/>
      <c r="AY319" s="750"/>
      <c r="AZ319" s="393"/>
      <c r="BA319" s="393"/>
      <c r="BB319" s="393"/>
      <c r="BC319" s="382"/>
      <c r="BD319" s="382"/>
      <c r="BE319" s="382"/>
      <c r="BF319" s="384"/>
      <c r="BG319" s="350"/>
      <c r="BH319" s="350"/>
      <c r="BI319" s="350"/>
      <c r="BJ319" s="350"/>
      <c r="BK319" s="350"/>
      <c r="BL319" s="350"/>
      <c r="BM319" s="350"/>
      <c r="BN319" s="632"/>
      <c r="BO319" s="350"/>
      <c r="BP319" s="350"/>
      <c r="BQ319" s="350"/>
      <c r="BR319" s="350"/>
      <c r="BS319" s="350"/>
      <c r="BT319" s="350"/>
      <c r="BU319" s="350"/>
      <c r="BV319" s="350"/>
      <c r="BW319" s="350"/>
      <c r="BX319" s="350"/>
    </row>
    <row r="320" spans="4:76" ht="17.25" thickBot="1" x14ac:dyDescent="0.35">
      <c r="D320" s="226"/>
      <c r="E320" s="230" t="s">
        <v>46</v>
      </c>
      <c r="F320" s="233">
        <f>'2. PRODUCTOS'!$W$236</f>
        <v>0</v>
      </c>
      <c r="G320" s="220"/>
      <c r="H320" s="842" t="s">
        <v>47</v>
      </c>
      <c r="I320" s="843"/>
      <c r="J320" s="843"/>
      <c r="K320" s="844"/>
      <c r="L320" s="220"/>
      <c r="M320" s="220"/>
      <c r="N320" s="220"/>
      <c r="O320" s="221"/>
      <c r="P320" s="206"/>
      <c r="Q320" s="230" t="s">
        <v>46</v>
      </c>
      <c r="R320" s="233">
        <f>'2. PRODUCTOS'!$G$236</f>
        <v>0</v>
      </c>
      <c r="S320" s="233">
        <f>'2. PRODUCTOS'!$W$236</f>
        <v>0</v>
      </c>
      <c r="T320" s="220"/>
      <c r="U320" s="842" t="s">
        <v>47</v>
      </c>
      <c r="V320" s="843"/>
      <c r="W320" s="843"/>
      <c r="X320" s="844"/>
      <c r="Y320" s="220"/>
      <c r="Z320" s="220"/>
      <c r="AA320" s="221"/>
      <c r="AB320" s="207"/>
      <c r="AU320" s="632"/>
      <c r="AV320" s="350"/>
      <c r="AW320" s="384"/>
      <c r="AX320" s="384"/>
      <c r="AY320" s="750"/>
      <c r="AZ320" s="350"/>
      <c r="BA320" s="384"/>
      <c r="BB320" s="384"/>
      <c r="BC320" s="350"/>
      <c r="BD320" s="557"/>
      <c r="BE320" s="468"/>
      <c r="BF320" s="384"/>
      <c r="BG320" s="350"/>
      <c r="BH320" s="350"/>
      <c r="BI320" s="350"/>
      <c r="BJ320" s="350"/>
      <c r="BK320" s="350"/>
      <c r="BL320" s="350"/>
      <c r="BM320" s="350"/>
      <c r="BN320" s="632"/>
      <c r="BO320" s="350"/>
      <c r="BP320" s="350"/>
      <c r="BQ320" s="350"/>
      <c r="BR320" s="350"/>
      <c r="BS320" s="350"/>
      <c r="BT320" s="350"/>
      <c r="BU320" s="350"/>
      <c r="BV320" s="350"/>
      <c r="BW320" s="350"/>
      <c r="BX320" s="350"/>
    </row>
    <row r="321" spans="4:76" x14ac:dyDescent="0.3">
      <c r="D321" s="226"/>
      <c r="E321" s="234" t="s">
        <v>52</v>
      </c>
      <c r="F321" s="237">
        <f>'2. PRODUCTOS'!$AJ$236</f>
        <v>0</v>
      </c>
      <c r="G321" s="220"/>
      <c r="H321" s="236">
        <v>0</v>
      </c>
      <c r="I321" s="236">
        <v>0.5</v>
      </c>
      <c r="J321" s="236">
        <v>0.75</v>
      </c>
      <c r="K321" s="236">
        <v>1.0009999999999999</v>
      </c>
      <c r="L321" s="220"/>
      <c r="M321" s="220"/>
      <c r="N321" s="220"/>
      <c r="O321" s="221"/>
      <c r="P321" s="206"/>
      <c r="Q321" s="234" t="s">
        <v>52</v>
      </c>
      <c r="R321" s="237">
        <f>'2. PRODUCTOS'!$H$236</f>
        <v>0</v>
      </c>
      <c r="S321" s="237">
        <f>'2. PRODUCTOS'!$AJ$236</f>
        <v>0</v>
      </c>
      <c r="T321" s="220"/>
      <c r="U321" s="236">
        <v>0</v>
      </c>
      <c r="V321" s="236">
        <v>0.5</v>
      </c>
      <c r="W321" s="236">
        <v>0.75</v>
      </c>
      <c r="X321" s="236">
        <v>1.0009999999999999</v>
      </c>
      <c r="Y321" s="220"/>
      <c r="Z321" s="220"/>
      <c r="AA321" s="221"/>
      <c r="AB321" s="207"/>
      <c r="AU321" s="632"/>
      <c r="AV321" s="350"/>
      <c r="AW321" s="384"/>
      <c r="AX321" s="384"/>
      <c r="AY321" s="750"/>
      <c r="AZ321" s="350"/>
      <c r="BA321" s="384"/>
      <c r="BB321" s="592"/>
      <c r="BC321" s="382"/>
      <c r="BD321" s="557"/>
      <c r="BE321" s="468"/>
      <c r="BF321" s="384"/>
      <c r="BG321" s="350"/>
      <c r="BH321" s="350"/>
      <c r="BI321" s="350"/>
      <c r="BJ321" s="350"/>
      <c r="BK321" s="350"/>
      <c r="BL321" s="350"/>
      <c r="BM321" s="350"/>
      <c r="BN321" s="632"/>
      <c r="BO321" s="350"/>
      <c r="BP321" s="350"/>
      <c r="BQ321" s="350"/>
      <c r="BR321" s="350"/>
      <c r="BS321" s="350"/>
      <c r="BT321" s="350"/>
      <c r="BU321" s="350"/>
      <c r="BV321" s="350"/>
      <c r="BW321" s="350"/>
      <c r="BX321" s="350"/>
    </row>
    <row r="322" spans="4:76" x14ac:dyDescent="0.3">
      <c r="D322" s="226"/>
      <c r="E322" s="234" t="s">
        <v>53</v>
      </c>
      <c r="F322" s="237">
        <f>'2. PRODUCTOS'!$AW$236</f>
        <v>131</v>
      </c>
      <c r="G322" s="220"/>
      <c r="H322" s="238">
        <v>0.499</v>
      </c>
      <c r="I322" s="238">
        <v>0.749</v>
      </c>
      <c r="J322" s="238">
        <v>1</v>
      </c>
      <c r="K322" s="238">
        <v>4</v>
      </c>
      <c r="L322" s="220"/>
      <c r="M322" s="220"/>
      <c r="N322" s="220"/>
      <c r="O322" s="221"/>
      <c r="P322" s="206"/>
      <c r="Q322" s="234" t="s">
        <v>53</v>
      </c>
      <c r="R322" s="237">
        <f>'2. PRODUCTOS'!$I$236</f>
        <v>75</v>
      </c>
      <c r="S322" s="237">
        <f>'2. PRODUCTOS'!$AW$236</f>
        <v>131</v>
      </c>
      <c r="T322" s="220"/>
      <c r="U322" s="238">
        <v>0.499</v>
      </c>
      <c r="V322" s="238">
        <v>0.749</v>
      </c>
      <c r="W322" s="238">
        <v>1</v>
      </c>
      <c r="X322" s="238">
        <v>4</v>
      </c>
      <c r="Y322" s="220"/>
      <c r="Z322" s="220"/>
      <c r="AA322" s="221"/>
      <c r="AB322" s="207"/>
      <c r="AU322" s="632"/>
      <c r="AV322" s="350"/>
      <c r="AW322" s="384"/>
      <c r="AX322" s="384"/>
      <c r="AY322" s="750"/>
      <c r="AZ322" s="350"/>
      <c r="BA322" s="384"/>
      <c r="BB322" s="715"/>
      <c r="BC322" s="648"/>
      <c r="BD322" s="557"/>
      <c r="BE322" s="468"/>
      <c r="BF322" s="384"/>
      <c r="BG322" s="350"/>
      <c r="BH322" s="350"/>
      <c r="BI322" s="350"/>
      <c r="BJ322" s="350"/>
      <c r="BK322" s="350"/>
      <c r="BL322" s="350"/>
      <c r="BM322" s="350"/>
      <c r="BN322" s="632"/>
      <c r="BO322" s="350"/>
      <c r="BP322" s="350"/>
      <c r="BQ322" s="350"/>
      <c r="BR322" s="350"/>
      <c r="BS322" s="350"/>
      <c r="BT322" s="350"/>
      <c r="BU322" s="350"/>
      <c r="BV322" s="350"/>
      <c r="BW322" s="350"/>
      <c r="BX322" s="350"/>
    </row>
    <row r="323" spans="4:76" ht="17.25" thickBot="1" x14ac:dyDescent="0.35">
      <c r="D323" s="226"/>
      <c r="E323" s="254" t="s">
        <v>495</v>
      </c>
      <c r="F323" s="386">
        <f>'2. PRODUCTOS'!$BJ$236</f>
        <v>62</v>
      </c>
      <c r="G323" s="220"/>
      <c r="H323" s="256" t="s">
        <v>68</v>
      </c>
      <c r="I323" s="257" t="s">
        <v>69</v>
      </c>
      <c r="J323" s="258" t="s">
        <v>70</v>
      </c>
      <c r="K323" s="259" t="s">
        <v>71</v>
      </c>
      <c r="L323" s="220"/>
      <c r="M323" s="220"/>
      <c r="N323" s="220"/>
      <c r="O323" s="221"/>
      <c r="P323" s="206"/>
      <c r="Q323" s="254" t="s">
        <v>495</v>
      </c>
      <c r="R323" s="260">
        <f>'2. PRODUCTOS'!$J$236</f>
        <v>75</v>
      </c>
      <c r="S323" s="386">
        <f>'2. PRODUCTOS'!$BJ$236</f>
        <v>62</v>
      </c>
      <c r="T323" s="220"/>
      <c r="U323" s="262" t="s">
        <v>68</v>
      </c>
      <c r="V323" s="263" t="s">
        <v>69</v>
      </c>
      <c r="W323" s="264" t="s">
        <v>70</v>
      </c>
      <c r="X323" s="265" t="s">
        <v>71</v>
      </c>
      <c r="Y323" s="220"/>
      <c r="Z323" s="220"/>
      <c r="AA323" s="221"/>
      <c r="AB323" s="207"/>
      <c r="AU323" s="632"/>
      <c r="AV323" s="350"/>
      <c r="AW323" s="384"/>
      <c r="AX323" s="384"/>
      <c r="AY323" s="750"/>
      <c r="AZ323" s="350"/>
      <c r="BA323" s="384"/>
      <c r="BB323" s="384"/>
      <c r="BC323" s="350"/>
      <c r="BD323" s="557"/>
      <c r="BE323" s="468"/>
      <c r="BF323" s="384"/>
      <c r="BG323" s="350"/>
      <c r="BH323" s="350"/>
      <c r="BI323" s="350"/>
      <c r="BJ323" s="350"/>
      <c r="BK323" s="350"/>
      <c r="BL323" s="350"/>
      <c r="BM323" s="350"/>
      <c r="BN323" s="632"/>
      <c r="BO323" s="350"/>
      <c r="BP323" s="350"/>
      <c r="BQ323" s="350"/>
      <c r="BR323" s="350"/>
      <c r="BS323" s="350"/>
      <c r="BT323" s="350"/>
      <c r="BU323" s="350"/>
      <c r="BV323" s="350"/>
      <c r="BW323" s="350"/>
      <c r="BX323" s="350"/>
    </row>
    <row r="324" spans="4:76" ht="17.25" thickBot="1" x14ac:dyDescent="0.35">
      <c r="D324" s="226"/>
      <c r="E324" s="284" t="s">
        <v>67</v>
      </c>
      <c r="F324" s="285">
        <f>'2. PRODUCTOS'!$E$236</f>
        <v>75</v>
      </c>
      <c r="G324" s="220"/>
      <c r="H324" s="286" t="e">
        <f>IF($F331&gt;=H321,IF($F331&lt;=H322,$F331,NA()),NA())</f>
        <v>#N/A</v>
      </c>
      <c r="I324" s="286" t="e">
        <f>IF($F331&gt;=I321,IF($F331&lt;=I322,$F331,NA()),NA())</f>
        <v>#N/A</v>
      </c>
      <c r="J324" s="286" t="e">
        <f>IF($F331&gt;=J321,IF($F331&lt;=J322,$F331,NA()),NA())</f>
        <v>#N/A</v>
      </c>
      <c r="K324" s="286">
        <f>IF($F331&gt;=K321,IF($F331&lt;=K322,$F331,NA()),NA())</f>
        <v>1.7466666666666666</v>
      </c>
      <c r="L324" s="220"/>
      <c r="M324" s="220"/>
      <c r="N324" s="220"/>
      <c r="O324" s="221"/>
      <c r="P324" s="206"/>
      <c r="Q324" s="596" t="s">
        <v>67</v>
      </c>
      <c r="R324" s="285">
        <f>'2. PRODUCTOS'!$E$236</f>
        <v>75</v>
      </c>
      <c r="S324" s="581">
        <f>'2. PRODUCTOS'!$BT$236</f>
        <v>193</v>
      </c>
      <c r="T324" s="230" t="s">
        <v>46</v>
      </c>
      <c r="U324" s="337">
        <f t="shared" ref="U324:X327" si="33">IF($S327&gt;=U$321,IF($S327&lt;=U$322,$S327,NA()),NA())</f>
        <v>0</v>
      </c>
      <c r="V324" s="457" t="e">
        <f t="shared" si="33"/>
        <v>#N/A</v>
      </c>
      <c r="W324" s="457" t="e">
        <f t="shared" si="33"/>
        <v>#N/A</v>
      </c>
      <c r="X324" s="458" t="e">
        <f t="shared" si="33"/>
        <v>#N/A</v>
      </c>
      <c r="Y324" s="220"/>
      <c r="Z324" s="220"/>
      <c r="AA324" s="221"/>
      <c r="AB324" s="207"/>
      <c r="AU324" s="632"/>
      <c r="AV324" s="350"/>
      <c r="AW324" s="384"/>
      <c r="AX324" s="384"/>
      <c r="AY324" s="350"/>
      <c r="AZ324" s="350"/>
      <c r="BA324" s="350"/>
      <c r="BB324" s="350"/>
      <c r="BC324" s="350"/>
      <c r="BD324" s="350"/>
      <c r="BE324" s="350"/>
      <c r="BF324" s="384"/>
      <c r="BG324" s="350"/>
      <c r="BH324" s="350"/>
      <c r="BI324" s="350"/>
      <c r="BJ324" s="350"/>
      <c r="BK324" s="350"/>
      <c r="BL324" s="350"/>
      <c r="BM324" s="350"/>
      <c r="BN324" s="632"/>
      <c r="BO324" s="350"/>
      <c r="BP324" s="350"/>
      <c r="BQ324" s="350"/>
      <c r="BR324" s="350"/>
      <c r="BS324" s="350"/>
      <c r="BT324" s="350"/>
      <c r="BU324" s="350"/>
      <c r="BV324" s="350"/>
      <c r="BW324" s="350"/>
      <c r="BX324" s="350"/>
    </row>
    <row r="325" spans="4:76" x14ac:dyDescent="0.3">
      <c r="D325" s="226"/>
      <c r="E325" s="220"/>
      <c r="F325" s="220"/>
      <c r="G325" s="220"/>
      <c r="H325" s="220"/>
      <c r="I325" s="220"/>
      <c r="J325" s="220"/>
      <c r="K325" s="220"/>
      <c r="L325" s="220"/>
      <c r="M325" s="220"/>
      <c r="N325" s="220"/>
      <c r="O325" s="221"/>
      <c r="P325" s="206"/>
      <c r="Q325" s="226"/>
      <c r="R325" s="311"/>
      <c r="S325" s="227"/>
      <c r="T325" s="234" t="s">
        <v>52</v>
      </c>
      <c r="U325" s="578">
        <f t="shared" si="33"/>
        <v>0</v>
      </c>
      <c r="V325" s="579" t="e">
        <f t="shared" si="33"/>
        <v>#N/A</v>
      </c>
      <c r="W325" s="579" t="e">
        <f t="shared" si="33"/>
        <v>#N/A</v>
      </c>
      <c r="X325" s="580" t="e">
        <f t="shared" si="33"/>
        <v>#N/A</v>
      </c>
      <c r="Y325" s="220"/>
      <c r="Z325" s="220"/>
      <c r="AA325" s="221"/>
      <c r="AB325" s="207"/>
      <c r="AU325" s="632"/>
      <c r="AV325" s="350"/>
      <c r="AW325" s="384"/>
      <c r="AX325" s="384"/>
      <c r="AY325" s="368"/>
      <c r="AZ325" s="368"/>
      <c r="BA325" s="368"/>
      <c r="BB325" s="368"/>
      <c r="BC325" s="350"/>
      <c r="BD325" s="350"/>
      <c r="BE325" s="350"/>
      <c r="BF325" s="384"/>
      <c r="BG325" s="350"/>
      <c r="BH325" s="350"/>
      <c r="BI325" s="350"/>
      <c r="BJ325" s="350"/>
      <c r="BK325" s="350"/>
      <c r="BL325" s="350"/>
      <c r="BM325" s="350"/>
      <c r="BN325" s="632"/>
      <c r="BO325" s="350"/>
      <c r="BP325" s="350"/>
      <c r="BQ325" s="350"/>
      <c r="BR325" s="350"/>
      <c r="BS325" s="350"/>
      <c r="BT325" s="350"/>
      <c r="BU325" s="350"/>
      <c r="BV325" s="350"/>
      <c r="BW325" s="350"/>
      <c r="BX325" s="350"/>
    </row>
    <row r="326" spans="4:76" ht="17.25" thickBot="1" x14ac:dyDescent="0.35">
      <c r="D326" s="226"/>
      <c r="E326" s="311"/>
      <c r="F326" s="227"/>
      <c r="G326" s="220"/>
      <c r="H326" s="312"/>
      <c r="I326" s="312"/>
      <c r="J326" s="312"/>
      <c r="K326" s="220"/>
      <c r="L326" s="220"/>
      <c r="M326" s="220"/>
      <c r="N326" s="220"/>
      <c r="O326" s="221"/>
      <c r="P326" s="206"/>
      <c r="Q326" s="226"/>
      <c r="R326" s="311"/>
      <c r="S326" s="227"/>
      <c r="T326" s="234" t="s">
        <v>53</v>
      </c>
      <c r="U326" s="578" t="e">
        <f t="shared" si="33"/>
        <v>#N/A</v>
      </c>
      <c r="V326" s="579" t="e">
        <f t="shared" si="33"/>
        <v>#N/A</v>
      </c>
      <c r="W326" s="579" t="e">
        <f t="shared" si="33"/>
        <v>#N/A</v>
      </c>
      <c r="X326" s="580">
        <f t="shared" si="33"/>
        <v>1.7466666666666666</v>
      </c>
      <c r="Y326" s="220"/>
      <c r="Z326" s="220"/>
      <c r="AA326" s="221"/>
      <c r="AB326" s="207"/>
      <c r="AU326" s="632"/>
      <c r="AV326" s="350"/>
      <c r="AW326" s="384"/>
      <c r="AX326" s="384"/>
      <c r="AY326" s="750"/>
      <c r="AZ326" s="393"/>
      <c r="BA326" s="393"/>
      <c r="BB326" s="393"/>
      <c r="BC326" s="382"/>
      <c r="BD326" s="382"/>
      <c r="BE326" s="382"/>
      <c r="BF326" s="384"/>
      <c r="BG326" s="350"/>
      <c r="BH326" s="350"/>
      <c r="BI326" s="350"/>
      <c r="BJ326" s="350"/>
      <c r="BK326" s="350"/>
      <c r="BL326" s="350"/>
      <c r="BM326" s="350"/>
      <c r="BN326" s="632"/>
      <c r="BO326" s="350"/>
      <c r="BP326" s="350"/>
      <c r="BQ326" s="350"/>
      <c r="BR326" s="350"/>
      <c r="BS326" s="350"/>
      <c r="BT326" s="350"/>
      <c r="BU326" s="350"/>
      <c r="BV326" s="350"/>
      <c r="BW326" s="350"/>
      <c r="BX326" s="350"/>
    </row>
    <row r="327" spans="4:76" ht="17.25" thickBot="1" x14ac:dyDescent="0.35">
      <c r="D327" s="226"/>
      <c r="E327" s="230" t="s">
        <v>46</v>
      </c>
      <c r="F327" s="328">
        <f>IFERROR(F320/$F$324,0)</f>
        <v>0</v>
      </c>
      <c r="G327" s="220"/>
      <c r="H327" s="312"/>
      <c r="I327" s="312"/>
      <c r="J327" s="312"/>
      <c r="K327" s="220"/>
      <c r="L327" s="220"/>
      <c r="M327" s="220"/>
      <c r="N327" s="220"/>
      <c r="O327" s="221"/>
      <c r="P327" s="206"/>
      <c r="Q327" s="226"/>
      <c r="R327" s="230" t="s">
        <v>46</v>
      </c>
      <c r="S327" s="328">
        <f>IFERROR(S320/R320,0)</f>
        <v>0</v>
      </c>
      <c r="T327" s="254" t="s">
        <v>495</v>
      </c>
      <c r="U327" s="460" t="e">
        <f t="shared" si="33"/>
        <v>#N/A</v>
      </c>
      <c r="V327" s="461" t="e">
        <f t="shared" si="33"/>
        <v>#N/A</v>
      </c>
      <c r="W327" s="461">
        <f t="shared" si="33"/>
        <v>0.82666666666666666</v>
      </c>
      <c r="X327" s="462" t="e">
        <f t="shared" si="33"/>
        <v>#N/A</v>
      </c>
      <c r="Y327" s="220"/>
      <c r="Z327" s="220"/>
      <c r="AA327" s="221"/>
      <c r="AB327" s="207"/>
      <c r="AU327" s="632"/>
      <c r="AV327" s="350"/>
      <c r="AW327" s="384"/>
      <c r="AX327" s="384"/>
      <c r="AY327" s="750"/>
      <c r="AZ327" s="350"/>
      <c r="BA327" s="384"/>
      <c r="BB327" s="384"/>
      <c r="BC327" s="350"/>
      <c r="BD327" s="557"/>
      <c r="BE327" s="468"/>
      <c r="BF327" s="384"/>
      <c r="BG327" s="350"/>
      <c r="BH327" s="350"/>
      <c r="BI327" s="350"/>
      <c r="BJ327" s="350"/>
      <c r="BK327" s="350"/>
      <c r="BL327" s="350"/>
      <c r="BM327" s="350"/>
      <c r="BN327" s="632"/>
      <c r="BO327" s="350"/>
      <c r="BP327" s="350"/>
      <c r="BQ327" s="350"/>
      <c r="BR327" s="350"/>
      <c r="BS327" s="350"/>
      <c r="BT327" s="350"/>
      <c r="BU327" s="350"/>
      <c r="BV327" s="350"/>
      <c r="BW327" s="350"/>
      <c r="BX327" s="350"/>
    </row>
    <row r="328" spans="4:76" x14ac:dyDescent="0.3">
      <c r="D328" s="226"/>
      <c r="E328" s="234" t="s">
        <v>52</v>
      </c>
      <c r="F328" s="340">
        <f>IFERROR(F321/$F$324,0)</f>
        <v>0</v>
      </c>
      <c r="G328" s="220"/>
      <c r="H328" s="312"/>
      <c r="I328" s="312"/>
      <c r="J328" s="312"/>
      <c r="K328" s="220"/>
      <c r="L328" s="220"/>
      <c r="M328" s="220"/>
      <c r="N328" s="220"/>
      <c r="O328" s="221"/>
      <c r="P328" s="206"/>
      <c r="Q328" s="226"/>
      <c r="R328" s="234" t="s">
        <v>52</v>
      </c>
      <c r="S328" s="340">
        <f>IFERROR(S321/R321,0)</f>
        <v>0</v>
      </c>
      <c r="T328" s="220"/>
      <c r="U328" s="312"/>
      <c r="V328" s="312"/>
      <c r="W328" s="312"/>
      <c r="X328" s="220"/>
      <c r="Y328" s="220"/>
      <c r="Z328" s="220"/>
      <c r="AA328" s="221"/>
      <c r="AB328" s="207"/>
      <c r="AV328" s="350"/>
      <c r="AW328" s="384"/>
      <c r="AX328" s="384"/>
      <c r="AY328" s="750"/>
      <c r="AZ328" s="350"/>
      <c r="BA328" s="384"/>
      <c r="BB328" s="592"/>
      <c r="BC328" s="382"/>
      <c r="BD328" s="557"/>
      <c r="BE328" s="468"/>
      <c r="BF328" s="384"/>
      <c r="BG328" s="350"/>
      <c r="BH328" s="350"/>
      <c r="BI328" s="350"/>
      <c r="BJ328" s="350"/>
      <c r="BK328" s="350"/>
      <c r="BL328" s="350"/>
      <c r="BM328" s="350"/>
      <c r="BN328" s="698"/>
      <c r="BO328" s="350"/>
      <c r="BP328" s="350"/>
      <c r="BQ328" s="350"/>
      <c r="BR328" s="350"/>
      <c r="BS328" s="350"/>
      <c r="BT328" s="350"/>
      <c r="BU328" s="350"/>
      <c r="BV328" s="350"/>
      <c r="BW328" s="350"/>
      <c r="BX328" s="350"/>
    </row>
    <row r="329" spans="4:76" x14ac:dyDescent="0.3">
      <c r="D329" s="226"/>
      <c r="E329" s="234" t="s">
        <v>53</v>
      </c>
      <c r="F329" s="340">
        <f>IFERROR(F322/$F$324,0)</f>
        <v>1.7466666666666666</v>
      </c>
      <c r="G329" s="220"/>
      <c r="H329" s="312"/>
      <c r="I329" s="312"/>
      <c r="J329" s="312"/>
      <c r="K329" s="220"/>
      <c r="L329" s="220"/>
      <c r="M329" s="220"/>
      <c r="N329" s="220"/>
      <c r="O329" s="221"/>
      <c r="P329" s="206"/>
      <c r="Q329" s="226"/>
      <c r="R329" s="234" t="s">
        <v>53</v>
      </c>
      <c r="S329" s="340">
        <f>IFERROR(S322/R322,0)</f>
        <v>1.7466666666666666</v>
      </c>
      <c r="T329" s="220"/>
      <c r="U329" s="312"/>
      <c r="V329" s="312"/>
      <c r="W329" s="312"/>
      <c r="X329" s="220"/>
      <c r="Y329" s="220"/>
      <c r="Z329" s="220"/>
      <c r="AA329" s="221"/>
      <c r="AB329" s="207"/>
      <c r="AV329" s="350"/>
      <c r="AW329" s="384"/>
      <c r="AX329" s="384"/>
      <c r="AY329" s="750"/>
      <c r="AZ329" s="350"/>
      <c r="BA329" s="384"/>
      <c r="BB329" s="715"/>
      <c r="BC329" s="648"/>
      <c r="BD329" s="557"/>
      <c r="BE329" s="468"/>
      <c r="BF329" s="384"/>
      <c r="BG329" s="350"/>
      <c r="BH329" s="350"/>
      <c r="BI329" s="350"/>
      <c r="BJ329" s="350"/>
      <c r="BK329" s="350"/>
      <c r="BL329" s="350"/>
      <c r="BM329" s="350"/>
      <c r="BO329" s="350"/>
      <c r="BP329" s="350"/>
      <c r="BQ329" s="350"/>
      <c r="BR329" s="350"/>
      <c r="BS329" s="350"/>
      <c r="BT329" s="350"/>
      <c r="BU329" s="350"/>
      <c r="BV329" s="350"/>
      <c r="BW329" s="350"/>
      <c r="BX329" s="350"/>
    </row>
    <row r="330" spans="4:76" ht="17.25" thickBot="1" x14ac:dyDescent="0.35">
      <c r="D330" s="226"/>
      <c r="E330" s="254" t="s">
        <v>495</v>
      </c>
      <c r="F330" s="349">
        <f>IFERROR(F323/$F$324,0)</f>
        <v>0.82666666666666666</v>
      </c>
      <c r="G330" s="220"/>
      <c r="H330" s="312"/>
      <c r="I330" s="312"/>
      <c r="J330" s="312"/>
      <c r="K330" s="220"/>
      <c r="L330" s="220"/>
      <c r="M330" s="220"/>
      <c r="N330" s="220"/>
      <c r="O330" s="221"/>
      <c r="P330" s="206"/>
      <c r="Q330" s="226"/>
      <c r="R330" s="254" t="s">
        <v>495</v>
      </c>
      <c r="S330" s="349">
        <f>IFERROR(S323/R323,0)</f>
        <v>0.82666666666666666</v>
      </c>
      <c r="T330" s="220"/>
      <c r="U330" s="312"/>
      <c r="V330" s="312"/>
      <c r="W330" s="312"/>
      <c r="X330" s="220"/>
      <c r="Y330" s="220"/>
      <c r="Z330" s="220"/>
      <c r="AA330" s="221"/>
      <c r="AB330" s="207"/>
      <c r="AV330" s="350"/>
      <c r="AW330" s="384"/>
      <c r="AX330" s="384"/>
      <c r="AY330" s="750"/>
      <c r="AZ330" s="350"/>
      <c r="BA330" s="384"/>
      <c r="BB330" s="384"/>
      <c r="BC330" s="350"/>
      <c r="BD330" s="557"/>
      <c r="BE330" s="468"/>
      <c r="BF330" s="384"/>
      <c r="BG330" s="350"/>
      <c r="BH330" s="350"/>
      <c r="BI330" s="350"/>
      <c r="BJ330" s="350"/>
      <c r="BK330" s="350"/>
      <c r="BL330" s="350"/>
      <c r="BM330" s="350"/>
      <c r="BO330" s="350"/>
      <c r="BP330" s="350"/>
      <c r="BQ330" s="350"/>
      <c r="BR330" s="350"/>
      <c r="BS330" s="350"/>
      <c r="BT330" s="350"/>
      <c r="BU330" s="350"/>
      <c r="BV330" s="350"/>
      <c r="BW330" s="350"/>
      <c r="BX330" s="350"/>
    </row>
    <row r="331" spans="4:76" ht="17.25" thickBot="1" x14ac:dyDescent="0.35">
      <c r="D331" s="226"/>
      <c r="E331" s="284" t="s">
        <v>67</v>
      </c>
      <c r="F331" s="357">
        <f>IFERROR(SUM(F327:F329),0)</f>
        <v>1.7466666666666666</v>
      </c>
      <c r="G331" s="220"/>
      <c r="H331" s="312"/>
      <c r="I331" s="312"/>
      <c r="J331" s="312"/>
      <c r="K331" s="220"/>
      <c r="L331" s="220"/>
      <c r="M331" s="220"/>
      <c r="N331" s="220"/>
      <c r="O331" s="221"/>
      <c r="P331" s="206"/>
      <c r="Q331" s="219"/>
      <c r="R331" s="596" t="s">
        <v>67</v>
      </c>
      <c r="S331" s="357">
        <f>IFERROR(S324/R324,0)</f>
        <v>2.5733333333333333</v>
      </c>
      <c r="T331" s="220"/>
      <c r="U331" s="220"/>
      <c r="V331" s="220"/>
      <c r="W331" s="220"/>
      <c r="X331" s="220"/>
      <c r="Y331" s="220"/>
      <c r="Z331" s="220"/>
      <c r="AA331" s="221"/>
      <c r="AB331" s="207"/>
      <c r="AV331" s="350"/>
      <c r="AW331" s="384"/>
      <c r="AX331" s="384"/>
      <c r="AY331" s="350"/>
      <c r="AZ331" s="350"/>
      <c r="BA331" s="384"/>
      <c r="BB331" s="384"/>
      <c r="BC331" s="350"/>
      <c r="BD331" s="350"/>
      <c r="BE331" s="384"/>
      <c r="BF331" s="384"/>
      <c r="BG331" s="350"/>
      <c r="BH331" s="350"/>
      <c r="BI331" s="350"/>
      <c r="BJ331" s="350"/>
      <c r="BK331" s="350"/>
      <c r="BL331" s="350"/>
      <c r="BM331" s="350"/>
      <c r="BO331" s="350"/>
      <c r="BP331" s="350"/>
      <c r="BQ331" s="350"/>
      <c r="BR331" s="350"/>
      <c r="BS331" s="350"/>
      <c r="BT331" s="350"/>
      <c r="BU331" s="350"/>
      <c r="BV331" s="350"/>
      <c r="BW331" s="350"/>
      <c r="BX331" s="350"/>
    </row>
    <row r="332" spans="4:76" ht="17.25" thickBot="1" x14ac:dyDescent="0.35">
      <c r="D332" s="219"/>
      <c r="E332" s="220"/>
      <c r="F332" s="220"/>
      <c r="G332" s="220"/>
      <c r="H332" s="220"/>
      <c r="I332" s="220"/>
      <c r="J332" s="220"/>
      <c r="K332" s="220"/>
      <c r="L332" s="220"/>
      <c r="M332" s="220"/>
      <c r="N332" s="220"/>
      <c r="O332" s="221"/>
      <c r="P332" s="206"/>
      <c r="Q332" s="219"/>
      <c r="R332" s="227"/>
      <c r="S332" s="220"/>
      <c r="T332" s="220"/>
      <c r="U332" s="220"/>
      <c r="V332" s="220"/>
      <c r="W332" s="220"/>
      <c r="X332" s="220"/>
      <c r="Y332" s="220"/>
      <c r="Z332" s="220"/>
      <c r="AA332" s="221"/>
      <c r="AB332" s="207"/>
      <c r="AV332" s="393"/>
      <c r="AW332" s="393"/>
      <c r="AX332" s="393"/>
      <c r="AY332" s="393"/>
      <c r="AZ332" s="393"/>
      <c r="BA332" s="393"/>
      <c r="BB332" s="393"/>
      <c r="BC332" s="393"/>
      <c r="BD332" s="393"/>
      <c r="BE332" s="393"/>
      <c r="BF332" s="393"/>
      <c r="BG332" s="393"/>
      <c r="BH332" s="393"/>
      <c r="BI332" s="393"/>
      <c r="BJ332" s="393"/>
      <c r="BK332" s="393"/>
      <c r="BL332" s="393"/>
      <c r="BM332" s="393"/>
      <c r="BO332" s="350"/>
      <c r="BP332" s="350"/>
      <c r="BQ332" s="350"/>
      <c r="BR332" s="350"/>
      <c r="BS332" s="350"/>
      <c r="BT332" s="350"/>
      <c r="BU332" s="350"/>
      <c r="BV332" s="350"/>
      <c r="BW332" s="350"/>
      <c r="BX332" s="350"/>
    </row>
    <row r="333" spans="4:76" ht="21" customHeight="1" thickBot="1" x14ac:dyDescent="0.35">
      <c r="D333" s="863" t="s">
        <v>500</v>
      </c>
      <c r="E333" s="864"/>
      <c r="F333" s="864"/>
      <c r="G333" s="864"/>
      <c r="H333" s="864"/>
      <c r="I333" s="864"/>
      <c r="J333" s="864"/>
      <c r="K333" s="864"/>
      <c r="L333" s="864"/>
      <c r="M333" s="864"/>
      <c r="N333" s="864"/>
      <c r="O333" s="865"/>
      <c r="P333" s="206"/>
      <c r="Q333" s="851" t="s">
        <v>500</v>
      </c>
      <c r="R333" s="852"/>
      <c r="S333" s="852"/>
      <c r="T333" s="852"/>
      <c r="U333" s="852"/>
      <c r="V333" s="852"/>
      <c r="W333" s="852"/>
      <c r="X333" s="852"/>
      <c r="Y333" s="852"/>
      <c r="Z333" s="852"/>
      <c r="AA333" s="853"/>
      <c r="AB333" s="207"/>
      <c r="AV333" s="647"/>
      <c r="AW333" s="383"/>
      <c r="AX333" s="599"/>
      <c r="AY333" s="350"/>
      <c r="AZ333" s="350"/>
      <c r="BA333" s="350"/>
      <c r="BB333" s="350"/>
      <c r="BC333" s="350"/>
      <c r="BD333" s="350"/>
      <c r="BE333" s="350"/>
      <c r="BF333" s="376"/>
      <c r="BG333" s="376"/>
      <c r="BH333" s="350"/>
      <c r="BI333" s="350"/>
      <c r="BJ333" s="350"/>
      <c r="BK333" s="350"/>
      <c r="BL333" s="350"/>
      <c r="BM333" s="350"/>
      <c r="BO333" s="350"/>
      <c r="BP333" s="350"/>
      <c r="BQ333" s="350"/>
      <c r="BR333" s="350"/>
      <c r="BS333" s="350"/>
      <c r="BT333" s="350"/>
      <c r="BU333" s="350"/>
      <c r="BV333" s="350"/>
      <c r="BW333" s="350"/>
      <c r="BX333" s="350"/>
    </row>
    <row r="334" spans="4:76" x14ac:dyDescent="0.3">
      <c r="D334" s="226"/>
      <c r="E334" s="227"/>
      <c r="F334" s="220"/>
      <c r="G334" s="312"/>
      <c r="H334" s="312"/>
      <c r="I334" s="312"/>
      <c r="J334" s="312"/>
      <c r="K334" s="220"/>
      <c r="L334" s="220"/>
      <c r="M334" s="220"/>
      <c r="N334" s="220"/>
      <c r="O334" s="221"/>
      <c r="P334" s="206"/>
      <c r="Q334" s="226"/>
      <c r="R334" s="227"/>
      <c r="S334" s="220"/>
      <c r="T334" s="312"/>
      <c r="U334" s="312"/>
      <c r="V334" s="312"/>
      <c r="W334" s="243"/>
      <c r="X334" s="220"/>
      <c r="Y334" s="220"/>
      <c r="Z334" s="220"/>
      <c r="AA334" s="221"/>
      <c r="AB334" s="207"/>
      <c r="AV334" s="350"/>
      <c r="AW334" s="350"/>
      <c r="AX334" s="350"/>
      <c r="AY334" s="368"/>
      <c r="AZ334" s="368"/>
      <c r="BA334" s="368"/>
      <c r="BB334" s="368"/>
      <c r="BC334" s="350"/>
      <c r="BD334" s="350"/>
      <c r="BE334" s="350"/>
      <c r="BF334" s="350"/>
      <c r="BG334" s="350"/>
      <c r="BH334" s="350"/>
      <c r="BI334" s="350"/>
      <c r="BJ334" s="350"/>
      <c r="BK334" s="350"/>
      <c r="BL334" s="350"/>
      <c r="BM334" s="350"/>
      <c r="BO334" s="350"/>
      <c r="BP334" s="350"/>
      <c r="BQ334" s="350"/>
      <c r="BR334" s="350"/>
      <c r="BS334" s="350"/>
      <c r="BT334" s="350"/>
      <c r="BU334" s="350"/>
      <c r="BV334" s="350"/>
      <c r="BW334" s="350"/>
      <c r="BX334" s="350"/>
    </row>
    <row r="335" spans="4:76" x14ac:dyDescent="0.3">
      <c r="D335" s="219"/>
      <c r="E335" s="220"/>
      <c r="F335" s="220"/>
      <c r="G335" s="220"/>
      <c r="H335" s="220"/>
      <c r="I335" s="220"/>
      <c r="J335" s="220"/>
      <c r="K335" s="220"/>
      <c r="L335" s="220"/>
      <c r="M335" s="220"/>
      <c r="N335" s="220"/>
      <c r="O335" s="221"/>
      <c r="P335" s="206"/>
      <c r="Q335" s="219"/>
      <c r="R335" s="227"/>
      <c r="S335" s="220"/>
      <c r="T335" s="220"/>
      <c r="U335" s="220"/>
      <c r="V335" s="220"/>
      <c r="W335" s="220"/>
      <c r="X335" s="220"/>
      <c r="Y335" s="220"/>
      <c r="Z335" s="220"/>
      <c r="AA335" s="221"/>
      <c r="AB335" s="207"/>
      <c r="AV335" s="555"/>
      <c r="AW335" s="393"/>
      <c r="AX335" s="393"/>
      <c r="AY335" s="750"/>
      <c r="AZ335" s="393"/>
      <c r="BA335" s="393"/>
      <c r="BB335" s="393"/>
      <c r="BC335" s="382"/>
      <c r="BD335" s="382"/>
      <c r="BE335" s="382"/>
      <c r="BF335" s="382"/>
      <c r="BG335" s="382"/>
      <c r="BH335" s="382"/>
      <c r="BI335" s="382"/>
      <c r="BJ335" s="382"/>
      <c r="BK335" s="382"/>
      <c r="BL335" s="382"/>
      <c r="BM335" s="382"/>
      <c r="BO335" s="350"/>
      <c r="BP335" s="350"/>
      <c r="BQ335" s="350"/>
      <c r="BR335" s="350"/>
      <c r="BS335" s="350"/>
      <c r="BT335" s="350"/>
      <c r="BU335" s="350"/>
      <c r="BV335" s="350"/>
      <c r="BW335" s="350"/>
      <c r="BX335" s="350"/>
    </row>
    <row r="336" spans="4:76" ht="19.5" customHeight="1" x14ac:dyDescent="0.3">
      <c r="D336" s="226"/>
      <c r="E336" s="227"/>
      <c r="F336" s="220"/>
      <c r="G336" s="312"/>
      <c r="H336" s="312"/>
      <c r="I336" s="312"/>
      <c r="J336" s="220"/>
      <c r="K336" s="220"/>
      <c r="L336" s="220"/>
      <c r="M336" s="220"/>
      <c r="N336" s="220"/>
      <c r="O336" s="221"/>
      <c r="P336" s="206"/>
      <c r="Q336" s="226"/>
      <c r="R336" s="227"/>
      <c r="S336" s="220"/>
      <c r="T336" s="312"/>
      <c r="U336" s="312"/>
      <c r="V336" s="312"/>
      <c r="W336" s="220"/>
      <c r="X336" s="220"/>
      <c r="Y336" s="220"/>
      <c r="Z336" s="220"/>
      <c r="AA336" s="221"/>
      <c r="AB336" s="207"/>
      <c r="AV336" s="555"/>
      <c r="AW336" s="350"/>
      <c r="AX336" s="383"/>
      <c r="AY336" s="750"/>
      <c r="AZ336" s="350"/>
      <c r="BA336" s="383"/>
      <c r="BB336" s="384"/>
      <c r="BC336" s="350"/>
      <c r="BD336" s="557"/>
      <c r="BE336" s="468"/>
      <c r="BF336" s="350"/>
      <c r="BG336" s="350"/>
      <c r="BH336" s="350"/>
      <c r="BI336" s="350"/>
      <c r="BJ336" s="350"/>
      <c r="BK336" s="350"/>
      <c r="BL336" s="350"/>
      <c r="BM336" s="350"/>
      <c r="BO336" s="350"/>
      <c r="BP336" s="350"/>
      <c r="BQ336" s="350"/>
      <c r="BR336" s="350"/>
      <c r="BS336" s="350"/>
      <c r="BT336" s="350"/>
      <c r="BU336" s="350"/>
      <c r="BV336" s="350"/>
      <c r="BW336" s="350"/>
      <c r="BX336" s="350"/>
    </row>
    <row r="337" spans="4:76" ht="17.25" thickBot="1" x14ac:dyDescent="0.35">
      <c r="D337" s="226"/>
      <c r="E337" s="227"/>
      <c r="F337" s="220"/>
      <c r="G337" s="312"/>
      <c r="H337" s="312"/>
      <c r="I337" s="312"/>
      <c r="J337" s="220"/>
      <c r="K337" s="220"/>
      <c r="L337" s="220"/>
      <c r="M337" s="220"/>
      <c r="N337" s="220"/>
      <c r="O337" s="221"/>
      <c r="P337" s="206"/>
      <c r="Q337" s="226"/>
      <c r="R337" s="227"/>
      <c r="S337" s="220"/>
      <c r="T337" s="312"/>
      <c r="U337" s="312"/>
      <c r="V337" s="312"/>
      <c r="W337" s="220"/>
      <c r="X337" s="220"/>
      <c r="Y337" s="220"/>
      <c r="Z337" s="220"/>
      <c r="AA337" s="221"/>
      <c r="AB337" s="207"/>
      <c r="AV337" s="555"/>
      <c r="AW337" s="350"/>
      <c r="AX337" s="599"/>
      <c r="AY337" s="750"/>
      <c r="AZ337" s="350"/>
      <c r="BA337" s="599"/>
      <c r="BB337" s="414"/>
      <c r="BC337" s="382"/>
      <c r="BD337" s="557"/>
      <c r="BE337" s="468"/>
      <c r="BF337" s="382"/>
      <c r="BG337" s="382"/>
      <c r="BH337" s="350"/>
      <c r="BI337" s="350"/>
      <c r="BJ337" s="350"/>
      <c r="BK337" s="350"/>
      <c r="BL337" s="350"/>
      <c r="BM337" s="350"/>
      <c r="BO337" s="350"/>
      <c r="BP337" s="350"/>
      <c r="BQ337" s="350"/>
      <c r="BR337" s="350"/>
      <c r="BS337" s="350"/>
      <c r="BT337" s="350"/>
      <c r="BU337" s="350"/>
      <c r="BV337" s="350"/>
      <c r="BW337" s="350"/>
      <c r="BX337" s="350"/>
    </row>
    <row r="338" spans="4:76" ht="17.25" thickBot="1" x14ac:dyDescent="0.35">
      <c r="D338" s="226"/>
      <c r="E338" s="295"/>
      <c r="F338" s="220"/>
      <c r="G338" s="312"/>
      <c r="H338" s="312"/>
      <c r="I338" s="312"/>
      <c r="J338" s="220"/>
      <c r="K338" s="220"/>
      <c r="L338" s="220"/>
      <c r="M338" s="220"/>
      <c r="N338" s="220"/>
      <c r="O338" s="221"/>
      <c r="P338" s="206"/>
      <c r="Q338" s="223"/>
      <c r="R338" s="228" t="s">
        <v>44</v>
      </c>
      <c r="S338" s="220"/>
      <c r="T338" s="312"/>
      <c r="U338" s="312"/>
      <c r="V338" s="312"/>
      <c r="W338" s="220"/>
      <c r="X338" s="220"/>
      <c r="Y338" s="220"/>
      <c r="Z338" s="220"/>
      <c r="AA338" s="221"/>
      <c r="AB338" s="207"/>
      <c r="AV338" s="647"/>
      <c r="AW338" s="350"/>
      <c r="AX338" s="599"/>
      <c r="AY338" s="750"/>
      <c r="AZ338" s="350"/>
      <c r="BA338" s="599"/>
      <c r="BB338" s="562"/>
      <c r="BC338" s="648"/>
      <c r="BD338" s="557"/>
      <c r="BE338" s="468"/>
      <c r="BF338" s="376"/>
      <c r="BG338" s="376"/>
      <c r="BH338" s="350"/>
      <c r="BI338" s="350"/>
      <c r="BJ338" s="350"/>
      <c r="BK338" s="350"/>
      <c r="BL338" s="350"/>
      <c r="BM338" s="350"/>
      <c r="BO338" s="350"/>
      <c r="BP338" s="350"/>
      <c r="BQ338" s="350"/>
      <c r="BR338" s="350"/>
      <c r="BS338" s="350"/>
      <c r="BT338" s="350"/>
      <c r="BU338" s="350"/>
      <c r="BV338" s="350"/>
      <c r="BW338" s="350"/>
      <c r="BX338" s="350"/>
    </row>
    <row r="339" spans="4:76" ht="17.25" thickBot="1" x14ac:dyDescent="0.35">
      <c r="D339" s="226"/>
      <c r="E339" s="230" t="s">
        <v>46</v>
      </c>
      <c r="F339" s="233">
        <f>'2. PRODUCTOS'!$W$248</f>
        <v>0</v>
      </c>
      <c r="G339" s="220"/>
      <c r="H339" s="842" t="s">
        <v>47</v>
      </c>
      <c r="I339" s="843"/>
      <c r="J339" s="843"/>
      <c r="K339" s="844"/>
      <c r="L339" s="220"/>
      <c r="M339" s="220"/>
      <c r="N339" s="220"/>
      <c r="O339" s="221"/>
      <c r="P339" s="206"/>
      <c r="Q339" s="230" t="s">
        <v>46</v>
      </c>
      <c r="R339" s="233">
        <f>'2. PRODUCTOS'!$G$248</f>
        <v>0</v>
      </c>
      <c r="S339" s="233">
        <f>'2. PRODUCTOS'!$W$248</f>
        <v>0</v>
      </c>
      <c r="T339" s="220"/>
      <c r="U339" s="842" t="s">
        <v>47</v>
      </c>
      <c r="V339" s="843"/>
      <c r="W339" s="843"/>
      <c r="X339" s="844"/>
      <c r="Y339" s="220"/>
      <c r="Z339" s="220"/>
      <c r="AA339" s="221"/>
      <c r="AB339" s="207"/>
      <c r="AV339" s="350"/>
      <c r="AW339" s="384"/>
      <c r="AX339" s="384"/>
      <c r="AY339" s="750"/>
      <c r="AZ339" s="350"/>
      <c r="BA339" s="599"/>
      <c r="BB339" s="562"/>
      <c r="BC339" s="648"/>
      <c r="BD339" s="557"/>
      <c r="BE339" s="468"/>
      <c r="BF339" s="384"/>
      <c r="BG339" s="350"/>
      <c r="BH339" s="350"/>
      <c r="BI339" s="350"/>
      <c r="BJ339" s="350"/>
      <c r="BK339" s="350"/>
      <c r="BL339" s="350"/>
      <c r="BM339" s="350"/>
      <c r="BO339" s="350"/>
      <c r="BP339" s="350"/>
      <c r="BQ339" s="350"/>
      <c r="BR339" s="350"/>
      <c r="BS339" s="350"/>
      <c r="BT339" s="350"/>
      <c r="BU339" s="350"/>
      <c r="BV339" s="350"/>
      <c r="BW339" s="350"/>
      <c r="BX339" s="350"/>
    </row>
    <row r="340" spans="4:76" x14ac:dyDescent="0.3">
      <c r="D340" s="226"/>
      <c r="E340" s="234" t="s">
        <v>52</v>
      </c>
      <c r="F340" s="237">
        <f>'2. PRODUCTOS'!$AJ$248</f>
        <v>0</v>
      </c>
      <c r="G340" s="220"/>
      <c r="H340" s="236">
        <v>0</v>
      </c>
      <c r="I340" s="236">
        <v>0.5</v>
      </c>
      <c r="J340" s="236">
        <v>0.75</v>
      </c>
      <c r="K340" s="236">
        <v>1.0009999999999999</v>
      </c>
      <c r="L340" s="220"/>
      <c r="M340" s="220"/>
      <c r="N340" s="220"/>
      <c r="O340" s="221"/>
      <c r="P340" s="206"/>
      <c r="Q340" s="234" t="s">
        <v>52</v>
      </c>
      <c r="R340" s="237">
        <f>'2. PRODUCTOS'!$H$248</f>
        <v>0</v>
      </c>
      <c r="S340" s="237">
        <f>'2. PRODUCTOS'!$AJ$248</f>
        <v>0</v>
      </c>
      <c r="T340" s="220"/>
      <c r="U340" s="236">
        <v>0</v>
      </c>
      <c r="V340" s="236">
        <v>0.5</v>
      </c>
      <c r="W340" s="236">
        <v>0.75</v>
      </c>
      <c r="X340" s="236">
        <v>1.0009999999999999</v>
      </c>
      <c r="Y340" s="220"/>
      <c r="Z340" s="220"/>
      <c r="AA340" s="221"/>
      <c r="AB340" s="207"/>
      <c r="AV340" s="350"/>
      <c r="AW340" s="384"/>
      <c r="AX340" s="384"/>
      <c r="AY340" s="749"/>
      <c r="AZ340" s="350"/>
      <c r="BA340" s="599"/>
      <c r="BB340" s="562"/>
      <c r="BC340" s="648"/>
      <c r="BD340" s="557"/>
      <c r="BE340" s="624"/>
      <c r="BF340" s="384"/>
      <c r="BG340" s="350"/>
      <c r="BH340" s="350"/>
      <c r="BI340" s="350"/>
      <c r="BJ340" s="350"/>
      <c r="BK340" s="350"/>
      <c r="BL340" s="350"/>
      <c r="BM340" s="350"/>
      <c r="BO340" s="350"/>
      <c r="BP340" s="350"/>
      <c r="BQ340" s="350"/>
      <c r="BR340" s="350"/>
      <c r="BS340" s="350"/>
      <c r="BT340" s="350"/>
      <c r="BU340" s="350"/>
      <c r="BV340" s="350"/>
      <c r="BW340" s="350"/>
      <c r="BX340" s="350"/>
    </row>
    <row r="341" spans="4:76" ht="16.5" customHeight="1" x14ac:dyDescent="0.3">
      <c r="D341" s="226"/>
      <c r="E341" s="234" t="s">
        <v>53</v>
      </c>
      <c r="F341" s="237">
        <f>'2. PRODUCTOS'!$AW$248</f>
        <v>5</v>
      </c>
      <c r="G341" s="220"/>
      <c r="H341" s="238">
        <v>0.499</v>
      </c>
      <c r="I341" s="238">
        <v>0.749</v>
      </c>
      <c r="J341" s="238">
        <v>1</v>
      </c>
      <c r="K341" s="238">
        <v>4</v>
      </c>
      <c r="L341" s="220"/>
      <c r="M341" s="220"/>
      <c r="N341" s="220"/>
      <c r="O341" s="221"/>
      <c r="P341" s="206"/>
      <c r="Q341" s="234" t="s">
        <v>53</v>
      </c>
      <c r="R341" s="237">
        <f>'2. PRODUCTOS'!$I$248</f>
        <v>4</v>
      </c>
      <c r="S341" s="237">
        <f>'2. PRODUCTOS'!$AW$248</f>
        <v>5</v>
      </c>
      <c r="T341" s="220"/>
      <c r="U341" s="238">
        <v>0.499</v>
      </c>
      <c r="V341" s="238">
        <v>0.749</v>
      </c>
      <c r="W341" s="238">
        <v>1</v>
      </c>
      <c r="X341" s="238">
        <v>8</v>
      </c>
      <c r="Y341" s="220"/>
      <c r="Z341" s="220"/>
      <c r="AA341" s="221"/>
      <c r="AB341" s="207"/>
      <c r="AV341" s="350"/>
      <c r="AW341" s="384"/>
      <c r="AX341" s="384"/>
      <c r="AY341" s="368"/>
      <c r="AZ341" s="368"/>
      <c r="BA341" s="368"/>
      <c r="BB341" s="368"/>
      <c r="BC341" s="350"/>
      <c r="BD341" s="350"/>
      <c r="BE341" s="350"/>
      <c r="BF341" s="384"/>
      <c r="BG341" s="350"/>
      <c r="BH341" s="350"/>
      <c r="BI341" s="350"/>
      <c r="BJ341" s="350"/>
      <c r="BK341" s="350"/>
      <c r="BL341" s="350"/>
      <c r="BM341" s="350"/>
      <c r="BO341" s="350"/>
      <c r="BP341" s="350"/>
      <c r="BQ341" s="350"/>
      <c r="BR341" s="350"/>
      <c r="BS341" s="350"/>
      <c r="BT341" s="350"/>
      <c r="BU341" s="350"/>
      <c r="BV341" s="350"/>
      <c r="BW341" s="350"/>
      <c r="BX341" s="350"/>
    </row>
    <row r="342" spans="4:76" ht="17.25" thickBot="1" x14ac:dyDescent="0.35">
      <c r="D342" s="226"/>
      <c r="E342" s="254" t="s">
        <v>495</v>
      </c>
      <c r="F342" s="386">
        <f>'2. PRODUCTOS'!$BJ$248</f>
        <v>0</v>
      </c>
      <c r="G342" s="220"/>
      <c r="H342" s="256" t="s">
        <v>68</v>
      </c>
      <c r="I342" s="257" t="s">
        <v>69</v>
      </c>
      <c r="J342" s="258" t="s">
        <v>70</v>
      </c>
      <c r="K342" s="259" t="s">
        <v>71</v>
      </c>
      <c r="L342" s="220"/>
      <c r="M342" s="220"/>
      <c r="N342" s="220"/>
      <c r="O342" s="221"/>
      <c r="P342" s="206"/>
      <c r="Q342" s="254" t="s">
        <v>495</v>
      </c>
      <c r="R342" s="237">
        <f>'2. PRODUCTOS'!$J$248</f>
        <v>5</v>
      </c>
      <c r="S342" s="754">
        <f>'2. PRODUCTOS'!$BJ$248</f>
        <v>0</v>
      </c>
      <c r="T342" s="220"/>
      <c r="U342" s="262" t="s">
        <v>68</v>
      </c>
      <c r="V342" s="263" t="s">
        <v>69</v>
      </c>
      <c r="W342" s="264" t="s">
        <v>70</v>
      </c>
      <c r="X342" s="265" t="s">
        <v>71</v>
      </c>
      <c r="Y342" s="220"/>
      <c r="Z342" s="220"/>
      <c r="AA342" s="221"/>
      <c r="AB342" s="207"/>
      <c r="AV342" s="350"/>
      <c r="AW342" s="384"/>
      <c r="AX342" s="384"/>
      <c r="AY342" s="750"/>
      <c r="AZ342" s="393"/>
      <c r="BA342" s="393"/>
      <c r="BB342" s="393"/>
      <c r="BC342" s="382"/>
      <c r="BD342" s="382"/>
      <c r="BE342" s="382"/>
      <c r="BF342" s="384"/>
      <c r="BG342" s="350"/>
      <c r="BH342" s="350"/>
      <c r="BI342" s="350"/>
      <c r="BJ342" s="350"/>
      <c r="BK342" s="350"/>
      <c r="BL342" s="350"/>
      <c r="BM342" s="350"/>
      <c r="BO342" s="350"/>
      <c r="BP342" s="350"/>
      <c r="BQ342" s="350"/>
      <c r="BR342" s="350"/>
      <c r="BS342" s="350"/>
      <c r="BT342" s="350"/>
      <c r="BU342" s="350"/>
      <c r="BV342" s="350"/>
      <c r="BW342" s="350"/>
      <c r="BX342" s="350"/>
    </row>
    <row r="343" spans="4:76" ht="17.25" thickBot="1" x14ac:dyDescent="0.35">
      <c r="D343" s="219"/>
      <c r="E343" s="284" t="s">
        <v>67</v>
      </c>
      <c r="F343" s="463">
        <f>'2. PRODUCTOS'!$E$248</f>
        <v>4</v>
      </c>
      <c r="G343" s="220"/>
      <c r="H343" s="286" t="e">
        <f>IF($F350&gt;=H340,IF($F350&lt;=H341,$F350,NA()),NA())</f>
        <v>#N/A</v>
      </c>
      <c r="I343" s="286" t="e">
        <f>IF($F350&gt;=I340,IF($F350&lt;=I341,$F350,NA()),NA())</f>
        <v>#N/A</v>
      </c>
      <c r="J343" s="286" t="e">
        <f>IF($F350&gt;=J340,IF($F350&lt;=J341,$F350,NA()),NA())</f>
        <v>#N/A</v>
      </c>
      <c r="K343" s="286">
        <f>IF($F350&gt;=K340,IF($F350&lt;=K341,$F350,NA()),NA())</f>
        <v>1.25</v>
      </c>
      <c r="L343" s="220"/>
      <c r="M343" s="220"/>
      <c r="N343" s="220"/>
      <c r="O343" s="221"/>
      <c r="P343" s="206"/>
      <c r="Q343" s="596" t="s">
        <v>67</v>
      </c>
      <c r="R343" s="260">
        <f>'2. PRODUCTOS'!$E$248</f>
        <v>4</v>
      </c>
      <c r="S343" s="260">
        <f>'2. PRODUCTOS'!$BT$248</f>
        <v>5</v>
      </c>
      <c r="T343" s="230" t="s">
        <v>46</v>
      </c>
      <c r="U343" s="337">
        <f t="shared" ref="U343:X346" si="34">IF($S346&gt;=U$340,IF($S346&lt;=U$341,$S346,NA()),NA())</f>
        <v>0</v>
      </c>
      <c r="V343" s="337" t="e">
        <f t="shared" si="34"/>
        <v>#N/A</v>
      </c>
      <c r="W343" s="337" t="e">
        <f t="shared" si="34"/>
        <v>#N/A</v>
      </c>
      <c r="X343" s="337" t="e">
        <f t="shared" si="34"/>
        <v>#N/A</v>
      </c>
      <c r="Y343" s="220"/>
      <c r="Z343" s="220"/>
      <c r="AA343" s="221"/>
      <c r="AB343" s="207"/>
      <c r="AV343" s="350"/>
      <c r="AW343" s="384"/>
      <c r="AX343" s="384"/>
      <c r="AY343" s="750"/>
      <c r="AZ343" s="350"/>
      <c r="BA343" s="384"/>
      <c r="BB343" s="384"/>
      <c r="BC343" s="350"/>
      <c r="BD343" s="557"/>
      <c r="BE343" s="468"/>
      <c r="BF343" s="384"/>
      <c r="BG343" s="350"/>
      <c r="BH343" s="350"/>
      <c r="BI343" s="350"/>
      <c r="BJ343" s="350"/>
      <c r="BK343" s="350"/>
      <c r="BL343" s="350"/>
      <c r="BM343" s="350"/>
      <c r="BO343" s="350"/>
      <c r="BP343" s="350"/>
      <c r="BQ343" s="350"/>
      <c r="BR343" s="350"/>
      <c r="BS343" s="350"/>
      <c r="BT343" s="350"/>
      <c r="BU343" s="350"/>
      <c r="BV343" s="350"/>
      <c r="BW343" s="350"/>
      <c r="BX343" s="350"/>
    </row>
    <row r="344" spans="4:76" ht="17.25" thickBot="1" x14ac:dyDescent="0.35">
      <c r="D344" s="755"/>
      <c r="E344" s="311"/>
      <c r="F344" s="227"/>
      <c r="G344" s="220"/>
      <c r="H344" s="312"/>
      <c r="I344" s="312"/>
      <c r="J344" s="312"/>
      <c r="K344" s="220"/>
      <c r="L344" s="756"/>
      <c r="M344" s="756"/>
      <c r="N344" s="756"/>
      <c r="O344" s="757"/>
      <c r="P344" s="206"/>
      <c r="Q344" s="755"/>
      <c r="R344" s="311"/>
      <c r="S344" s="227"/>
      <c r="T344" s="234" t="s">
        <v>52</v>
      </c>
      <c r="U344" s="337">
        <f t="shared" si="34"/>
        <v>0</v>
      </c>
      <c r="V344" s="337" t="e">
        <f t="shared" si="34"/>
        <v>#N/A</v>
      </c>
      <c r="W344" s="337" t="e">
        <f t="shared" si="34"/>
        <v>#N/A</v>
      </c>
      <c r="X344" s="337" t="e">
        <f t="shared" si="34"/>
        <v>#N/A</v>
      </c>
      <c r="Y344" s="756"/>
      <c r="Z344" s="756"/>
      <c r="AA344" s="757"/>
      <c r="AB344" s="207"/>
      <c r="AV344" s="350"/>
      <c r="AW344" s="384"/>
      <c r="AX344" s="384"/>
      <c r="AY344" s="750"/>
      <c r="AZ344" s="350"/>
      <c r="BA344" s="384"/>
      <c r="BB344" s="592"/>
      <c r="BC344" s="382"/>
      <c r="BD344" s="557"/>
      <c r="BE344" s="468"/>
      <c r="BF344" s="384"/>
      <c r="BG344" s="350"/>
      <c r="BH344" s="350"/>
      <c r="BI344" s="350"/>
      <c r="BJ344" s="350"/>
      <c r="BK344" s="350"/>
      <c r="BL344" s="350"/>
      <c r="BM344" s="350"/>
      <c r="BO344" s="350"/>
      <c r="BP344" s="350"/>
      <c r="BQ344" s="350"/>
      <c r="BR344" s="350"/>
      <c r="BS344" s="350"/>
      <c r="BT344" s="350"/>
      <c r="BU344" s="350"/>
      <c r="BV344" s="350"/>
      <c r="BW344" s="350"/>
      <c r="BX344" s="350"/>
    </row>
    <row r="345" spans="4:76" ht="17.25" thickBot="1" x14ac:dyDescent="0.35">
      <c r="D345" s="219"/>
      <c r="E345" s="311"/>
      <c r="F345" s="227"/>
      <c r="G345" s="220"/>
      <c r="H345" s="312"/>
      <c r="I345" s="312"/>
      <c r="J345" s="312"/>
      <c r="K345" s="220"/>
      <c r="L345" s="220"/>
      <c r="M345" s="220"/>
      <c r="N345" s="220"/>
      <c r="O345" s="221"/>
      <c r="P345" s="206"/>
      <c r="Q345" s="219"/>
      <c r="R345" s="311"/>
      <c r="S345" s="227"/>
      <c r="T345" s="234" t="s">
        <v>53</v>
      </c>
      <c r="U345" s="337" t="e">
        <f t="shared" si="34"/>
        <v>#N/A</v>
      </c>
      <c r="V345" s="337" t="e">
        <f t="shared" si="34"/>
        <v>#N/A</v>
      </c>
      <c r="W345" s="337" t="e">
        <f t="shared" si="34"/>
        <v>#N/A</v>
      </c>
      <c r="X345" s="337">
        <f t="shared" si="34"/>
        <v>1.25</v>
      </c>
      <c r="Y345" s="220"/>
      <c r="Z345" s="220"/>
      <c r="AA345" s="221"/>
      <c r="AB345" s="207"/>
      <c r="AV345" s="350"/>
      <c r="AW345" s="384"/>
      <c r="AX345" s="384"/>
      <c r="AY345" s="750"/>
      <c r="AZ345" s="350"/>
      <c r="BA345" s="384"/>
      <c r="BB345" s="715"/>
      <c r="BC345" s="648"/>
      <c r="BD345" s="557"/>
      <c r="BE345" s="468"/>
      <c r="BF345" s="384"/>
      <c r="BG345" s="350"/>
      <c r="BH345" s="350"/>
      <c r="BI345" s="350"/>
      <c r="BJ345" s="350"/>
      <c r="BK345" s="350"/>
      <c r="BL345" s="350"/>
      <c r="BM345" s="350"/>
      <c r="BO345" s="350"/>
      <c r="BP345" s="350"/>
      <c r="BQ345" s="350"/>
      <c r="BR345" s="350"/>
      <c r="BS345" s="350"/>
      <c r="BT345" s="350"/>
      <c r="BU345" s="350"/>
      <c r="BV345" s="350"/>
      <c r="BW345" s="350"/>
      <c r="BX345" s="350"/>
    </row>
    <row r="346" spans="4:76" ht="17.25" thickBot="1" x14ac:dyDescent="0.35">
      <c r="D346" s="427"/>
      <c r="E346" s="230" t="s">
        <v>46</v>
      </c>
      <c r="F346" s="328">
        <f>IFERROR(F339/$F$343,0)</f>
        <v>0</v>
      </c>
      <c r="G346" s="220"/>
      <c r="H346" s="312"/>
      <c r="I346" s="312"/>
      <c r="J346" s="312"/>
      <c r="K346" s="220"/>
      <c r="L346" s="428"/>
      <c r="M346" s="428"/>
      <c r="N346" s="428"/>
      <c r="O346" s="550"/>
      <c r="P346" s="206"/>
      <c r="Q346" s="758"/>
      <c r="R346" s="230" t="s">
        <v>46</v>
      </c>
      <c r="S346" s="328">
        <f>IFERROR(S339/R339,0)</f>
        <v>0</v>
      </c>
      <c r="T346" s="254" t="s">
        <v>495</v>
      </c>
      <c r="U346" s="337">
        <f t="shared" si="34"/>
        <v>0</v>
      </c>
      <c r="V346" s="337" t="e">
        <f t="shared" si="34"/>
        <v>#N/A</v>
      </c>
      <c r="W346" s="337" t="e">
        <f t="shared" si="34"/>
        <v>#N/A</v>
      </c>
      <c r="X346" s="337" t="e">
        <f t="shared" si="34"/>
        <v>#N/A</v>
      </c>
      <c r="Y346" s="551"/>
      <c r="Z346" s="551"/>
      <c r="AA346" s="552"/>
      <c r="AB346" s="207"/>
      <c r="AV346" s="350"/>
      <c r="AW346" s="384"/>
      <c r="AX346" s="384"/>
      <c r="AY346" s="750"/>
      <c r="AZ346" s="350"/>
      <c r="BA346" s="383"/>
      <c r="BB346" s="383"/>
      <c r="BC346" s="350"/>
      <c r="BD346" s="557"/>
      <c r="BE346" s="468"/>
      <c r="BF346" s="384"/>
      <c r="BG346" s="350"/>
      <c r="BH346" s="350"/>
      <c r="BI346" s="350"/>
      <c r="BJ346" s="350"/>
      <c r="BK346" s="350"/>
      <c r="BL346" s="350"/>
      <c r="BM346" s="350"/>
      <c r="BO346" s="350"/>
      <c r="BP346" s="350"/>
      <c r="BQ346" s="350"/>
      <c r="BR346" s="350"/>
      <c r="BS346" s="350"/>
      <c r="BT346" s="350"/>
      <c r="BU346" s="350"/>
      <c r="BV346" s="350"/>
      <c r="BW346" s="350"/>
      <c r="BX346" s="350"/>
    </row>
    <row r="347" spans="4:76" x14ac:dyDescent="0.3">
      <c r="D347" s="219"/>
      <c r="E347" s="234" t="s">
        <v>52</v>
      </c>
      <c r="F347" s="340">
        <f>IFERROR(F340/$F$343,0)</f>
        <v>0</v>
      </c>
      <c r="G347" s="220"/>
      <c r="H347" s="312"/>
      <c r="I347" s="312"/>
      <c r="J347" s="312"/>
      <c r="K347" s="220"/>
      <c r="L347" s="220"/>
      <c r="M347" s="220"/>
      <c r="N347" s="220"/>
      <c r="O347" s="221"/>
      <c r="P347" s="206"/>
      <c r="Q347" s="219"/>
      <c r="R347" s="234" t="s">
        <v>52</v>
      </c>
      <c r="S347" s="340">
        <f>IFERROR(S340/R340,0)</f>
        <v>0</v>
      </c>
      <c r="T347" s="220"/>
      <c r="U347" s="312"/>
      <c r="V347" s="312"/>
      <c r="W347" s="312"/>
      <c r="X347" s="220"/>
      <c r="Y347" s="220"/>
      <c r="Z347" s="220"/>
      <c r="AA347" s="221"/>
      <c r="AB347" s="207"/>
      <c r="AV347" s="350"/>
      <c r="AW347" s="384"/>
      <c r="AX347" s="384"/>
      <c r="AY347" s="350"/>
      <c r="AZ347" s="350"/>
      <c r="BA347" s="350"/>
      <c r="BB347" s="350"/>
      <c r="BC347" s="350"/>
      <c r="BD347" s="350"/>
      <c r="BE347" s="350"/>
      <c r="BF347" s="384"/>
      <c r="BG347" s="350"/>
      <c r="BH347" s="350"/>
      <c r="BI347" s="350"/>
      <c r="BJ347" s="350"/>
      <c r="BK347" s="350"/>
      <c r="BL347" s="350"/>
      <c r="BM347" s="350"/>
      <c r="BO347" s="350"/>
      <c r="BP347" s="350"/>
      <c r="BQ347" s="350"/>
      <c r="BR347" s="350"/>
      <c r="BS347" s="350"/>
      <c r="BT347" s="350"/>
      <c r="BU347" s="350"/>
      <c r="BV347" s="350"/>
      <c r="BW347" s="350"/>
      <c r="BX347" s="350"/>
    </row>
    <row r="348" spans="4:76" x14ac:dyDescent="0.3">
      <c r="D348" s="223"/>
      <c r="E348" s="234" t="s">
        <v>53</v>
      </c>
      <c r="F348" s="340">
        <f>IFERROR(F341/$F$343,0)</f>
        <v>1.25</v>
      </c>
      <c r="G348" s="220"/>
      <c r="H348" s="312"/>
      <c r="I348" s="312"/>
      <c r="J348" s="312"/>
      <c r="K348" s="220"/>
      <c r="L348" s="220"/>
      <c r="M348" s="220"/>
      <c r="N348" s="220"/>
      <c r="O348" s="221"/>
      <c r="P348" s="206"/>
      <c r="Q348" s="223"/>
      <c r="R348" s="234" t="s">
        <v>53</v>
      </c>
      <c r="S348" s="340">
        <f>IFERROR(S341/R341,0)</f>
        <v>1.25</v>
      </c>
      <c r="T348" s="220"/>
      <c r="U348" s="312"/>
      <c r="V348" s="312"/>
      <c r="W348" s="312"/>
      <c r="X348" s="220"/>
      <c r="Y348" s="220"/>
      <c r="Z348" s="220"/>
      <c r="AA348" s="221"/>
      <c r="AB348" s="207"/>
      <c r="AV348" s="350"/>
      <c r="AW348" s="384"/>
      <c r="AX348" s="384"/>
      <c r="AY348" s="368"/>
      <c r="AZ348" s="368"/>
      <c r="BA348" s="368"/>
      <c r="BB348" s="368"/>
      <c r="BC348" s="350"/>
      <c r="BD348" s="350"/>
      <c r="BE348" s="350"/>
      <c r="BF348" s="384"/>
      <c r="BG348" s="350"/>
      <c r="BH348" s="350"/>
      <c r="BI348" s="350"/>
      <c r="BJ348" s="350"/>
      <c r="BK348" s="350"/>
      <c r="BL348" s="350"/>
      <c r="BM348" s="350"/>
      <c r="BO348" s="350"/>
      <c r="BP348" s="350"/>
      <c r="BQ348" s="350"/>
      <c r="BR348" s="350"/>
      <c r="BS348" s="350"/>
      <c r="BT348" s="350"/>
      <c r="BU348" s="350"/>
      <c r="BV348" s="350"/>
      <c r="BW348" s="350"/>
      <c r="BX348" s="350"/>
    </row>
    <row r="349" spans="4:76" ht="17.25" thickBot="1" x14ac:dyDescent="0.35">
      <c r="D349" s="226"/>
      <c r="E349" s="254" t="s">
        <v>495</v>
      </c>
      <c r="F349" s="349">
        <f>IFERROR(F342/$F$343,0)</f>
        <v>0</v>
      </c>
      <c r="G349" s="220"/>
      <c r="H349" s="312"/>
      <c r="I349" s="312"/>
      <c r="J349" s="312"/>
      <c r="K349" s="220"/>
      <c r="L349" s="220"/>
      <c r="M349" s="220"/>
      <c r="N349" s="220"/>
      <c r="O349" s="221"/>
      <c r="P349" s="206"/>
      <c r="Q349" s="226"/>
      <c r="R349" s="254" t="s">
        <v>495</v>
      </c>
      <c r="S349" s="349">
        <f>IFERROR(S342/R342,0)</f>
        <v>0</v>
      </c>
      <c r="T349" s="220"/>
      <c r="U349" s="312"/>
      <c r="V349" s="312"/>
      <c r="W349" s="312"/>
      <c r="X349" s="220"/>
      <c r="Y349" s="220"/>
      <c r="Z349" s="220"/>
      <c r="AA349" s="221"/>
      <c r="AB349" s="207"/>
      <c r="AV349" s="350"/>
      <c r="AW349" s="384"/>
      <c r="AX349" s="384"/>
      <c r="AY349" s="750"/>
      <c r="AZ349" s="393"/>
      <c r="BA349" s="393"/>
      <c r="BB349" s="393"/>
      <c r="BC349" s="382"/>
      <c r="BD349" s="382"/>
      <c r="BE349" s="382"/>
      <c r="BF349" s="384"/>
      <c r="BG349" s="350"/>
      <c r="BH349" s="350"/>
      <c r="BI349" s="350"/>
      <c r="BJ349" s="350"/>
      <c r="BK349" s="350"/>
      <c r="BL349" s="350"/>
      <c r="BM349" s="350"/>
      <c r="BO349" s="350"/>
      <c r="BP349" s="350"/>
      <c r="BQ349" s="350"/>
      <c r="BR349" s="350"/>
      <c r="BS349" s="350"/>
      <c r="BT349" s="350"/>
      <c r="BU349" s="350"/>
      <c r="BV349" s="350"/>
      <c r="BW349" s="350"/>
      <c r="BX349" s="350"/>
    </row>
    <row r="350" spans="4:76" ht="17.25" thickBot="1" x14ac:dyDescent="0.35">
      <c r="D350" s="226"/>
      <c r="E350" s="284" t="s">
        <v>67</v>
      </c>
      <c r="F350" s="357">
        <f>IFERROR(SUM(F346:F348),0)</f>
        <v>1.25</v>
      </c>
      <c r="G350" s="243"/>
      <c r="H350" s="243"/>
      <c r="I350" s="243"/>
      <c r="J350" s="243"/>
      <c r="K350" s="220"/>
      <c r="L350" s="220"/>
      <c r="M350" s="220"/>
      <c r="N350" s="220"/>
      <c r="O350" s="221"/>
      <c r="P350" s="206"/>
      <c r="Q350" s="226"/>
      <c r="R350" s="284" t="s">
        <v>67</v>
      </c>
      <c r="S350" s="759">
        <f>IFERROR(S343/R343,0)</f>
        <v>1.25</v>
      </c>
      <c r="T350" s="243"/>
      <c r="U350" s="243"/>
      <c r="V350" s="243"/>
      <c r="W350" s="243"/>
      <c r="X350" s="220"/>
      <c r="Y350" s="220"/>
      <c r="Z350" s="220"/>
      <c r="AA350" s="221"/>
      <c r="AB350" s="207"/>
      <c r="AV350" s="350"/>
      <c r="AW350" s="384"/>
      <c r="AX350" s="384"/>
      <c r="AY350" s="750"/>
      <c r="AZ350" s="350"/>
      <c r="BA350" s="384"/>
      <c r="BB350" s="384"/>
      <c r="BC350" s="350"/>
      <c r="BD350" s="557"/>
      <c r="BE350" s="468"/>
      <c r="BF350" s="384"/>
      <c r="BG350" s="350"/>
      <c r="BH350" s="350"/>
      <c r="BI350" s="350"/>
      <c r="BJ350" s="350"/>
      <c r="BK350" s="350"/>
      <c r="BL350" s="350"/>
      <c r="BM350" s="350"/>
      <c r="BO350" s="350"/>
      <c r="BP350" s="350"/>
      <c r="BQ350" s="350"/>
      <c r="BR350" s="350"/>
      <c r="BS350" s="350"/>
      <c r="BT350" s="350"/>
      <c r="BU350" s="350"/>
      <c r="BV350" s="350"/>
      <c r="BW350" s="350"/>
      <c r="BX350" s="350"/>
    </row>
    <row r="351" spans="4:76" ht="17.25" thickBot="1" x14ac:dyDescent="0.35">
      <c r="D351" s="226"/>
      <c r="E351" s="227"/>
      <c r="F351" s="220"/>
      <c r="G351" s="574"/>
      <c r="H351" s="574"/>
      <c r="I351" s="574"/>
      <c r="J351" s="574"/>
      <c r="K351" s="220"/>
      <c r="L351" s="220"/>
      <c r="M351" s="220"/>
      <c r="N351" s="220"/>
      <c r="O351" s="221"/>
      <c r="P351" s="206"/>
      <c r="Q351" s="226"/>
      <c r="R351" s="227"/>
      <c r="S351" s="220"/>
      <c r="T351" s="574"/>
      <c r="U351" s="574"/>
      <c r="V351" s="574"/>
      <c r="W351" s="574"/>
      <c r="X351" s="220"/>
      <c r="Y351" s="220"/>
      <c r="Z351" s="220"/>
      <c r="AA351" s="221"/>
      <c r="AB351" s="207"/>
      <c r="AV351" s="350"/>
      <c r="AW351" s="384"/>
      <c r="AX351" s="384"/>
      <c r="AY351" s="750"/>
      <c r="AZ351" s="350"/>
      <c r="BA351" s="384"/>
      <c r="BB351" s="592"/>
      <c r="BC351" s="382"/>
      <c r="BD351" s="557"/>
      <c r="BE351" s="468"/>
      <c r="BF351" s="384"/>
      <c r="BG351" s="350"/>
      <c r="BH351" s="350"/>
      <c r="BI351" s="350"/>
      <c r="BJ351" s="350"/>
      <c r="BK351" s="350"/>
      <c r="BL351" s="350"/>
      <c r="BM351" s="350"/>
      <c r="BO351" s="350"/>
      <c r="BP351" s="350"/>
      <c r="BQ351" s="350"/>
      <c r="BR351" s="350"/>
      <c r="BS351" s="350"/>
      <c r="BT351" s="350"/>
      <c r="BU351" s="350"/>
      <c r="BV351" s="350"/>
      <c r="BW351" s="350"/>
      <c r="BX351" s="350"/>
    </row>
    <row r="352" spans="4:76" ht="21" thickBot="1" x14ac:dyDescent="0.35">
      <c r="D352" s="863" t="s">
        <v>501</v>
      </c>
      <c r="E352" s="864"/>
      <c r="F352" s="864"/>
      <c r="G352" s="864"/>
      <c r="H352" s="864"/>
      <c r="I352" s="864"/>
      <c r="J352" s="864"/>
      <c r="K352" s="864"/>
      <c r="L352" s="864"/>
      <c r="M352" s="864"/>
      <c r="N352" s="864"/>
      <c r="O352" s="865"/>
      <c r="P352" s="206"/>
      <c r="Q352" s="851" t="s">
        <v>501</v>
      </c>
      <c r="R352" s="852"/>
      <c r="S352" s="852"/>
      <c r="T352" s="852"/>
      <c r="U352" s="852"/>
      <c r="V352" s="852"/>
      <c r="W352" s="852"/>
      <c r="X352" s="852"/>
      <c r="Y352" s="852"/>
      <c r="Z352" s="852"/>
      <c r="AA352" s="853"/>
      <c r="AB352" s="207"/>
      <c r="AV352" s="350"/>
      <c r="AW352" s="384"/>
      <c r="AX352" s="384"/>
      <c r="AY352" s="750"/>
      <c r="AZ352" s="350"/>
      <c r="BA352" s="384"/>
      <c r="BB352" s="715"/>
      <c r="BC352" s="648"/>
      <c r="BD352" s="557"/>
      <c r="BE352" s="468"/>
      <c r="BF352" s="384"/>
      <c r="BG352" s="350"/>
      <c r="BH352" s="350"/>
      <c r="BI352" s="350"/>
      <c r="BJ352" s="350"/>
      <c r="BK352" s="350"/>
      <c r="BL352" s="350"/>
      <c r="BM352" s="350"/>
      <c r="BO352" s="350"/>
      <c r="BP352" s="350"/>
      <c r="BQ352" s="350"/>
      <c r="BR352" s="350"/>
      <c r="BS352" s="350"/>
      <c r="BT352" s="350"/>
      <c r="BU352" s="350"/>
      <c r="BV352" s="350"/>
      <c r="BW352" s="350"/>
      <c r="BX352" s="350"/>
    </row>
    <row r="353" spans="4:76" x14ac:dyDescent="0.3">
      <c r="D353" s="226"/>
      <c r="E353" s="227"/>
      <c r="F353" s="220"/>
      <c r="G353" s="312"/>
      <c r="H353" s="312"/>
      <c r="I353" s="312"/>
      <c r="J353" s="220"/>
      <c r="K353" s="220"/>
      <c r="L353" s="220"/>
      <c r="M353" s="220"/>
      <c r="N353" s="220"/>
      <c r="O353" s="221"/>
      <c r="P353" s="206"/>
      <c r="Q353" s="226"/>
      <c r="R353" s="227"/>
      <c r="S353" s="220"/>
      <c r="T353" s="312"/>
      <c r="U353" s="312"/>
      <c r="V353" s="312"/>
      <c r="W353" s="220"/>
      <c r="X353" s="220"/>
      <c r="Y353" s="220"/>
      <c r="Z353" s="220"/>
      <c r="AA353" s="221"/>
      <c r="AB353" s="207"/>
      <c r="AV353" s="350"/>
      <c r="AW353" s="350"/>
      <c r="AX353" s="350"/>
      <c r="AY353" s="750"/>
      <c r="AZ353" s="350"/>
      <c r="BA353" s="393"/>
      <c r="BB353" s="393"/>
      <c r="BC353" s="382"/>
      <c r="BD353" s="557"/>
      <c r="BE353" s="468"/>
      <c r="BF353" s="350"/>
      <c r="BG353" s="350"/>
      <c r="BH353" s="350"/>
      <c r="BI353" s="350"/>
      <c r="BJ353" s="350"/>
      <c r="BK353" s="350"/>
      <c r="BL353" s="350"/>
      <c r="BM353" s="350"/>
      <c r="BO353" s="350"/>
      <c r="BP353" s="350"/>
      <c r="BQ353" s="350"/>
      <c r="BR353" s="350"/>
      <c r="BS353" s="350"/>
      <c r="BT353" s="350"/>
      <c r="BU353" s="350"/>
      <c r="BV353" s="350"/>
      <c r="BW353" s="350"/>
      <c r="BX353" s="350"/>
    </row>
    <row r="354" spans="4:76" ht="17.25" thickBot="1" x14ac:dyDescent="0.35">
      <c r="D354" s="226"/>
      <c r="E354" s="227"/>
      <c r="F354" s="220"/>
      <c r="G354" s="312"/>
      <c r="H354" s="312"/>
      <c r="I354" s="312"/>
      <c r="J354" s="220"/>
      <c r="K354" s="220"/>
      <c r="L354" s="220"/>
      <c r="M354" s="220"/>
      <c r="N354" s="220"/>
      <c r="O354" s="221"/>
      <c r="P354" s="206"/>
      <c r="Q354" s="226"/>
      <c r="R354" s="227"/>
      <c r="S354" s="220"/>
      <c r="T354" s="312"/>
      <c r="U354" s="312"/>
      <c r="V354" s="312"/>
      <c r="W354" s="220"/>
      <c r="X354" s="220"/>
      <c r="Y354" s="220"/>
      <c r="Z354" s="220"/>
      <c r="AA354" s="221"/>
      <c r="AB354" s="207"/>
      <c r="AV354" s="647"/>
      <c r="AW354" s="382"/>
      <c r="AX354" s="382"/>
      <c r="AY354" s="749"/>
      <c r="AZ354" s="350"/>
      <c r="BA354" s="383"/>
      <c r="BB354" s="384"/>
      <c r="BC354" s="350"/>
      <c r="BD354" s="557"/>
      <c r="BE354" s="624"/>
      <c r="BF354" s="382"/>
      <c r="BG354" s="382"/>
      <c r="BH354" s="350"/>
      <c r="BI354" s="350"/>
      <c r="BJ354" s="350"/>
      <c r="BK354" s="350"/>
      <c r="BL354" s="350"/>
      <c r="BM354" s="350"/>
      <c r="BO354" s="350"/>
      <c r="BP354" s="350"/>
      <c r="BQ354" s="350"/>
      <c r="BR354" s="350"/>
      <c r="BS354" s="350"/>
      <c r="BT354" s="350"/>
      <c r="BU354" s="350"/>
      <c r="BV354" s="350"/>
      <c r="BW354" s="350"/>
      <c r="BX354" s="350"/>
    </row>
    <row r="355" spans="4:76" ht="17.25" customHeight="1" thickBot="1" x14ac:dyDescent="0.35">
      <c r="D355" s="226"/>
      <c r="E355" s="295"/>
      <c r="F355" s="220"/>
      <c r="G355" s="312"/>
      <c r="H355" s="312"/>
      <c r="I355" s="312"/>
      <c r="J355" s="220"/>
      <c r="K355" s="220"/>
      <c r="L355" s="220"/>
      <c r="M355" s="220"/>
      <c r="N355" s="220"/>
      <c r="O355" s="221"/>
      <c r="P355" s="206"/>
      <c r="Q355" s="223"/>
      <c r="R355" s="228" t="s">
        <v>44</v>
      </c>
      <c r="S355" s="220"/>
      <c r="T355" s="312"/>
      <c r="U355" s="312"/>
      <c r="V355" s="312"/>
      <c r="W355" s="220"/>
      <c r="X355" s="220"/>
      <c r="Y355" s="220"/>
      <c r="Z355" s="220"/>
      <c r="AA355" s="221"/>
      <c r="AB355" s="207"/>
      <c r="AV355" s="647"/>
      <c r="AW355" s="350"/>
      <c r="AX355" s="599"/>
      <c r="AY355" s="749"/>
      <c r="AZ355" s="350"/>
      <c r="BA355" s="599"/>
      <c r="BB355" s="414"/>
      <c r="BC355" s="382"/>
      <c r="BD355" s="557"/>
      <c r="BE355" s="624"/>
      <c r="BF355" s="376"/>
      <c r="BG355" s="376"/>
      <c r="BH355" s="350"/>
      <c r="BI355" s="350"/>
      <c r="BJ355" s="350"/>
      <c r="BK355" s="350"/>
      <c r="BL355" s="350"/>
      <c r="BM355" s="350"/>
      <c r="BO355" s="350"/>
      <c r="BP355" s="350"/>
      <c r="BQ355" s="350"/>
      <c r="BR355" s="350"/>
      <c r="BS355" s="350"/>
      <c r="BT355" s="350"/>
      <c r="BU355" s="350"/>
      <c r="BV355" s="350"/>
      <c r="BW355" s="350"/>
      <c r="BX355" s="350"/>
    </row>
    <row r="356" spans="4:76" ht="17.25" thickBot="1" x14ac:dyDescent="0.35">
      <c r="D356" s="226"/>
      <c r="E356" s="230" t="s">
        <v>46</v>
      </c>
      <c r="F356" s="233">
        <f>'2. PRODUCTOS'!$W$260</f>
        <v>0</v>
      </c>
      <c r="G356" s="220"/>
      <c r="H356" s="842" t="s">
        <v>47</v>
      </c>
      <c r="I356" s="843"/>
      <c r="J356" s="843"/>
      <c r="K356" s="844"/>
      <c r="L356" s="220"/>
      <c r="M356" s="220"/>
      <c r="N356" s="220"/>
      <c r="O356" s="221"/>
      <c r="P356" s="206"/>
      <c r="Q356" s="230" t="s">
        <v>46</v>
      </c>
      <c r="R356" s="233">
        <f>'2. PRODUCTOS'!$G$260</f>
        <v>0</v>
      </c>
      <c r="S356" s="760">
        <f>'2. PRODUCTOS'!$W$260</f>
        <v>0</v>
      </c>
      <c r="T356" s="220"/>
      <c r="U356" s="842" t="s">
        <v>47</v>
      </c>
      <c r="V356" s="843"/>
      <c r="W356" s="843"/>
      <c r="X356" s="844"/>
      <c r="Y356" s="220"/>
      <c r="Z356" s="220"/>
      <c r="AA356" s="221"/>
      <c r="AB356" s="207"/>
      <c r="AV356" s="393"/>
      <c r="AW356" s="393"/>
      <c r="AX356" s="393"/>
      <c r="AY356" s="393"/>
      <c r="AZ356" s="393"/>
      <c r="BA356" s="393"/>
      <c r="BB356" s="393"/>
      <c r="BC356" s="393"/>
      <c r="BD356" s="393"/>
      <c r="BE356" s="393"/>
      <c r="BF356" s="393"/>
      <c r="BG356" s="393"/>
      <c r="BH356" s="393"/>
      <c r="BI356" s="393"/>
      <c r="BJ356" s="393"/>
      <c r="BK356" s="393"/>
      <c r="BL356" s="393"/>
      <c r="BM356" s="393"/>
      <c r="BO356" s="350"/>
      <c r="BP356" s="350"/>
      <c r="BQ356" s="350"/>
      <c r="BR356" s="350"/>
      <c r="BS356" s="350"/>
      <c r="BT356" s="350"/>
      <c r="BU356" s="350"/>
      <c r="BV356" s="350"/>
      <c r="BW356" s="350"/>
      <c r="BX356" s="350"/>
    </row>
    <row r="357" spans="4:76" x14ac:dyDescent="0.3">
      <c r="D357" s="226"/>
      <c r="E357" s="234" t="s">
        <v>52</v>
      </c>
      <c r="F357" s="237">
        <f>'2. PRODUCTOS'!$AJ$260</f>
        <v>0</v>
      </c>
      <c r="G357" s="220"/>
      <c r="H357" s="236">
        <v>0</v>
      </c>
      <c r="I357" s="236">
        <v>0.5</v>
      </c>
      <c r="J357" s="236">
        <v>0.75</v>
      </c>
      <c r="K357" s="236">
        <v>1.0009999999999999</v>
      </c>
      <c r="L357" s="220"/>
      <c r="M357" s="220"/>
      <c r="N357" s="220"/>
      <c r="O357" s="221"/>
      <c r="P357" s="206"/>
      <c r="Q357" s="234" t="s">
        <v>52</v>
      </c>
      <c r="R357" s="237">
        <f>'2. PRODUCTOS'!$H$260</f>
        <v>0</v>
      </c>
      <c r="S357" s="761">
        <f>'2. PRODUCTOS'!$AJ$260</f>
        <v>0</v>
      </c>
      <c r="T357" s="220"/>
      <c r="U357" s="236">
        <v>0</v>
      </c>
      <c r="V357" s="236">
        <v>0.5</v>
      </c>
      <c r="W357" s="236">
        <v>0.75</v>
      </c>
      <c r="X357" s="236">
        <v>1.0009999999999999</v>
      </c>
      <c r="Y357" s="220"/>
      <c r="Z357" s="220"/>
      <c r="AA357" s="221"/>
      <c r="AB357" s="207"/>
      <c r="AV357" s="647"/>
      <c r="AW357" s="350"/>
      <c r="AX357" s="599"/>
      <c r="AY357" s="749"/>
      <c r="AZ357" s="350"/>
      <c r="BA357" s="599"/>
      <c r="BB357" s="562"/>
      <c r="BC357" s="648"/>
      <c r="BD357" s="557"/>
      <c r="BE357" s="624"/>
      <c r="BF357" s="376"/>
      <c r="BG357" s="376"/>
      <c r="BH357" s="350"/>
      <c r="BI357" s="350"/>
      <c r="BJ357" s="350"/>
      <c r="BK357" s="350"/>
      <c r="BL357" s="350"/>
      <c r="BM357" s="350"/>
      <c r="BO357" s="350"/>
      <c r="BP357" s="350"/>
      <c r="BQ357" s="350"/>
      <c r="BR357" s="350"/>
      <c r="BS357" s="350"/>
      <c r="BT357" s="350"/>
      <c r="BU357" s="350"/>
      <c r="BV357" s="350"/>
      <c r="BW357" s="350"/>
      <c r="BX357" s="350"/>
    </row>
    <row r="358" spans="4:76" x14ac:dyDescent="0.3">
      <c r="D358" s="226"/>
      <c r="E358" s="234" t="s">
        <v>53</v>
      </c>
      <c r="F358" s="237">
        <f>'2. PRODUCTOS'!$AW$260</f>
        <v>1</v>
      </c>
      <c r="G358" s="220"/>
      <c r="H358" s="238">
        <v>0.499</v>
      </c>
      <c r="I358" s="238">
        <v>0.749</v>
      </c>
      <c r="J358" s="238">
        <v>1</v>
      </c>
      <c r="K358" s="238">
        <v>4</v>
      </c>
      <c r="L358" s="220"/>
      <c r="M358" s="220"/>
      <c r="N358" s="220"/>
      <c r="O358" s="221"/>
      <c r="P358" s="206"/>
      <c r="Q358" s="234" t="s">
        <v>53</v>
      </c>
      <c r="R358" s="237">
        <f>'2. PRODUCTOS'!$I$260</f>
        <v>4</v>
      </c>
      <c r="S358" s="761">
        <f>'2. PRODUCTOS'!$AW$260</f>
        <v>1</v>
      </c>
      <c r="T358" s="220"/>
      <c r="U358" s="238">
        <v>0.499</v>
      </c>
      <c r="V358" s="238">
        <v>0.749</v>
      </c>
      <c r="W358" s="238">
        <v>1</v>
      </c>
      <c r="X358" s="238">
        <v>4</v>
      </c>
      <c r="Y358" s="220"/>
      <c r="Z358" s="220"/>
      <c r="AA358" s="221"/>
      <c r="AB358" s="207"/>
      <c r="AV358" s="647"/>
      <c r="AW358" s="350"/>
      <c r="AX358" s="599"/>
      <c r="AY358" s="368"/>
      <c r="AZ358" s="368"/>
      <c r="BA358" s="368"/>
      <c r="BB358" s="368"/>
      <c r="BC358" s="350"/>
      <c r="BD358" s="350"/>
      <c r="BE358" s="350"/>
      <c r="BF358" s="376"/>
      <c r="BG358" s="376"/>
      <c r="BH358" s="350"/>
      <c r="BI358" s="350"/>
      <c r="BJ358" s="350"/>
      <c r="BK358" s="350"/>
      <c r="BL358" s="350"/>
      <c r="BM358" s="350"/>
      <c r="BO358" s="350"/>
      <c r="BP358" s="350"/>
      <c r="BQ358" s="350"/>
      <c r="BR358" s="350"/>
      <c r="BS358" s="350"/>
      <c r="BT358" s="350"/>
      <c r="BU358" s="350"/>
      <c r="BV358" s="350"/>
      <c r="BW358" s="350"/>
      <c r="BX358" s="350"/>
    </row>
    <row r="359" spans="4:76" ht="17.25" thickBot="1" x14ac:dyDescent="0.35">
      <c r="D359" s="226"/>
      <c r="E359" s="254" t="s">
        <v>495</v>
      </c>
      <c r="F359" s="386">
        <f>'2. PRODUCTOS'!$BJ$260</f>
        <v>1</v>
      </c>
      <c r="G359" s="220"/>
      <c r="H359" s="256" t="s">
        <v>68</v>
      </c>
      <c r="I359" s="257" t="s">
        <v>69</v>
      </c>
      <c r="J359" s="258" t="s">
        <v>70</v>
      </c>
      <c r="K359" s="259" t="s">
        <v>71</v>
      </c>
      <c r="L359" s="220"/>
      <c r="M359" s="220"/>
      <c r="N359" s="220"/>
      <c r="O359" s="221"/>
      <c r="P359" s="206"/>
      <c r="Q359" s="254" t="s">
        <v>495</v>
      </c>
      <c r="R359" s="260">
        <f>'2. PRODUCTOS'!$J$260</f>
        <v>4</v>
      </c>
      <c r="S359" s="762">
        <f>'2. PRODUCTOS'!$BJ$260</f>
        <v>1</v>
      </c>
      <c r="T359" s="220"/>
      <c r="U359" s="262" t="s">
        <v>68</v>
      </c>
      <c r="V359" s="263" t="s">
        <v>69</v>
      </c>
      <c r="W359" s="264" t="s">
        <v>70</v>
      </c>
      <c r="X359" s="265" t="s">
        <v>71</v>
      </c>
      <c r="Y359" s="220"/>
      <c r="Z359" s="220"/>
      <c r="AA359" s="221"/>
      <c r="AB359" s="207"/>
      <c r="AV359" s="647"/>
      <c r="AW359" s="350"/>
      <c r="AX359" s="599"/>
      <c r="AY359" s="750"/>
      <c r="AZ359" s="393"/>
      <c r="BA359" s="393"/>
      <c r="BB359" s="393"/>
      <c r="BC359" s="382"/>
      <c r="BD359" s="382"/>
      <c r="BE359" s="382"/>
      <c r="BF359" s="376"/>
      <c r="BG359" s="376"/>
      <c r="BH359" s="350"/>
      <c r="BI359" s="350"/>
      <c r="BJ359" s="350"/>
      <c r="BK359" s="350"/>
      <c r="BL359" s="350"/>
      <c r="BM359" s="350"/>
      <c r="BO359" s="350"/>
      <c r="BP359" s="350"/>
      <c r="BQ359" s="350"/>
      <c r="BR359" s="350"/>
      <c r="BS359" s="350"/>
      <c r="BT359" s="350"/>
      <c r="BU359" s="350"/>
      <c r="BV359" s="350"/>
      <c r="BW359" s="350"/>
      <c r="BX359" s="350"/>
    </row>
    <row r="360" spans="4:76" ht="17.25" thickBot="1" x14ac:dyDescent="0.35">
      <c r="D360" s="219"/>
      <c r="E360" s="284" t="s">
        <v>67</v>
      </c>
      <c r="F360" s="463">
        <f>'2. PRODUCTOS'!$E$260</f>
        <v>4</v>
      </c>
      <c r="G360" s="220"/>
      <c r="H360" s="286">
        <f>IF($F366&gt;=H357,IF($F366&lt;=H358,$F366,NA()),NA())</f>
        <v>0.25</v>
      </c>
      <c r="I360" s="286" t="e">
        <f>IF($F366&gt;=I357,IF($F366&lt;=I358,$F366,NA()),NA())</f>
        <v>#N/A</v>
      </c>
      <c r="J360" s="286" t="e">
        <f>IF($F366&gt;=J357,IF($F366&lt;=J358,$F366,NA()),NA())</f>
        <v>#N/A</v>
      </c>
      <c r="K360" s="286" t="e">
        <f>IF($F366&gt;=K357,IF($F366&lt;=K358,$F366,NA()),NA())</f>
        <v>#N/A</v>
      </c>
      <c r="L360" s="220"/>
      <c r="M360" s="220"/>
      <c r="N360" s="220"/>
      <c r="O360" s="221"/>
      <c r="P360" s="206"/>
      <c r="Q360" s="596" t="s">
        <v>67</v>
      </c>
      <c r="R360" s="463">
        <f>'2. PRODUCTOS'!$E$260</f>
        <v>4</v>
      </c>
      <c r="S360" s="763">
        <f>'2. PRODUCTOS'!$BT$260</f>
        <v>2</v>
      </c>
      <c r="T360" s="230" t="s">
        <v>46</v>
      </c>
      <c r="U360" s="337">
        <f t="shared" ref="U360:X363" si="35">IF($S362&gt;=U$357,IF($S362&lt;=U$358,$S362,NA()),NA())</f>
        <v>0</v>
      </c>
      <c r="V360" s="457" t="e">
        <f t="shared" si="35"/>
        <v>#N/A</v>
      </c>
      <c r="W360" s="457" t="e">
        <f t="shared" si="35"/>
        <v>#N/A</v>
      </c>
      <c r="X360" s="458" t="e">
        <f t="shared" si="35"/>
        <v>#N/A</v>
      </c>
      <c r="Y360" s="220"/>
      <c r="Z360" s="220"/>
      <c r="AA360" s="221"/>
      <c r="AB360" s="207"/>
      <c r="AV360" s="647"/>
      <c r="AW360" s="350"/>
      <c r="AX360" s="599"/>
      <c r="AY360" s="750"/>
      <c r="AZ360" s="350"/>
      <c r="BA360" s="384"/>
      <c r="BB360" s="384"/>
      <c r="BC360" s="350"/>
      <c r="BD360" s="557"/>
      <c r="BE360" s="468"/>
      <c r="BF360" s="376"/>
      <c r="BG360" s="376"/>
      <c r="BH360" s="350"/>
      <c r="BI360" s="350"/>
      <c r="BJ360" s="350"/>
      <c r="BK360" s="350"/>
      <c r="BL360" s="350"/>
      <c r="BM360" s="350"/>
      <c r="BO360" s="350"/>
      <c r="BP360" s="350"/>
      <c r="BQ360" s="350"/>
      <c r="BR360" s="350"/>
      <c r="BS360" s="350"/>
      <c r="BT360" s="350"/>
      <c r="BU360" s="350"/>
      <c r="BV360" s="350"/>
      <c r="BW360" s="350"/>
      <c r="BX360" s="350"/>
    </row>
    <row r="361" spans="4:76" ht="17.25" thickBot="1" x14ac:dyDescent="0.35">
      <c r="D361" s="755"/>
      <c r="E361" s="311"/>
      <c r="F361" s="227"/>
      <c r="G361" s="220"/>
      <c r="H361" s="312"/>
      <c r="I361" s="312"/>
      <c r="J361" s="312"/>
      <c r="K361" s="220"/>
      <c r="L361" s="756"/>
      <c r="M361" s="756"/>
      <c r="N361" s="756"/>
      <c r="O361" s="757"/>
      <c r="P361" s="206"/>
      <c r="Q361" s="755"/>
      <c r="R361" s="311"/>
      <c r="S361" s="227"/>
      <c r="T361" s="234" t="s">
        <v>52</v>
      </c>
      <c r="U361" s="578">
        <f t="shared" si="35"/>
        <v>0</v>
      </c>
      <c r="V361" s="579" t="e">
        <f t="shared" si="35"/>
        <v>#N/A</v>
      </c>
      <c r="W361" s="579" t="e">
        <f t="shared" si="35"/>
        <v>#N/A</v>
      </c>
      <c r="X361" s="580" t="e">
        <f t="shared" si="35"/>
        <v>#N/A</v>
      </c>
      <c r="Y361" s="756"/>
      <c r="Z361" s="756"/>
      <c r="AA361" s="757"/>
      <c r="AB361" s="207"/>
      <c r="AV361" s="647"/>
      <c r="AW361" s="350"/>
      <c r="AX361" s="599"/>
      <c r="AY361" s="750"/>
      <c r="AZ361" s="350"/>
      <c r="BA361" s="384"/>
      <c r="BB361" s="592"/>
      <c r="BC361" s="382"/>
      <c r="BD361" s="557"/>
      <c r="BE361" s="468"/>
      <c r="BF361" s="376"/>
      <c r="BG361" s="376"/>
      <c r="BH361" s="350"/>
      <c r="BI361" s="350"/>
      <c r="BJ361" s="350"/>
      <c r="BK361" s="350"/>
      <c r="BL361" s="350"/>
      <c r="BM361" s="350"/>
      <c r="BO361" s="350"/>
      <c r="BP361" s="350"/>
      <c r="BQ361" s="350"/>
      <c r="BR361" s="350"/>
      <c r="BS361" s="350"/>
      <c r="BT361" s="350"/>
      <c r="BU361" s="350"/>
      <c r="BV361" s="350"/>
      <c r="BW361" s="350"/>
      <c r="BX361" s="350"/>
    </row>
    <row r="362" spans="4:76" x14ac:dyDescent="0.3">
      <c r="D362" s="219"/>
      <c r="E362" s="230" t="s">
        <v>46</v>
      </c>
      <c r="F362" s="328">
        <f>IFERROR(F356/$F$360,0)</f>
        <v>0</v>
      </c>
      <c r="G362" s="220"/>
      <c r="H362" s="312"/>
      <c r="I362" s="312"/>
      <c r="J362" s="312"/>
      <c r="K362" s="220"/>
      <c r="L362" s="220"/>
      <c r="M362" s="220"/>
      <c r="N362" s="220"/>
      <c r="O362" s="221"/>
      <c r="P362" s="206"/>
      <c r="Q362" s="219"/>
      <c r="R362" s="230" t="s">
        <v>46</v>
      </c>
      <c r="S362" s="328">
        <f>IFERROR(S356/R356,0)</f>
        <v>0</v>
      </c>
      <c r="T362" s="234" t="s">
        <v>53</v>
      </c>
      <c r="U362" s="578">
        <f t="shared" si="35"/>
        <v>0.25</v>
      </c>
      <c r="V362" s="579" t="e">
        <f t="shared" si="35"/>
        <v>#N/A</v>
      </c>
      <c r="W362" s="579" t="e">
        <f t="shared" si="35"/>
        <v>#N/A</v>
      </c>
      <c r="X362" s="580" t="e">
        <f t="shared" si="35"/>
        <v>#N/A</v>
      </c>
      <c r="Y362" s="220"/>
      <c r="Z362" s="220"/>
      <c r="AA362" s="221"/>
      <c r="AB362" s="207"/>
      <c r="AV362" s="647"/>
      <c r="AW362" s="350"/>
      <c r="AX362" s="599"/>
      <c r="AY362" s="750"/>
      <c r="AZ362" s="350"/>
      <c r="BA362" s="384"/>
      <c r="BB362" s="715"/>
      <c r="BC362" s="648"/>
      <c r="BD362" s="557"/>
      <c r="BE362" s="468"/>
      <c r="BF362" s="376"/>
      <c r="BG362" s="376"/>
      <c r="BH362" s="350"/>
      <c r="BI362" s="350"/>
      <c r="BJ362" s="350"/>
      <c r="BK362" s="350"/>
      <c r="BL362" s="350"/>
      <c r="BM362" s="350"/>
      <c r="BO362" s="350"/>
      <c r="BP362" s="350"/>
      <c r="BQ362" s="350"/>
      <c r="BR362" s="350"/>
      <c r="BS362" s="350"/>
      <c r="BT362" s="350"/>
      <c r="BU362" s="350"/>
      <c r="BV362" s="350"/>
      <c r="BW362" s="350"/>
      <c r="BX362" s="350"/>
    </row>
    <row r="363" spans="4:76" ht="17.25" customHeight="1" thickBot="1" x14ac:dyDescent="0.35">
      <c r="D363" s="427"/>
      <c r="E363" s="234" t="s">
        <v>52</v>
      </c>
      <c r="F363" s="340">
        <f>IFERROR(F357/$F$360,0)</f>
        <v>0</v>
      </c>
      <c r="G363" s="220"/>
      <c r="H363" s="312"/>
      <c r="I363" s="312"/>
      <c r="J363" s="312"/>
      <c r="K363" s="220"/>
      <c r="L363" s="428"/>
      <c r="M363" s="428"/>
      <c r="N363" s="428"/>
      <c r="O363" s="550"/>
      <c r="P363" s="206"/>
      <c r="Q363" s="758"/>
      <c r="R363" s="234" t="s">
        <v>52</v>
      </c>
      <c r="S363" s="340">
        <f>IFERROR(S357/R357,0)</f>
        <v>0</v>
      </c>
      <c r="T363" s="254" t="s">
        <v>495</v>
      </c>
      <c r="U363" s="460">
        <f t="shared" si="35"/>
        <v>0.25</v>
      </c>
      <c r="V363" s="461" t="e">
        <f t="shared" si="35"/>
        <v>#N/A</v>
      </c>
      <c r="W363" s="461" t="e">
        <f t="shared" si="35"/>
        <v>#N/A</v>
      </c>
      <c r="X363" s="462" t="e">
        <f t="shared" si="35"/>
        <v>#N/A</v>
      </c>
      <c r="Y363" s="551"/>
      <c r="Z363" s="551"/>
      <c r="AA363" s="552"/>
      <c r="AB363" s="207"/>
      <c r="AV363" s="647"/>
      <c r="AW363" s="350"/>
      <c r="AX363" s="599"/>
      <c r="AY363" s="350"/>
      <c r="AZ363" s="350"/>
      <c r="BA363" s="350"/>
      <c r="BB363" s="350"/>
      <c r="BC363" s="350"/>
      <c r="BD363" s="350"/>
      <c r="BE363" s="350"/>
      <c r="BF363" s="376"/>
      <c r="BG363" s="376"/>
      <c r="BH363" s="350"/>
      <c r="BI363" s="350"/>
      <c r="BJ363" s="350"/>
      <c r="BK363" s="350"/>
      <c r="BL363" s="350"/>
      <c r="BM363" s="350"/>
      <c r="BO363" s="350"/>
      <c r="BP363" s="350"/>
      <c r="BQ363" s="350"/>
      <c r="BR363" s="350"/>
      <c r="BS363" s="350"/>
      <c r="BT363" s="350"/>
      <c r="BU363" s="350"/>
      <c r="BV363" s="350"/>
      <c r="BW363" s="350"/>
      <c r="BX363" s="350"/>
    </row>
    <row r="364" spans="4:76" x14ac:dyDescent="0.3">
      <c r="D364" s="219"/>
      <c r="E364" s="234" t="s">
        <v>53</v>
      </c>
      <c r="F364" s="340">
        <f>IFERROR(F358/$F$360,0)</f>
        <v>0.25</v>
      </c>
      <c r="G364" s="220"/>
      <c r="H364" s="312"/>
      <c r="I364" s="312"/>
      <c r="J364" s="312"/>
      <c r="K364" s="220"/>
      <c r="L364" s="220"/>
      <c r="M364" s="220"/>
      <c r="N364" s="220"/>
      <c r="O364" s="221"/>
      <c r="P364" s="206"/>
      <c r="Q364" s="219"/>
      <c r="R364" s="234" t="s">
        <v>53</v>
      </c>
      <c r="S364" s="340">
        <f>IFERROR(S358/R358,0)</f>
        <v>0.25</v>
      </c>
      <c r="T364" s="220"/>
      <c r="U364" s="312"/>
      <c r="V364" s="312"/>
      <c r="W364" s="312"/>
      <c r="X364" s="220"/>
      <c r="Y364" s="220"/>
      <c r="Z364" s="220"/>
      <c r="AA364" s="221"/>
      <c r="AB364" s="207"/>
      <c r="AV364" s="647"/>
      <c r="AW364" s="350"/>
      <c r="AX364" s="599"/>
      <c r="AY364" s="350"/>
      <c r="AZ364" s="350"/>
      <c r="BA364" s="350"/>
      <c r="BB364" s="350"/>
      <c r="BC364" s="350"/>
      <c r="BD364" s="350"/>
      <c r="BE364" s="350"/>
      <c r="BF364" s="376"/>
      <c r="BG364" s="376"/>
      <c r="BH364" s="350"/>
      <c r="BI364" s="350"/>
      <c r="BJ364" s="350"/>
      <c r="BK364" s="350"/>
      <c r="BL364" s="350"/>
      <c r="BM364" s="350"/>
      <c r="BO364" s="350"/>
      <c r="BP364" s="350"/>
      <c r="BQ364" s="350"/>
      <c r="BR364" s="350"/>
      <c r="BS364" s="350"/>
      <c r="BT364" s="350"/>
      <c r="BU364" s="350"/>
      <c r="BV364" s="350"/>
      <c r="BW364" s="350"/>
      <c r="BX364" s="350"/>
    </row>
    <row r="365" spans="4:76" ht="17.25" thickBot="1" x14ac:dyDescent="0.35">
      <c r="D365" s="223"/>
      <c r="E365" s="254" t="s">
        <v>495</v>
      </c>
      <c r="F365" s="349">
        <f>IFERROR(F359/$F$360,0)</f>
        <v>0.25</v>
      </c>
      <c r="G365" s="220"/>
      <c r="H365" s="312"/>
      <c r="I365" s="312"/>
      <c r="J365" s="312"/>
      <c r="K365" s="220"/>
      <c r="L365" s="220"/>
      <c r="M365" s="220"/>
      <c r="N365" s="220"/>
      <c r="O365" s="221"/>
      <c r="P365" s="206"/>
      <c r="Q365" s="223"/>
      <c r="R365" s="254" t="s">
        <v>495</v>
      </c>
      <c r="S365" s="349">
        <f>IFERROR(S359/R359,0)</f>
        <v>0.25</v>
      </c>
      <c r="T365" s="220"/>
      <c r="U365" s="312"/>
      <c r="V365" s="312"/>
      <c r="W365" s="312"/>
      <c r="X365" s="220"/>
      <c r="Y365" s="220"/>
      <c r="Z365" s="220"/>
      <c r="AA365" s="221"/>
      <c r="AB365" s="207"/>
      <c r="AV365" s="350"/>
      <c r="AW365" s="350"/>
      <c r="AX365" s="350"/>
      <c r="AY365" s="350"/>
      <c r="AZ365" s="350"/>
      <c r="BA365" s="350"/>
      <c r="BB365" s="350"/>
      <c r="BC365" s="350"/>
      <c r="BD365" s="350"/>
      <c r="BE365" s="350"/>
      <c r="BF365" s="350"/>
      <c r="BG365" s="350"/>
      <c r="BH365" s="350"/>
      <c r="BI365" s="350"/>
      <c r="BJ365" s="350"/>
      <c r="BK365" s="350"/>
      <c r="BL365" s="350"/>
      <c r="BM365" s="350"/>
      <c r="BO365" s="350"/>
      <c r="BP365" s="350"/>
      <c r="BQ365" s="350"/>
      <c r="BR365" s="350"/>
      <c r="BS365" s="350"/>
      <c r="BT365" s="350"/>
      <c r="BU365" s="350"/>
      <c r="BV365" s="350"/>
      <c r="BW365" s="350"/>
      <c r="BX365" s="350"/>
    </row>
    <row r="366" spans="4:76" ht="17.25" thickBot="1" x14ac:dyDescent="0.35">
      <c r="D366" s="226"/>
      <c r="E366" s="284" t="s">
        <v>67</v>
      </c>
      <c r="F366" s="357">
        <f>IFERROR(SUM(F362:F364),0)</f>
        <v>0.25</v>
      </c>
      <c r="G366" s="220"/>
      <c r="H366" s="312"/>
      <c r="I366" s="312"/>
      <c r="J366" s="312"/>
      <c r="K366" s="220"/>
      <c r="L366" s="220"/>
      <c r="M366" s="220"/>
      <c r="N366" s="220"/>
      <c r="O366" s="221"/>
      <c r="P366" s="206"/>
      <c r="Q366" s="226"/>
      <c r="R366" s="284" t="s">
        <v>67</v>
      </c>
      <c r="S366" s="759">
        <f>IFERROR(S360/R360,0)</f>
        <v>0.5</v>
      </c>
      <c r="T366" s="220"/>
      <c r="U366" s="312"/>
      <c r="V366" s="312"/>
      <c r="W366" s="312"/>
      <c r="X366" s="220"/>
      <c r="Y366" s="220"/>
      <c r="Z366" s="220"/>
      <c r="AA366" s="221"/>
      <c r="AB366" s="207"/>
      <c r="AV366" s="647"/>
      <c r="AW366" s="350"/>
      <c r="AX366" s="599"/>
      <c r="AY366" s="368"/>
      <c r="AZ366" s="368"/>
      <c r="BA366" s="368"/>
      <c r="BB366" s="368"/>
      <c r="BC366" s="350"/>
      <c r="BD366" s="350"/>
      <c r="BE366" s="350"/>
      <c r="BF366" s="376"/>
      <c r="BG366" s="376"/>
      <c r="BH366" s="350"/>
      <c r="BI366" s="350"/>
      <c r="BJ366" s="350"/>
      <c r="BK366" s="350"/>
      <c r="BL366" s="350"/>
      <c r="BM366" s="350"/>
      <c r="BO366" s="350"/>
      <c r="BP366" s="350"/>
      <c r="BQ366" s="350"/>
      <c r="BR366" s="350"/>
      <c r="BS366" s="350"/>
      <c r="BT366" s="350"/>
      <c r="BU366" s="350"/>
      <c r="BV366" s="350"/>
      <c r="BW366" s="350"/>
      <c r="BX366" s="350"/>
    </row>
    <row r="367" spans="4:76" ht="17.25" thickBot="1" x14ac:dyDescent="0.35">
      <c r="D367" s="649"/>
      <c r="E367" s="447"/>
      <c r="F367" s="449"/>
      <c r="G367" s="651"/>
      <c r="H367" s="651"/>
      <c r="I367" s="651"/>
      <c r="J367" s="651"/>
      <c r="K367" s="449"/>
      <c r="L367" s="449"/>
      <c r="M367" s="449"/>
      <c r="N367" s="449"/>
      <c r="O367" s="450"/>
      <c r="P367" s="206"/>
      <c r="Q367" s="446"/>
      <c r="R367" s="447"/>
      <c r="S367" s="449"/>
      <c r="T367" s="449"/>
      <c r="U367" s="449"/>
      <c r="V367" s="449"/>
      <c r="W367" s="449"/>
      <c r="X367" s="449"/>
      <c r="Y367" s="449"/>
      <c r="Z367" s="449"/>
      <c r="AA367" s="450"/>
      <c r="AB367" s="207"/>
      <c r="AV367" s="350"/>
      <c r="AW367" s="350"/>
      <c r="AX367" s="350"/>
      <c r="AY367" s="750"/>
      <c r="AZ367" s="393"/>
      <c r="BA367" s="393"/>
      <c r="BB367" s="393"/>
      <c r="BC367" s="382"/>
      <c r="BD367" s="382"/>
      <c r="BE367" s="382"/>
      <c r="BF367" s="350"/>
      <c r="BG367" s="350"/>
      <c r="BH367" s="350"/>
      <c r="BI367" s="350"/>
      <c r="BJ367" s="350"/>
      <c r="BK367" s="350"/>
      <c r="BL367" s="350"/>
      <c r="BM367" s="350"/>
      <c r="BO367" s="350"/>
      <c r="BP367" s="350"/>
      <c r="BQ367" s="350"/>
      <c r="BR367" s="350"/>
      <c r="BS367" s="350"/>
      <c r="BT367" s="350"/>
      <c r="BU367" s="350"/>
      <c r="BV367" s="350"/>
      <c r="BW367" s="350"/>
      <c r="BX367" s="350"/>
    </row>
    <row r="368" spans="4:76" ht="20.25" x14ac:dyDescent="0.3">
      <c r="D368" s="764"/>
      <c r="E368" s="764"/>
      <c r="F368" s="764"/>
      <c r="G368" s="764"/>
      <c r="H368" s="764"/>
      <c r="I368" s="764"/>
      <c r="J368" s="764"/>
      <c r="K368" s="764"/>
      <c r="L368" s="764"/>
      <c r="M368" s="764"/>
      <c r="N368" s="764"/>
      <c r="O368" s="764"/>
      <c r="P368" s="206"/>
      <c r="Q368" s="764"/>
      <c r="R368" s="764"/>
      <c r="S368" s="764"/>
      <c r="T368" s="764"/>
      <c r="U368" s="764"/>
      <c r="V368" s="764"/>
      <c r="W368" s="764"/>
      <c r="X368" s="764"/>
      <c r="Y368" s="764"/>
      <c r="Z368" s="764"/>
      <c r="AA368" s="764"/>
      <c r="AB368" s="207"/>
      <c r="AV368" s="350"/>
      <c r="AW368" s="350"/>
      <c r="AX368" s="350"/>
      <c r="AY368" s="750"/>
      <c r="AZ368" s="350"/>
      <c r="BA368" s="384"/>
      <c r="BB368" s="384"/>
      <c r="BC368" s="350"/>
      <c r="BD368" s="557"/>
      <c r="BE368" s="468"/>
      <c r="BF368" s="350"/>
      <c r="BG368" s="350"/>
      <c r="BH368" s="350"/>
      <c r="BI368" s="350"/>
      <c r="BJ368" s="350"/>
      <c r="BK368" s="350"/>
      <c r="BL368" s="350"/>
      <c r="BM368" s="350"/>
      <c r="BO368" s="350"/>
      <c r="BP368" s="350"/>
      <c r="BQ368" s="350"/>
      <c r="BR368" s="350"/>
      <c r="BS368" s="350"/>
      <c r="BT368" s="350"/>
      <c r="BU368" s="350"/>
      <c r="BV368" s="350"/>
      <c r="BW368" s="350"/>
      <c r="BX368" s="350"/>
    </row>
    <row r="369" spans="16:76" x14ac:dyDescent="0.3">
      <c r="P369" s="765"/>
      <c r="X369" s="698"/>
      <c r="Y369" s="698"/>
      <c r="Z369" s="698"/>
      <c r="AA369" s="698"/>
      <c r="AB369" s="632"/>
      <c r="AV369" s="647"/>
      <c r="AW369" s="382"/>
      <c r="AX369" s="382"/>
      <c r="AY369" s="750"/>
      <c r="AZ369" s="350"/>
      <c r="BA369" s="384"/>
      <c r="BB369" s="592"/>
      <c r="BC369" s="382"/>
      <c r="BD369" s="557"/>
      <c r="BE369" s="468"/>
      <c r="BF369" s="382"/>
      <c r="BG369" s="382"/>
      <c r="BH369" s="350"/>
      <c r="BI369" s="350"/>
      <c r="BJ369" s="350"/>
      <c r="BK369" s="350"/>
      <c r="BL369" s="350"/>
      <c r="BM369" s="350"/>
      <c r="BO369" s="350"/>
      <c r="BP369" s="350"/>
      <c r="BQ369" s="350"/>
      <c r="BR369" s="350"/>
      <c r="BS369" s="350"/>
      <c r="BT369" s="350"/>
      <c r="BU369" s="350"/>
      <c r="BV369" s="350"/>
      <c r="BW369" s="350"/>
      <c r="BX369" s="350"/>
    </row>
    <row r="370" spans="16:76" x14ac:dyDescent="0.3">
      <c r="P370" s="765"/>
      <c r="X370" s="698"/>
      <c r="Y370" s="698"/>
      <c r="Z370" s="698"/>
      <c r="AA370" s="698"/>
      <c r="AB370" s="632"/>
      <c r="AV370" s="350"/>
      <c r="AW370" s="350"/>
      <c r="AX370" s="350"/>
      <c r="AY370" s="750"/>
      <c r="AZ370" s="350"/>
      <c r="BA370" s="384"/>
      <c r="BB370" s="715"/>
      <c r="BC370" s="648"/>
      <c r="BD370" s="557"/>
      <c r="BE370" s="468"/>
      <c r="BF370" s="350"/>
      <c r="BG370" s="350"/>
      <c r="BH370" s="350"/>
      <c r="BI370" s="350"/>
      <c r="BJ370" s="350"/>
      <c r="BK370" s="350"/>
      <c r="BL370" s="350"/>
      <c r="BM370" s="350"/>
      <c r="BO370" s="350"/>
      <c r="BP370" s="350"/>
      <c r="BQ370" s="350"/>
      <c r="BR370" s="350"/>
      <c r="BS370" s="350"/>
      <c r="BT370" s="350"/>
      <c r="BU370" s="350"/>
      <c r="BV370" s="350"/>
      <c r="BW370" s="350"/>
      <c r="BX370" s="350"/>
    </row>
    <row r="371" spans="16:76" x14ac:dyDescent="0.3">
      <c r="P371" s="765"/>
      <c r="X371" s="698"/>
      <c r="Y371" s="698"/>
      <c r="Z371" s="698"/>
      <c r="AA371" s="698"/>
      <c r="AB371" s="632"/>
      <c r="AV371" s="350"/>
      <c r="AW371" s="350"/>
      <c r="AX371" s="350"/>
      <c r="AY371" s="350"/>
      <c r="AZ371" s="350"/>
      <c r="BA371" s="350"/>
      <c r="BB371" s="350"/>
      <c r="BC371" s="350"/>
      <c r="BD371" s="350"/>
      <c r="BE371" s="350"/>
      <c r="BF371" s="350"/>
      <c r="BG371" s="350"/>
      <c r="BH371" s="350"/>
      <c r="BI371" s="350"/>
      <c r="BJ371" s="350"/>
      <c r="BK371" s="350"/>
      <c r="BL371" s="350"/>
      <c r="BM371" s="350"/>
      <c r="BO371" s="350"/>
      <c r="BP371" s="350"/>
      <c r="BQ371" s="350"/>
      <c r="BR371" s="350"/>
      <c r="BS371" s="350"/>
      <c r="BT371" s="350"/>
      <c r="BU371" s="350"/>
      <c r="BV371" s="350"/>
      <c r="BW371" s="350"/>
      <c r="BX371" s="350"/>
    </row>
    <row r="372" spans="16:76" x14ac:dyDescent="0.3">
      <c r="P372" s="765"/>
      <c r="X372" s="698"/>
      <c r="Y372" s="698"/>
      <c r="Z372" s="698"/>
      <c r="AA372" s="698"/>
      <c r="AB372" s="632"/>
      <c r="AV372" s="350"/>
      <c r="AW372" s="350"/>
      <c r="AX372" s="350"/>
      <c r="AY372" s="350"/>
      <c r="AZ372" s="350"/>
      <c r="BA372" s="350"/>
      <c r="BB372" s="350"/>
      <c r="BC372" s="350"/>
      <c r="BD372" s="350"/>
      <c r="BE372" s="350"/>
      <c r="BF372" s="350"/>
      <c r="BG372" s="350"/>
      <c r="BH372" s="350"/>
      <c r="BI372" s="350"/>
      <c r="BJ372" s="350"/>
      <c r="BK372" s="350"/>
      <c r="BL372" s="350"/>
      <c r="BM372" s="350"/>
      <c r="BO372" s="350"/>
      <c r="BP372" s="350"/>
      <c r="BQ372" s="350"/>
      <c r="BR372" s="350"/>
      <c r="BS372" s="350"/>
      <c r="BT372" s="350"/>
      <c r="BU372" s="350"/>
      <c r="BV372" s="350"/>
      <c r="BW372" s="350"/>
      <c r="BX372" s="350"/>
    </row>
    <row r="373" spans="16:76" x14ac:dyDescent="0.3">
      <c r="P373" s="765"/>
      <c r="X373" s="698"/>
      <c r="Y373" s="698"/>
      <c r="Z373" s="698"/>
      <c r="AA373" s="698"/>
      <c r="AB373" s="632"/>
      <c r="AV373" s="647"/>
      <c r="AW373" s="383"/>
      <c r="AX373" s="599"/>
      <c r="AY373" s="350"/>
      <c r="AZ373" s="350"/>
      <c r="BA373" s="350"/>
      <c r="BB373" s="350"/>
      <c r="BC373" s="350"/>
      <c r="BD373" s="350"/>
      <c r="BE373" s="350"/>
      <c r="BF373" s="376"/>
      <c r="BG373" s="376"/>
      <c r="BH373" s="350"/>
      <c r="BI373" s="350"/>
      <c r="BJ373" s="350"/>
      <c r="BK373" s="350"/>
      <c r="BL373" s="350"/>
      <c r="BM373" s="350"/>
      <c r="BO373" s="350"/>
      <c r="BP373" s="350"/>
      <c r="BQ373" s="350"/>
      <c r="BR373" s="350"/>
      <c r="BS373" s="350"/>
      <c r="BT373" s="350"/>
      <c r="BU373" s="350"/>
      <c r="BV373" s="350"/>
      <c r="BW373" s="350"/>
      <c r="BX373" s="350"/>
    </row>
    <row r="374" spans="16:76" x14ac:dyDescent="0.3">
      <c r="P374" s="765"/>
      <c r="X374" s="698"/>
      <c r="Y374" s="698"/>
      <c r="Z374" s="698"/>
      <c r="AA374" s="698"/>
      <c r="AB374" s="632"/>
      <c r="AV374" s="350"/>
      <c r="AW374" s="350"/>
      <c r="AX374" s="350"/>
      <c r="AY374" s="368"/>
      <c r="AZ374" s="368"/>
      <c r="BA374" s="368"/>
      <c r="BB374" s="368"/>
      <c r="BC374" s="350"/>
      <c r="BD374" s="350"/>
      <c r="BE374" s="350"/>
      <c r="BF374" s="350"/>
      <c r="BG374" s="350"/>
      <c r="BH374" s="350"/>
      <c r="BI374" s="350"/>
      <c r="BJ374" s="350"/>
      <c r="BK374" s="350"/>
      <c r="BL374" s="350"/>
      <c r="BM374" s="350"/>
      <c r="BO374" s="350"/>
      <c r="BP374" s="350"/>
      <c r="BQ374" s="350"/>
      <c r="BR374" s="350"/>
      <c r="BS374" s="350"/>
      <c r="BT374" s="350"/>
      <c r="BU374" s="350"/>
      <c r="BV374" s="350"/>
      <c r="BW374" s="350"/>
      <c r="BX374" s="350"/>
    </row>
    <row r="375" spans="16:76" ht="17.25" customHeight="1" x14ac:dyDescent="0.3">
      <c r="P375" s="765"/>
      <c r="X375" s="698"/>
      <c r="Y375" s="698"/>
      <c r="Z375" s="698"/>
      <c r="AA375" s="698"/>
      <c r="AB375" s="632"/>
      <c r="AV375" s="555"/>
      <c r="AW375" s="393"/>
      <c r="AX375" s="393"/>
      <c r="AY375" s="750"/>
      <c r="AZ375" s="393"/>
      <c r="BA375" s="393"/>
      <c r="BB375" s="393"/>
      <c r="BC375" s="382"/>
      <c r="BD375" s="382"/>
      <c r="BE375" s="382"/>
      <c r="BF375" s="382"/>
      <c r="BG375" s="382"/>
      <c r="BH375" s="382"/>
      <c r="BI375" s="382"/>
      <c r="BJ375" s="382"/>
      <c r="BK375" s="382"/>
      <c r="BL375" s="382"/>
      <c r="BM375" s="382"/>
      <c r="BO375" s="350"/>
      <c r="BP375" s="350"/>
      <c r="BQ375" s="350"/>
      <c r="BR375" s="350"/>
      <c r="BS375" s="350"/>
      <c r="BT375" s="350"/>
      <c r="BU375" s="350"/>
      <c r="BV375" s="350"/>
      <c r="BW375" s="350"/>
      <c r="BX375" s="350"/>
    </row>
    <row r="376" spans="16:76" x14ac:dyDescent="0.3">
      <c r="P376" s="765"/>
      <c r="X376" s="698"/>
      <c r="Y376" s="698"/>
      <c r="Z376" s="698"/>
      <c r="AA376" s="698"/>
      <c r="AB376" s="632"/>
      <c r="AV376" s="555"/>
      <c r="AW376" s="350"/>
      <c r="AX376" s="383"/>
      <c r="AY376" s="750"/>
      <c r="AZ376" s="350"/>
      <c r="BA376" s="384"/>
      <c r="BB376" s="384"/>
      <c r="BC376" s="350"/>
      <c r="BD376" s="557"/>
      <c r="BE376" s="468"/>
      <c r="BF376" s="350"/>
      <c r="BG376" s="350"/>
      <c r="BH376" s="350"/>
      <c r="BI376" s="350"/>
      <c r="BJ376" s="350"/>
      <c r="BK376" s="350"/>
      <c r="BL376" s="350"/>
      <c r="BM376" s="350"/>
      <c r="BO376" s="350"/>
      <c r="BP376" s="350"/>
      <c r="BQ376" s="350"/>
      <c r="BR376" s="350"/>
      <c r="BS376" s="350"/>
      <c r="BT376" s="350"/>
      <c r="BU376" s="350"/>
      <c r="BV376" s="350"/>
      <c r="BW376" s="350"/>
      <c r="BX376" s="350"/>
    </row>
    <row r="377" spans="16:76" x14ac:dyDescent="0.3">
      <c r="P377" s="765"/>
      <c r="X377" s="698"/>
      <c r="Y377" s="698"/>
      <c r="Z377" s="698"/>
      <c r="AA377" s="698"/>
      <c r="AB377" s="632"/>
      <c r="AV377" s="555"/>
      <c r="AW377" s="350"/>
      <c r="AX377" s="599"/>
      <c r="AY377" s="750"/>
      <c r="AZ377" s="350"/>
      <c r="BA377" s="384"/>
      <c r="BB377" s="592"/>
      <c r="BC377" s="382"/>
      <c r="BD377" s="557"/>
      <c r="BE377" s="468"/>
      <c r="BF377" s="382"/>
      <c r="BG377" s="382"/>
      <c r="BH377" s="350"/>
      <c r="BI377" s="350"/>
      <c r="BJ377" s="350"/>
      <c r="BK377" s="350"/>
      <c r="BL377" s="350"/>
      <c r="BM377" s="350"/>
      <c r="BO377" s="350"/>
      <c r="BP377" s="350"/>
      <c r="BQ377" s="350"/>
      <c r="BR377" s="350"/>
      <c r="BS377" s="350"/>
      <c r="BT377" s="350"/>
      <c r="BU377" s="350"/>
      <c r="BV377" s="350"/>
      <c r="BW377" s="350"/>
      <c r="BX377" s="350"/>
    </row>
    <row r="378" spans="16:76" x14ac:dyDescent="0.3">
      <c r="P378" s="765"/>
      <c r="X378" s="698"/>
      <c r="Y378" s="698"/>
      <c r="Z378" s="698"/>
      <c r="AA378" s="698"/>
      <c r="AB378" s="632"/>
      <c r="AV378" s="647"/>
      <c r="AW378" s="350"/>
      <c r="AX378" s="599"/>
      <c r="AY378" s="750"/>
      <c r="AZ378" s="350"/>
      <c r="BA378" s="384"/>
      <c r="BB378" s="715"/>
      <c r="BC378" s="648"/>
      <c r="BD378" s="557"/>
      <c r="BE378" s="468"/>
      <c r="BF378" s="376"/>
      <c r="BG378" s="376"/>
      <c r="BH378" s="350"/>
      <c r="BI378" s="350"/>
      <c r="BJ378" s="350"/>
      <c r="BK378" s="350"/>
      <c r="BL378" s="350"/>
      <c r="BM378" s="350"/>
      <c r="BO378" s="350"/>
      <c r="BP378" s="350"/>
      <c r="BQ378" s="350"/>
      <c r="BR378" s="350"/>
      <c r="BS378" s="350"/>
      <c r="BT378" s="350"/>
      <c r="BU378" s="350"/>
      <c r="BV378" s="350"/>
      <c r="BW378" s="350"/>
      <c r="BX378" s="350"/>
    </row>
    <row r="379" spans="16:76" x14ac:dyDescent="0.3">
      <c r="P379" s="765"/>
      <c r="X379" s="698"/>
      <c r="Y379" s="698"/>
      <c r="Z379" s="698"/>
      <c r="AA379" s="698"/>
      <c r="AB379" s="632"/>
      <c r="AV379" s="350"/>
      <c r="AW379" s="350"/>
      <c r="AX379" s="350"/>
      <c r="AY379" s="350"/>
      <c r="AZ379" s="350"/>
      <c r="BA379" s="350"/>
      <c r="BB379" s="350"/>
      <c r="BC379" s="350"/>
      <c r="BD379" s="350"/>
      <c r="BE379" s="350"/>
      <c r="BF379" s="350"/>
      <c r="BG379" s="350"/>
      <c r="BH379" s="350"/>
      <c r="BI379" s="350"/>
      <c r="BJ379" s="350"/>
      <c r="BK379" s="350"/>
      <c r="BL379" s="350"/>
      <c r="BM379" s="350"/>
      <c r="BO379" s="350"/>
      <c r="BP379" s="350"/>
      <c r="BQ379" s="350"/>
      <c r="BR379" s="350"/>
      <c r="BS379" s="350"/>
      <c r="BT379" s="350"/>
      <c r="BU379" s="350"/>
      <c r="BV379" s="350"/>
      <c r="BW379" s="350"/>
      <c r="BX379" s="350"/>
    </row>
    <row r="380" spans="16:76" x14ac:dyDescent="0.3">
      <c r="P380" s="765"/>
      <c r="X380" s="698"/>
      <c r="Y380" s="698"/>
      <c r="Z380" s="698"/>
      <c r="AA380" s="698"/>
      <c r="AB380" s="632"/>
      <c r="AV380" s="350"/>
      <c r="AW380" s="350"/>
      <c r="AX380" s="350"/>
      <c r="AY380" s="382"/>
      <c r="AZ380" s="382"/>
      <c r="BA380" s="382"/>
      <c r="BB380" s="382"/>
      <c r="BC380" s="350"/>
      <c r="BD380" s="350"/>
      <c r="BE380" s="350"/>
      <c r="BF380" s="350"/>
      <c r="BG380" s="350"/>
      <c r="BH380" s="350"/>
      <c r="BI380" s="350"/>
      <c r="BJ380" s="350"/>
      <c r="BK380" s="350"/>
      <c r="BL380" s="350"/>
      <c r="BM380" s="350"/>
      <c r="BO380" s="350"/>
      <c r="BP380" s="350"/>
      <c r="BQ380" s="350"/>
      <c r="BR380" s="350"/>
      <c r="BS380" s="350"/>
      <c r="BT380" s="350"/>
      <c r="BU380" s="350"/>
      <c r="BV380" s="350"/>
      <c r="BW380" s="350"/>
      <c r="BX380" s="350"/>
    </row>
    <row r="381" spans="16:76" x14ac:dyDescent="0.3">
      <c r="P381" s="765"/>
      <c r="X381" s="698"/>
      <c r="Y381" s="698"/>
      <c r="Z381" s="698"/>
      <c r="AA381" s="698"/>
      <c r="AB381" s="632"/>
      <c r="AV381" s="350"/>
      <c r="AW381" s="350"/>
      <c r="AX381" s="350"/>
      <c r="AY381" s="749"/>
      <c r="AZ381" s="393"/>
      <c r="BA381" s="393"/>
      <c r="BB381" s="393"/>
      <c r="BC381" s="382"/>
      <c r="BD381" s="382"/>
      <c r="BE381" s="382"/>
      <c r="BF381" s="350"/>
      <c r="BG381" s="350"/>
      <c r="BH381" s="350"/>
      <c r="BI381" s="350"/>
      <c r="BJ381" s="350"/>
      <c r="BK381" s="350"/>
      <c r="BL381" s="350"/>
      <c r="BM381" s="350"/>
      <c r="BO381" s="350"/>
      <c r="BP381" s="350"/>
      <c r="BQ381" s="350"/>
      <c r="BR381" s="350"/>
      <c r="BS381" s="350"/>
      <c r="BT381" s="350"/>
      <c r="BU381" s="350"/>
      <c r="BV381" s="350"/>
      <c r="BW381" s="350"/>
      <c r="BX381" s="350"/>
    </row>
    <row r="382" spans="16:76" x14ac:dyDescent="0.3">
      <c r="P382" s="765"/>
      <c r="X382" s="698"/>
      <c r="Y382" s="698"/>
      <c r="Z382" s="698"/>
      <c r="AA382" s="698"/>
      <c r="AB382" s="632"/>
      <c r="AV382" s="512"/>
      <c r="AW382" s="512"/>
      <c r="AX382" s="512"/>
      <c r="AY382" s="512"/>
      <c r="AZ382" s="512"/>
      <c r="BA382" s="512"/>
      <c r="BB382" s="512"/>
      <c r="BC382" s="512"/>
      <c r="BD382" s="512"/>
      <c r="BE382" s="512"/>
      <c r="BF382" s="512"/>
      <c r="BG382" s="512"/>
      <c r="BH382" s="512"/>
      <c r="BI382" s="512"/>
      <c r="BJ382" s="512"/>
      <c r="BK382" s="512"/>
      <c r="BL382" s="512"/>
      <c r="BM382" s="512"/>
      <c r="BO382" s="350"/>
      <c r="BP382" s="350"/>
      <c r="BQ382" s="350"/>
      <c r="BR382" s="350"/>
      <c r="BS382" s="350"/>
      <c r="BT382" s="350"/>
      <c r="BU382" s="350"/>
      <c r="BV382" s="350"/>
      <c r="BW382" s="350"/>
      <c r="BX382" s="350"/>
    </row>
    <row r="383" spans="16:76" x14ac:dyDescent="0.3">
      <c r="P383" s="765"/>
      <c r="X383" s="698"/>
      <c r="Y383" s="698"/>
      <c r="Z383" s="698"/>
      <c r="AA383" s="698"/>
      <c r="AB383" s="632"/>
      <c r="AV383" s="623"/>
      <c r="AW383" s="766"/>
      <c r="AX383" s="383"/>
      <c r="AY383" s="383"/>
      <c r="AZ383" s="376"/>
      <c r="BA383" s="714"/>
      <c r="BB383" s="376"/>
      <c r="BC383" s="376"/>
      <c r="BD383" s="376"/>
      <c r="BE383" s="376"/>
      <c r="BF383" s="376"/>
      <c r="BG383" s="376"/>
      <c r="BH383" s="350"/>
      <c r="BI383" s="350"/>
      <c r="BJ383" s="350"/>
      <c r="BK383" s="350"/>
      <c r="BL383" s="350"/>
      <c r="BM383" s="350"/>
      <c r="BO383" s="350"/>
      <c r="BP383" s="350"/>
      <c r="BQ383" s="350"/>
      <c r="BR383" s="350"/>
      <c r="BS383" s="350"/>
      <c r="BT383" s="350"/>
      <c r="BU383" s="350"/>
      <c r="BV383" s="350"/>
      <c r="BW383" s="350"/>
      <c r="BX383" s="350"/>
    </row>
    <row r="384" spans="16:76" x14ac:dyDescent="0.3">
      <c r="P384" s="765"/>
      <c r="X384" s="698"/>
      <c r="Y384" s="698"/>
      <c r="Z384" s="698"/>
      <c r="AA384" s="698"/>
      <c r="AB384" s="632"/>
      <c r="AV384" s="350"/>
      <c r="AW384" s="350"/>
      <c r="AX384" s="350"/>
      <c r="AY384" s="393"/>
      <c r="AZ384" s="393"/>
      <c r="BA384" s="393"/>
      <c r="BB384" s="393"/>
      <c r="BC384" s="350"/>
      <c r="BD384" s="350"/>
      <c r="BE384" s="350"/>
      <c r="BF384" s="350"/>
      <c r="BG384" s="350"/>
      <c r="BH384" s="350"/>
      <c r="BI384" s="350"/>
      <c r="BJ384" s="350"/>
      <c r="BK384" s="350"/>
      <c r="BL384" s="350"/>
      <c r="BM384" s="350"/>
      <c r="BO384" s="350"/>
      <c r="BP384" s="350"/>
      <c r="BQ384" s="350"/>
      <c r="BR384" s="350"/>
      <c r="BS384" s="350"/>
      <c r="BT384" s="350"/>
      <c r="BU384" s="350"/>
      <c r="BV384" s="350"/>
      <c r="BW384" s="350"/>
      <c r="BX384" s="350"/>
    </row>
    <row r="385" spans="16:76" x14ac:dyDescent="0.3">
      <c r="P385" s="765"/>
      <c r="X385" s="698"/>
      <c r="Y385" s="698"/>
      <c r="Z385" s="698"/>
      <c r="AA385" s="698"/>
      <c r="AB385" s="632"/>
      <c r="AV385" s="350"/>
      <c r="AW385" s="350"/>
      <c r="AX385" s="350"/>
      <c r="AY385" s="555"/>
      <c r="AZ385" s="393"/>
      <c r="BA385" s="393"/>
      <c r="BB385" s="393"/>
      <c r="BC385" s="350"/>
      <c r="BD385" s="382"/>
      <c r="BE385" s="382"/>
      <c r="BF385" s="350"/>
      <c r="BG385" s="350"/>
      <c r="BH385" s="350"/>
      <c r="BI385" s="350"/>
      <c r="BJ385" s="350"/>
      <c r="BK385" s="350"/>
      <c r="BL385" s="350"/>
      <c r="BM385" s="350"/>
      <c r="BO385" s="350"/>
      <c r="BP385" s="350"/>
      <c r="BQ385" s="350"/>
      <c r="BR385" s="350"/>
      <c r="BS385" s="350"/>
      <c r="BT385" s="350"/>
      <c r="BU385" s="350"/>
      <c r="BV385" s="350"/>
      <c r="BW385" s="350"/>
      <c r="BX385" s="350"/>
    </row>
    <row r="386" spans="16:76" ht="17.25" customHeight="1" x14ac:dyDescent="0.3">
      <c r="P386" s="765"/>
      <c r="X386" s="698"/>
      <c r="Y386" s="698"/>
      <c r="Z386" s="698"/>
      <c r="AA386" s="698"/>
      <c r="AB386" s="632"/>
      <c r="AV386" s="350"/>
      <c r="AW386" s="350"/>
      <c r="AX386" s="350"/>
      <c r="AY386" s="555"/>
      <c r="AZ386" s="350"/>
      <c r="BA386" s="384"/>
      <c r="BB386" s="384"/>
      <c r="BC386" s="350"/>
      <c r="BD386" s="557"/>
      <c r="BE386" s="468"/>
      <c r="BF386" s="350"/>
      <c r="BG386" s="350"/>
      <c r="BH386" s="350"/>
      <c r="BI386" s="350"/>
      <c r="BJ386" s="350"/>
      <c r="BK386" s="350"/>
      <c r="BL386" s="350"/>
      <c r="BM386" s="350"/>
      <c r="BO386" s="350"/>
      <c r="BP386" s="350"/>
      <c r="BQ386" s="350"/>
      <c r="BR386" s="350"/>
      <c r="BS386" s="350"/>
      <c r="BT386" s="350"/>
      <c r="BU386" s="350"/>
      <c r="BV386" s="350"/>
      <c r="BW386" s="350"/>
      <c r="BX386" s="350"/>
    </row>
    <row r="387" spans="16:76" x14ac:dyDescent="0.3">
      <c r="P387" s="765"/>
      <c r="X387" s="698"/>
      <c r="Y387" s="698"/>
      <c r="Z387" s="698"/>
      <c r="AA387" s="698"/>
      <c r="AB387" s="632"/>
      <c r="AV387" s="350"/>
      <c r="AW387" s="350"/>
      <c r="AX387" s="350"/>
      <c r="AY387" s="555"/>
      <c r="AZ387" s="350"/>
      <c r="BA387" s="384"/>
      <c r="BB387" s="592"/>
      <c r="BC387" s="350"/>
      <c r="BD387" s="557"/>
      <c r="BE387" s="468"/>
      <c r="BF387" s="350"/>
      <c r="BG387" s="350"/>
      <c r="BH387" s="350"/>
      <c r="BI387" s="350"/>
      <c r="BJ387" s="350"/>
      <c r="BK387" s="350"/>
      <c r="BL387" s="350"/>
      <c r="BM387" s="350"/>
      <c r="BO387" s="350"/>
      <c r="BP387" s="350"/>
      <c r="BQ387" s="350"/>
      <c r="BR387" s="350"/>
      <c r="BS387" s="350"/>
      <c r="BT387" s="350"/>
      <c r="BU387" s="350"/>
      <c r="BV387" s="350"/>
      <c r="BW387" s="350"/>
      <c r="BX387" s="350"/>
    </row>
    <row r="388" spans="16:76" x14ac:dyDescent="0.3">
      <c r="P388" s="765"/>
      <c r="X388" s="698"/>
      <c r="Y388" s="698"/>
      <c r="Z388" s="698"/>
      <c r="AA388" s="698"/>
      <c r="AB388" s="632"/>
      <c r="AV388" s="350"/>
      <c r="AW388" s="350"/>
      <c r="AX388" s="350"/>
      <c r="AY388" s="555"/>
      <c r="AZ388" s="350"/>
      <c r="BA388" s="384"/>
      <c r="BB388" s="384"/>
      <c r="BC388" s="350"/>
      <c r="BD388" s="557"/>
      <c r="BE388" s="468"/>
      <c r="BF388" s="350"/>
      <c r="BG388" s="350"/>
      <c r="BH388" s="350"/>
      <c r="BI388" s="350"/>
      <c r="BJ388" s="350"/>
      <c r="BK388" s="350"/>
      <c r="BL388" s="350"/>
      <c r="BM388" s="350"/>
      <c r="BO388" s="350"/>
      <c r="BP388" s="350"/>
      <c r="BQ388" s="350"/>
      <c r="BR388" s="350"/>
      <c r="BS388" s="350"/>
      <c r="BT388" s="350"/>
      <c r="BU388" s="350"/>
      <c r="BV388" s="350"/>
      <c r="BW388" s="350"/>
      <c r="BX388" s="350"/>
    </row>
    <row r="389" spans="16:76" x14ac:dyDescent="0.3">
      <c r="P389" s="765"/>
      <c r="X389" s="698"/>
      <c r="Y389" s="698"/>
      <c r="Z389" s="698"/>
      <c r="AA389" s="698"/>
      <c r="AB389" s="632"/>
      <c r="AV389" s="350"/>
      <c r="AW389" s="350"/>
      <c r="AX389" s="350"/>
      <c r="AY389" s="623"/>
      <c r="AZ389" s="350"/>
      <c r="BA389" s="384"/>
      <c r="BB389" s="384"/>
      <c r="BC389" s="350"/>
      <c r="BD389" s="557"/>
      <c r="BE389" s="624"/>
      <c r="BF389" s="350"/>
      <c r="BG389" s="350"/>
      <c r="BH389" s="350"/>
      <c r="BI389" s="350"/>
      <c r="BJ389" s="350"/>
      <c r="BK389" s="350"/>
      <c r="BL389" s="350"/>
      <c r="BM389" s="350"/>
      <c r="BO389" s="350"/>
      <c r="BP389" s="350"/>
      <c r="BQ389" s="350"/>
      <c r="BR389" s="350"/>
      <c r="BS389" s="350"/>
      <c r="BT389" s="350"/>
      <c r="BU389" s="350"/>
      <c r="BV389" s="350"/>
      <c r="BW389" s="350"/>
      <c r="BX389" s="350"/>
    </row>
    <row r="390" spans="16:76" x14ac:dyDescent="0.3">
      <c r="P390" s="765"/>
      <c r="X390" s="698"/>
      <c r="Y390" s="698"/>
      <c r="Z390" s="698"/>
      <c r="AA390" s="698"/>
      <c r="AB390" s="632"/>
      <c r="AV390" s="623"/>
      <c r="AW390" s="368"/>
      <c r="AX390" s="368"/>
      <c r="AY390" s="368"/>
      <c r="AZ390" s="368"/>
      <c r="BA390" s="383"/>
      <c r="BB390" s="383"/>
      <c r="BC390" s="368"/>
      <c r="BD390" s="368"/>
      <c r="BE390" s="368"/>
      <c r="BF390" s="368"/>
      <c r="BG390" s="368"/>
      <c r="BH390" s="350"/>
      <c r="BI390" s="350"/>
      <c r="BJ390" s="350"/>
      <c r="BK390" s="350"/>
      <c r="BL390" s="350"/>
      <c r="BM390" s="350"/>
      <c r="BO390" s="350"/>
      <c r="BP390" s="350"/>
      <c r="BQ390" s="350"/>
      <c r="BR390" s="350"/>
      <c r="BS390" s="350"/>
      <c r="BT390" s="350"/>
      <c r="BU390" s="350"/>
      <c r="BV390" s="350"/>
      <c r="BW390" s="350"/>
      <c r="BX390" s="350"/>
    </row>
    <row r="391" spans="16:76" x14ac:dyDescent="0.3">
      <c r="P391" s="765"/>
      <c r="X391" s="698"/>
      <c r="Y391" s="698"/>
      <c r="Z391" s="698"/>
      <c r="AA391" s="698"/>
      <c r="AB391" s="632"/>
      <c r="AV391" s="350"/>
      <c r="AW391" s="350"/>
      <c r="AX391" s="350"/>
      <c r="AY391" s="350"/>
      <c r="AZ391" s="350"/>
      <c r="BA391" s="350"/>
      <c r="BB391" s="350"/>
      <c r="BC391" s="350"/>
      <c r="BD391" s="350"/>
      <c r="BE391" s="350"/>
      <c r="BF391" s="350"/>
      <c r="BG391" s="350"/>
      <c r="BH391" s="350"/>
      <c r="BI391" s="350"/>
      <c r="BJ391" s="350"/>
      <c r="BK391" s="350"/>
      <c r="BL391" s="350"/>
      <c r="BM391" s="350"/>
      <c r="BO391" s="350"/>
      <c r="BP391" s="350"/>
      <c r="BQ391" s="350"/>
      <c r="BR391" s="350"/>
      <c r="BS391" s="350"/>
      <c r="BT391" s="350"/>
      <c r="BU391" s="350"/>
      <c r="BV391" s="350"/>
      <c r="BW391" s="350"/>
      <c r="BX391" s="350"/>
    </row>
    <row r="392" spans="16:76" x14ac:dyDescent="0.3">
      <c r="P392" s="765"/>
      <c r="X392" s="698"/>
      <c r="Y392" s="698"/>
      <c r="Z392" s="698"/>
      <c r="AA392" s="698"/>
      <c r="AB392" s="632"/>
      <c r="AV392" s="350"/>
      <c r="AW392" s="350"/>
      <c r="AX392" s="350"/>
      <c r="AY392" s="393"/>
      <c r="AZ392" s="393"/>
      <c r="BA392" s="393"/>
      <c r="BB392" s="393"/>
      <c r="BC392" s="350"/>
      <c r="BD392" s="350"/>
      <c r="BE392" s="350"/>
      <c r="BF392" s="350"/>
      <c r="BG392" s="350"/>
      <c r="BH392" s="350"/>
      <c r="BI392" s="350"/>
      <c r="BJ392" s="350"/>
      <c r="BK392" s="350"/>
      <c r="BL392" s="350"/>
      <c r="BM392" s="350"/>
      <c r="BO392" s="350"/>
      <c r="BP392" s="350"/>
      <c r="BQ392" s="350"/>
      <c r="BR392" s="350"/>
      <c r="BS392" s="350"/>
      <c r="BT392" s="350"/>
      <c r="BU392" s="350"/>
      <c r="BV392" s="350"/>
      <c r="BW392" s="350"/>
      <c r="BX392" s="350"/>
    </row>
    <row r="393" spans="16:76" x14ac:dyDescent="0.3">
      <c r="P393" s="765"/>
      <c r="X393" s="698"/>
      <c r="Y393" s="698"/>
      <c r="Z393" s="698"/>
      <c r="AA393" s="698"/>
      <c r="AB393" s="632"/>
      <c r="AV393" s="350"/>
      <c r="AW393" s="350"/>
      <c r="AX393" s="350"/>
      <c r="AY393" s="555"/>
      <c r="AZ393" s="393"/>
      <c r="BA393" s="393"/>
      <c r="BB393" s="393"/>
      <c r="BC393" s="350"/>
      <c r="BD393" s="382"/>
      <c r="BE393" s="382"/>
      <c r="BF393" s="350"/>
      <c r="BG393" s="350"/>
      <c r="BH393" s="350"/>
      <c r="BI393" s="350"/>
      <c r="BJ393" s="350"/>
      <c r="BK393" s="350"/>
      <c r="BL393" s="350"/>
      <c r="BM393" s="350"/>
      <c r="BO393" s="350"/>
      <c r="BP393" s="350"/>
      <c r="BQ393" s="350"/>
      <c r="BR393" s="350"/>
      <c r="BS393" s="350"/>
      <c r="BT393" s="350"/>
      <c r="BU393" s="350"/>
      <c r="BV393" s="350"/>
      <c r="BW393" s="350"/>
      <c r="BX393" s="350"/>
    </row>
    <row r="394" spans="16:76" x14ac:dyDescent="0.3">
      <c r="P394" s="765"/>
      <c r="X394" s="698"/>
      <c r="Y394" s="698"/>
      <c r="Z394" s="698"/>
      <c r="AA394" s="698"/>
      <c r="AB394" s="632"/>
      <c r="AV394" s="350"/>
      <c r="AW394" s="350"/>
      <c r="AX394" s="350"/>
      <c r="AY394" s="555"/>
      <c r="AZ394" s="350"/>
      <c r="BA394" s="384"/>
      <c r="BB394" s="384"/>
      <c r="BC394" s="350"/>
      <c r="BD394" s="557"/>
      <c r="BE394" s="468"/>
      <c r="BF394" s="350"/>
      <c r="BG394" s="350"/>
      <c r="BH394" s="350"/>
      <c r="BI394" s="350"/>
      <c r="BJ394" s="350"/>
      <c r="BK394" s="350"/>
      <c r="BL394" s="350"/>
      <c r="BM394" s="350"/>
      <c r="BO394" s="350"/>
      <c r="BP394" s="350"/>
      <c r="BQ394" s="350"/>
      <c r="BR394" s="350"/>
      <c r="BS394" s="350"/>
      <c r="BT394" s="350"/>
      <c r="BU394" s="350"/>
      <c r="BV394" s="350"/>
      <c r="BW394" s="350"/>
      <c r="BX394" s="350"/>
    </row>
    <row r="395" spans="16:76" ht="17.25" customHeight="1" x14ac:dyDescent="0.3">
      <c r="P395" s="765"/>
      <c r="X395" s="698"/>
      <c r="Y395" s="698"/>
      <c r="Z395" s="698"/>
      <c r="AA395" s="698"/>
      <c r="AB395" s="632"/>
      <c r="AV395" s="350"/>
      <c r="AW395" s="350"/>
      <c r="AX395" s="350"/>
      <c r="AY395" s="555"/>
      <c r="AZ395" s="350"/>
      <c r="BA395" s="384"/>
      <c r="BB395" s="592"/>
      <c r="BC395" s="350"/>
      <c r="BD395" s="557"/>
      <c r="BE395" s="468"/>
      <c r="BF395" s="350"/>
      <c r="BG395" s="350"/>
      <c r="BH395" s="350"/>
      <c r="BI395" s="350"/>
      <c r="BJ395" s="350"/>
      <c r="BK395" s="350"/>
      <c r="BL395" s="350"/>
      <c r="BM395" s="350"/>
      <c r="BO395" s="350"/>
      <c r="BP395" s="350"/>
      <c r="BQ395" s="350"/>
      <c r="BR395" s="350"/>
      <c r="BS395" s="350"/>
      <c r="BT395" s="350"/>
      <c r="BU395" s="350"/>
      <c r="BV395" s="350"/>
      <c r="BW395" s="350"/>
      <c r="BX395" s="350"/>
    </row>
    <row r="396" spans="16:76" x14ac:dyDescent="0.3">
      <c r="P396" s="765"/>
      <c r="X396" s="698"/>
      <c r="Y396" s="698"/>
      <c r="Z396" s="698"/>
      <c r="AA396" s="698"/>
      <c r="AB396" s="632"/>
      <c r="AV396" s="350"/>
      <c r="AW396" s="350"/>
      <c r="AX396" s="350"/>
      <c r="AY396" s="555"/>
      <c r="AZ396" s="350"/>
      <c r="BA396" s="384"/>
      <c r="BB396" s="384"/>
      <c r="BC396" s="350"/>
      <c r="BD396" s="557"/>
      <c r="BE396" s="468"/>
      <c r="BF396" s="350"/>
      <c r="BG396" s="350"/>
      <c r="BH396" s="350"/>
      <c r="BI396" s="350"/>
      <c r="BJ396" s="350"/>
      <c r="BK396" s="350"/>
      <c r="BL396" s="350"/>
      <c r="BM396" s="350"/>
      <c r="BO396" s="350"/>
      <c r="BP396" s="350"/>
      <c r="BQ396" s="350"/>
      <c r="BR396" s="350"/>
      <c r="BS396" s="350"/>
      <c r="BT396" s="350"/>
      <c r="BU396" s="350"/>
      <c r="BV396" s="350"/>
      <c r="BW396" s="350"/>
      <c r="BX396" s="350"/>
    </row>
    <row r="397" spans="16:76" x14ac:dyDescent="0.3">
      <c r="P397" s="765"/>
      <c r="X397" s="698"/>
      <c r="Y397" s="698"/>
      <c r="Z397" s="698"/>
      <c r="AA397" s="698"/>
      <c r="AB397" s="632"/>
      <c r="AV397" s="350"/>
      <c r="AW397" s="350"/>
      <c r="AX397" s="350"/>
      <c r="AY397" s="555"/>
      <c r="AZ397" s="350"/>
      <c r="BA397" s="384"/>
      <c r="BB397" s="384"/>
      <c r="BC397" s="350"/>
      <c r="BD397" s="557"/>
      <c r="BE397" s="468"/>
      <c r="BF397" s="350"/>
      <c r="BG397" s="350"/>
      <c r="BH397" s="350"/>
      <c r="BI397" s="350"/>
      <c r="BJ397" s="350"/>
      <c r="BK397" s="350"/>
      <c r="BL397" s="350"/>
      <c r="BM397" s="350"/>
      <c r="BO397" s="350"/>
      <c r="BP397" s="350"/>
      <c r="BQ397" s="350"/>
      <c r="BR397" s="350"/>
      <c r="BS397" s="350"/>
      <c r="BT397" s="350"/>
      <c r="BU397" s="350"/>
      <c r="BV397" s="350"/>
      <c r="BW397" s="350"/>
      <c r="BX397" s="350"/>
    </row>
    <row r="398" spans="16:76" x14ac:dyDescent="0.3">
      <c r="P398" s="765"/>
      <c r="X398" s="698"/>
      <c r="Y398" s="698"/>
      <c r="Z398" s="698"/>
      <c r="AA398" s="698"/>
      <c r="AB398" s="632"/>
      <c r="AV398" s="350"/>
      <c r="AW398" s="350"/>
      <c r="AX398" s="350"/>
      <c r="AY398" s="555"/>
      <c r="AZ398" s="350"/>
      <c r="BA398" s="384"/>
      <c r="BB398" s="384"/>
      <c r="BC398" s="350"/>
      <c r="BD398" s="557"/>
      <c r="BE398" s="468"/>
      <c r="BF398" s="350"/>
      <c r="BG398" s="350"/>
      <c r="BH398" s="350"/>
      <c r="BI398" s="350"/>
      <c r="BJ398" s="350"/>
      <c r="BK398" s="350"/>
      <c r="BL398" s="350"/>
      <c r="BM398" s="350"/>
      <c r="BO398" s="350"/>
      <c r="BP398" s="350"/>
      <c r="BQ398" s="350"/>
      <c r="BR398" s="350"/>
      <c r="BS398" s="350"/>
      <c r="BT398" s="350"/>
      <c r="BU398" s="350"/>
      <c r="BV398" s="350"/>
      <c r="BW398" s="350"/>
      <c r="BX398" s="350"/>
    </row>
    <row r="399" spans="16:76" x14ac:dyDescent="0.3">
      <c r="P399" s="765"/>
      <c r="X399" s="698"/>
      <c r="Y399" s="698"/>
      <c r="Z399" s="698"/>
      <c r="AA399" s="698"/>
      <c r="AB399" s="632"/>
      <c r="AV399" s="350"/>
      <c r="AW399" s="350"/>
      <c r="AX399" s="350"/>
      <c r="AY399" s="393"/>
      <c r="AZ399" s="393"/>
      <c r="BA399" s="393"/>
      <c r="BB399" s="393"/>
      <c r="BC399" s="350"/>
      <c r="BD399" s="557"/>
      <c r="BE399" s="624"/>
      <c r="BF399" s="350"/>
      <c r="BG399" s="350"/>
      <c r="BH399" s="350"/>
      <c r="BI399" s="350"/>
      <c r="BJ399" s="350"/>
      <c r="BK399" s="350"/>
      <c r="BL399" s="350"/>
      <c r="BM399" s="350"/>
      <c r="BO399" s="350"/>
      <c r="BP399" s="350"/>
      <c r="BQ399" s="350"/>
      <c r="BR399" s="350"/>
      <c r="BS399" s="350"/>
      <c r="BT399" s="350"/>
      <c r="BU399" s="350"/>
      <c r="BV399" s="350"/>
      <c r="BW399" s="350"/>
      <c r="BX399" s="350"/>
    </row>
    <row r="400" spans="16:76" x14ac:dyDescent="0.3">
      <c r="P400" s="765"/>
      <c r="X400" s="698"/>
      <c r="Y400" s="698"/>
      <c r="Z400" s="698"/>
      <c r="AA400" s="698"/>
      <c r="AB400" s="632"/>
      <c r="AV400" s="350"/>
      <c r="AW400" s="350"/>
      <c r="AX400" s="350"/>
      <c r="AY400" s="555"/>
      <c r="AZ400" s="393"/>
      <c r="BA400" s="393"/>
      <c r="BB400" s="393"/>
      <c r="BC400" s="350"/>
      <c r="BD400" s="382"/>
      <c r="BE400" s="382"/>
      <c r="BF400" s="350"/>
      <c r="BG400" s="350"/>
      <c r="BH400" s="350"/>
      <c r="BI400" s="350"/>
      <c r="BJ400" s="350"/>
      <c r="BK400" s="350"/>
      <c r="BL400" s="350"/>
      <c r="BM400" s="350"/>
      <c r="BO400" s="350"/>
      <c r="BP400" s="350"/>
      <c r="BQ400" s="350"/>
      <c r="BR400" s="350"/>
      <c r="BS400" s="350"/>
      <c r="BT400" s="350"/>
      <c r="BU400" s="350"/>
      <c r="BV400" s="350"/>
      <c r="BW400" s="350"/>
      <c r="BX400" s="350"/>
    </row>
    <row r="401" spans="16:76" ht="17.25" customHeight="1" x14ac:dyDescent="0.3">
      <c r="P401" s="765"/>
      <c r="X401" s="698"/>
      <c r="Y401" s="698"/>
      <c r="Z401" s="698"/>
      <c r="AA401" s="698"/>
      <c r="AB401" s="632"/>
      <c r="AV401" s="623"/>
      <c r="AW401" s="368"/>
      <c r="AX401" s="368"/>
      <c r="AY401" s="555"/>
      <c r="AZ401" s="350"/>
      <c r="BA401" s="384"/>
      <c r="BB401" s="384"/>
      <c r="BC401" s="368"/>
      <c r="BD401" s="557"/>
      <c r="BE401" s="468"/>
      <c r="BF401" s="368"/>
      <c r="BG401" s="368"/>
      <c r="BH401" s="350"/>
      <c r="BI401" s="350"/>
      <c r="BJ401" s="350"/>
      <c r="BK401" s="350"/>
      <c r="BL401" s="350"/>
      <c r="BM401" s="350"/>
      <c r="BO401" s="350"/>
      <c r="BP401" s="350"/>
      <c r="BQ401" s="350"/>
      <c r="BR401" s="350"/>
      <c r="BS401" s="350"/>
      <c r="BT401" s="350"/>
      <c r="BU401" s="350"/>
      <c r="BV401" s="350"/>
      <c r="BW401" s="350"/>
      <c r="BX401" s="350"/>
    </row>
    <row r="402" spans="16:76" x14ac:dyDescent="0.3">
      <c r="P402" s="765"/>
      <c r="X402" s="698"/>
      <c r="Y402" s="698"/>
      <c r="Z402" s="698"/>
      <c r="AA402" s="698"/>
      <c r="AB402" s="632"/>
      <c r="AV402" s="623"/>
      <c r="AW402" s="721"/>
      <c r="AX402" s="384"/>
      <c r="AY402" s="555"/>
      <c r="AZ402" s="350"/>
      <c r="BA402" s="384"/>
      <c r="BB402" s="592"/>
      <c r="BC402" s="376"/>
      <c r="BD402" s="557"/>
      <c r="BE402" s="468"/>
      <c r="BF402" s="376"/>
      <c r="BG402" s="376"/>
      <c r="BH402" s="350"/>
      <c r="BI402" s="350"/>
      <c r="BJ402" s="350"/>
      <c r="BK402" s="350"/>
      <c r="BL402" s="350"/>
      <c r="BM402" s="350"/>
      <c r="BO402" s="350"/>
      <c r="BP402" s="350"/>
      <c r="BQ402" s="350"/>
      <c r="BR402" s="350"/>
      <c r="BS402" s="350"/>
      <c r="BT402" s="350"/>
      <c r="BU402" s="350"/>
      <c r="BV402" s="350"/>
      <c r="BW402" s="350"/>
      <c r="BX402" s="350"/>
    </row>
    <row r="403" spans="16:76" x14ac:dyDescent="0.3">
      <c r="P403" s="765"/>
      <c r="X403" s="698"/>
      <c r="Y403" s="698"/>
      <c r="Z403" s="698"/>
      <c r="AA403" s="698"/>
      <c r="AB403" s="632"/>
      <c r="AV403" s="350"/>
      <c r="AW403" s="350"/>
      <c r="AX403" s="350"/>
      <c r="AY403" s="555"/>
      <c r="AZ403" s="350"/>
      <c r="BA403" s="384"/>
      <c r="BB403" s="384"/>
      <c r="BC403" s="350"/>
      <c r="BD403" s="557"/>
      <c r="BE403" s="468"/>
      <c r="BF403" s="350"/>
      <c r="BG403" s="350"/>
      <c r="BH403" s="350"/>
      <c r="BI403" s="350"/>
      <c r="BJ403" s="350"/>
      <c r="BK403" s="350"/>
      <c r="BL403" s="350"/>
      <c r="BM403" s="350"/>
      <c r="BO403" s="350"/>
      <c r="BP403" s="350"/>
      <c r="BQ403" s="350"/>
      <c r="BR403" s="350"/>
      <c r="BS403" s="350"/>
      <c r="BT403" s="350"/>
      <c r="BU403" s="350"/>
      <c r="BV403" s="350"/>
      <c r="BW403" s="350"/>
      <c r="BX403" s="350"/>
    </row>
    <row r="404" spans="16:76" x14ac:dyDescent="0.3">
      <c r="P404" s="765"/>
      <c r="X404" s="698"/>
      <c r="Y404" s="698"/>
      <c r="Z404" s="698"/>
      <c r="AA404" s="698"/>
      <c r="AB404" s="632"/>
      <c r="AV404" s="350"/>
      <c r="AW404" s="350"/>
      <c r="AX404" s="350"/>
      <c r="AY404" s="623"/>
      <c r="AZ404" s="350"/>
      <c r="BA404" s="384"/>
      <c r="BB404" s="384"/>
      <c r="BC404" s="350"/>
      <c r="BD404" s="557"/>
      <c r="BE404" s="624"/>
      <c r="BF404" s="350"/>
      <c r="BG404" s="350"/>
      <c r="BH404" s="350"/>
      <c r="BI404" s="350"/>
      <c r="BJ404" s="350"/>
      <c r="BK404" s="350"/>
      <c r="BL404" s="350"/>
      <c r="BM404" s="350"/>
      <c r="BO404" s="350"/>
      <c r="BP404" s="350"/>
      <c r="BQ404" s="350"/>
      <c r="BR404" s="350"/>
      <c r="BS404" s="350"/>
      <c r="BT404" s="350"/>
      <c r="BU404" s="350"/>
      <c r="BV404" s="350"/>
      <c r="BW404" s="350"/>
      <c r="BX404" s="350"/>
    </row>
    <row r="405" spans="16:76" x14ac:dyDescent="0.3">
      <c r="P405" s="765"/>
      <c r="X405" s="698"/>
      <c r="Y405" s="698"/>
      <c r="Z405" s="698"/>
      <c r="AA405" s="698"/>
      <c r="AB405" s="632"/>
      <c r="AV405" s="350"/>
      <c r="AW405" s="350"/>
      <c r="AX405" s="350"/>
      <c r="AY405" s="350"/>
      <c r="AZ405" s="350"/>
      <c r="BA405" s="350"/>
      <c r="BB405" s="350"/>
      <c r="BC405" s="350"/>
      <c r="BD405" s="350"/>
      <c r="BE405" s="350"/>
      <c r="BF405" s="350"/>
      <c r="BG405" s="350"/>
      <c r="BH405" s="350"/>
      <c r="BI405" s="350"/>
      <c r="BJ405" s="350"/>
      <c r="BK405" s="350"/>
      <c r="BL405" s="350"/>
      <c r="BM405" s="350"/>
      <c r="BO405" s="350"/>
      <c r="BP405" s="350"/>
      <c r="BQ405" s="350"/>
      <c r="BR405" s="350"/>
      <c r="BS405" s="350"/>
      <c r="BT405" s="350"/>
      <c r="BU405" s="350"/>
      <c r="BV405" s="350"/>
      <c r="BW405" s="350"/>
      <c r="BX405" s="350"/>
    </row>
    <row r="406" spans="16:76" x14ac:dyDescent="0.3">
      <c r="P406" s="765"/>
      <c r="X406" s="698"/>
      <c r="Y406" s="698"/>
      <c r="Z406" s="698"/>
      <c r="AA406" s="698"/>
      <c r="AB406" s="632"/>
      <c r="AV406" s="350"/>
      <c r="AW406" s="350"/>
      <c r="AX406" s="350"/>
      <c r="AY406" s="350"/>
      <c r="AZ406" s="350"/>
      <c r="BA406" s="350"/>
      <c r="BB406" s="350"/>
      <c r="BC406" s="350"/>
      <c r="BD406" s="350"/>
      <c r="BE406" s="350"/>
      <c r="BF406" s="350"/>
      <c r="BG406" s="350"/>
      <c r="BH406" s="350"/>
      <c r="BI406" s="350"/>
      <c r="BJ406" s="350"/>
      <c r="BK406" s="350"/>
      <c r="BL406" s="350"/>
      <c r="BM406" s="350"/>
      <c r="BO406" s="350"/>
      <c r="BP406" s="350"/>
      <c r="BQ406" s="350"/>
      <c r="BR406" s="350"/>
      <c r="BS406" s="350"/>
      <c r="BT406" s="350"/>
      <c r="BU406" s="350"/>
      <c r="BV406" s="350"/>
      <c r="BW406" s="350"/>
      <c r="BX406" s="350"/>
    </row>
    <row r="407" spans="16:76" ht="17.25" customHeight="1" x14ac:dyDescent="0.3">
      <c r="P407" s="765"/>
      <c r="X407" s="698"/>
      <c r="Y407" s="698"/>
      <c r="Z407" s="698"/>
      <c r="AA407" s="698"/>
      <c r="AB407" s="632"/>
      <c r="AV407" s="512"/>
      <c r="AW407" s="512"/>
      <c r="AX407" s="512"/>
      <c r="AY407" s="512"/>
      <c r="AZ407" s="512"/>
      <c r="BA407" s="512"/>
      <c r="BB407" s="512"/>
      <c r="BC407" s="512"/>
      <c r="BD407" s="512"/>
      <c r="BE407" s="512"/>
      <c r="BF407" s="512"/>
      <c r="BG407" s="512"/>
      <c r="BH407" s="512"/>
      <c r="BI407" s="512"/>
      <c r="BJ407" s="512"/>
      <c r="BK407" s="512"/>
      <c r="BL407" s="512"/>
      <c r="BM407" s="512"/>
      <c r="BO407" s="350"/>
      <c r="BP407" s="350"/>
      <c r="BQ407" s="350"/>
      <c r="BR407" s="350"/>
      <c r="BS407" s="350"/>
      <c r="BT407" s="350"/>
      <c r="BU407" s="350"/>
      <c r="BV407" s="350"/>
      <c r="BW407" s="350"/>
      <c r="BX407" s="350"/>
    </row>
    <row r="408" spans="16:76" x14ac:dyDescent="0.3">
      <c r="P408" s="765"/>
      <c r="X408" s="698"/>
      <c r="Y408" s="698"/>
      <c r="Z408" s="698"/>
      <c r="AA408" s="698"/>
      <c r="AB408" s="632"/>
      <c r="AV408" s="350"/>
      <c r="AW408" s="350"/>
      <c r="AX408" s="350"/>
      <c r="AY408" s="350"/>
      <c r="AZ408" s="350"/>
      <c r="BA408" s="350"/>
      <c r="BB408" s="350"/>
      <c r="BC408" s="350"/>
      <c r="BD408" s="350"/>
      <c r="BE408" s="350"/>
      <c r="BF408" s="350"/>
      <c r="BG408" s="350"/>
      <c r="BH408" s="350"/>
      <c r="BI408" s="350"/>
      <c r="BJ408" s="350"/>
      <c r="BK408" s="350"/>
      <c r="BL408" s="350"/>
      <c r="BM408" s="350"/>
    </row>
    <row r="409" spans="16:76" x14ac:dyDescent="0.3">
      <c r="P409" s="765"/>
      <c r="X409" s="698"/>
      <c r="Y409" s="698"/>
      <c r="Z409" s="698"/>
      <c r="AA409" s="698"/>
      <c r="AB409" s="632"/>
      <c r="AV409" s="350"/>
      <c r="AW409" s="350"/>
      <c r="AX409" s="350"/>
      <c r="AY409" s="368"/>
      <c r="AZ409" s="368"/>
      <c r="BA409" s="368"/>
      <c r="BB409" s="368"/>
      <c r="BC409" s="350"/>
      <c r="BD409" s="350"/>
      <c r="BE409" s="350"/>
      <c r="BF409" s="350"/>
      <c r="BG409" s="350"/>
      <c r="BH409" s="350"/>
      <c r="BI409" s="350"/>
      <c r="BJ409" s="350"/>
      <c r="BK409" s="350"/>
      <c r="BL409" s="350"/>
      <c r="BM409" s="350"/>
    </row>
    <row r="410" spans="16:76" x14ac:dyDescent="0.3">
      <c r="P410" s="765"/>
      <c r="X410" s="698"/>
      <c r="Y410" s="698"/>
      <c r="Z410" s="698"/>
      <c r="AA410" s="698"/>
      <c r="AB410" s="632"/>
      <c r="AV410" s="350"/>
      <c r="AW410" s="350"/>
      <c r="AX410" s="350"/>
      <c r="AY410" s="555"/>
      <c r="AZ410" s="393"/>
      <c r="BA410" s="393"/>
      <c r="BB410" s="393"/>
      <c r="BC410" s="350"/>
      <c r="BD410" s="382"/>
      <c r="BE410" s="382"/>
      <c r="BF410" s="350"/>
      <c r="BG410" s="350"/>
      <c r="BH410" s="350"/>
      <c r="BI410" s="350"/>
      <c r="BJ410" s="350"/>
      <c r="BK410" s="350"/>
      <c r="BL410" s="350"/>
      <c r="BM410" s="350"/>
    </row>
    <row r="411" spans="16:76" ht="17.25" customHeight="1" x14ac:dyDescent="0.3">
      <c r="P411" s="765"/>
      <c r="X411" s="698"/>
      <c r="Y411" s="698"/>
      <c r="Z411" s="698"/>
      <c r="AA411" s="698"/>
      <c r="AB411" s="632"/>
      <c r="AV411" s="350"/>
      <c r="AW411" s="350"/>
      <c r="AX411" s="350"/>
      <c r="AY411" s="555"/>
      <c r="AZ411" s="350"/>
      <c r="BA411" s="384"/>
      <c r="BB411" s="384"/>
      <c r="BC411" s="350"/>
      <c r="BD411" s="557"/>
      <c r="BE411" s="468"/>
      <c r="BF411" s="350"/>
      <c r="BG411" s="350"/>
      <c r="BH411" s="350"/>
      <c r="BI411" s="350"/>
      <c r="BJ411" s="350"/>
      <c r="BK411" s="350"/>
      <c r="BL411" s="350"/>
      <c r="BM411" s="350"/>
    </row>
    <row r="412" spans="16:76" x14ac:dyDescent="0.3">
      <c r="P412" s="765"/>
      <c r="X412" s="698"/>
      <c r="Y412" s="698"/>
      <c r="Z412" s="698"/>
      <c r="AA412" s="698"/>
      <c r="AB412" s="632"/>
      <c r="AV412" s="350"/>
      <c r="AW412" s="350"/>
      <c r="AX412" s="350"/>
      <c r="AY412" s="555"/>
      <c r="AZ412" s="350"/>
      <c r="BA412" s="383"/>
      <c r="BB412" s="383"/>
      <c r="BC412" s="350"/>
      <c r="BD412" s="557"/>
      <c r="BE412" s="468"/>
      <c r="BF412" s="350"/>
      <c r="BG412" s="350"/>
      <c r="BH412" s="350"/>
      <c r="BI412" s="350"/>
      <c r="BJ412" s="350"/>
      <c r="BK412" s="350"/>
      <c r="BL412" s="350"/>
      <c r="BM412" s="350"/>
    </row>
    <row r="413" spans="16:76" x14ac:dyDescent="0.3">
      <c r="P413" s="765"/>
      <c r="X413" s="698"/>
      <c r="Y413" s="698"/>
      <c r="Z413" s="698"/>
      <c r="AA413" s="698"/>
      <c r="AB413" s="632"/>
      <c r="AV413" s="350"/>
      <c r="AW413" s="350"/>
      <c r="AX413" s="350"/>
      <c r="AY413" s="555"/>
      <c r="AZ413" s="350"/>
      <c r="BA413" s="383"/>
      <c r="BB413" s="383"/>
      <c r="BC413" s="350"/>
      <c r="BD413" s="557"/>
      <c r="BE413" s="468"/>
      <c r="BF413" s="350"/>
      <c r="BG413" s="350"/>
      <c r="BH413" s="350"/>
      <c r="BI413" s="350"/>
      <c r="BJ413" s="350"/>
      <c r="BK413" s="350"/>
      <c r="BL413" s="350"/>
      <c r="BM413" s="350"/>
    </row>
    <row r="414" spans="16:76" x14ac:dyDescent="0.3">
      <c r="P414" s="765"/>
      <c r="X414" s="698"/>
      <c r="Y414" s="698"/>
      <c r="Z414" s="698"/>
      <c r="AA414" s="698"/>
      <c r="AB414" s="632"/>
      <c r="AV414" s="350"/>
      <c r="AW414" s="350"/>
      <c r="AX414" s="350"/>
      <c r="AY414" s="555"/>
      <c r="AZ414" s="350"/>
      <c r="BA414" s="383"/>
      <c r="BB414" s="383"/>
      <c r="BC414" s="350"/>
      <c r="BD414" s="557"/>
      <c r="BE414" s="468"/>
      <c r="BF414" s="350"/>
      <c r="BG414" s="350"/>
      <c r="BH414" s="350"/>
      <c r="BI414" s="350"/>
      <c r="BJ414" s="350"/>
      <c r="BK414" s="350"/>
      <c r="BL414" s="350"/>
      <c r="BM414" s="350"/>
    </row>
    <row r="415" spans="16:76" x14ac:dyDescent="0.3">
      <c r="P415" s="765"/>
      <c r="X415" s="698"/>
      <c r="Y415" s="698"/>
      <c r="Z415" s="698"/>
      <c r="AA415" s="698"/>
      <c r="AB415" s="632"/>
      <c r="AV415" s="350"/>
      <c r="AW415" s="350"/>
      <c r="AX415" s="350"/>
      <c r="AY415" s="350"/>
      <c r="AZ415" s="350"/>
      <c r="BA415" s="350"/>
      <c r="BB415" s="350"/>
      <c r="BC415" s="350"/>
      <c r="BD415" s="350"/>
      <c r="BE415" s="350"/>
      <c r="BF415" s="350"/>
      <c r="BG415" s="350"/>
      <c r="BH415" s="350"/>
      <c r="BI415" s="350"/>
      <c r="BJ415" s="350"/>
      <c r="BK415" s="350"/>
      <c r="BL415" s="350"/>
      <c r="BM415" s="350"/>
    </row>
    <row r="416" spans="16:76" x14ac:dyDescent="0.3">
      <c r="P416" s="765"/>
      <c r="X416" s="698"/>
      <c r="Y416" s="698"/>
      <c r="Z416" s="698"/>
      <c r="AA416" s="698"/>
      <c r="AB416" s="632"/>
      <c r="AV416" s="350"/>
      <c r="AW416" s="350"/>
      <c r="AX416" s="350"/>
      <c r="AY416" s="350"/>
      <c r="AZ416" s="350"/>
      <c r="BA416" s="350"/>
      <c r="BB416" s="350"/>
      <c r="BC416" s="350"/>
      <c r="BD416" s="350"/>
      <c r="BE416" s="350"/>
      <c r="BF416" s="350"/>
      <c r="BG416" s="350"/>
      <c r="BH416" s="350"/>
      <c r="BI416" s="350"/>
      <c r="BJ416" s="350"/>
      <c r="BK416" s="350"/>
      <c r="BL416" s="350"/>
      <c r="BM416" s="350"/>
    </row>
    <row r="417" spans="16:65" ht="17.25" customHeight="1" x14ac:dyDescent="0.3">
      <c r="P417" s="765"/>
      <c r="X417" s="698"/>
      <c r="Y417" s="698"/>
      <c r="Z417" s="698"/>
      <c r="AA417" s="698"/>
      <c r="AB417" s="632"/>
      <c r="AV417" s="350"/>
      <c r="AW417" s="350"/>
      <c r="AX417" s="350"/>
      <c r="AY417" s="368"/>
      <c r="AZ417" s="368"/>
      <c r="BA417" s="368"/>
      <c r="BB417" s="368"/>
      <c r="BC417" s="350"/>
      <c r="BD417" s="350"/>
      <c r="BE417" s="350"/>
      <c r="BF417" s="350"/>
      <c r="BG417" s="350"/>
      <c r="BH417" s="350"/>
      <c r="BI417" s="350"/>
      <c r="BJ417" s="350"/>
      <c r="BK417" s="350"/>
      <c r="BL417" s="350"/>
      <c r="BM417" s="350"/>
    </row>
    <row r="418" spans="16:65" x14ac:dyDescent="0.3">
      <c r="P418" s="765"/>
      <c r="X418" s="698"/>
      <c r="Y418" s="698"/>
      <c r="Z418" s="698"/>
      <c r="AA418" s="698"/>
      <c r="AB418" s="632"/>
      <c r="AV418" s="350"/>
      <c r="AW418" s="350"/>
      <c r="AX418" s="350"/>
      <c r="AY418" s="555"/>
      <c r="AZ418" s="393"/>
      <c r="BA418" s="393"/>
      <c r="BB418" s="393"/>
      <c r="BC418" s="350"/>
      <c r="BD418" s="382"/>
      <c r="BE418" s="382"/>
      <c r="BF418" s="350"/>
      <c r="BG418" s="350"/>
      <c r="BH418" s="350"/>
      <c r="BI418" s="350"/>
      <c r="BJ418" s="350"/>
      <c r="BK418" s="350"/>
      <c r="BL418" s="350"/>
      <c r="BM418" s="350"/>
    </row>
    <row r="419" spans="16:65" x14ac:dyDescent="0.3">
      <c r="P419" s="765"/>
      <c r="X419" s="698"/>
      <c r="Y419" s="698"/>
      <c r="Z419" s="698"/>
      <c r="AA419" s="698"/>
      <c r="AB419" s="632"/>
      <c r="AV419" s="350"/>
      <c r="AW419" s="350"/>
      <c r="AX419" s="350"/>
      <c r="AY419" s="555"/>
      <c r="AZ419" s="350"/>
      <c r="BA419" s="384"/>
      <c r="BB419" s="384"/>
      <c r="BC419" s="350"/>
      <c r="BD419" s="557"/>
      <c r="BE419" s="468"/>
      <c r="BF419" s="350"/>
      <c r="BG419" s="350"/>
      <c r="BH419" s="350"/>
      <c r="BI419" s="350"/>
      <c r="BJ419" s="350"/>
      <c r="BK419" s="350"/>
      <c r="BL419" s="350"/>
      <c r="BM419" s="350"/>
    </row>
    <row r="420" spans="16:65" x14ac:dyDescent="0.3">
      <c r="P420" s="765"/>
      <c r="X420" s="698"/>
      <c r="Y420" s="698"/>
      <c r="Z420" s="698"/>
      <c r="AA420" s="698"/>
      <c r="AB420" s="632"/>
      <c r="AV420" s="350"/>
      <c r="AW420" s="350"/>
      <c r="AX420" s="350"/>
      <c r="AY420" s="555"/>
      <c r="AZ420" s="350"/>
      <c r="BA420" s="383"/>
      <c r="BB420" s="383"/>
      <c r="BC420" s="350"/>
      <c r="BD420" s="557"/>
      <c r="BE420" s="468"/>
      <c r="BF420" s="350"/>
      <c r="BG420" s="350"/>
      <c r="BH420" s="350"/>
      <c r="BI420" s="350"/>
      <c r="BJ420" s="350"/>
      <c r="BK420" s="350"/>
      <c r="BL420" s="350"/>
      <c r="BM420" s="350"/>
    </row>
    <row r="421" spans="16:65" x14ac:dyDescent="0.3">
      <c r="P421" s="765"/>
      <c r="X421" s="698"/>
      <c r="Y421" s="698"/>
      <c r="Z421" s="698"/>
      <c r="AA421" s="698"/>
      <c r="AB421" s="632"/>
      <c r="AV421" s="350"/>
      <c r="AW421" s="350"/>
      <c r="AX421" s="350"/>
      <c r="AY421" s="555"/>
      <c r="AZ421" s="350"/>
      <c r="BA421" s="383"/>
      <c r="BB421" s="383"/>
      <c r="BC421" s="350"/>
      <c r="BD421" s="557"/>
      <c r="BE421" s="468"/>
      <c r="BF421" s="350"/>
      <c r="BG421" s="350"/>
      <c r="BH421" s="350"/>
      <c r="BI421" s="350"/>
      <c r="BJ421" s="350"/>
      <c r="BK421" s="350"/>
      <c r="BL421" s="350"/>
      <c r="BM421" s="350"/>
    </row>
    <row r="422" spans="16:65" ht="17.25" customHeight="1" x14ac:dyDescent="0.3">
      <c r="P422" s="765"/>
      <c r="X422" s="698"/>
      <c r="Y422" s="698"/>
      <c r="Z422" s="698"/>
      <c r="AA422" s="698"/>
      <c r="AB422" s="632"/>
      <c r="AV422" s="350"/>
      <c r="AW422" s="350"/>
      <c r="AX422" s="350"/>
      <c r="AY422" s="555"/>
      <c r="AZ422" s="350"/>
      <c r="BA422" s="383"/>
      <c r="BB422" s="383"/>
      <c r="BC422" s="350"/>
      <c r="BD422" s="557"/>
      <c r="BE422" s="468"/>
      <c r="BF422" s="350"/>
      <c r="BG422" s="350"/>
      <c r="BH422" s="350"/>
      <c r="BI422" s="350"/>
      <c r="BJ422" s="350"/>
      <c r="BK422" s="350"/>
      <c r="BL422" s="350"/>
      <c r="BM422" s="350"/>
    </row>
    <row r="423" spans="16:65" ht="17.25" customHeight="1" x14ac:dyDescent="0.3">
      <c r="P423" s="765"/>
      <c r="AB423" s="632"/>
      <c r="AV423" s="350"/>
      <c r="AW423" s="350"/>
      <c r="AX423" s="350"/>
      <c r="AY423" s="350"/>
      <c r="AZ423" s="350"/>
      <c r="BA423" s="350"/>
      <c r="BB423" s="350"/>
      <c r="BC423" s="350"/>
      <c r="BD423" s="350"/>
      <c r="BE423" s="350"/>
      <c r="BF423" s="350"/>
      <c r="BG423" s="350"/>
      <c r="BH423" s="350"/>
      <c r="BI423" s="350"/>
      <c r="BJ423" s="350"/>
      <c r="BK423" s="350"/>
      <c r="BL423" s="350"/>
      <c r="BM423" s="350"/>
    </row>
    <row r="424" spans="16:65" x14ac:dyDescent="0.3">
      <c r="P424" s="765"/>
      <c r="AB424" s="632"/>
      <c r="AV424" s="350"/>
      <c r="AW424" s="350"/>
      <c r="AX424" s="350"/>
      <c r="AY424" s="350"/>
      <c r="AZ424" s="350"/>
      <c r="BA424" s="350"/>
      <c r="BB424" s="350"/>
      <c r="BC424" s="350"/>
      <c r="BD424" s="350"/>
      <c r="BE424" s="350"/>
      <c r="BF424" s="350"/>
      <c r="BG424" s="350"/>
      <c r="BH424" s="350"/>
      <c r="BI424" s="350"/>
      <c r="BJ424" s="350"/>
      <c r="BK424" s="350"/>
      <c r="BL424" s="350"/>
      <c r="BM424" s="350"/>
    </row>
    <row r="425" spans="16:65" x14ac:dyDescent="0.3">
      <c r="P425" s="765"/>
      <c r="AB425" s="632"/>
      <c r="AV425" s="350"/>
      <c r="AW425" s="350"/>
      <c r="AX425" s="350"/>
      <c r="AY425" s="368"/>
      <c r="AZ425" s="368"/>
      <c r="BA425" s="368"/>
      <c r="BB425" s="368"/>
      <c r="BC425" s="350"/>
      <c r="BD425" s="350"/>
      <c r="BE425" s="350"/>
      <c r="BF425" s="350"/>
      <c r="BG425" s="350"/>
      <c r="BH425" s="350"/>
      <c r="BI425" s="350"/>
      <c r="BJ425" s="350"/>
      <c r="BK425" s="350"/>
      <c r="BL425" s="350"/>
      <c r="BM425" s="350"/>
    </row>
    <row r="426" spans="16:65" x14ac:dyDescent="0.3">
      <c r="P426" s="765"/>
      <c r="AB426" s="632"/>
      <c r="AV426" s="350"/>
      <c r="AW426" s="350"/>
      <c r="AX426" s="382"/>
      <c r="AY426" s="555"/>
      <c r="AZ426" s="393"/>
      <c r="BA426" s="393"/>
      <c r="BB426" s="393"/>
      <c r="BC426" s="350"/>
      <c r="BD426" s="382"/>
      <c r="BE426" s="382"/>
      <c r="BF426" s="350"/>
      <c r="BG426" s="350"/>
      <c r="BH426" s="350"/>
      <c r="BI426" s="350"/>
      <c r="BJ426" s="350"/>
      <c r="BK426" s="350"/>
      <c r="BL426" s="350"/>
      <c r="BM426" s="350"/>
    </row>
    <row r="427" spans="16:65" ht="17.25" customHeight="1" x14ac:dyDescent="0.3">
      <c r="P427" s="765"/>
      <c r="AB427" s="632"/>
      <c r="AV427" s="350"/>
      <c r="AW427" s="350"/>
      <c r="AX427" s="350"/>
      <c r="AY427" s="555"/>
      <c r="AZ427" s="350"/>
      <c r="BA427" s="384"/>
      <c r="BB427" s="384"/>
      <c r="BC427" s="350"/>
      <c r="BD427" s="557"/>
      <c r="BE427" s="468"/>
      <c r="BF427" s="350"/>
      <c r="BG427" s="350"/>
      <c r="BH427" s="350"/>
      <c r="BI427" s="350"/>
      <c r="BJ427" s="350"/>
      <c r="BK427" s="350"/>
      <c r="BL427" s="350"/>
      <c r="BM427" s="350"/>
    </row>
    <row r="428" spans="16:65" x14ac:dyDescent="0.3">
      <c r="P428" s="765"/>
      <c r="AB428" s="632"/>
      <c r="AV428" s="350"/>
      <c r="AW428" s="350"/>
      <c r="AX428" s="350"/>
      <c r="AY428" s="555"/>
      <c r="AZ428" s="350"/>
      <c r="BA428" s="383"/>
      <c r="BB428" s="383"/>
      <c r="BC428" s="350"/>
      <c r="BD428" s="557"/>
      <c r="BE428" s="468"/>
      <c r="BF428" s="350"/>
      <c r="BG428" s="350"/>
      <c r="BH428" s="350"/>
      <c r="BI428" s="350"/>
      <c r="BJ428" s="350"/>
      <c r="BK428" s="350"/>
      <c r="BL428" s="350"/>
      <c r="BM428" s="350"/>
    </row>
    <row r="429" spans="16:65" ht="16.5" customHeight="1" x14ac:dyDescent="0.3">
      <c r="P429" s="765"/>
      <c r="AB429" s="632"/>
      <c r="AV429" s="350"/>
      <c r="AW429" s="350"/>
      <c r="AX429" s="350"/>
      <c r="AY429" s="555"/>
      <c r="AZ429" s="350"/>
      <c r="BA429" s="383"/>
      <c r="BB429" s="383"/>
      <c r="BC429" s="350"/>
      <c r="BD429" s="557"/>
      <c r="BE429" s="468"/>
      <c r="BF429" s="350"/>
      <c r="BG429" s="350"/>
      <c r="BH429" s="350"/>
      <c r="BI429" s="350"/>
      <c r="BJ429" s="350"/>
      <c r="BK429" s="350"/>
      <c r="BL429" s="350"/>
      <c r="BM429" s="350"/>
    </row>
    <row r="430" spans="16:65" x14ac:dyDescent="0.3">
      <c r="P430" s="765"/>
      <c r="AB430" s="632"/>
      <c r="AV430" s="350"/>
      <c r="AW430" s="350"/>
      <c r="AX430" s="350"/>
      <c r="AY430" s="555"/>
      <c r="AZ430" s="350"/>
      <c r="BA430" s="383"/>
      <c r="BB430" s="383"/>
      <c r="BC430" s="350"/>
      <c r="BD430" s="557"/>
      <c r="BE430" s="468"/>
      <c r="BF430" s="350"/>
      <c r="BG430" s="350"/>
      <c r="BH430" s="350"/>
      <c r="BI430" s="350"/>
      <c r="BJ430" s="350"/>
      <c r="BK430" s="350"/>
      <c r="BL430" s="350"/>
      <c r="BM430" s="350"/>
    </row>
    <row r="431" spans="16:65" x14ac:dyDescent="0.3">
      <c r="P431" s="765"/>
      <c r="AB431" s="632"/>
      <c r="AV431" s="350"/>
      <c r="AW431" s="350"/>
      <c r="AX431" s="350"/>
      <c r="AY431" s="623"/>
      <c r="AZ431" s="350"/>
      <c r="BA431" s="384"/>
      <c r="BB431" s="384"/>
      <c r="BC431" s="350"/>
      <c r="BD431" s="557"/>
      <c r="BE431" s="624"/>
      <c r="BF431" s="350"/>
      <c r="BG431" s="350"/>
      <c r="BH431" s="350"/>
      <c r="BI431" s="350"/>
      <c r="BJ431" s="350"/>
      <c r="BK431" s="350"/>
      <c r="BL431" s="350"/>
      <c r="BM431" s="350"/>
    </row>
    <row r="432" spans="16:65" x14ac:dyDescent="0.3">
      <c r="P432" s="765"/>
      <c r="AB432" s="632"/>
      <c r="AV432" s="350"/>
      <c r="AW432" s="350"/>
      <c r="AX432" s="350"/>
      <c r="AY432" s="623"/>
      <c r="AZ432" s="350"/>
      <c r="BA432" s="384"/>
      <c r="BB432" s="592"/>
      <c r="BC432" s="350"/>
      <c r="BD432" s="557"/>
      <c r="BE432" s="624"/>
      <c r="BF432" s="350"/>
      <c r="BG432" s="350"/>
      <c r="BH432" s="350"/>
      <c r="BI432" s="350"/>
      <c r="BJ432" s="350"/>
      <c r="BK432" s="350"/>
      <c r="BL432" s="350"/>
      <c r="BM432" s="350"/>
    </row>
    <row r="433" spans="16:65" x14ac:dyDescent="0.3">
      <c r="P433" s="765"/>
      <c r="AB433" s="632"/>
      <c r="AV433" s="350"/>
      <c r="AW433" s="350"/>
      <c r="AX433" s="350"/>
      <c r="AY433" s="623"/>
      <c r="AZ433" s="350"/>
      <c r="BA433" s="384"/>
      <c r="BB433" s="393"/>
      <c r="BC433" s="350"/>
      <c r="BD433" s="557"/>
      <c r="BE433" s="624"/>
      <c r="BF433" s="350"/>
      <c r="BG433" s="350"/>
      <c r="BH433" s="350"/>
      <c r="BI433" s="350"/>
      <c r="BJ433" s="350"/>
      <c r="BK433" s="350"/>
      <c r="BL433" s="350"/>
      <c r="BM433" s="350"/>
    </row>
    <row r="434" spans="16:65" x14ac:dyDescent="0.3">
      <c r="P434" s="765"/>
      <c r="AB434" s="632"/>
      <c r="AV434" s="512"/>
      <c r="AW434" s="512"/>
      <c r="AX434" s="512"/>
      <c r="AY434" s="512"/>
      <c r="AZ434" s="512"/>
      <c r="BA434" s="512"/>
      <c r="BB434" s="512"/>
      <c r="BC434" s="512"/>
      <c r="BD434" s="512"/>
      <c r="BE434" s="512"/>
      <c r="BF434" s="512"/>
      <c r="BG434" s="512"/>
      <c r="BH434" s="512"/>
      <c r="BI434" s="512"/>
      <c r="BJ434" s="512"/>
      <c r="BK434" s="512"/>
      <c r="BL434" s="512"/>
      <c r="BM434" s="512"/>
    </row>
    <row r="435" spans="16:65" x14ac:dyDescent="0.3">
      <c r="P435" s="765"/>
      <c r="AB435" s="632"/>
      <c r="AV435" s="350"/>
      <c r="AW435" s="350"/>
      <c r="AX435" s="350"/>
      <c r="AY435" s="555"/>
      <c r="AZ435" s="350"/>
      <c r="BA435" s="384"/>
      <c r="BB435" s="384"/>
      <c r="BC435" s="350"/>
      <c r="BD435" s="557"/>
      <c r="BE435" s="468"/>
      <c r="BF435" s="350"/>
      <c r="BG435" s="350"/>
      <c r="BH435" s="350"/>
      <c r="BI435" s="350"/>
      <c r="BJ435" s="350"/>
      <c r="BK435" s="350"/>
      <c r="BL435" s="350"/>
      <c r="BM435" s="350"/>
    </row>
    <row r="436" spans="16:65" x14ac:dyDescent="0.3">
      <c r="P436" s="765"/>
      <c r="AB436" s="632"/>
      <c r="AV436" s="350"/>
      <c r="AW436" s="350"/>
      <c r="AX436" s="350"/>
      <c r="AY436" s="350"/>
      <c r="AZ436" s="350"/>
      <c r="BA436" s="350"/>
      <c r="BB436" s="350"/>
      <c r="BC436" s="350"/>
      <c r="BD436" s="350"/>
      <c r="BE436" s="350"/>
      <c r="BF436" s="350"/>
      <c r="BG436" s="350"/>
      <c r="BH436" s="350"/>
      <c r="BI436" s="350"/>
      <c r="BJ436" s="350"/>
      <c r="BK436" s="350"/>
      <c r="BL436" s="350"/>
      <c r="BM436" s="350"/>
    </row>
    <row r="437" spans="16:65" x14ac:dyDescent="0.3">
      <c r="P437" s="765"/>
      <c r="AB437" s="632"/>
      <c r="AV437" s="350"/>
      <c r="AW437" s="350"/>
      <c r="AX437" s="350"/>
      <c r="AY437" s="368"/>
      <c r="AZ437" s="368"/>
      <c r="BA437" s="368"/>
      <c r="BB437" s="368"/>
      <c r="BC437" s="350"/>
      <c r="BD437" s="350"/>
      <c r="BE437" s="350"/>
      <c r="BF437" s="350"/>
      <c r="BG437" s="350"/>
      <c r="BH437" s="350"/>
      <c r="BI437" s="350"/>
      <c r="BJ437" s="350"/>
      <c r="BK437" s="350"/>
      <c r="BL437" s="350"/>
      <c r="BM437" s="350"/>
    </row>
    <row r="438" spans="16:65" ht="16.5" customHeight="1" x14ac:dyDescent="0.3">
      <c r="P438" s="765"/>
      <c r="AB438" s="632"/>
      <c r="AV438" s="350"/>
      <c r="AW438" s="350"/>
      <c r="AX438" s="350"/>
      <c r="AY438" s="555"/>
      <c r="AZ438" s="393"/>
      <c r="BA438" s="393"/>
      <c r="BB438" s="393"/>
      <c r="BC438" s="350"/>
      <c r="BD438" s="382"/>
      <c r="BE438" s="382"/>
      <c r="BF438" s="350"/>
      <c r="BG438" s="350"/>
      <c r="BH438" s="350"/>
      <c r="BI438" s="350"/>
      <c r="BJ438" s="350"/>
      <c r="BK438" s="350"/>
      <c r="BL438" s="350"/>
      <c r="BM438" s="350"/>
    </row>
    <row r="439" spans="16:65" x14ac:dyDescent="0.3">
      <c r="P439" s="765"/>
      <c r="AB439" s="632"/>
      <c r="AV439" s="350"/>
      <c r="AW439" s="350"/>
      <c r="AX439" s="350"/>
      <c r="AY439" s="555"/>
      <c r="AZ439" s="350"/>
      <c r="BA439" s="384"/>
      <c r="BB439" s="384"/>
      <c r="BC439" s="350"/>
      <c r="BD439" s="557"/>
      <c r="BE439" s="468"/>
      <c r="BF439" s="350"/>
      <c r="BG439" s="350"/>
      <c r="BH439" s="350"/>
      <c r="BI439" s="350"/>
      <c r="BJ439" s="350"/>
      <c r="BK439" s="350"/>
      <c r="BL439" s="350"/>
      <c r="BM439" s="350"/>
    </row>
    <row r="440" spans="16:65" x14ac:dyDescent="0.3">
      <c r="P440" s="765"/>
      <c r="AB440" s="632"/>
      <c r="AV440" s="350"/>
      <c r="AW440" s="350"/>
      <c r="AX440" s="350"/>
      <c r="AY440" s="555"/>
      <c r="AZ440" s="350"/>
      <c r="BA440" s="384"/>
      <c r="BB440" s="384"/>
      <c r="BC440" s="350"/>
      <c r="BD440" s="557"/>
      <c r="BE440" s="468"/>
      <c r="BF440" s="350"/>
      <c r="BG440" s="350"/>
      <c r="BH440" s="350"/>
      <c r="BI440" s="350"/>
      <c r="BJ440" s="350"/>
      <c r="BK440" s="350"/>
      <c r="BL440" s="350"/>
      <c r="BM440" s="350"/>
    </row>
    <row r="441" spans="16:65" x14ac:dyDescent="0.3">
      <c r="P441" s="765"/>
      <c r="AB441" s="632"/>
      <c r="AV441" s="350"/>
      <c r="AW441" s="350"/>
      <c r="AX441" s="350"/>
      <c r="AY441" s="623"/>
      <c r="AZ441" s="350"/>
      <c r="BA441" s="384"/>
      <c r="BB441" s="384"/>
      <c r="BC441" s="350"/>
      <c r="BD441" s="557"/>
      <c r="BE441" s="624"/>
      <c r="BF441" s="350"/>
      <c r="BG441" s="350"/>
      <c r="BH441" s="350"/>
      <c r="BI441" s="350"/>
      <c r="BJ441" s="350"/>
      <c r="BK441" s="350"/>
      <c r="BL441" s="350"/>
      <c r="BM441" s="350"/>
    </row>
    <row r="442" spans="16:65" x14ac:dyDescent="0.3">
      <c r="P442" s="765"/>
      <c r="AB442" s="632"/>
      <c r="AV442" s="350"/>
      <c r="AW442" s="350"/>
      <c r="AX442" s="350"/>
      <c r="AY442" s="350"/>
      <c r="AZ442" s="350"/>
      <c r="BA442" s="350"/>
      <c r="BB442" s="350"/>
      <c r="BC442" s="350"/>
      <c r="BD442" s="350"/>
      <c r="BE442" s="350"/>
      <c r="BF442" s="350"/>
      <c r="BG442" s="350"/>
      <c r="BH442" s="350"/>
      <c r="BI442" s="350"/>
      <c r="BJ442" s="350"/>
      <c r="BK442" s="350"/>
      <c r="BL442" s="350"/>
      <c r="BM442" s="350"/>
    </row>
    <row r="443" spans="16:65" x14ac:dyDescent="0.3">
      <c r="P443" s="765"/>
      <c r="AB443" s="632"/>
      <c r="AV443" s="350"/>
      <c r="AW443" s="350"/>
      <c r="AX443" s="350"/>
      <c r="AY443" s="368"/>
      <c r="AZ443" s="368"/>
      <c r="BA443" s="368"/>
      <c r="BB443" s="368"/>
      <c r="BC443" s="350"/>
      <c r="BD443" s="350"/>
      <c r="BE443" s="350"/>
      <c r="BF443" s="350"/>
      <c r="BG443" s="350"/>
      <c r="BH443" s="350"/>
      <c r="BI443" s="350"/>
      <c r="BJ443" s="350"/>
      <c r="BK443" s="350"/>
      <c r="BL443" s="350"/>
      <c r="BM443" s="350"/>
    </row>
    <row r="444" spans="16:65" x14ac:dyDescent="0.3">
      <c r="P444" s="765"/>
      <c r="AB444" s="632"/>
      <c r="AV444" s="350"/>
      <c r="AW444" s="350"/>
      <c r="AX444" s="350"/>
      <c r="AY444" s="555"/>
      <c r="AZ444" s="393"/>
      <c r="BA444" s="393"/>
      <c r="BB444" s="393"/>
      <c r="BC444" s="350"/>
      <c r="BD444" s="382"/>
      <c r="BE444" s="382"/>
      <c r="BF444" s="350"/>
      <c r="BG444" s="350"/>
      <c r="BH444" s="350"/>
      <c r="BI444" s="350"/>
      <c r="BJ444" s="350"/>
      <c r="BK444" s="350"/>
      <c r="BL444" s="350"/>
      <c r="BM444" s="350"/>
    </row>
    <row r="445" spans="16:65" ht="16.5" customHeight="1" x14ac:dyDescent="0.3">
      <c r="P445" s="765"/>
      <c r="AB445" s="632"/>
      <c r="AV445" s="350"/>
      <c r="AW445" s="350"/>
      <c r="AX445" s="350"/>
      <c r="AY445" s="555"/>
      <c r="AZ445" s="350"/>
      <c r="BA445" s="384"/>
      <c r="BB445" s="384"/>
      <c r="BC445" s="350"/>
      <c r="BD445" s="557"/>
      <c r="BE445" s="468"/>
      <c r="BF445" s="350"/>
      <c r="BG445" s="350"/>
      <c r="BH445" s="350"/>
      <c r="BI445" s="350"/>
      <c r="BJ445" s="350"/>
      <c r="BK445" s="350"/>
      <c r="BL445" s="350"/>
      <c r="BM445" s="350"/>
    </row>
    <row r="446" spans="16:65" x14ac:dyDescent="0.3">
      <c r="P446" s="765"/>
      <c r="AB446" s="632"/>
      <c r="AV446" s="350"/>
      <c r="AW446" s="350"/>
      <c r="AX446" s="350"/>
      <c r="AY446" s="555"/>
      <c r="AZ446" s="350"/>
      <c r="BA446" s="384"/>
      <c r="BB446" s="384"/>
      <c r="BC446" s="350"/>
      <c r="BD446" s="557"/>
      <c r="BE446" s="468"/>
      <c r="BF446" s="350"/>
      <c r="BG446" s="350"/>
      <c r="BH446" s="350"/>
      <c r="BI446" s="350"/>
      <c r="BJ446" s="350"/>
      <c r="BK446" s="350"/>
      <c r="BL446" s="350"/>
      <c r="BM446" s="350"/>
    </row>
    <row r="447" spans="16:65" x14ac:dyDescent="0.3">
      <c r="P447" s="765"/>
      <c r="AB447" s="632"/>
      <c r="AV447" s="350"/>
      <c r="AW447" s="350"/>
      <c r="AX447" s="350"/>
      <c r="AY447" s="350"/>
      <c r="AZ447" s="350"/>
      <c r="BA447" s="350"/>
      <c r="BB447" s="350"/>
      <c r="BC447" s="350"/>
      <c r="BD447" s="350"/>
      <c r="BE447" s="350"/>
      <c r="BF447" s="350"/>
      <c r="BG447" s="350"/>
      <c r="BH447" s="350"/>
      <c r="BI447" s="350"/>
      <c r="BJ447" s="350"/>
      <c r="BK447" s="350"/>
      <c r="BL447" s="350"/>
      <c r="BM447" s="350"/>
    </row>
    <row r="448" spans="16:65" x14ac:dyDescent="0.3">
      <c r="P448" s="765"/>
      <c r="AB448" s="632"/>
      <c r="AV448" s="350"/>
      <c r="AW448" s="350"/>
      <c r="AX448" s="350"/>
      <c r="AY448" s="350"/>
      <c r="AZ448" s="350"/>
      <c r="BA448" s="350"/>
      <c r="BB448" s="350"/>
      <c r="BC448" s="350"/>
      <c r="BD448" s="350"/>
      <c r="BE448" s="350"/>
      <c r="BF448" s="350"/>
      <c r="BG448" s="350"/>
      <c r="BH448" s="350"/>
      <c r="BI448" s="350"/>
      <c r="BJ448" s="350"/>
      <c r="BK448" s="350"/>
      <c r="BL448" s="350"/>
      <c r="BM448" s="350"/>
    </row>
    <row r="449" spans="4:65" x14ac:dyDescent="0.3">
      <c r="P449" s="765"/>
      <c r="AB449" s="632"/>
      <c r="AV449" s="350"/>
      <c r="AW449" s="350"/>
      <c r="AX449" s="350"/>
      <c r="AY449" s="368"/>
      <c r="AZ449" s="368"/>
      <c r="BA449" s="368"/>
      <c r="BB449" s="368"/>
      <c r="BC449" s="350"/>
      <c r="BD449" s="350"/>
      <c r="BE449" s="350"/>
      <c r="BF449" s="350"/>
      <c r="BG449" s="350"/>
      <c r="BH449" s="350"/>
      <c r="BI449" s="350"/>
      <c r="BJ449" s="350"/>
      <c r="BK449" s="350"/>
      <c r="BL449" s="350"/>
      <c r="BM449" s="350"/>
    </row>
    <row r="450" spans="4:65" x14ac:dyDescent="0.3">
      <c r="P450" s="765"/>
      <c r="AB450" s="632"/>
      <c r="AV450" s="350"/>
      <c r="AW450" s="350"/>
      <c r="AX450" s="350"/>
      <c r="AY450" s="555"/>
      <c r="AZ450" s="393"/>
      <c r="BA450" s="393"/>
      <c r="BB450" s="393"/>
      <c r="BC450" s="350"/>
      <c r="BD450" s="382"/>
      <c r="BE450" s="382"/>
      <c r="BF450" s="350"/>
      <c r="BG450" s="350"/>
      <c r="BH450" s="350"/>
      <c r="BI450" s="350"/>
      <c r="BJ450" s="350"/>
      <c r="BK450" s="350"/>
      <c r="BL450" s="350"/>
      <c r="BM450" s="350"/>
    </row>
    <row r="451" spans="4:65" ht="21" customHeight="1" x14ac:dyDescent="0.3">
      <c r="P451" s="767"/>
      <c r="AB451" s="632"/>
      <c r="AV451" s="350"/>
      <c r="AW451" s="350"/>
      <c r="AX451" s="350"/>
      <c r="AY451" s="555"/>
      <c r="AZ451" s="350"/>
      <c r="BA451" s="384"/>
      <c r="BB451" s="384"/>
      <c r="BC451" s="350"/>
      <c r="BD451" s="557"/>
      <c r="BE451" s="468"/>
      <c r="BF451" s="350"/>
      <c r="BG451" s="350"/>
      <c r="BH451" s="350"/>
      <c r="BI451" s="350"/>
      <c r="BJ451" s="350"/>
      <c r="BK451" s="350"/>
      <c r="BL451" s="350"/>
      <c r="BM451" s="350"/>
    </row>
    <row r="452" spans="4:65" ht="17.25" customHeight="1" x14ac:dyDescent="0.3">
      <c r="D452" s="768"/>
      <c r="E452" s="768"/>
      <c r="F452" s="768"/>
      <c r="G452" s="768"/>
      <c r="H452" s="768"/>
      <c r="I452" s="768"/>
      <c r="J452" s="768"/>
      <c r="K452" s="768"/>
      <c r="L452" s="768"/>
      <c r="M452" s="768"/>
      <c r="N452" s="768"/>
      <c r="O452" s="768"/>
      <c r="P452" s="767"/>
      <c r="Q452" s="768"/>
      <c r="R452" s="768"/>
      <c r="S452" s="768"/>
      <c r="T452" s="768"/>
      <c r="U452" s="768"/>
      <c r="V452" s="768"/>
      <c r="W452" s="768"/>
      <c r="X452" s="768"/>
      <c r="Y452" s="768"/>
      <c r="Z452" s="768"/>
      <c r="AA452" s="768"/>
      <c r="AB452" s="769"/>
      <c r="AV452" s="350"/>
      <c r="AW452" s="350"/>
      <c r="AX452" s="350"/>
      <c r="AY452" s="555"/>
      <c r="AZ452" s="350"/>
      <c r="BA452" s="384"/>
      <c r="BB452" s="384"/>
      <c r="BC452" s="350"/>
      <c r="BD452" s="557"/>
      <c r="BE452" s="468"/>
      <c r="BF452" s="350"/>
      <c r="BG452" s="350"/>
      <c r="BH452" s="350"/>
      <c r="BI452" s="350"/>
      <c r="BJ452" s="350"/>
      <c r="BK452" s="350"/>
      <c r="BL452" s="350"/>
      <c r="BM452" s="350"/>
    </row>
    <row r="453" spans="4:65" ht="16.5" customHeight="1" x14ac:dyDescent="0.3">
      <c r="D453" s="768"/>
      <c r="E453" s="768"/>
      <c r="F453" s="768"/>
      <c r="G453" s="768"/>
      <c r="H453" s="768"/>
      <c r="I453" s="768"/>
      <c r="J453" s="768"/>
      <c r="K453" s="768"/>
      <c r="L453" s="768"/>
      <c r="M453" s="768"/>
      <c r="N453" s="768"/>
      <c r="O453" s="768"/>
      <c r="P453" s="768"/>
      <c r="Q453" s="768"/>
      <c r="R453" s="768"/>
      <c r="S453" s="768"/>
      <c r="T453" s="768"/>
      <c r="U453" s="768"/>
      <c r="V453" s="768"/>
      <c r="W453" s="768"/>
      <c r="X453" s="768"/>
      <c r="Y453" s="768"/>
      <c r="Z453" s="768"/>
      <c r="AA453" s="768"/>
      <c r="AB453" s="769"/>
      <c r="AV453" s="350"/>
      <c r="AW453" s="350"/>
      <c r="AX453" s="350"/>
      <c r="AY453" s="350"/>
      <c r="AZ453" s="350"/>
      <c r="BA453" s="350"/>
      <c r="BB453" s="350"/>
      <c r="BC453" s="350"/>
      <c r="BD453" s="350"/>
      <c r="BE453" s="350"/>
      <c r="BF453" s="350"/>
      <c r="BG453" s="350"/>
      <c r="BH453" s="350"/>
      <c r="BI453" s="350"/>
      <c r="BJ453" s="350"/>
      <c r="BK453" s="350"/>
      <c r="BL453" s="350"/>
      <c r="BM453" s="350"/>
    </row>
    <row r="454" spans="4:65" ht="16.5" customHeight="1" x14ac:dyDescent="0.3">
      <c r="D454" s="768"/>
      <c r="E454" s="768"/>
      <c r="F454" s="768"/>
      <c r="G454" s="768"/>
      <c r="H454" s="768"/>
      <c r="I454" s="768"/>
      <c r="J454" s="768"/>
      <c r="K454" s="768"/>
      <c r="L454" s="768"/>
      <c r="M454" s="768"/>
      <c r="N454" s="768"/>
      <c r="O454" s="768"/>
      <c r="P454" s="768"/>
      <c r="Q454" s="768"/>
      <c r="R454" s="768"/>
      <c r="S454" s="768"/>
      <c r="T454" s="768"/>
      <c r="U454" s="768"/>
      <c r="V454" s="768"/>
      <c r="W454" s="768"/>
      <c r="X454" s="768"/>
      <c r="Y454" s="768"/>
      <c r="Z454" s="768"/>
      <c r="AA454" s="768"/>
      <c r="AB454" s="769"/>
      <c r="AV454" s="350"/>
      <c r="AW454" s="350"/>
      <c r="AX454" s="350"/>
      <c r="AY454" s="350"/>
      <c r="AZ454" s="350"/>
      <c r="BA454" s="350"/>
      <c r="BB454" s="350"/>
      <c r="BC454" s="350"/>
      <c r="BD454" s="350"/>
      <c r="BE454" s="350"/>
      <c r="BF454" s="350"/>
      <c r="BG454" s="350"/>
      <c r="BH454" s="350"/>
      <c r="BI454" s="350"/>
      <c r="BJ454" s="350"/>
      <c r="BK454" s="350"/>
      <c r="BL454" s="350"/>
      <c r="BM454" s="350"/>
    </row>
    <row r="455" spans="4:65" ht="16.5" customHeight="1" x14ac:dyDescent="0.3">
      <c r="D455" s="768"/>
      <c r="E455" s="768"/>
      <c r="F455" s="768"/>
      <c r="G455" s="768"/>
      <c r="H455" s="768"/>
      <c r="I455" s="768"/>
      <c r="J455" s="768"/>
      <c r="K455" s="768"/>
      <c r="L455" s="768"/>
      <c r="M455" s="768"/>
      <c r="N455" s="768"/>
      <c r="O455" s="768"/>
      <c r="P455" s="768"/>
      <c r="Q455" s="768"/>
      <c r="R455" s="768"/>
      <c r="S455" s="768"/>
      <c r="T455" s="768"/>
      <c r="U455" s="768"/>
      <c r="V455" s="768"/>
      <c r="W455" s="768"/>
      <c r="X455" s="768"/>
      <c r="Y455" s="768"/>
      <c r="Z455" s="768"/>
      <c r="AA455" s="768"/>
      <c r="AB455" s="769"/>
      <c r="AV455" s="350"/>
      <c r="AW455" s="350"/>
      <c r="AX455" s="350"/>
      <c r="AY455" s="350"/>
      <c r="AZ455" s="350"/>
      <c r="BA455" s="350"/>
      <c r="BB455" s="350"/>
      <c r="BC455" s="350"/>
      <c r="BD455" s="350"/>
      <c r="BE455" s="350"/>
      <c r="BF455" s="350"/>
      <c r="BG455" s="350"/>
      <c r="BH455" s="350"/>
      <c r="BI455" s="350"/>
      <c r="BJ455" s="350"/>
      <c r="BK455" s="350"/>
      <c r="BL455" s="350"/>
      <c r="BM455" s="350"/>
    </row>
    <row r="456" spans="4:65" ht="16.5" customHeight="1" x14ac:dyDescent="0.3">
      <c r="D456" s="768"/>
      <c r="E456" s="768"/>
      <c r="F456" s="768"/>
      <c r="G456" s="768"/>
      <c r="H456" s="768"/>
      <c r="I456" s="768"/>
      <c r="J456" s="768"/>
      <c r="K456" s="768"/>
      <c r="L456" s="768"/>
      <c r="M456" s="768"/>
      <c r="N456" s="768"/>
      <c r="O456" s="768"/>
      <c r="P456" s="768"/>
      <c r="Q456" s="768"/>
      <c r="R456" s="768"/>
      <c r="S456" s="768"/>
      <c r="T456" s="768"/>
      <c r="U456" s="768"/>
      <c r="V456" s="768"/>
      <c r="W456" s="768"/>
      <c r="X456" s="768"/>
      <c r="Y456" s="768"/>
      <c r="Z456" s="768"/>
      <c r="AA456" s="768"/>
      <c r="AB456" s="769"/>
      <c r="AV456" s="350"/>
      <c r="AW456" s="350"/>
      <c r="AX456" s="350"/>
      <c r="AY456" s="350"/>
      <c r="AZ456" s="350"/>
      <c r="BA456" s="350"/>
      <c r="BB456" s="350"/>
      <c r="BC456" s="350"/>
      <c r="BD456" s="350"/>
      <c r="BE456" s="350"/>
      <c r="BF456" s="350"/>
      <c r="BG456" s="350"/>
      <c r="BH456" s="350"/>
      <c r="BI456" s="350"/>
      <c r="BJ456" s="350"/>
      <c r="BK456" s="350"/>
      <c r="BL456" s="350"/>
      <c r="BM456" s="350"/>
    </row>
    <row r="457" spans="4:65" ht="30" customHeight="1" x14ac:dyDescent="0.3">
      <c r="D457" s="768"/>
      <c r="E457" s="768"/>
      <c r="F457" s="768"/>
      <c r="G457" s="768"/>
      <c r="H457" s="768"/>
      <c r="I457" s="768"/>
      <c r="J457" s="768"/>
      <c r="K457" s="768"/>
      <c r="L457" s="768"/>
      <c r="M457" s="768"/>
      <c r="N457" s="768"/>
      <c r="O457" s="768"/>
      <c r="P457" s="768"/>
      <c r="Q457" s="768"/>
      <c r="R457" s="768"/>
      <c r="S457" s="768"/>
      <c r="T457" s="768"/>
      <c r="U457" s="768"/>
      <c r="V457" s="768"/>
      <c r="W457" s="768"/>
      <c r="X457" s="768"/>
      <c r="Y457" s="768"/>
      <c r="Z457" s="768"/>
      <c r="AA457" s="768"/>
      <c r="AB457" s="769"/>
      <c r="AV457" s="512"/>
      <c r="AW457" s="512"/>
      <c r="AX457" s="512"/>
      <c r="AY457" s="512"/>
      <c r="AZ457" s="512"/>
      <c r="BA457" s="512"/>
      <c r="BB457" s="512"/>
      <c r="BC457" s="512"/>
      <c r="BD457" s="512"/>
      <c r="BE457" s="512"/>
      <c r="BF457" s="512"/>
      <c r="BG457" s="512"/>
      <c r="BH457" s="512"/>
      <c r="BI457" s="512"/>
      <c r="BJ457" s="512"/>
      <c r="BK457" s="512"/>
      <c r="BL457" s="512"/>
      <c r="BM457" s="512"/>
    </row>
    <row r="458" spans="4:65" ht="16.5" customHeight="1" x14ac:dyDescent="0.3">
      <c r="D458" s="768"/>
      <c r="E458" s="768"/>
      <c r="F458" s="768"/>
      <c r="G458" s="768"/>
      <c r="H458" s="768"/>
      <c r="I458" s="768"/>
      <c r="J458" s="768"/>
      <c r="K458" s="768"/>
      <c r="L458" s="768"/>
      <c r="M458" s="768"/>
      <c r="N458" s="768"/>
      <c r="O458" s="768"/>
      <c r="P458" s="768"/>
      <c r="Q458" s="768"/>
      <c r="R458" s="768"/>
      <c r="S458" s="768"/>
      <c r="T458" s="768"/>
      <c r="U458" s="768"/>
      <c r="V458" s="768"/>
      <c r="W458" s="768"/>
      <c r="X458" s="768"/>
      <c r="Y458" s="768"/>
      <c r="Z458" s="768"/>
      <c r="AA458" s="768"/>
      <c r="AB458" s="769"/>
      <c r="AV458" s="350"/>
      <c r="AW458" s="350"/>
      <c r="AX458" s="350"/>
      <c r="AY458" s="350"/>
      <c r="AZ458" s="350"/>
      <c r="BA458" s="350"/>
      <c r="BB458" s="350"/>
      <c r="BC458" s="350"/>
      <c r="BD458" s="350"/>
      <c r="BE458" s="350"/>
      <c r="BF458" s="350"/>
      <c r="BG458" s="350"/>
      <c r="BH458" s="350"/>
      <c r="BI458" s="350"/>
      <c r="BJ458" s="350"/>
      <c r="BK458" s="350"/>
      <c r="BL458" s="350"/>
      <c r="BM458" s="350"/>
    </row>
    <row r="459" spans="4:65" ht="16.5" customHeight="1" x14ac:dyDescent="0.3">
      <c r="D459" s="768"/>
      <c r="E459" s="768"/>
      <c r="F459" s="768"/>
      <c r="G459" s="768"/>
      <c r="H459" s="768"/>
      <c r="I459" s="768"/>
      <c r="J459" s="768"/>
      <c r="K459" s="768"/>
      <c r="L459" s="768"/>
      <c r="M459" s="768"/>
      <c r="N459" s="768"/>
      <c r="O459" s="768"/>
      <c r="P459" s="768"/>
      <c r="Q459" s="768"/>
      <c r="R459" s="768"/>
      <c r="S459" s="768"/>
      <c r="T459" s="768"/>
      <c r="U459" s="768"/>
      <c r="V459" s="768"/>
      <c r="W459" s="768"/>
      <c r="X459" s="768"/>
      <c r="Y459" s="768"/>
      <c r="Z459" s="768"/>
      <c r="AA459" s="768"/>
      <c r="AB459" s="769"/>
      <c r="AV459" s="350"/>
      <c r="AW459" s="350"/>
      <c r="AX459" s="350"/>
      <c r="AY459" s="368"/>
      <c r="AZ459" s="368"/>
      <c r="BA459" s="368"/>
      <c r="BB459" s="368"/>
      <c r="BC459" s="350"/>
      <c r="BD459" s="350"/>
      <c r="BE459" s="350"/>
      <c r="BF459" s="350"/>
      <c r="BG459" s="350"/>
      <c r="BH459" s="350"/>
      <c r="BI459" s="350"/>
      <c r="BJ459" s="350"/>
      <c r="BK459" s="350"/>
      <c r="BL459" s="350"/>
      <c r="BM459" s="350"/>
    </row>
    <row r="460" spans="4:65" ht="16.5" customHeight="1" x14ac:dyDescent="0.3">
      <c r="D460" s="768"/>
      <c r="E460" s="768"/>
      <c r="F460" s="768"/>
      <c r="G460" s="768"/>
      <c r="H460" s="768"/>
      <c r="I460" s="768"/>
      <c r="J460" s="768"/>
      <c r="K460" s="768"/>
      <c r="L460" s="768"/>
      <c r="M460" s="768"/>
      <c r="N460" s="768"/>
      <c r="O460" s="768"/>
      <c r="P460" s="768"/>
      <c r="Q460" s="768"/>
      <c r="R460" s="768"/>
      <c r="S460" s="768"/>
      <c r="T460" s="768"/>
      <c r="U460" s="768"/>
      <c r="V460" s="768"/>
      <c r="W460" s="768"/>
      <c r="X460" s="768"/>
      <c r="Y460" s="768"/>
      <c r="Z460" s="768"/>
      <c r="AA460" s="768"/>
      <c r="AB460" s="769"/>
      <c r="AV460" s="350"/>
      <c r="AW460" s="350"/>
      <c r="AX460" s="350"/>
      <c r="AY460" s="555"/>
      <c r="AZ460" s="393"/>
      <c r="BA460" s="393"/>
      <c r="BB460" s="393"/>
      <c r="BC460" s="350"/>
      <c r="BD460" s="382"/>
      <c r="BE460" s="382"/>
      <c r="BF460" s="350"/>
      <c r="BG460" s="350"/>
      <c r="BH460" s="350"/>
      <c r="BI460" s="350"/>
      <c r="BJ460" s="350"/>
      <c r="BK460" s="350"/>
      <c r="BL460" s="350"/>
      <c r="BM460" s="350"/>
    </row>
    <row r="461" spans="4:65" ht="16.5" customHeight="1" x14ac:dyDescent="0.3">
      <c r="D461" s="768"/>
      <c r="E461" s="768"/>
      <c r="F461" s="768"/>
      <c r="G461" s="768"/>
      <c r="H461" s="768"/>
      <c r="I461" s="768"/>
      <c r="J461" s="768"/>
      <c r="K461" s="768"/>
      <c r="L461" s="768"/>
      <c r="M461" s="768"/>
      <c r="N461" s="768"/>
      <c r="O461" s="768"/>
      <c r="P461" s="768"/>
      <c r="Q461" s="768"/>
      <c r="R461" s="768"/>
      <c r="S461" s="768"/>
      <c r="T461" s="768"/>
      <c r="U461" s="768"/>
      <c r="V461" s="768"/>
      <c r="W461" s="768"/>
      <c r="X461" s="768"/>
      <c r="Y461" s="768"/>
      <c r="Z461" s="768"/>
      <c r="AA461" s="768"/>
      <c r="AB461" s="769"/>
      <c r="AV461" s="350"/>
      <c r="AW461" s="350"/>
      <c r="AX461" s="350"/>
      <c r="AY461" s="555"/>
      <c r="AZ461" s="350"/>
      <c r="BA461" s="384"/>
      <c r="BB461" s="384"/>
      <c r="BC461" s="350"/>
      <c r="BD461" s="557"/>
      <c r="BE461" s="468"/>
      <c r="BF461" s="350"/>
      <c r="BG461" s="350"/>
      <c r="BH461" s="350"/>
      <c r="BI461" s="350"/>
      <c r="BJ461" s="350"/>
      <c r="BK461" s="350"/>
      <c r="BL461" s="350"/>
      <c r="BM461" s="350"/>
    </row>
    <row r="462" spans="4:65" ht="15" customHeight="1" x14ac:dyDescent="0.3">
      <c r="D462" s="768"/>
      <c r="E462" s="768"/>
      <c r="F462" s="768"/>
      <c r="G462" s="768"/>
      <c r="H462" s="768"/>
      <c r="I462" s="768"/>
      <c r="J462" s="768"/>
      <c r="K462" s="768"/>
      <c r="L462" s="768"/>
      <c r="M462" s="768"/>
      <c r="N462" s="768"/>
      <c r="O462" s="768"/>
      <c r="P462" s="768"/>
      <c r="Q462" s="768"/>
      <c r="R462" s="768"/>
      <c r="S462" s="768"/>
      <c r="T462" s="768"/>
      <c r="U462" s="768"/>
      <c r="V462" s="768"/>
      <c r="W462" s="768"/>
      <c r="X462" s="768"/>
      <c r="Y462" s="768"/>
      <c r="Z462" s="768"/>
      <c r="AA462" s="768"/>
      <c r="AB462" s="769"/>
      <c r="AV462" s="350"/>
      <c r="AW462" s="350"/>
      <c r="AX462" s="350"/>
      <c r="AY462" s="555"/>
      <c r="AZ462" s="350"/>
      <c r="BA462" s="384"/>
      <c r="BB462" s="384"/>
      <c r="BC462" s="350"/>
      <c r="BD462" s="557"/>
      <c r="BE462" s="468"/>
      <c r="BF462" s="350"/>
      <c r="BG462" s="350"/>
      <c r="BH462" s="350"/>
      <c r="BI462" s="350"/>
      <c r="BJ462" s="350"/>
      <c r="BK462" s="350"/>
      <c r="BL462" s="350"/>
      <c r="BM462" s="350"/>
    </row>
    <row r="463" spans="4:65" ht="15" customHeight="1" x14ac:dyDescent="0.3">
      <c r="D463" s="768"/>
      <c r="E463" s="768"/>
      <c r="F463" s="768"/>
      <c r="G463" s="768"/>
      <c r="H463" s="768"/>
      <c r="I463" s="768"/>
      <c r="J463" s="768"/>
      <c r="K463" s="768"/>
      <c r="L463" s="768"/>
      <c r="M463" s="768"/>
      <c r="N463" s="768"/>
      <c r="O463" s="768"/>
      <c r="P463" s="768"/>
      <c r="Q463" s="768"/>
      <c r="R463" s="768"/>
      <c r="S463" s="768"/>
      <c r="T463" s="768"/>
      <c r="U463" s="768"/>
      <c r="V463" s="768"/>
      <c r="W463" s="768"/>
      <c r="X463" s="768"/>
      <c r="Y463" s="768"/>
      <c r="Z463" s="768"/>
      <c r="AA463" s="768"/>
      <c r="AB463" s="769"/>
      <c r="AV463" s="350"/>
      <c r="AW463" s="350"/>
      <c r="AX463" s="350"/>
      <c r="AY463" s="623"/>
      <c r="AZ463" s="350"/>
      <c r="BA463" s="384"/>
      <c r="BB463" s="384"/>
      <c r="BC463" s="350"/>
      <c r="BD463" s="557"/>
      <c r="BE463" s="624"/>
      <c r="BF463" s="350"/>
      <c r="BG463" s="350"/>
      <c r="BH463" s="350"/>
      <c r="BI463" s="350"/>
      <c r="BJ463" s="350"/>
      <c r="BK463" s="350"/>
      <c r="BL463" s="350"/>
      <c r="BM463" s="350"/>
    </row>
    <row r="464" spans="4:65" ht="16.5" customHeight="1" x14ac:dyDescent="0.3">
      <c r="D464" s="768"/>
      <c r="E464" s="768"/>
      <c r="F464" s="768"/>
      <c r="G464" s="768"/>
      <c r="H464" s="768"/>
      <c r="I464" s="768"/>
      <c r="J464" s="768"/>
      <c r="K464" s="768"/>
      <c r="L464" s="768"/>
      <c r="M464" s="768"/>
      <c r="N464" s="768"/>
      <c r="O464" s="768"/>
      <c r="P464" s="768"/>
      <c r="Q464" s="768"/>
      <c r="R464" s="768"/>
      <c r="S464" s="768"/>
      <c r="T464" s="768"/>
      <c r="U464" s="768"/>
      <c r="V464" s="768"/>
      <c r="W464" s="768"/>
      <c r="X464" s="768"/>
      <c r="Y464" s="768"/>
      <c r="Z464" s="768"/>
      <c r="AA464" s="768"/>
      <c r="AB464" s="769"/>
      <c r="AV464" s="350"/>
      <c r="AW464" s="350"/>
      <c r="AX464" s="350"/>
      <c r="AY464" s="350"/>
      <c r="AZ464" s="350"/>
      <c r="BA464" s="350"/>
      <c r="BB464" s="350"/>
      <c r="BC464" s="350"/>
      <c r="BD464" s="350"/>
      <c r="BE464" s="350"/>
      <c r="BF464" s="350"/>
      <c r="BG464" s="350"/>
      <c r="BH464" s="350"/>
      <c r="BI464" s="350"/>
      <c r="BJ464" s="350"/>
      <c r="BK464" s="350"/>
      <c r="BL464" s="350"/>
      <c r="BM464" s="350"/>
    </row>
    <row r="465" spans="4:65" ht="16.5" customHeight="1" x14ac:dyDescent="0.3">
      <c r="D465" s="768"/>
      <c r="E465" s="768"/>
      <c r="F465" s="768"/>
      <c r="G465" s="768"/>
      <c r="H465" s="768"/>
      <c r="I465" s="768"/>
      <c r="J465" s="768"/>
      <c r="K465" s="768"/>
      <c r="L465" s="768"/>
      <c r="M465" s="768"/>
      <c r="N465" s="768"/>
      <c r="O465" s="768"/>
      <c r="P465" s="768"/>
      <c r="Q465" s="768"/>
      <c r="R465" s="768"/>
      <c r="S465" s="768"/>
      <c r="T465" s="768"/>
      <c r="U465" s="768"/>
      <c r="V465" s="768"/>
      <c r="W465" s="768"/>
      <c r="X465" s="768"/>
      <c r="Y465" s="768"/>
      <c r="Z465" s="768"/>
      <c r="AA465" s="768"/>
      <c r="AB465" s="769"/>
      <c r="AV465" s="350"/>
      <c r="AW465" s="350"/>
      <c r="AX465" s="350"/>
      <c r="AY465" s="368"/>
      <c r="AZ465" s="368"/>
      <c r="BA465" s="368"/>
      <c r="BB465" s="368"/>
      <c r="BC465" s="350"/>
      <c r="BD465" s="350"/>
      <c r="BE465" s="350"/>
      <c r="BF465" s="350"/>
      <c r="BG465" s="350"/>
      <c r="BH465" s="350"/>
      <c r="BI465" s="350"/>
      <c r="BJ465" s="350"/>
      <c r="BK465" s="350"/>
      <c r="BL465" s="350"/>
      <c r="BM465" s="350"/>
    </row>
    <row r="466" spans="4:65" ht="16.5" customHeight="1" x14ac:dyDescent="0.3">
      <c r="D466" s="768"/>
      <c r="E466" s="768"/>
      <c r="F466" s="768"/>
      <c r="G466" s="768"/>
      <c r="H466" s="768"/>
      <c r="I466" s="768"/>
      <c r="J466" s="768"/>
      <c r="K466" s="768"/>
      <c r="L466" s="768"/>
      <c r="M466" s="768"/>
      <c r="N466" s="768"/>
      <c r="O466" s="768"/>
      <c r="P466" s="768"/>
      <c r="Q466" s="768"/>
      <c r="R466" s="768"/>
      <c r="S466" s="768"/>
      <c r="T466" s="768"/>
      <c r="U466" s="768"/>
      <c r="V466" s="768"/>
      <c r="W466" s="768"/>
      <c r="X466" s="768"/>
      <c r="Y466" s="768"/>
      <c r="Z466" s="768"/>
      <c r="AA466" s="768"/>
      <c r="AB466" s="769"/>
      <c r="AV466" s="350"/>
      <c r="AW466" s="350"/>
      <c r="AX466" s="350"/>
      <c r="AY466" s="555"/>
      <c r="AZ466" s="393"/>
      <c r="BA466" s="393"/>
      <c r="BB466" s="393"/>
      <c r="BC466" s="350"/>
      <c r="BD466" s="382"/>
      <c r="BE466" s="382"/>
      <c r="BF466" s="350"/>
      <c r="BG466" s="350"/>
      <c r="BH466" s="350"/>
      <c r="BI466" s="350"/>
      <c r="BJ466" s="350"/>
      <c r="BK466" s="350"/>
      <c r="BL466" s="350"/>
      <c r="BM466" s="350"/>
    </row>
    <row r="467" spans="4:65" ht="16.5" customHeight="1" x14ac:dyDescent="0.3">
      <c r="D467" s="768"/>
      <c r="E467" s="768"/>
      <c r="F467" s="768"/>
      <c r="G467" s="768"/>
      <c r="H467" s="768"/>
      <c r="I467" s="768"/>
      <c r="J467" s="768"/>
      <c r="K467" s="768"/>
      <c r="L467" s="768"/>
      <c r="M467" s="768"/>
      <c r="N467" s="768"/>
      <c r="O467" s="768"/>
      <c r="P467" s="768"/>
      <c r="Q467" s="768"/>
      <c r="R467" s="768"/>
      <c r="S467" s="768"/>
      <c r="T467" s="768"/>
      <c r="U467" s="768"/>
      <c r="V467" s="768"/>
      <c r="W467" s="768"/>
      <c r="X467" s="768"/>
      <c r="Y467" s="768"/>
      <c r="Z467" s="768"/>
      <c r="AA467" s="768"/>
      <c r="AB467" s="769"/>
      <c r="AV467" s="350"/>
      <c r="AW467" s="350"/>
      <c r="AX467" s="350"/>
      <c r="AY467" s="555"/>
      <c r="AZ467" s="350"/>
      <c r="BA467" s="384"/>
      <c r="BB467" s="384"/>
      <c r="BC467" s="350"/>
      <c r="BD467" s="557"/>
      <c r="BE467" s="468"/>
      <c r="BF467" s="350"/>
      <c r="BG467" s="350"/>
      <c r="BH467" s="350"/>
      <c r="BI467" s="350"/>
      <c r="BJ467" s="350"/>
      <c r="BK467" s="350"/>
      <c r="BL467" s="350"/>
      <c r="BM467" s="350"/>
    </row>
    <row r="468" spans="4:65" ht="16.5" customHeight="1" x14ac:dyDescent="0.3">
      <c r="D468" s="768"/>
      <c r="E468" s="768"/>
      <c r="F468" s="768"/>
      <c r="G468" s="768"/>
      <c r="H468" s="768"/>
      <c r="I468" s="768"/>
      <c r="J468" s="768"/>
      <c r="K468" s="768"/>
      <c r="L468" s="768"/>
      <c r="M468" s="768"/>
      <c r="N468" s="768"/>
      <c r="O468" s="768"/>
      <c r="P468" s="768"/>
      <c r="Q468" s="768"/>
      <c r="R468" s="768"/>
      <c r="S468" s="768"/>
      <c r="T468" s="768"/>
      <c r="U468" s="768"/>
      <c r="V468" s="768"/>
      <c r="W468" s="768"/>
      <c r="X468" s="768"/>
      <c r="Y468" s="768"/>
      <c r="Z468" s="768"/>
      <c r="AA468" s="768"/>
      <c r="AB468" s="769"/>
      <c r="AV468" s="350"/>
      <c r="AW468" s="350"/>
      <c r="AX468" s="350"/>
      <c r="AY468" s="555"/>
      <c r="AZ468" s="350"/>
      <c r="BA468" s="384"/>
      <c r="BB468" s="384"/>
      <c r="BC468" s="350"/>
      <c r="BD468" s="557"/>
      <c r="BE468" s="468"/>
      <c r="BF468" s="350"/>
      <c r="BG468" s="350"/>
      <c r="BH468" s="350"/>
      <c r="BI468" s="350"/>
      <c r="BJ468" s="350"/>
      <c r="BK468" s="350"/>
      <c r="BL468" s="350"/>
      <c r="BM468" s="350"/>
    </row>
    <row r="469" spans="4:65" ht="16.5" customHeight="1" x14ac:dyDescent="0.3">
      <c r="D469" s="768"/>
      <c r="E469" s="768"/>
      <c r="F469" s="768"/>
      <c r="G469" s="768"/>
      <c r="H469" s="768"/>
      <c r="I469" s="768"/>
      <c r="J469" s="768"/>
      <c r="K469" s="768"/>
      <c r="L469" s="768"/>
      <c r="M469" s="768"/>
      <c r="N469" s="768"/>
      <c r="O469" s="768"/>
      <c r="P469" s="768"/>
      <c r="Q469" s="768"/>
      <c r="R469" s="768"/>
      <c r="S469" s="768"/>
      <c r="T469" s="768"/>
      <c r="U469" s="768"/>
      <c r="V469" s="768"/>
      <c r="W469" s="768"/>
      <c r="X469" s="768"/>
      <c r="Y469" s="768"/>
      <c r="Z469" s="768"/>
      <c r="AA469" s="768"/>
      <c r="AB469" s="769"/>
      <c r="AV469" s="350"/>
      <c r="AW469" s="350"/>
      <c r="AX469" s="350"/>
      <c r="AY469" s="350"/>
      <c r="AZ469" s="350"/>
      <c r="BA469" s="350"/>
      <c r="BB469" s="350"/>
      <c r="BC469" s="350"/>
      <c r="BD469" s="350"/>
      <c r="BE469" s="350"/>
      <c r="BF469" s="350"/>
      <c r="BG469" s="350"/>
      <c r="BH469" s="350"/>
      <c r="BI469" s="350"/>
      <c r="BJ469" s="350"/>
      <c r="BK469" s="350"/>
      <c r="BL469" s="350"/>
      <c r="BM469" s="350"/>
    </row>
    <row r="470" spans="4:65" ht="16.5" customHeight="1" x14ac:dyDescent="0.3">
      <c r="D470" s="768"/>
      <c r="E470" s="768"/>
      <c r="F470" s="768"/>
      <c r="G470" s="768"/>
      <c r="H470" s="768"/>
      <c r="I470" s="768"/>
      <c r="J470" s="768"/>
      <c r="K470" s="768"/>
      <c r="L470" s="768"/>
      <c r="M470" s="768"/>
      <c r="N470" s="768"/>
      <c r="O470" s="768"/>
      <c r="P470" s="768"/>
      <c r="Q470" s="768"/>
      <c r="R470" s="768"/>
      <c r="S470" s="768"/>
      <c r="T470" s="768"/>
      <c r="U470" s="768"/>
      <c r="V470" s="768"/>
      <c r="W470" s="768"/>
      <c r="X470" s="768"/>
      <c r="Y470" s="768"/>
      <c r="Z470" s="768"/>
      <c r="AA470" s="768"/>
      <c r="AB470" s="769"/>
      <c r="AV470" s="350"/>
      <c r="AW470" s="350"/>
      <c r="AX470" s="350"/>
      <c r="AY470" s="350"/>
      <c r="AZ470" s="350"/>
      <c r="BA470" s="350"/>
      <c r="BB470" s="350"/>
      <c r="BC470" s="350"/>
      <c r="BD470" s="350"/>
      <c r="BE470" s="350"/>
      <c r="BF470" s="350"/>
      <c r="BG470" s="350"/>
      <c r="BH470" s="350"/>
      <c r="BI470" s="350"/>
      <c r="BJ470" s="350"/>
      <c r="BK470" s="350"/>
      <c r="BL470" s="350"/>
      <c r="BM470" s="350"/>
    </row>
    <row r="471" spans="4:65" ht="16.5" customHeight="1" x14ac:dyDescent="0.3">
      <c r="D471" s="768"/>
      <c r="E471" s="768"/>
      <c r="F471" s="768"/>
      <c r="G471" s="768"/>
      <c r="H471" s="768"/>
      <c r="I471" s="768"/>
      <c r="J471" s="768"/>
      <c r="K471" s="768"/>
      <c r="L471" s="768"/>
      <c r="M471" s="768"/>
      <c r="N471" s="768"/>
      <c r="O471" s="768"/>
      <c r="P471" s="768"/>
      <c r="Q471" s="768"/>
      <c r="R471" s="768"/>
      <c r="S471" s="768"/>
      <c r="T471" s="768"/>
      <c r="U471" s="768"/>
      <c r="V471" s="768"/>
      <c r="W471" s="768"/>
      <c r="X471" s="768"/>
      <c r="Y471" s="768"/>
      <c r="Z471" s="768"/>
      <c r="AA471" s="768"/>
      <c r="AB471" s="769"/>
      <c r="AV471" s="350"/>
      <c r="AW471" s="350"/>
      <c r="AX471" s="350"/>
      <c r="AY471" s="368"/>
      <c r="AZ471" s="368"/>
      <c r="BA471" s="368"/>
      <c r="BB471" s="368"/>
      <c r="BC471" s="350"/>
      <c r="BD471" s="350"/>
      <c r="BE471" s="350"/>
      <c r="BF471" s="350"/>
      <c r="BG471" s="350"/>
      <c r="BH471" s="350"/>
      <c r="BI471" s="350"/>
      <c r="BJ471" s="350"/>
      <c r="BK471" s="350"/>
      <c r="BL471" s="350"/>
      <c r="BM471" s="350"/>
    </row>
    <row r="472" spans="4:65" ht="16.5" customHeight="1" x14ac:dyDescent="0.3">
      <c r="D472" s="768"/>
      <c r="E472" s="768"/>
      <c r="F472" s="768"/>
      <c r="G472" s="768"/>
      <c r="H472" s="768"/>
      <c r="I472" s="768"/>
      <c r="J472" s="768"/>
      <c r="K472" s="768"/>
      <c r="L472" s="768"/>
      <c r="M472" s="768"/>
      <c r="N472" s="768"/>
      <c r="O472" s="768"/>
      <c r="P472" s="768"/>
      <c r="Q472" s="768"/>
      <c r="R472" s="768"/>
      <c r="S472" s="768"/>
      <c r="T472" s="768"/>
      <c r="U472" s="768"/>
      <c r="V472" s="768"/>
      <c r="W472" s="768"/>
      <c r="X472" s="768"/>
      <c r="Y472" s="768"/>
      <c r="Z472" s="768"/>
      <c r="AA472" s="768"/>
      <c r="AB472" s="769"/>
      <c r="AV472" s="350"/>
      <c r="AW472" s="350"/>
      <c r="AX472" s="350"/>
      <c r="AY472" s="555"/>
      <c r="AZ472" s="393"/>
      <c r="BA472" s="393"/>
      <c r="BB472" s="393"/>
      <c r="BC472" s="350"/>
      <c r="BD472" s="382"/>
      <c r="BE472" s="382"/>
      <c r="BF472" s="350"/>
      <c r="BG472" s="350"/>
      <c r="BH472" s="350"/>
      <c r="BI472" s="350"/>
      <c r="BJ472" s="350"/>
      <c r="BK472" s="350"/>
      <c r="BL472" s="350"/>
      <c r="BM472" s="350"/>
    </row>
    <row r="473" spans="4:65" ht="16.5" customHeight="1" x14ac:dyDescent="0.3">
      <c r="D473" s="768"/>
      <c r="E473" s="768"/>
      <c r="F473" s="768"/>
      <c r="G473" s="768"/>
      <c r="H473" s="768"/>
      <c r="I473" s="768"/>
      <c r="J473" s="768"/>
      <c r="K473" s="768"/>
      <c r="L473" s="768"/>
      <c r="M473" s="768"/>
      <c r="N473" s="768"/>
      <c r="O473" s="768"/>
      <c r="P473" s="768"/>
      <c r="Q473" s="768"/>
      <c r="R473" s="768"/>
      <c r="S473" s="768"/>
      <c r="T473" s="768"/>
      <c r="U473" s="768"/>
      <c r="V473" s="768"/>
      <c r="W473" s="768"/>
      <c r="X473" s="768"/>
      <c r="Y473" s="768"/>
      <c r="Z473" s="768"/>
      <c r="AA473" s="768"/>
      <c r="AB473" s="769"/>
      <c r="AV473" s="350"/>
      <c r="AW473" s="350"/>
      <c r="AX473" s="350"/>
      <c r="AY473" s="555"/>
      <c r="AZ473" s="350"/>
      <c r="BA473" s="384"/>
      <c r="BB473" s="384"/>
      <c r="BC473" s="350"/>
      <c r="BD473" s="557"/>
      <c r="BE473" s="468"/>
      <c r="BF473" s="350"/>
      <c r="BG473" s="350"/>
      <c r="BH473" s="350"/>
      <c r="BI473" s="350"/>
      <c r="BJ473" s="350"/>
      <c r="BK473" s="350"/>
      <c r="BL473" s="350"/>
      <c r="BM473" s="350"/>
    </row>
    <row r="474" spans="4:65" ht="16.5" customHeight="1" x14ac:dyDescent="0.3">
      <c r="D474" s="768"/>
      <c r="E474" s="768"/>
      <c r="F474" s="768"/>
      <c r="G474" s="768"/>
      <c r="H474" s="768"/>
      <c r="I474" s="768"/>
      <c r="J474" s="768"/>
      <c r="K474" s="768"/>
      <c r="L474" s="768"/>
      <c r="M474" s="768"/>
      <c r="N474" s="768"/>
      <c r="O474" s="768"/>
      <c r="P474" s="768"/>
      <c r="Q474" s="768"/>
      <c r="R474" s="768"/>
      <c r="S474" s="768"/>
      <c r="T474" s="768"/>
      <c r="U474" s="768"/>
      <c r="V474" s="768"/>
      <c r="W474" s="768"/>
      <c r="X474" s="768"/>
      <c r="Y474" s="768"/>
      <c r="Z474" s="768"/>
      <c r="AA474" s="768"/>
      <c r="AB474" s="769"/>
      <c r="AV474" s="350"/>
      <c r="AW474" s="350"/>
      <c r="AX474" s="350"/>
      <c r="AY474" s="555"/>
      <c r="AZ474" s="350"/>
      <c r="BA474" s="384"/>
      <c r="BB474" s="384"/>
      <c r="BC474" s="350"/>
      <c r="BD474" s="557"/>
      <c r="BE474" s="468"/>
      <c r="BF474" s="350"/>
      <c r="BG474" s="350"/>
      <c r="BH474" s="350"/>
      <c r="BI474" s="350"/>
      <c r="BJ474" s="350"/>
      <c r="BK474" s="350"/>
      <c r="BL474" s="350"/>
      <c r="BM474" s="350"/>
    </row>
    <row r="475" spans="4:65" ht="16.5" customHeight="1" x14ac:dyDescent="0.3">
      <c r="D475" s="768"/>
      <c r="E475" s="768"/>
      <c r="F475" s="768"/>
      <c r="G475" s="768"/>
      <c r="H475" s="768"/>
      <c r="I475" s="768"/>
      <c r="J475" s="768"/>
      <c r="K475" s="768"/>
      <c r="L475" s="768"/>
      <c r="M475" s="768"/>
      <c r="N475" s="768"/>
      <c r="O475" s="768"/>
      <c r="P475" s="768"/>
      <c r="Q475" s="768"/>
      <c r="R475" s="768"/>
      <c r="S475" s="768"/>
      <c r="T475" s="768"/>
      <c r="U475" s="768"/>
      <c r="V475" s="768"/>
      <c r="W475" s="768"/>
      <c r="X475" s="768"/>
      <c r="Y475" s="768"/>
      <c r="Z475" s="768"/>
      <c r="AA475" s="768"/>
      <c r="AB475" s="769"/>
      <c r="AV475" s="350"/>
      <c r="AW475" s="350"/>
      <c r="AX475" s="350"/>
      <c r="AY475" s="350"/>
      <c r="AZ475" s="350"/>
      <c r="BA475" s="350"/>
      <c r="BB475" s="350"/>
      <c r="BC475" s="350"/>
      <c r="BD475" s="350"/>
      <c r="BE475" s="350"/>
      <c r="BF475" s="350"/>
      <c r="BG475" s="350"/>
      <c r="BH475" s="350"/>
      <c r="BI475" s="350"/>
      <c r="BJ475" s="350"/>
      <c r="BK475" s="350"/>
      <c r="BL475" s="350"/>
      <c r="BM475" s="350"/>
    </row>
    <row r="476" spans="4:65" ht="16.5" customHeight="1" x14ac:dyDescent="0.3">
      <c r="D476" s="768"/>
      <c r="E476" s="768"/>
      <c r="F476" s="768"/>
      <c r="G476" s="768"/>
      <c r="H476" s="768"/>
      <c r="I476" s="768"/>
      <c r="J476" s="768"/>
      <c r="K476" s="768"/>
      <c r="L476" s="768"/>
      <c r="M476" s="768"/>
      <c r="N476" s="768"/>
      <c r="O476" s="768"/>
      <c r="P476" s="768"/>
      <c r="Q476" s="768"/>
      <c r="R476" s="768"/>
      <c r="S476" s="768"/>
      <c r="T476" s="768"/>
      <c r="U476" s="768"/>
      <c r="V476" s="768"/>
      <c r="W476" s="768"/>
      <c r="X476" s="768"/>
      <c r="Y476" s="768"/>
      <c r="Z476" s="768"/>
      <c r="AA476" s="768"/>
      <c r="AB476" s="769"/>
      <c r="AV476" s="350"/>
      <c r="AW476" s="350"/>
      <c r="AX476" s="350"/>
      <c r="AY476" s="350"/>
      <c r="AZ476" s="350"/>
      <c r="BA476" s="350"/>
      <c r="BB476" s="350"/>
      <c r="BC476" s="350"/>
      <c r="BD476" s="350"/>
      <c r="BE476" s="350"/>
      <c r="BF476" s="350"/>
      <c r="BG476" s="350"/>
      <c r="BH476" s="350"/>
      <c r="BI476" s="350"/>
      <c r="BJ476" s="350"/>
      <c r="BK476" s="350"/>
      <c r="BL476" s="350"/>
      <c r="BM476" s="350"/>
    </row>
    <row r="477" spans="4:65" ht="16.5" customHeight="1" x14ac:dyDescent="0.3">
      <c r="D477" s="768"/>
      <c r="E477" s="768"/>
      <c r="F477" s="768"/>
      <c r="G477" s="768"/>
      <c r="H477" s="768"/>
      <c r="I477" s="768"/>
      <c r="J477" s="768"/>
      <c r="K477" s="768"/>
      <c r="L477" s="768"/>
      <c r="M477" s="768"/>
      <c r="N477" s="768"/>
      <c r="O477" s="768"/>
      <c r="P477" s="768"/>
      <c r="Q477" s="768"/>
      <c r="R477" s="768"/>
      <c r="S477" s="768"/>
      <c r="T477" s="768"/>
      <c r="U477" s="768"/>
      <c r="V477" s="768"/>
      <c r="W477" s="768"/>
      <c r="X477" s="768"/>
      <c r="Y477" s="768"/>
      <c r="Z477" s="768"/>
      <c r="AA477" s="768"/>
      <c r="AB477" s="769"/>
      <c r="AV477" s="512"/>
      <c r="AW477" s="512"/>
      <c r="AX477" s="512"/>
      <c r="AY477" s="512"/>
      <c r="AZ477" s="512"/>
      <c r="BA477" s="512"/>
      <c r="BB477" s="512"/>
      <c r="BC477" s="512"/>
      <c r="BD477" s="512"/>
      <c r="BE477" s="512"/>
      <c r="BF477" s="512"/>
      <c r="BG477" s="512"/>
      <c r="BH477" s="512"/>
      <c r="BI477" s="512"/>
      <c r="BJ477" s="512"/>
      <c r="BK477" s="512"/>
      <c r="BL477" s="512"/>
      <c r="BM477" s="512"/>
    </row>
    <row r="478" spans="4:65" ht="16.5" customHeight="1" x14ac:dyDescent="0.3">
      <c r="D478" s="768"/>
      <c r="E478" s="768"/>
      <c r="F478" s="768"/>
      <c r="G478" s="768"/>
      <c r="H478" s="768"/>
      <c r="I478" s="768"/>
      <c r="J478" s="768"/>
      <c r="K478" s="768"/>
      <c r="L478" s="768"/>
      <c r="M478" s="768"/>
      <c r="N478" s="768"/>
      <c r="O478" s="768"/>
      <c r="P478" s="768"/>
      <c r="Q478" s="768"/>
      <c r="R478" s="768"/>
      <c r="S478" s="768"/>
      <c r="T478" s="768"/>
      <c r="U478" s="768"/>
      <c r="V478" s="768"/>
      <c r="W478" s="768"/>
      <c r="X478" s="768"/>
      <c r="Y478" s="768"/>
      <c r="Z478" s="768"/>
      <c r="AA478" s="768"/>
      <c r="AB478" s="769"/>
      <c r="AV478" s="350"/>
      <c r="AW478" s="350"/>
      <c r="AX478" s="350"/>
      <c r="AY478" s="350"/>
      <c r="AZ478" s="350"/>
      <c r="BA478" s="350"/>
      <c r="BB478" s="350"/>
      <c r="BC478" s="350"/>
      <c r="BD478" s="350"/>
      <c r="BE478" s="350"/>
      <c r="BF478" s="350"/>
      <c r="BG478" s="350"/>
      <c r="BH478" s="350"/>
      <c r="BI478" s="350"/>
      <c r="BJ478" s="350"/>
      <c r="BK478" s="350"/>
      <c r="BL478" s="350"/>
      <c r="BM478" s="350"/>
    </row>
    <row r="479" spans="4:65" ht="16.5" customHeight="1" x14ac:dyDescent="0.3">
      <c r="D479" s="768"/>
      <c r="E479" s="768"/>
      <c r="F479" s="768"/>
      <c r="G479" s="768"/>
      <c r="H479" s="768"/>
      <c r="I479" s="768"/>
      <c r="J479" s="768"/>
      <c r="K479" s="768"/>
      <c r="L479" s="768"/>
      <c r="M479" s="768"/>
      <c r="N479" s="768"/>
      <c r="O479" s="768"/>
      <c r="P479" s="768"/>
      <c r="Q479" s="768"/>
      <c r="R479" s="768"/>
      <c r="S479" s="768"/>
      <c r="T479" s="768"/>
      <c r="U479" s="768"/>
      <c r="V479" s="768"/>
      <c r="W479" s="768"/>
      <c r="X479" s="768"/>
      <c r="Y479" s="768"/>
      <c r="Z479" s="768"/>
      <c r="AA479" s="768"/>
      <c r="AB479" s="769"/>
      <c r="AV479" s="350"/>
      <c r="AW479" s="350"/>
      <c r="AX479" s="350"/>
      <c r="AY479" s="368"/>
      <c r="AZ479" s="368"/>
      <c r="BA479" s="368"/>
      <c r="BB479" s="368"/>
      <c r="BC479" s="350"/>
      <c r="BD479" s="350"/>
      <c r="BE479" s="350"/>
      <c r="BF479" s="350"/>
      <c r="BG479" s="350"/>
      <c r="BH479" s="350"/>
      <c r="BI479" s="350"/>
      <c r="BJ479" s="350"/>
      <c r="BK479" s="350"/>
      <c r="BL479" s="350"/>
      <c r="BM479" s="350"/>
    </row>
    <row r="480" spans="4:65" ht="16.5" customHeight="1" x14ac:dyDescent="0.3">
      <c r="D480" s="768"/>
      <c r="E480" s="768"/>
      <c r="F480" s="768"/>
      <c r="G480" s="768"/>
      <c r="H480" s="768"/>
      <c r="I480" s="768"/>
      <c r="J480" s="768"/>
      <c r="K480" s="768"/>
      <c r="L480" s="768"/>
      <c r="M480" s="768"/>
      <c r="N480" s="768"/>
      <c r="O480" s="768"/>
      <c r="P480" s="768"/>
      <c r="Q480" s="768"/>
      <c r="R480" s="768"/>
      <c r="S480" s="768"/>
      <c r="T480" s="768"/>
      <c r="U480" s="768"/>
      <c r="V480" s="768"/>
      <c r="W480" s="768"/>
      <c r="X480" s="768"/>
      <c r="Y480" s="768"/>
      <c r="Z480" s="768"/>
      <c r="AA480" s="768"/>
      <c r="AB480" s="769"/>
      <c r="AV480" s="350"/>
      <c r="AW480" s="350"/>
      <c r="AX480" s="350"/>
      <c r="AY480" s="555"/>
      <c r="AZ480" s="393"/>
      <c r="BA480" s="393"/>
      <c r="BB480" s="393"/>
      <c r="BC480" s="350"/>
      <c r="BD480" s="382"/>
      <c r="BE480" s="382"/>
      <c r="BF480" s="350"/>
      <c r="BG480" s="350"/>
      <c r="BH480" s="350"/>
      <c r="BI480" s="350"/>
      <c r="BJ480" s="350"/>
      <c r="BK480" s="350"/>
      <c r="BL480" s="350"/>
      <c r="BM480" s="350"/>
    </row>
    <row r="481" spans="4:65" ht="16.5" customHeight="1" x14ac:dyDescent="0.3">
      <c r="D481" s="768"/>
      <c r="E481" s="768"/>
      <c r="F481" s="768"/>
      <c r="G481" s="768"/>
      <c r="H481" s="768"/>
      <c r="I481" s="768"/>
      <c r="J481" s="768"/>
      <c r="K481" s="768"/>
      <c r="L481" s="768"/>
      <c r="M481" s="768"/>
      <c r="N481" s="768"/>
      <c r="O481" s="768"/>
      <c r="P481" s="768"/>
      <c r="Q481" s="768"/>
      <c r="R481" s="768"/>
      <c r="S481" s="768"/>
      <c r="T481" s="768"/>
      <c r="U481" s="768"/>
      <c r="V481" s="768"/>
      <c r="W481" s="768"/>
      <c r="X481" s="768"/>
      <c r="Y481" s="768"/>
      <c r="Z481" s="768"/>
      <c r="AA481" s="768"/>
      <c r="AB481" s="769"/>
      <c r="AV481" s="350"/>
      <c r="AW481" s="350"/>
      <c r="AX481" s="350"/>
      <c r="AY481" s="555"/>
      <c r="AZ481" s="350"/>
      <c r="BA481" s="384"/>
      <c r="BB481" s="384"/>
      <c r="BC481" s="350"/>
      <c r="BD481" s="557"/>
      <c r="BE481" s="468"/>
      <c r="BF481" s="350"/>
      <c r="BG481" s="350"/>
      <c r="BH481" s="350"/>
      <c r="BI481" s="350"/>
      <c r="BJ481" s="350"/>
      <c r="BK481" s="350"/>
      <c r="BL481" s="350"/>
      <c r="BM481" s="350"/>
    </row>
    <row r="482" spans="4:65" ht="16.5" customHeight="1" x14ac:dyDescent="0.3">
      <c r="D482" s="768"/>
      <c r="E482" s="768"/>
      <c r="F482" s="768"/>
      <c r="G482" s="768"/>
      <c r="H482" s="768"/>
      <c r="I482" s="768"/>
      <c r="J482" s="768"/>
      <c r="K482" s="768"/>
      <c r="L482" s="768"/>
      <c r="M482" s="768"/>
      <c r="N482" s="768"/>
      <c r="O482" s="768"/>
      <c r="P482" s="768"/>
      <c r="Q482" s="768"/>
      <c r="R482" s="768"/>
      <c r="S482" s="768"/>
      <c r="T482" s="768"/>
      <c r="U482" s="768"/>
      <c r="V482" s="768"/>
      <c r="W482" s="768"/>
      <c r="X482" s="768"/>
      <c r="Y482" s="768"/>
      <c r="Z482" s="768"/>
      <c r="AA482" s="768"/>
      <c r="AB482" s="769"/>
      <c r="AV482" s="350"/>
      <c r="AW482" s="350"/>
      <c r="AX482" s="350"/>
      <c r="AY482" s="555"/>
      <c r="AZ482" s="350"/>
      <c r="BA482" s="384"/>
      <c r="BB482" s="384"/>
      <c r="BC482" s="350"/>
      <c r="BD482" s="557"/>
      <c r="BE482" s="468"/>
      <c r="BF482" s="350"/>
      <c r="BG482" s="350"/>
      <c r="BH482" s="350"/>
      <c r="BI482" s="350"/>
      <c r="BJ482" s="350"/>
      <c r="BK482" s="350"/>
      <c r="BL482" s="350"/>
      <c r="BM482" s="350"/>
    </row>
    <row r="483" spans="4:65" ht="16.5" customHeight="1" x14ac:dyDescent="0.3">
      <c r="D483" s="768"/>
      <c r="E483" s="768"/>
      <c r="F483" s="768"/>
      <c r="G483" s="768"/>
      <c r="H483" s="768"/>
      <c r="I483" s="768"/>
      <c r="J483" s="768"/>
      <c r="K483" s="768"/>
      <c r="L483" s="768"/>
      <c r="M483" s="768"/>
      <c r="N483" s="768"/>
      <c r="O483" s="768"/>
      <c r="P483" s="768"/>
      <c r="Q483" s="768"/>
      <c r="R483" s="768"/>
      <c r="S483" s="768"/>
      <c r="T483" s="768"/>
      <c r="U483" s="768"/>
      <c r="V483" s="768"/>
      <c r="W483" s="768"/>
      <c r="X483" s="768"/>
      <c r="Y483" s="768"/>
      <c r="Z483" s="768"/>
      <c r="AA483" s="768"/>
      <c r="AB483" s="769"/>
      <c r="AV483" s="350"/>
      <c r="AW483" s="350"/>
      <c r="AX483" s="350"/>
      <c r="AY483" s="623"/>
      <c r="AZ483" s="350"/>
      <c r="BA483" s="384"/>
      <c r="BB483" s="384"/>
      <c r="BC483" s="350"/>
      <c r="BD483" s="557"/>
      <c r="BE483" s="624"/>
      <c r="BF483" s="350"/>
      <c r="BG483" s="350"/>
      <c r="BH483" s="350"/>
      <c r="BI483" s="350"/>
      <c r="BJ483" s="350"/>
      <c r="BK483" s="350"/>
      <c r="BL483" s="350"/>
      <c r="BM483" s="350"/>
    </row>
    <row r="484" spans="4:65" ht="16.5" customHeight="1" x14ac:dyDescent="0.3">
      <c r="D484" s="768"/>
      <c r="E484" s="768"/>
      <c r="F484" s="768"/>
      <c r="G484" s="768"/>
      <c r="H484" s="768"/>
      <c r="I484" s="768"/>
      <c r="J484" s="768"/>
      <c r="K484" s="768"/>
      <c r="L484" s="768"/>
      <c r="M484" s="768"/>
      <c r="N484" s="768"/>
      <c r="O484" s="768"/>
      <c r="P484" s="768"/>
      <c r="Q484" s="768"/>
      <c r="R484" s="768"/>
      <c r="S484" s="768"/>
      <c r="T484" s="768"/>
      <c r="U484" s="768"/>
      <c r="V484" s="768"/>
      <c r="W484" s="768"/>
      <c r="X484" s="768"/>
      <c r="Y484" s="768"/>
      <c r="Z484" s="768"/>
      <c r="AA484" s="768"/>
      <c r="AB484" s="769"/>
      <c r="AV484" s="350"/>
      <c r="AW484" s="350"/>
      <c r="AX484" s="350"/>
      <c r="AY484" s="350"/>
      <c r="AZ484" s="350"/>
      <c r="BA484" s="350"/>
      <c r="BB484" s="350"/>
      <c r="BC484" s="350"/>
      <c r="BD484" s="350"/>
      <c r="BE484" s="350"/>
      <c r="BF484" s="350"/>
      <c r="BG484" s="350"/>
      <c r="BH484" s="350"/>
      <c r="BI484" s="350"/>
      <c r="BJ484" s="350"/>
      <c r="BK484" s="350"/>
      <c r="BL484" s="350"/>
      <c r="BM484" s="350"/>
    </row>
    <row r="485" spans="4:65" ht="16.5" customHeight="1" x14ac:dyDescent="0.3">
      <c r="D485" s="768"/>
      <c r="E485" s="768"/>
      <c r="F485" s="768"/>
      <c r="G485" s="768"/>
      <c r="H485" s="768"/>
      <c r="I485" s="768"/>
      <c r="J485" s="768"/>
      <c r="K485" s="768"/>
      <c r="L485" s="768"/>
      <c r="M485" s="768"/>
      <c r="N485" s="768"/>
      <c r="O485" s="768"/>
      <c r="P485" s="768"/>
      <c r="Q485" s="768"/>
      <c r="R485" s="768"/>
      <c r="S485" s="768"/>
      <c r="T485" s="768"/>
      <c r="U485" s="768"/>
      <c r="V485" s="768"/>
      <c r="W485" s="768"/>
      <c r="X485" s="768"/>
      <c r="Y485" s="768"/>
      <c r="Z485" s="768"/>
      <c r="AA485" s="768"/>
      <c r="AB485" s="769"/>
      <c r="AV485" s="350"/>
      <c r="AW485" s="350"/>
      <c r="AX485" s="350"/>
      <c r="AY485" s="368"/>
      <c r="AZ485" s="368"/>
      <c r="BA485" s="368"/>
      <c r="BB485" s="368"/>
      <c r="BC485" s="350"/>
      <c r="BD485" s="350"/>
      <c r="BE485" s="350"/>
      <c r="BF485" s="350"/>
      <c r="BG485" s="350"/>
      <c r="BH485" s="350"/>
      <c r="BI485" s="350"/>
      <c r="BJ485" s="350"/>
      <c r="BK485" s="350"/>
      <c r="BL485" s="350"/>
      <c r="BM485" s="350"/>
    </row>
    <row r="486" spans="4:65" ht="16.5" customHeight="1" x14ac:dyDescent="0.3">
      <c r="D486" s="768"/>
      <c r="E486" s="768"/>
      <c r="F486" s="768"/>
      <c r="G486" s="768"/>
      <c r="H486" s="768"/>
      <c r="I486" s="768"/>
      <c r="J486" s="768"/>
      <c r="K486" s="768"/>
      <c r="L486" s="768"/>
      <c r="M486" s="768"/>
      <c r="N486" s="768"/>
      <c r="O486" s="768"/>
      <c r="P486" s="768"/>
      <c r="Q486" s="768"/>
      <c r="R486" s="768"/>
      <c r="S486" s="768"/>
      <c r="T486" s="768"/>
      <c r="U486" s="768"/>
      <c r="V486" s="768"/>
      <c r="W486" s="768"/>
      <c r="X486" s="768"/>
      <c r="Y486" s="768"/>
      <c r="Z486" s="768"/>
      <c r="AA486" s="768"/>
      <c r="AB486" s="769"/>
      <c r="AV486" s="350"/>
      <c r="AW486" s="350"/>
      <c r="AX486" s="350"/>
      <c r="AY486" s="555"/>
      <c r="AZ486" s="393"/>
      <c r="BA486" s="393"/>
      <c r="BB486" s="393"/>
      <c r="BC486" s="350"/>
      <c r="BD486" s="382"/>
      <c r="BE486" s="382"/>
      <c r="BF486" s="350"/>
      <c r="BG486" s="350"/>
      <c r="BH486" s="350"/>
      <c r="BI486" s="350"/>
      <c r="BJ486" s="350"/>
      <c r="BK486" s="350"/>
      <c r="BL486" s="350"/>
      <c r="BM486" s="350"/>
    </row>
    <row r="487" spans="4:65" ht="16.5" customHeight="1" x14ac:dyDescent="0.3">
      <c r="D487" s="768"/>
      <c r="E487" s="768"/>
      <c r="F487" s="768"/>
      <c r="G487" s="768"/>
      <c r="H487" s="768"/>
      <c r="I487" s="768"/>
      <c r="J487" s="768"/>
      <c r="K487" s="768"/>
      <c r="L487" s="768"/>
      <c r="M487" s="768"/>
      <c r="N487" s="768"/>
      <c r="O487" s="768"/>
      <c r="P487" s="768"/>
      <c r="Q487" s="768"/>
      <c r="R487" s="768"/>
      <c r="S487" s="768"/>
      <c r="T487" s="768"/>
      <c r="U487" s="768"/>
      <c r="V487" s="768"/>
      <c r="W487" s="768"/>
      <c r="X487" s="768"/>
      <c r="Y487" s="768"/>
      <c r="Z487" s="768"/>
      <c r="AA487" s="768"/>
      <c r="AB487" s="769"/>
      <c r="AV487" s="350"/>
      <c r="AW487" s="350"/>
      <c r="AX487" s="350"/>
      <c r="AY487" s="555"/>
      <c r="AZ487" s="350"/>
      <c r="BA487" s="384"/>
      <c r="BB487" s="384"/>
      <c r="BC487" s="350"/>
      <c r="BD487" s="557"/>
      <c r="BE487" s="468"/>
      <c r="BF487" s="350"/>
      <c r="BG487" s="350"/>
      <c r="BH487" s="350"/>
      <c r="BI487" s="350"/>
      <c r="BJ487" s="350"/>
      <c r="BK487" s="350"/>
      <c r="BL487" s="350"/>
      <c r="BM487" s="350"/>
    </row>
    <row r="488" spans="4:65" ht="16.5" customHeight="1" x14ac:dyDescent="0.3">
      <c r="D488" s="768"/>
      <c r="E488" s="768"/>
      <c r="F488" s="768"/>
      <c r="G488" s="768"/>
      <c r="H488" s="768"/>
      <c r="I488" s="768"/>
      <c r="J488" s="768"/>
      <c r="K488" s="768"/>
      <c r="L488" s="768"/>
      <c r="M488" s="768"/>
      <c r="N488" s="768"/>
      <c r="O488" s="768"/>
      <c r="P488" s="768"/>
      <c r="Q488" s="768"/>
      <c r="R488" s="768"/>
      <c r="S488" s="768"/>
      <c r="T488" s="768"/>
      <c r="U488" s="768"/>
      <c r="V488" s="768"/>
      <c r="W488" s="768"/>
      <c r="X488" s="768"/>
      <c r="Y488" s="768"/>
      <c r="Z488" s="768"/>
      <c r="AA488" s="768"/>
      <c r="AB488" s="769"/>
      <c r="AV488" s="350"/>
      <c r="AW488" s="350"/>
      <c r="AX488" s="350"/>
      <c r="AY488" s="555"/>
      <c r="AZ488" s="350"/>
      <c r="BA488" s="384"/>
      <c r="BB488" s="384"/>
      <c r="BC488" s="350"/>
      <c r="BD488" s="557"/>
      <c r="BE488" s="468"/>
      <c r="BF488" s="350"/>
      <c r="BG488" s="350"/>
      <c r="BH488" s="350"/>
      <c r="BI488" s="350"/>
      <c r="BJ488" s="350"/>
      <c r="BK488" s="350"/>
      <c r="BL488" s="350"/>
      <c r="BM488" s="350"/>
    </row>
    <row r="489" spans="4:65" ht="16.5" customHeight="1" x14ac:dyDescent="0.3">
      <c r="D489" s="768"/>
      <c r="E489" s="768"/>
      <c r="F489" s="768"/>
      <c r="G489" s="768"/>
      <c r="H489" s="768"/>
      <c r="I489" s="768"/>
      <c r="J489" s="768"/>
      <c r="K489" s="768"/>
      <c r="L489" s="768"/>
      <c r="M489" s="768"/>
      <c r="N489" s="768"/>
      <c r="O489" s="768"/>
      <c r="P489" s="768"/>
      <c r="Q489" s="768"/>
      <c r="R489" s="768"/>
      <c r="S489" s="768"/>
      <c r="T489" s="768"/>
      <c r="U489" s="768"/>
      <c r="V489" s="768"/>
      <c r="W489" s="768"/>
      <c r="X489" s="768"/>
      <c r="Y489" s="768"/>
      <c r="Z489" s="768"/>
      <c r="AA489" s="768"/>
      <c r="AB489" s="769"/>
      <c r="AV489" s="350"/>
      <c r="AW489" s="350"/>
      <c r="AX489" s="350"/>
      <c r="AY489" s="350"/>
      <c r="AZ489" s="350"/>
      <c r="BA489" s="350"/>
      <c r="BB489" s="350"/>
      <c r="BC489" s="350"/>
      <c r="BD489" s="350"/>
      <c r="BE489" s="350"/>
      <c r="BF489" s="350"/>
      <c r="BG489" s="350"/>
      <c r="BH489" s="350"/>
      <c r="BI489" s="350"/>
      <c r="BJ489" s="350"/>
      <c r="BK489" s="350"/>
      <c r="BL489" s="350"/>
      <c r="BM489" s="350"/>
    </row>
    <row r="490" spans="4:65" ht="16.5" customHeight="1" x14ac:dyDescent="0.3">
      <c r="D490" s="768"/>
      <c r="E490" s="768"/>
      <c r="F490" s="768"/>
      <c r="G490" s="768"/>
      <c r="H490" s="768"/>
      <c r="I490" s="768"/>
      <c r="J490" s="768"/>
      <c r="K490" s="768"/>
      <c r="L490" s="768"/>
      <c r="M490" s="768"/>
      <c r="N490" s="768"/>
      <c r="O490" s="768"/>
      <c r="P490" s="768"/>
      <c r="Q490" s="768"/>
      <c r="R490" s="768"/>
      <c r="S490" s="768"/>
      <c r="T490" s="768"/>
      <c r="U490" s="768"/>
      <c r="V490" s="768"/>
      <c r="W490" s="768"/>
      <c r="X490" s="768"/>
      <c r="Y490" s="768"/>
      <c r="Z490" s="768"/>
      <c r="AA490" s="768"/>
      <c r="AB490" s="769"/>
      <c r="AV490" s="350"/>
      <c r="AW490" s="350"/>
      <c r="AX490" s="350"/>
      <c r="AY490" s="350"/>
      <c r="AZ490" s="350"/>
      <c r="BA490" s="350"/>
      <c r="BB490" s="350"/>
      <c r="BC490" s="350"/>
      <c r="BD490" s="350"/>
      <c r="BE490" s="350"/>
      <c r="BF490" s="350"/>
      <c r="BG490" s="350"/>
      <c r="BH490" s="350"/>
      <c r="BI490" s="350"/>
      <c r="BJ490" s="350"/>
      <c r="BK490" s="350"/>
      <c r="BL490" s="350"/>
      <c r="BM490" s="350"/>
    </row>
    <row r="491" spans="4:65" ht="16.5" customHeight="1" x14ac:dyDescent="0.3">
      <c r="D491" s="768"/>
      <c r="E491" s="768"/>
      <c r="F491" s="768"/>
      <c r="G491" s="768"/>
      <c r="H491" s="768"/>
      <c r="I491" s="768"/>
      <c r="J491" s="768"/>
      <c r="K491" s="768"/>
      <c r="L491" s="768"/>
      <c r="M491" s="768"/>
      <c r="N491" s="768"/>
      <c r="O491" s="768"/>
      <c r="P491" s="768"/>
      <c r="Q491" s="768"/>
      <c r="R491" s="768"/>
      <c r="S491" s="768"/>
      <c r="T491" s="768"/>
      <c r="U491" s="768"/>
      <c r="V491" s="768"/>
      <c r="W491" s="768"/>
      <c r="X491" s="768"/>
      <c r="Y491" s="768"/>
      <c r="Z491" s="768"/>
      <c r="AA491" s="768"/>
      <c r="AB491" s="769"/>
      <c r="AV491" s="350"/>
      <c r="AW491" s="350"/>
      <c r="AX491" s="350"/>
      <c r="AY491" s="368"/>
      <c r="AZ491" s="368"/>
      <c r="BA491" s="368"/>
      <c r="BB491" s="368"/>
      <c r="BC491" s="350"/>
      <c r="BD491" s="350"/>
      <c r="BE491" s="350"/>
      <c r="BF491" s="350"/>
      <c r="BG491" s="350"/>
      <c r="BH491" s="350"/>
      <c r="BI491" s="350"/>
      <c r="BJ491" s="350"/>
      <c r="BK491" s="350"/>
      <c r="BL491" s="350"/>
      <c r="BM491" s="350"/>
    </row>
    <row r="492" spans="4:65" ht="16.5" customHeight="1" x14ac:dyDescent="0.3">
      <c r="D492" s="768"/>
      <c r="E492" s="768"/>
      <c r="F492" s="768"/>
      <c r="G492" s="768"/>
      <c r="H492" s="768"/>
      <c r="I492" s="768"/>
      <c r="J492" s="768"/>
      <c r="K492" s="768"/>
      <c r="L492" s="768"/>
      <c r="M492" s="768"/>
      <c r="N492" s="768"/>
      <c r="O492" s="768"/>
      <c r="P492" s="768"/>
      <c r="Q492" s="768"/>
      <c r="R492" s="768"/>
      <c r="S492" s="768"/>
      <c r="T492" s="768"/>
      <c r="U492" s="768"/>
      <c r="V492" s="768"/>
      <c r="W492" s="768"/>
      <c r="X492" s="768"/>
      <c r="Y492" s="768"/>
      <c r="Z492" s="768"/>
      <c r="AA492" s="768"/>
      <c r="AB492" s="769"/>
      <c r="AV492" s="350"/>
      <c r="AW492" s="350"/>
      <c r="AX492" s="350"/>
      <c r="AY492" s="555"/>
      <c r="AZ492" s="393"/>
      <c r="BA492" s="393"/>
      <c r="BB492" s="393"/>
      <c r="BC492" s="350"/>
      <c r="BD492" s="382"/>
      <c r="BE492" s="382"/>
      <c r="BF492" s="350"/>
      <c r="BG492" s="350"/>
      <c r="BH492" s="350"/>
      <c r="BI492" s="350"/>
      <c r="BJ492" s="350"/>
      <c r="BK492" s="350"/>
      <c r="BL492" s="350"/>
      <c r="BM492" s="350"/>
    </row>
    <row r="493" spans="4:65" ht="16.5" customHeight="1" x14ac:dyDescent="0.3">
      <c r="D493" s="768"/>
      <c r="E493" s="768"/>
      <c r="F493" s="768"/>
      <c r="G493" s="768"/>
      <c r="H493" s="768"/>
      <c r="I493" s="768"/>
      <c r="J493" s="768"/>
      <c r="K493" s="768"/>
      <c r="L493" s="768"/>
      <c r="M493" s="768"/>
      <c r="N493" s="768"/>
      <c r="O493" s="768"/>
      <c r="P493" s="768"/>
      <c r="Q493" s="768"/>
      <c r="R493" s="768"/>
      <c r="S493" s="768"/>
      <c r="T493" s="768"/>
      <c r="U493" s="768"/>
      <c r="V493" s="768"/>
      <c r="W493" s="768"/>
      <c r="X493" s="768"/>
      <c r="Y493" s="768"/>
      <c r="Z493" s="768"/>
      <c r="AA493" s="768"/>
      <c r="AB493" s="769"/>
      <c r="AV493" s="350"/>
      <c r="AW493" s="350"/>
      <c r="AX493" s="350"/>
      <c r="AY493" s="555"/>
      <c r="AZ493" s="350"/>
      <c r="BA493" s="384"/>
      <c r="BB493" s="384"/>
      <c r="BC493" s="350"/>
      <c r="BD493" s="557"/>
      <c r="BE493" s="468"/>
      <c r="BF493" s="350"/>
      <c r="BG493" s="350"/>
      <c r="BH493" s="350"/>
      <c r="BI493" s="350"/>
      <c r="BJ493" s="350"/>
      <c r="BK493" s="350"/>
      <c r="BL493" s="350"/>
      <c r="BM493" s="350"/>
    </row>
    <row r="494" spans="4:65" ht="16.5" customHeight="1" x14ac:dyDescent="0.3">
      <c r="D494" s="768"/>
      <c r="E494" s="768"/>
      <c r="F494" s="768"/>
      <c r="G494" s="768"/>
      <c r="H494" s="768"/>
      <c r="I494" s="768"/>
      <c r="J494" s="768"/>
      <c r="K494" s="768"/>
      <c r="L494" s="768"/>
      <c r="M494" s="768"/>
      <c r="N494" s="768"/>
      <c r="O494" s="768"/>
      <c r="P494" s="768"/>
      <c r="Q494" s="768"/>
      <c r="R494" s="768"/>
      <c r="S494" s="768"/>
      <c r="T494" s="768"/>
      <c r="U494" s="768"/>
      <c r="V494" s="768"/>
      <c r="W494" s="768"/>
      <c r="X494" s="768"/>
      <c r="Y494" s="768"/>
      <c r="Z494" s="768"/>
      <c r="AA494" s="768"/>
      <c r="AB494" s="769"/>
      <c r="AV494" s="350"/>
      <c r="AW494" s="350"/>
      <c r="AX494" s="350"/>
      <c r="AY494" s="555"/>
      <c r="AZ494" s="350"/>
      <c r="BA494" s="384"/>
      <c r="BB494" s="384"/>
      <c r="BC494" s="350"/>
      <c r="BD494" s="557"/>
      <c r="BE494" s="468"/>
      <c r="BF494" s="350"/>
      <c r="BG494" s="350"/>
      <c r="BH494" s="350"/>
      <c r="BI494" s="350"/>
      <c r="BJ494" s="350"/>
      <c r="BK494" s="350"/>
      <c r="BL494" s="350"/>
      <c r="BM494" s="350"/>
    </row>
    <row r="495" spans="4:65" ht="16.5" customHeight="1" x14ac:dyDescent="0.3">
      <c r="D495" s="768"/>
      <c r="E495" s="768"/>
      <c r="F495" s="768"/>
      <c r="G495" s="768"/>
      <c r="H495" s="768"/>
      <c r="I495" s="768"/>
      <c r="J495" s="768"/>
      <c r="K495" s="768"/>
      <c r="L495" s="768"/>
      <c r="M495" s="768"/>
      <c r="N495" s="768"/>
      <c r="O495" s="768"/>
      <c r="P495" s="768"/>
      <c r="Q495" s="768"/>
      <c r="R495" s="768"/>
      <c r="S495" s="768"/>
      <c r="T495" s="768"/>
      <c r="U495" s="768"/>
      <c r="V495" s="768"/>
      <c r="W495" s="768"/>
      <c r="X495" s="768"/>
      <c r="Y495" s="768"/>
      <c r="Z495" s="768"/>
      <c r="AA495" s="768"/>
      <c r="AB495" s="769"/>
    </row>
    <row r="496" spans="4:65" ht="16.5" customHeight="1" x14ac:dyDescent="0.3">
      <c r="D496" s="768"/>
      <c r="E496" s="768"/>
      <c r="F496" s="768"/>
      <c r="G496" s="768"/>
      <c r="H496" s="768"/>
      <c r="I496" s="768"/>
      <c r="J496" s="768"/>
      <c r="K496" s="768"/>
      <c r="L496" s="768"/>
      <c r="M496" s="768"/>
      <c r="N496" s="768"/>
      <c r="O496" s="768"/>
      <c r="P496" s="768"/>
      <c r="Q496" s="768"/>
      <c r="R496" s="768"/>
      <c r="S496" s="768"/>
      <c r="T496" s="768"/>
      <c r="U496" s="768"/>
      <c r="V496" s="768"/>
      <c r="W496" s="768"/>
      <c r="X496" s="768"/>
      <c r="Y496" s="768"/>
      <c r="Z496" s="768"/>
      <c r="AA496" s="768"/>
      <c r="AB496" s="769"/>
    </row>
    <row r="497" spans="4:28" ht="16.5" customHeight="1" x14ac:dyDescent="0.3">
      <c r="D497" s="768"/>
      <c r="E497" s="768"/>
      <c r="F497" s="768"/>
      <c r="G497" s="768"/>
      <c r="H497" s="768"/>
      <c r="I497" s="768"/>
      <c r="J497" s="768"/>
      <c r="K497" s="768"/>
      <c r="L497" s="768"/>
      <c r="M497" s="768"/>
      <c r="N497" s="768"/>
      <c r="O497" s="768"/>
      <c r="P497" s="768"/>
      <c r="Q497" s="768"/>
      <c r="R497" s="768"/>
      <c r="S497" s="768"/>
      <c r="T497" s="768"/>
      <c r="U497" s="768"/>
      <c r="V497" s="768"/>
      <c r="W497" s="768"/>
      <c r="X497" s="768"/>
      <c r="Y497" s="768"/>
      <c r="Z497" s="768"/>
      <c r="AA497" s="768"/>
      <c r="AB497" s="769"/>
    </row>
    <row r="498" spans="4:28" ht="16.5" customHeight="1" x14ac:dyDescent="0.3">
      <c r="D498" s="768"/>
      <c r="E498" s="768"/>
      <c r="F498" s="768"/>
      <c r="G498" s="768"/>
      <c r="H498" s="768"/>
      <c r="I498" s="768"/>
      <c r="J498" s="768"/>
      <c r="K498" s="768"/>
      <c r="L498" s="768"/>
      <c r="M498" s="768"/>
      <c r="N498" s="768"/>
      <c r="O498" s="768"/>
      <c r="P498" s="768"/>
      <c r="Q498" s="768"/>
      <c r="R498" s="768"/>
      <c r="S498" s="768"/>
      <c r="T498" s="768"/>
      <c r="U498" s="768"/>
      <c r="V498" s="768"/>
      <c r="W498" s="768"/>
      <c r="X498" s="768"/>
      <c r="Y498" s="768"/>
      <c r="Z498" s="768"/>
      <c r="AA498" s="768"/>
      <c r="AB498" s="769"/>
    </row>
    <row r="499" spans="4:28" ht="16.5" customHeight="1" x14ac:dyDescent="0.3">
      <c r="D499" s="768"/>
      <c r="E499" s="768"/>
      <c r="F499" s="768"/>
      <c r="G499" s="768"/>
      <c r="H499" s="768"/>
      <c r="I499" s="768"/>
      <c r="J499" s="768"/>
      <c r="K499" s="768"/>
      <c r="L499" s="768"/>
      <c r="M499" s="768"/>
      <c r="N499" s="768"/>
      <c r="O499" s="768"/>
      <c r="P499" s="768"/>
      <c r="Q499" s="768"/>
      <c r="R499" s="768"/>
      <c r="S499" s="768"/>
      <c r="T499" s="768"/>
      <c r="U499" s="768"/>
      <c r="V499" s="768"/>
      <c r="W499" s="768"/>
      <c r="X499" s="768"/>
      <c r="Y499" s="768"/>
      <c r="Z499" s="768"/>
      <c r="AA499" s="768"/>
      <c r="AB499" s="769"/>
    </row>
    <row r="500" spans="4:28" ht="16.5" customHeight="1" x14ac:dyDescent="0.3">
      <c r="D500" s="768"/>
      <c r="E500" s="768"/>
      <c r="F500" s="768"/>
      <c r="G500" s="768"/>
      <c r="H500" s="768"/>
      <c r="I500" s="768"/>
      <c r="J500" s="768"/>
      <c r="K500" s="768"/>
      <c r="L500" s="768"/>
      <c r="M500" s="768"/>
      <c r="N500" s="768"/>
      <c r="O500" s="768"/>
      <c r="P500" s="768"/>
      <c r="Q500" s="768"/>
      <c r="R500" s="768"/>
      <c r="S500" s="768"/>
      <c r="T500" s="768"/>
      <c r="U500" s="768"/>
      <c r="V500" s="768"/>
      <c r="W500" s="768"/>
      <c r="X500" s="768"/>
      <c r="Y500" s="768"/>
      <c r="Z500" s="768"/>
      <c r="AA500" s="768"/>
      <c r="AB500" s="769"/>
    </row>
    <row r="501" spans="4:28" ht="16.5" customHeight="1" x14ac:dyDescent="0.3">
      <c r="D501" s="768"/>
      <c r="E501" s="768"/>
      <c r="F501" s="768"/>
      <c r="G501" s="768"/>
      <c r="H501" s="768"/>
      <c r="I501" s="768"/>
      <c r="J501" s="768"/>
      <c r="K501" s="768"/>
      <c r="L501" s="768"/>
      <c r="M501" s="768"/>
      <c r="N501" s="768"/>
      <c r="O501" s="768"/>
      <c r="P501" s="768"/>
      <c r="Q501" s="768"/>
      <c r="R501" s="768"/>
      <c r="S501" s="768"/>
      <c r="T501" s="768"/>
      <c r="U501" s="768"/>
      <c r="V501" s="768"/>
      <c r="W501" s="768"/>
      <c r="X501" s="768"/>
      <c r="Y501" s="768"/>
      <c r="Z501" s="768"/>
      <c r="AA501" s="768"/>
      <c r="AB501" s="769"/>
    </row>
    <row r="502" spans="4:28" ht="16.5" customHeight="1" x14ac:dyDescent="0.3">
      <c r="D502" s="768"/>
      <c r="E502" s="768"/>
      <c r="F502" s="768"/>
      <c r="G502" s="768"/>
      <c r="H502" s="768"/>
      <c r="I502" s="768"/>
      <c r="J502" s="768"/>
      <c r="K502" s="768"/>
      <c r="L502" s="768"/>
      <c r="M502" s="768"/>
      <c r="N502" s="768"/>
      <c r="O502" s="768"/>
      <c r="P502" s="768"/>
      <c r="Q502" s="768"/>
      <c r="R502" s="768"/>
      <c r="S502" s="768"/>
      <c r="T502" s="768"/>
      <c r="U502" s="768"/>
      <c r="V502" s="768"/>
      <c r="W502" s="768"/>
      <c r="X502" s="768"/>
      <c r="Y502" s="768"/>
      <c r="Z502" s="768"/>
      <c r="AA502" s="768"/>
      <c r="AB502" s="769"/>
    </row>
    <row r="503" spans="4:28" ht="16.5" customHeight="1" x14ac:dyDescent="0.3">
      <c r="D503" s="768"/>
      <c r="E503" s="768"/>
      <c r="F503" s="768"/>
      <c r="G503" s="768"/>
      <c r="H503" s="768"/>
      <c r="I503" s="768"/>
      <c r="J503" s="768"/>
      <c r="K503" s="768"/>
      <c r="L503" s="768"/>
      <c r="M503" s="768"/>
      <c r="N503" s="768"/>
      <c r="O503" s="768"/>
      <c r="P503" s="768"/>
      <c r="Q503" s="768"/>
      <c r="R503" s="768"/>
      <c r="S503" s="768"/>
      <c r="T503" s="768"/>
      <c r="U503" s="768"/>
      <c r="V503" s="768"/>
      <c r="W503" s="768"/>
      <c r="X503" s="768"/>
      <c r="Y503" s="768"/>
      <c r="Z503" s="768"/>
      <c r="AA503" s="768"/>
      <c r="AB503" s="769"/>
    </row>
    <row r="504" spans="4:28" ht="16.5" customHeight="1" x14ac:dyDescent="0.3">
      <c r="D504" s="768"/>
      <c r="E504" s="768"/>
      <c r="F504" s="768"/>
      <c r="G504" s="768"/>
      <c r="H504" s="768"/>
      <c r="I504" s="768"/>
      <c r="J504" s="768"/>
      <c r="K504" s="768"/>
      <c r="L504" s="768"/>
      <c r="M504" s="768"/>
      <c r="N504" s="768"/>
      <c r="O504" s="768"/>
      <c r="P504" s="768"/>
      <c r="Q504" s="768"/>
      <c r="R504" s="768"/>
      <c r="S504" s="768"/>
      <c r="T504" s="768"/>
      <c r="U504" s="768"/>
      <c r="V504" s="768"/>
      <c r="W504" s="768"/>
      <c r="X504" s="768"/>
      <c r="Y504" s="768"/>
      <c r="Z504" s="768"/>
      <c r="AA504" s="768"/>
      <c r="AB504" s="769"/>
    </row>
    <row r="505" spans="4:28" ht="16.5" customHeight="1" x14ac:dyDescent="0.3">
      <c r="D505" s="768"/>
      <c r="E505" s="768"/>
      <c r="F505" s="768"/>
      <c r="G505" s="768"/>
      <c r="H505" s="768"/>
      <c r="I505" s="768"/>
      <c r="J505" s="768"/>
      <c r="K505" s="768"/>
      <c r="L505" s="768"/>
      <c r="M505" s="768"/>
      <c r="N505" s="768"/>
      <c r="O505" s="768"/>
      <c r="P505" s="768"/>
      <c r="Q505" s="768"/>
      <c r="R505" s="768"/>
      <c r="S505" s="768"/>
      <c r="T505" s="768"/>
      <c r="U505" s="768"/>
      <c r="V505" s="768"/>
      <c r="W505" s="768"/>
      <c r="X505" s="768"/>
      <c r="Y505" s="768"/>
      <c r="Z505" s="768"/>
      <c r="AA505" s="768"/>
      <c r="AB505" s="769"/>
    </row>
    <row r="506" spans="4:28" ht="16.5" customHeight="1" x14ac:dyDescent="0.3">
      <c r="D506" s="768"/>
      <c r="E506" s="768"/>
      <c r="F506" s="768"/>
      <c r="G506" s="768"/>
      <c r="H506" s="768"/>
      <c r="I506" s="768"/>
      <c r="J506" s="768"/>
      <c r="K506" s="768"/>
      <c r="L506" s="768"/>
      <c r="M506" s="768"/>
      <c r="N506" s="768"/>
      <c r="O506" s="768"/>
      <c r="P506" s="768"/>
      <c r="Q506" s="768"/>
      <c r="R506" s="768"/>
      <c r="S506" s="768"/>
      <c r="T506" s="768"/>
      <c r="U506" s="768"/>
      <c r="V506" s="768"/>
      <c r="W506" s="768"/>
      <c r="X506" s="768"/>
      <c r="Y506" s="768"/>
      <c r="Z506" s="768"/>
      <c r="AA506" s="768"/>
      <c r="AB506" s="769"/>
    </row>
    <row r="507" spans="4:28" ht="16.5" customHeight="1" x14ac:dyDescent="0.3">
      <c r="D507" s="768"/>
      <c r="E507" s="768"/>
      <c r="F507" s="768"/>
      <c r="G507" s="768"/>
      <c r="H507" s="768"/>
      <c r="I507" s="768"/>
      <c r="J507" s="768"/>
      <c r="K507" s="768"/>
      <c r="L507" s="768"/>
      <c r="M507" s="768"/>
      <c r="N507" s="768"/>
      <c r="O507" s="768"/>
      <c r="P507" s="768"/>
      <c r="Q507" s="768"/>
      <c r="R507" s="768"/>
      <c r="S507" s="768"/>
      <c r="T507" s="768"/>
      <c r="U507" s="768"/>
      <c r="V507" s="768"/>
      <c r="W507" s="768"/>
      <c r="X507" s="768"/>
      <c r="Y507" s="768"/>
      <c r="Z507" s="768"/>
      <c r="AA507" s="768"/>
      <c r="AB507" s="769"/>
    </row>
    <row r="508" spans="4:28" ht="16.5" customHeight="1" x14ac:dyDescent="0.3">
      <c r="D508" s="768"/>
      <c r="E508" s="768"/>
      <c r="F508" s="768"/>
      <c r="G508" s="768"/>
      <c r="H508" s="768"/>
      <c r="I508" s="768"/>
      <c r="J508" s="768"/>
      <c r="K508" s="768"/>
      <c r="L508" s="768"/>
      <c r="M508" s="768"/>
      <c r="N508" s="768"/>
      <c r="O508" s="768"/>
      <c r="P508" s="768"/>
      <c r="Q508" s="768"/>
      <c r="R508" s="768"/>
      <c r="S508" s="768"/>
      <c r="T508" s="768"/>
      <c r="U508" s="768"/>
      <c r="V508" s="768"/>
      <c r="W508" s="768"/>
      <c r="X508" s="768"/>
      <c r="Y508" s="768"/>
      <c r="Z508" s="768"/>
      <c r="AA508" s="768"/>
      <c r="AB508" s="769"/>
    </row>
    <row r="509" spans="4:28" ht="16.5" customHeight="1" x14ac:dyDescent="0.3">
      <c r="D509" s="768"/>
      <c r="E509" s="768"/>
      <c r="F509" s="768"/>
      <c r="G509" s="768"/>
      <c r="H509" s="768"/>
      <c r="I509" s="768"/>
      <c r="J509" s="768"/>
      <c r="K509" s="768"/>
      <c r="L509" s="768"/>
      <c r="M509" s="768"/>
      <c r="N509" s="768"/>
      <c r="O509" s="768"/>
      <c r="P509" s="768"/>
      <c r="Q509" s="768"/>
      <c r="R509" s="768"/>
      <c r="S509" s="768"/>
      <c r="T509" s="768"/>
      <c r="U509" s="768"/>
      <c r="V509" s="768"/>
      <c r="W509" s="768"/>
      <c r="X509" s="768"/>
      <c r="Y509" s="768"/>
      <c r="Z509" s="768"/>
      <c r="AA509" s="768"/>
      <c r="AB509" s="769"/>
    </row>
    <row r="510" spans="4:28" ht="16.5" customHeight="1" x14ac:dyDescent="0.3">
      <c r="D510" s="768"/>
      <c r="E510" s="768"/>
      <c r="F510" s="768"/>
      <c r="G510" s="768"/>
      <c r="H510" s="768"/>
      <c r="I510" s="768"/>
      <c r="J510" s="768"/>
      <c r="K510" s="768"/>
      <c r="L510" s="768"/>
      <c r="M510" s="768"/>
      <c r="N510" s="768"/>
      <c r="O510" s="768"/>
      <c r="P510" s="768"/>
      <c r="Q510" s="768"/>
      <c r="R510" s="768"/>
      <c r="S510" s="768"/>
      <c r="T510" s="768"/>
      <c r="U510" s="768"/>
      <c r="V510" s="768"/>
      <c r="W510" s="768"/>
      <c r="X510" s="768"/>
      <c r="Y510" s="768"/>
      <c r="Z510" s="768"/>
      <c r="AA510" s="768"/>
      <c r="AB510" s="769"/>
    </row>
    <row r="511" spans="4:28" ht="16.5" customHeight="1" x14ac:dyDescent="0.3">
      <c r="D511" s="768"/>
      <c r="E511" s="768"/>
      <c r="F511" s="768"/>
      <c r="G511" s="768"/>
      <c r="H511" s="768"/>
      <c r="I511" s="768"/>
      <c r="J511" s="768"/>
      <c r="K511" s="768"/>
      <c r="L511" s="768"/>
      <c r="M511" s="768"/>
      <c r="N511" s="768"/>
      <c r="O511" s="768"/>
      <c r="P511" s="768"/>
      <c r="Q511" s="768"/>
      <c r="R511" s="768"/>
      <c r="S511" s="768"/>
      <c r="T511" s="768"/>
      <c r="U511" s="768"/>
      <c r="V511" s="768"/>
      <c r="W511" s="768"/>
      <c r="X511" s="768"/>
      <c r="Y511" s="768"/>
      <c r="Z511" s="768"/>
      <c r="AA511" s="768"/>
      <c r="AB511" s="769"/>
    </row>
    <row r="512" spans="4:28" ht="16.5" customHeight="1" x14ac:dyDescent="0.3">
      <c r="D512" s="768"/>
      <c r="E512" s="768"/>
      <c r="F512" s="768"/>
      <c r="G512" s="768"/>
      <c r="H512" s="768"/>
      <c r="I512" s="768"/>
      <c r="J512" s="768"/>
      <c r="K512" s="768"/>
      <c r="L512" s="768"/>
      <c r="M512" s="768"/>
      <c r="N512" s="768"/>
      <c r="O512" s="768"/>
      <c r="P512" s="768"/>
      <c r="Q512" s="768"/>
      <c r="R512" s="768"/>
      <c r="S512" s="768"/>
      <c r="T512" s="768"/>
      <c r="U512" s="768"/>
      <c r="V512" s="768"/>
      <c r="W512" s="768"/>
      <c r="X512" s="768"/>
      <c r="Y512" s="768"/>
      <c r="Z512" s="768"/>
      <c r="AA512" s="768"/>
      <c r="AB512" s="769"/>
    </row>
    <row r="513" spans="4:28" ht="16.5" customHeight="1" x14ac:dyDescent="0.3">
      <c r="D513" s="768"/>
      <c r="E513" s="768"/>
      <c r="F513" s="768"/>
      <c r="G513" s="768"/>
      <c r="H513" s="768"/>
      <c r="I513" s="768"/>
      <c r="J513" s="768"/>
      <c r="K513" s="768"/>
      <c r="L513" s="768"/>
      <c r="M513" s="768"/>
      <c r="N513" s="768"/>
      <c r="O513" s="768"/>
      <c r="P513" s="768"/>
      <c r="Q513" s="768"/>
      <c r="R513" s="768"/>
      <c r="S513" s="768"/>
      <c r="T513" s="768"/>
      <c r="U513" s="768"/>
      <c r="V513" s="768"/>
      <c r="W513" s="768"/>
      <c r="X513" s="768"/>
      <c r="Y513" s="768"/>
      <c r="Z513" s="768"/>
      <c r="AA513" s="768"/>
      <c r="AB513" s="769"/>
    </row>
    <row r="514" spans="4:28" ht="16.5" customHeight="1" x14ac:dyDescent="0.3">
      <c r="D514" s="768"/>
      <c r="E514" s="768"/>
      <c r="F514" s="768"/>
      <c r="G514" s="768"/>
      <c r="H514" s="768"/>
      <c r="I514" s="768"/>
      <c r="J514" s="768"/>
      <c r="K514" s="768"/>
      <c r="L514" s="768"/>
      <c r="M514" s="768"/>
      <c r="N514" s="768"/>
      <c r="O514" s="768"/>
      <c r="P514" s="768"/>
      <c r="Q514" s="768"/>
      <c r="R514" s="768"/>
      <c r="S514" s="768"/>
      <c r="T514" s="768"/>
      <c r="U514" s="768"/>
      <c r="V514" s="768"/>
      <c r="W514" s="768"/>
      <c r="X514" s="768"/>
      <c r="Y514" s="768"/>
      <c r="Z514" s="768"/>
      <c r="AA514" s="768"/>
      <c r="AB514" s="769"/>
    </row>
    <row r="515" spans="4:28" ht="16.5" customHeight="1" x14ac:dyDescent="0.3">
      <c r="D515" s="768"/>
      <c r="E515" s="768"/>
      <c r="F515" s="768"/>
      <c r="G515" s="768"/>
      <c r="H515" s="768"/>
      <c r="I515" s="768"/>
      <c r="J515" s="768"/>
      <c r="K515" s="768"/>
      <c r="L515" s="768"/>
      <c r="M515" s="768"/>
      <c r="N515" s="768"/>
      <c r="O515" s="768"/>
      <c r="P515" s="768"/>
      <c r="Q515" s="768"/>
      <c r="R515" s="768"/>
      <c r="S515" s="768"/>
      <c r="T515" s="768"/>
      <c r="U515" s="768"/>
      <c r="V515" s="768"/>
      <c r="W515" s="768"/>
      <c r="X515" s="768"/>
      <c r="Y515" s="768"/>
      <c r="Z515" s="768"/>
      <c r="AA515" s="768"/>
      <c r="AB515" s="769"/>
    </row>
    <row r="516" spans="4:28" ht="16.5" customHeight="1" x14ac:dyDescent="0.3">
      <c r="D516" s="768"/>
      <c r="E516" s="768"/>
      <c r="F516" s="768"/>
      <c r="G516" s="768"/>
      <c r="H516" s="768"/>
      <c r="I516" s="768"/>
      <c r="J516" s="768"/>
      <c r="K516" s="768"/>
      <c r="L516" s="768"/>
      <c r="M516" s="768"/>
      <c r="N516" s="768"/>
      <c r="O516" s="768"/>
      <c r="P516" s="768"/>
      <c r="Q516" s="768"/>
      <c r="R516" s="768"/>
      <c r="S516" s="768"/>
      <c r="T516" s="768"/>
      <c r="U516" s="768"/>
      <c r="V516" s="768"/>
      <c r="W516" s="768"/>
      <c r="X516" s="768"/>
      <c r="Y516" s="768"/>
      <c r="Z516" s="768"/>
      <c r="AA516" s="768"/>
      <c r="AB516" s="769"/>
    </row>
    <row r="517" spans="4:28" ht="16.5" customHeight="1" x14ac:dyDescent="0.3">
      <c r="D517" s="768"/>
      <c r="E517" s="768"/>
      <c r="F517" s="768"/>
      <c r="G517" s="768"/>
      <c r="H517" s="768"/>
      <c r="I517" s="768"/>
      <c r="J517" s="768"/>
      <c r="K517" s="768"/>
      <c r="L517" s="768"/>
      <c r="M517" s="768"/>
      <c r="N517" s="768"/>
      <c r="O517" s="768"/>
      <c r="P517" s="768"/>
      <c r="Q517" s="768"/>
      <c r="R517" s="768"/>
      <c r="S517" s="768"/>
      <c r="T517" s="768"/>
      <c r="U517" s="768"/>
      <c r="V517" s="768"/>
      <c r="W517" s="768"/>
      <c r="X517" s="768"/>
      <c r="Y517" s="768"/>
      <c r="Z517" s="768"/>
      <c r="AA517" s="768"/>
      <c r="AB517" s="769"/>
    </row>
    <row r="518" spans="4:28" ht="16.5" customHeight="1" x14ac:dyDescent="0.3">
      <c r="D518" s="768"/>
      <c r="E518" s="768"/>
      <c r="F518" s="768"/>
      <c r="G518" s="768"/>
      <c r="H518" s="768"/>
      <c r="I518" s="768"/>
      <c r="J518" s="768"/>
      <c r="K518" s="768"/>
      <c r="L518" s="768"/>
      <c r="M518" s="768"/>
      <c r="N518" s="768"/>
      <c r="O518" s="768"/>
      <c r="P518" s="768"/>
      <c r="Q518" s="768"/>
      <c r="R518" s="768"/>
      <c r="S518" s="768"/>
      <c r="T518" s="768"/>
      <c r="U518" s="768"/>
      <c r="V518" s="768"/>
      <c r="W518" s="768"/>
      <c r="X518" s="768"/>
      <c r="Y518" s="768"/>
      <c r="Z518" s="768"/>
      <c r="AA518" s="768"/>
      <c r="AB518" s="769"/>
    </row>
    <row r="519" spans="4:28" ht="16.5" customHeight="1" x14ac:dyDescent="0.3">
      <c r="D519" s="768"/>
      <c r="E519" s="768"/>
      <c r="F519" s="768"/>
      <c r="G519" s="768"/>
      <c r="H519" s="768"/>
      <c r="I519" s="768"/>
      <c r="J519" s="768"/>
      <c r="K519" s="768"/>
      <c r="L519" s="768"/>
      <c r="M519" s="768"/>
      <c r="N519" s="768"/>
      <c r="O519" s="768"/>
      <c r="P519" s="768"/>
      <c r="Q519" s="768"/>
      <c r="R519" s="768"/>
      <c r="S519" s="768"/>
      <c r="T519" s="768"/>
      <c r="U519" s="768"/>
      <c r="V519" s="768"/>
      <c r="W519" s="768"/>
      <c r="X519" s="768"/>
      <c r="Y519" s="768"/>
      <c r="Z519" s="768"/>
      <c r="AA519" s="768"/>
      <c r="AB519" s="769"/>
    </row>
    <row r="520" spans="4:28" ht="16.5" customHeight="1" x14ac:dyDescent="0.3">
      <c r="D520" s="768"/>
      <c r="E520" s="768"/>
      <c r="F520" s="768"/>
      <c r="G520" s="768"/>
      <c r="H520" s="768"/>
      <c r="I520" s="768"/>
      <c r="J520" s="768"/>
      <c r="K520" s="768"/>
      <c r="L520" s="768"/>
      <c r="M520" s="768"/>
      <c r="N520" s="768"/>
      <c r="O520" s="768"/>
      <c r="P520" s="768"/>
      <c r="Q520" s="768"/>
      <c r="R520" s="768"/>
      <c r="S520" s="768"/>
      <c r="T520" s="768"/>
      <c r="U520" s="768"/>
      <c r="V520" s="768"/>
      <c r="W520" s="768"/>
      <c r="X520" s="768"/>
      <c r="Y520" s="768"/>
      <c r="Z520" s="768"/>
      <c r="AA520" s="768"/>
      <c r="AB520" s="769"/>
    </row>
    <row r="521" spans="4:28" ht="16.5" customHeight="1" x14ac:dyDescent="0.3">
      <c r="D521" s="768"/>
      <c r="E521" s="768"/>
      <c r="F521" s="768"/>
      <c r="G521" s="768"/>
      <c r="H521" s="768"/>
      <c r="I521" s="768"/>
      <c r="J521" s="768"/>
      <c r="K521" s="768"/>
      <c r="L521" s="768"/>
      <c r="M521" s="768"/>
      <c r="N521" s="768"/>
      <c r="O521" s="768"/>
      <c r="P521" s="768"/>
      <c r="Q521" s="768"/>
      <c r="R521" s="768"/>
      <c r="S521" s="768"/>
      <c r="T521" s="768"/>
      <c r="U521" s="768"/>
      <c r="V521" s="768"/>
      <c r="W521" s="768"/>
      <c r="X521" s="768"/>
      <c r="Y521" s="768"/>
      <c r="Z521" s="768"/>
      <c r="AA521" s="768"/>
      <c r="AB521" s="769"/>
    </row>
    <row r="522" spans="4:28" ht="16.5" customHeight="1" x14ac:dyDescent="0.3">
      <c r="D522" s="768"/>
      <c r="E522" s="768"/>
      <c r="F522" s="768"/>
      <c r="G522" s="768"/>
      <c r="H522" s="768"/>
      <c r="I522" s="768"/>
      <c r="J522" s="768"/>
      <c r="K522" s="768"/>
      <c r="L522" s="768"/>
      <c r="M522" s="768"/>
      <c r="N522" s="768"/>
      <c r="O522" s="768"/>
      <c r="P522" s="768"/>
      <c r="Q522" s="768"/>
      <c r="R522" s="768"/>
      <c r="S522" s="768"/>
      <c r="T522" s="768"/>
      <c r="U522" s="768"/>
      <c r="V522" s="768"/>
      <c r="W522" s="768"/>
      <c r="X522" s="768"/>
      <c r="Y522" s="768"/>
      <c r="Z522" s="768"/>
      <c r="AA522" s="768"/>
      <c r="AB522" s="769"/>
    </row>
    <row r="523" spans="4:28" ht="16.5" customHeight="1" x14ac:dyDescent="0.3">
      <c r="D523" s="768"/>
      <c r="E523" s="768"/>
      <c r="F523" s="768"/>
      <c r="G523" s="768"/>
      <c r="H523" s="768"/>
      <c r="I523" s="768"/>
      <c r="J523" s="768"/>
      <c r="K523" s="768"/>
      <c r="L523" s="768"/>
      <c r="M523" s="768"/>
      <c r="N523" s="768"/>
      <c r="O523" s="768"/>
      <c r="P523" s="768"/>
      <c r="Q523" s="768"/>
      <c r="R523" s="768"/>
      <c r="S523" s="768"/>
      <c r="T523" s="768"/>
      <c r="U523" s="768"/>
      <c r="V523" s="768"/>
      <c r="W523" s="768"/>
      <c r="X523" s="768"/>
      <c r="Y523" s="768"/>
      <c r="Z523" s="768"/>
      <c r="AA523" s="768"/>
      <c r="AB523" s="769"/>
    </row>
    <row r="524" spans="4:28" ht="16.5" customHeight="1" x14ac:dyDescent="0.3">
      <c r="D524" s="768"/>
      <c r="E524" s="768"/>
      <c r="F524" s="768"/>
      <c r="G524" s="768"/>
      <c r="H524" s="768"/>
      <c r="I524" s="768"/>
      <c r="J524" s="768"/>
      <c r="K524" s="768"/>
      <c r="L524" s="768"/>
      <c r="M524" s="768"/>
      <c r="N524" s="768"/>
      <c r="O524" s="768"/>
      <c r="P524" s="768"/>
      <c r="Q524" s="768"/>
      <c r="R524" s="768"/>
      <c r="S524" s="768"/>
      <c r="T524" s="768"/>
      <c r="U524" s="768"/>
      <c r="V524" s="768"/>
      <c r="W524" s="768"/>
      <c r="X524" s="768"/>
      <c r="Y524" s="768"/>
      <c r="Z524" s="768"/>
      <c r="AA524" s="768"/>
      <c r="AB524" s="769"/>
    </row>
    <row r="525" spans="4:28" ht="16.5" customHeight="1" x14ac:dyDescent="0.3">
      <c r="D525" s="768"/>
      <c r="E525" s="768"/>
      <c r="F525" s="768"/>
      <c r="G525" s="768"/>
      <c r="H525" s="768"/>
      <c r="I525" s="768"/>
      <c r="J525" s="768"/>
      <c r="K525" s="768"/>
      <c r="L525" s="768"/>
      <c r="M525" s="768"/>
      <c r="N525" s="768"/>
      <c r="O525" s="768"/>
      <c r="P525" s="768"/>
      <c r="Q525" s="768"/>
      <c r="R525" s="768"/>
      <c r="S525" s="768"/>
      <c r="T525" s="768"/>
      <c r="U525" s="768"/>
      <c r="V525" s="768"/>
      <c r="W525" s="768"/>
      <c r="X525" s="768"/>
      <c r="Y525" s="768"/>
      <c r="Z525" s="768"/>
      <c r="AA525" s="768"/>
      <c r="AB525" s="769"/>
    </row>
    <row r="526" spans="4:28" ht="16.5" customHeight="1" x14ac:dyDescent="0.3">
      <c r="D526" s="768"/>
      <c r="E526" s="768"/>
      <c r="F526" s="768"/>
      <c r="G526" s="768"/>
      <c r="H526" s="768"/>
      <c r="I526" s="768"/>
      <c r="J526" s="768"/>
      <c r="K526" s="768"/>
      <c r="L526" s="768"/>
      <c r="M526" s="768"/>
      <c r="N526" s="768"/>
      <c r="O526" s="768"/>
      <c r="P526" s="768"/>
      <c r="Q526" s="768"/>
      <c r="R526" s="768"/>
      <c r="S526" s="768"/>
      <c r="T526" s="768"/>
      <c r="U526" s="768"/>
      <c r="V526" s="768"/>
      <c r="W526" s="768"/>
      <c r="X526" s="768"/>
      <c r="Y526" s="768"/>
      <c r="Z526" s="768"/>
      <c r="AA526" s="768"/>
      <c r="AB526" s="769"/>
    </row>
    <row r="527" spans="4:28" ht="16.5" customHeight="1" x14ac:dyDescent="0.3">
      <c r="D527" s="768"/>
      <c r="E527" s="768"/>
      <c r="F527" s="768"/>
      <c r="G527" s="768"/>
      <c r="H527" s="768"/>
      <c r="I527" s="768"/>
      <c r="J527" s="768"/>
      <c r="K527" s="768"/>
      <c r="L527" s="768"/>
      <c r="M527" s="768"/>
      <c r="N527" s="768"/>
      <c r="O527" s="768"/>
      <c r="P527" s="768"/>
      <c r="Q527" s="768"/>
      <c r="R527" s="768"/>
      <c r="S527" s="768"/>
      <c r="T527" s="768"/>
      <c r="U527" s="768"/>
      <c r="V527" s="768"/>
      <c r="W527" s="768"/>
      <c r="X527" s="768"/>
      <c r="Y527" s="768"/>
      <c r="Z527" s="768"/>
      <c r="AA527" s="768"/>
      <c r="AB527" s="769"/>
    </row>
    <row r="528" spans="4:28" ht="16.5" customHeight="1" x14ac:dyDescent="0.3">
      <c r="D528" s="768"/>
      <c r="E528" s="768"/>
      <c r="F528" s="768"/>
      <c r="G528" s="768"/>
      <c r="H528" s="768"/>
      <c r="I528" s="768"/>
      <c r="J528" s="768"/>
      <c r="K528" s="768"/>
      <c r="L528" s="768"/>
      <c r="M528" s="768"/>
      <c r="N528" s="768"/>
      <c r="O528" s="768"/>
      <c r="P528" s="768"/>
      <c r="Q528" s="768"/>
      <c r="R528" s="768"/>
      <c r="S528" s="768"/>
      <c r="T528" s="768"/>
      <c r="U528" s="768"/>
      <c r="V528" s="768"/>
      <c r="W528" s="768"/>
      <c r="X528" s="768"/>
      <c r="Y528" s="768"/>
      <c r="Z528" s="768"/>
      <c r="AA528" s="768"/>
      <c r="AB528" s="769"/>
    </row>
    <row r="529" spans="4:28" ht="16.5" customHeight="1" x14ac:dyDescent="0.3">
      <c r="D529" s="768"/>
      <c r="E529" s="768"/>
      <c r="F529" s="768"/>
      <c r="G529" s="768"/>
      <c r="H529" s="768"/>
      <c r="I529" s="768"/>
      <c r="J529" s="768"/>
      <c r="K529" s="768"/>
      <c r="L529" s="768"/>
      <c r="M529" s="768"/>
      <c r="N529" s="768"/>
      <c r="O529" s="768"/>
      <c r="P529" s="768"/>
      <c r="Q529" s="768"/>
      <c r="R529" s="768"/>
      <c r="S529" s="768"/>
      <c r="T529" s="768"/>
      <c r="U529" s="768"/>
      <c r="V529" s="768"/>
      <c r="W529" s="768"/>
      <c r="X529" s="768"/>
      <c r="Y529" s="768"/>
      <c r="Z529" s="768"/>
      <c r="AA529" s="768"/>
      <c r="AB529" s="769"/>
    </row>
    <row r="530" spans="4:28" ht="16.5" customHeight="1" x14ac:dyDescent="0.3">
      <c r="D530" s="768"/>
      <c r="E530" s="768"/>
      <c r="F530" s="768"/>
      <c r="G530" s="768"/>
      <c r="H530" s="768"/>
      <c r="I530" s="768"/>
      <c r="J530" s="768"/>
      <c r="K530" s="768"/>
      <c r="L530" s="768"/>
      <c r="M530" s="768"/>
      <c r="N530" s="768"/>
      <c r="O530" s="768"/>
      <c r="P530" s="768"/>
      <c r="Q530" s="768"/>
      <c r="R530" s="768"/>
      <c r="S530" s="768"/>
      <c r="T530" s="768"/>
      <c r="U530" s="768"/>
      <c r="V530" s="768"/>
      <c r="W530" s="768"/>
      <c r="X530" s="768"/>
      <c r="Y530" s="768"/>
      <c r="Z530" s="768"/>
      <c r="AA530" s="768"/>
      <c r="AB530" s="769"/>
    </row>
    <row r="531" spans="4:28" ht="16.5" customHeight="1" x14ac:dyDescent="0.3">
      <c r="D531" s="768"/>
      <c r="E531" s="768"/>
      <c r="F531" s="768"/>
      <c r="G531" s="768"/>
      <c r="H531" s="768"/>
      <c r="I531" s="768"/>
      <c r="J531" s="768"/>
      <c r="K531" s="768"/>
      <c r="L531" s="768"/>
      <c r="M531" s="768"/>
      <c r="N531" s="768"/>
      <c r="O531" s="768"/>
      <c r="P531" s="768"/>
      <c r="Q531" s="768"/>
      <c r="R531" s="768"/>
      <c r="S531" s="768"/>
      <c r="T531" s="768"/>
      <c r="U531" s="768"/>
      <c r="V531" s="768"/>
      <c r="W531" s="768"/>
      <c r="X531" s="768"/>
      <c r="Y531" s="768"/>
      <c r="Z531" s="768"/>
      <c r="AA531" s="768"/>
      <c r="AB531" s="769"/>
    </row>
    <row r="532" spans="4:28" ht="16.5" customHeight="1" x14ac:dyDescent="0.3">
      <c r="D532" s="768"/>
      <c r="E532" s="768"/>
      <c r="F532" s="768"/>
      <c r="G532" s="768"/>
      <c r="H532" s="768"/>
      <c r="I532" s="768"/>
      <c r="J532" s="768"/>
      <c r="K532" s="768"/>
      <c r="L532" s="768"/>
      <c r="M532" s="768"/>
      <c r="N532" s="768"/>
      <c r="O532" s="768"/>
      <c r="P532" s="768"/>
      <c r="Q532" s="768"/>
      <c r="R532" s="768"/>
      <c r="S532" s="768"/>
      <c r="T532" s="768"/>
      <c r="U532" s="768"/>
      <c r="V532" s="768"/>
      <c r="W532" s="768"/>
      <c r="X532" s="768"/>
      <c r="Y532" s="768"/>
      <c r="Z532" s="768"/>
      <c r="AA532" s="768"/>
      <c r="AB532" s="769"/>
    </row>
    <row r="533" spans="4:28" ht="16.5" customHeight="1" x14ac:dyDescent="0.3">
      <c r="D533" s="768"/>
      <c r="E533" s="768"/>
      <c r="F533" s="768"/>
      <c r="G533" s="768"/>
      <c r="H533" s="768"/>
      <c r="I533" s="768"/>
      <c r="J533" s="768"/>
      <c r="K533" s="768"/>
      <c r="L533" s="768"/>
      <c r="M533" s="768"/>
      <c r="N533" s="768"/>
      <c r="O533" s="768"/>
      <c r="P533" s="768"/>
      <c r="Q533" s="768"/>
      <c r="R533" s="768"/>
      <c r="S533" s="768"/>
      <c r="T533" s="768"/>
      <c r="U533" s="768"/>
      <c r="V533" s="768"/>
      <c r="W533" s="768"/>
      <c r="X533" s="768"/>
      <c r="Y533" s="768"/>
      <c r="Z533" s="768"/>
      <c r="AA533" s="768"/>
      <c r="AB533" s="769"/>
    </row>
    <row r="534" spans="4:28" ht="16.5" customHeight="1" x14ac:dyDescent="0.3">
      <c r="D534" s="768"/>
      <c r="E534" s="768"/>
      <c r="F534" s="768"/>
      <c r="G534" s="768"/>
      <c r="H534" s="768"/>
      <c r="I534" s="768"/>
      <c r="J534" s="768"/>
      <c r="K534" s="768"/>
      <c r="L534" s="768"/>
      <c r="M534" s="768"/>
      <c r="N534" s="768"/>
      <c r="O534" s="768"/>
      <c r="P534" s="768"/>
      <c r="Q534" s="768"/>
      <c r="R534" s="768"/>
      <c r="S534" s="768"/>
      <c r="T534" s="768"/>
      <c r="U534" s="768"/>
      <c r="V534" s="768"/>
      <c r="W534" s="768"/>
      <c r="X534" s="768"/>
      <c r="Y534" s="768"/>
      <c r="Z534" s="768"/>
      <c r="AA534" s="768"/>
      <c r="AB534" s="769"/>
    </row>
    <row r="535" spans="4:28" ht="16.5" customHeight="1" x14ac:dyDescent="0.3">
      <c r="D535" s="768"/>
      <c r="E535" s="768"/>
      <c r="F535" s="768"/>
      <c r="G535" s="768"/>
      <c r="H535" s="768"/>
      <c r="I535" s="768"/>
      <c r="J535" s="768"/>
      <c r="K535" s="768"/>
      <c r="L535" s="768"/>
      <c r="M535" s="768"/>
      <c r="N535" s="768"/>
      <c r="O535" s="768"/>
      <c r="P535" s="768"/>
      <c r="Q535" s="768"/>
      <c r="R535" s="768"/>
      <c r="S535" s="768"/>
      <c r="T535" s="768"/>
      <c r="U535" s="768"/>
      <c r="V535" s="768"/>
      <c r="W535" s="768"/>
      <c r="X535" s="768"/>
      <c r="Y535" s="768"/>
      <c r="Z535" s="768"/>
      <c r="AA535" s="768"/>
      <c r="AB535" s="769"/>
    </row>
    <row r="536" spans="4:28" ht="16.5" customHeight="1" x14ac:dyDescent="0.3">
      <c r="D536" s="768"/>
      <c r="E536" s="768"/>
      <c r="F536" s="768"/>
      <c r="G536" s="768"/>
      <c r="H536" s="768"/>
      <c r="I536" s="768"/>
      <c r="J536" s="768"/>
      <c r="K536" s="768"/>
      <c r="L536" s="768"/>
      <c r="M536" s="768"/>
      <c r="N536" s="768"/>
      <c r="O536" s="768"/>
      <c r="P536" s="768"/>
      <c r="Q536" s="768"/>
      <c r="R536" s="768"/>
      <c r="S536" s="768"/>
      <c r="T536" s="768"/>
      <c r="U536" s="768"/>
      <c r="V536" s="768"/>
      <c r="W536" s="768"/>
      <c r="X536" s="768"/>
      <c r="Y536" s="768"/>
      <c r="Z536" s="768"/>
      <c r="AA536" s="768"/>
      <c r="AB536" s="769"/>
    </row>
    <row r="537" spans="4:28" ht="16.5" customHeight="1" x14ac:dyDescent="0.3">
      <c r="D537" s="768"/>
      <c r="E537" s="768"/>
      <c r="F537" s="768"/>
      <c r="G537" s="768"/>
      <c r="H537" s="768"/>
      <c r="I537" s="768"/>
      <c r="J537" s="768"/>
      <c r="K537" s="768"/>
      <c r="L537" s="768"/>
      <c r="M537" s="768"/>
      <c r="N537" s="768"/>
      <c r="O537" s="768"/>
      <c r="P537" s="768"/>
      <c r="Q537" s="768"/>
      <c r="R537" s="768"/>
      <c r="S537" s="768"/>
      <c r="T537" s="768"/>
      <c r="U537" s="768"/>
      <c r="V537" s="768"/>
      <c r="W537" s="768"/>
      <c r="X537" s="768"/>
      <c r="Y537" s="768"/>
      <c r="Z537" s="768"/>
      <c r="AA537" s="768"/>
      <c r="AB537" s="769"/>
    </row>
    <row r="538" spans="4:28" ht="16.5" customHeight="1" x14ac:dyDescent="0.3">
      <c r="D538" s="768"/>
      <c r="E538" s="768"/>
      <c r="F538" s="768"/>
      <c r="G538" s="768"/>
      <c r="H538" s="768"/>
      <c r="I538" s="768"/>
      <c r="J538" s="768"/>
      <c r="K538" s="768"/>
      <c r="L538" s="768"/>
      <c r="M538" s="768"/>
      <c r="N538" s="768"/>
      <c r="O538" s="768"/>
      <c r="P538" s="768"/>
      <c r="Q538" s="768"/>
      <c r="R538" s="768"/>
      <c r="S538" s="768"/>
      <c r="T538" s="768"/>
      <c r="U538" s="768"/>
      <c r="V538" s="768"/>
      <c r="W538" s="768"/>
      <c r="X538" s="768"/>
      <c r="Y538" s="768"/>
      <c r="Z538" s="768"/>
      <c r="AA538" s="768"/>
      <c r="AB538" s="769"/>
    </row>
    <row r="539" spans="4:28" ht="16.5" customHeight="1" x14ac:dyDescent="0.3">
      <c r="D539" s="768"/>
      <c r="E539" s="768"/>
      <c r="F539" s="768"/>
      <c r="G539" s="768"/>
      <c r="H539" s="768"/>
      <c r="I539" s="768"/>
      <c r="J539" s="768"/>
      <c r="K539" s="768"/>
      <c r="L539" s="768"/>
      <c r="M539" s="768"/>
      <c r="N539" s="768"/>
      <c r="O539" s="768"/>
      <c r="P539" s="768"/>
      <c r="Q539" s="768"/>
      <c r="R539" s="768"/>
      <c r="S539" s="768"/>
      <c r="T539" s="768"/>
      <c r="U539" s="768"/>
      <c r="V539" s="768"/>
      <c r="W539" s="768"/>
      <c r="X539" s="768"/>
      <c r="Y539" s="768"/>
      <c r="Z539" s="768"/>
      <c r="AA539" s="768"/>
      <c r="AB539" s="769"/>
    </row>
    <row r="540" spans="4:28" ht="16.5" customHeight="1" x14ac:dyDescent="0.3">
      <c r="D540" s="768"/>
      <c r="E540" s="768"/>
      <c r="F540" s="768"/>
      <c r="G540" s="768"/>
      <c r="H540" s="768"/>
      <c r="I540" s="768"/>
      <c r="J540" s="768"/>
      <c r="K540" s="768"/>
      <c r="L540" s="768"/>
      <c r="M540" s="768"/>
      <c r="N540" s="768"/>
      <c r="O540" s="768"/>
      <c r="P540" s="768"/>
      <c r="Q540" s="768"/>
      <c r="R540" s="768"/>
      <c r="S540" s="768"/>
      <c r="T540" s="768"/>
      <c r="U540" s="768"/>
      <c r="V540" s="768"/>
      <c r="W540" s="768"/>
      <c r="X540" s="768"/>
      <c r="Y540" s="768"/>
      <c r="Z540" s="768"/>
      <c r="AA540" s="768"/>
      <c r="AB540" s="769"/>
    </row>
    <row r="541" spans="4:28" ht="16.5" customHeight="1" x14ac:dyDescent="0.3">
      <c r="D541" s="768"/>
      <c r="E541" s="768"/>
      <c r="F541" s="768"/>
      <c r="G541" s="768"/>
      <c r="H541" s="768"/>
      <c r="I541" s="768"/>
      <c r="J541" s="768"/>
      <c r="K541" s="768"/>
      <c r="L541" s="768"/>
      <c r="M541" s="768"/>
      <c r="N541" s="768"/>
      <c r="O541" s="768"/>
      <c r="P541" s="768"/>
      <c r="Q541" s="768"/>
      <c r="R541" s="768"/>
      <c r="S541" s="768"/>
      <c r="T541" s="768"/>
      <c r="U541" s="768"/>
      <c r="V541" s="768"/>
      <c r="W541" s="768"/>
      <c r="X541" s="768"/>
      <c r="Y541" s="768"/>
      <c r="Z541" s="768"/>
      <c r="AA541" s="768"/>
      <c r="AB541" s="769"/>
    </row>
    <row r="542" spans="4:28" ht="16.5" customHeight="1" x14ac:dyDescent="0.3">
      <c r="D542" s="768"/>
      <c r="E542" s="768"/>
      <c r="F542" s="768"/>
      <c r="G542" s="768"/>
      <c r="H542" s="768"/>
      <c r="I542" s="768"/>
      <c r="J542" s="768"/>
      <c r="K542" s="768"/>
      <c r="L542" s="768"/>
      <c r="M542" s="768"/>
      <c r="N542" s="768"/>
      <c r="O542" s="768"/>
      <c r="P542" s="768"/>
      <c r="Q542" s="768"/>
      <c r="R542" s="768"/>
      <c r="S542" s="768"/>
      <c r="T542" s="768"/>
      <c r="U542" s="768"/>
      <c r="V542" s="768"/>
      <c r="W542" s="768"/>
      <c r="X542" s="768"/>
      <c r="Y542" s="768"/>
      <c r="Z542" s="768"/>
      <c r="AA542" s="768"/>
      <c r="AB542" s="350"/>
    </row>
    <row r="543" spans="4:28" ht="16.5" customHeight="1" x14ac:dyDescent="0.3">
      <c r="D543" s="768"/>
      <c r="E543" s="768"/>
      <c r="F543" s="768"/>
      <c r="G543" s="768"/>
      <c r="H543" s="768"/>
      <c r="I543" s="768"/>
      <c r="J543" s="768"/>
      <c r="K543" s="768"/>
      <c r="L543" s="768"/>
      <c r="M543" s="768"/>
      <c r="N543" s="768"/>
      <c r="O543" s="768"/>
      <c r="P543" s="768"/>
      <c r="Q543" s="768"/>
      <c r="R543" s="768"/>
      <c r="S543" s="768"/>
      <c r="T543" s="768"/>
      <c r="U543" s="768"/>
      <c r="V543" s="768"/>
      <c r="W543" s="768"/>
      <c r="X543" s="768"/>
      <c r="Y543" s="768"/>
      <c r="Z543" s="768"/>
      <c r="AA543" s="768"/>
      <c r="AB543" s="350"/>
    </row>
    <row r="544" spans="4:28" ht="16.5" customHeight="1" x14ac:dyDescent="0.3">
      <c r="D544" s="768"/>
      <c r="E544" s="768"/>
      <c r="F544" s="768"/>
      <c r="G544" s="768"/>
      <c r="H544" s="768"/>
      <c r="I544" s="768"/>
      <c r="J544" s="768"/>
      <c r="K544" s="768"/>
      <c r="L544" s="768"/>
      <c r="M544" s="768"/>
      <c r="N544" s="768"/>
      <c r="O544" s="768"/>
      <c r="P544" s="768"/>
      <c r="Q544" s="768"/>
      <c r="R544" s="768"/>
      <c r="S544" s="768"/>
      <c r="T544" s="768"/>
      <c r="U544" s="768"/>
      <c r="V544" s="768"/>
      <c r="W544" s="768"/>
      <c r="X544" s="768"/>
      <c r="Y544" s="768"/>
      <c r="Z544" s="768"/>
      <c r="AA544" s="768"/>
      <c r="AB544" s="350"/>
    </row>
    <row r="545" spans="4:28" ht="16.5" customHeight="1" x14ac:dyDescent="0.3">
      <c r="D545" s="768"/>
      <c r="E545" s="768"/>
      <c r="F545" s="768"/>
      <c r="G545" s="768"/>
      <c r="H545" s="768"/>
      <c r="I545" s="768"/>
      <c r="J545" s="768"/>
      <c r="K545" s="768"/>
      <c r="L545" s="768"/>
      <c r="M545" s="768"/>
      <c r="N545" s="768"/>
      <c r="O545" s="768"/>
      <c r="P545" s="768"/>
      <c r="Q545" s="768"/>
      <c r="R545" s="768"/>
      <c r="S545" s="768"/>
      <c r="T545" s="768"/>
      <c r="U545" s="768"/>
      <c r="V545" s="768"/>
      <c r="W545" s="768"/>
      <c r="X545" s="768"/>
      <c r="Y545" s="768"/>
      <c r="Z545" s="768"/>
      <c r="AA545" s="768"/>
      <c r="AB545" s="350"/>
    </row>
    <row r="546" spans="4:28" ht="16.5" customHeight="1" x14ac:dyDescent="0.3">
      <c r="D546" s="768"/>
      <c r="E546" s="768"/>
      <c r="F546" s="768"/>
      <c r="G546" s="768"/>
      <c r="H546" s="768"/>
      <c r="I546" s="768"/>
      <c r="J546" s="768"/>
      <c r="K546" s="768"/>
      <c r="L546" s="768"/>
      <c r="M546" s="768"/>
      <c r="N546" s="768"/>
      <c r="O546" s="768"/>
      <c r="P546" s="768"/>
      <c r="Q546" s="768"/>
      <c r="R546" s="768"/>
      <c r="S546" s="768"/>
      <c r="T546" s="768"/>
      <c r="U546" s="768"/>
      <c r="V546" s="768"/>
      <c r="W546" s="768"/>
      <c r="X546" s="768"/>
      <c r="Y546" s="768"/>
      <c r="Z546" s="768"/>
      <c r="AA546" s="768"/>
      <c r="AB546" s="350"/>
    </row>
    <row r="547" spans="4:28" ht="16.5" customHeight="1" x14ac:dyDescent="0.3">
      <c r="D547" s="768"/>
      <c r="E547" s="768"/>
      <c r="F547" s="768"/>
      <c r="G547" s="768"/>
      <c r="H547" s="768"/>
      <c r="I547" s="768"/>
      <c r="J547" s="768"/>
      <c r="K547" s="768"/>
      <c r="L547" s="768"/>
      <c r="M547" s="768"/>
      <c r="N547" s="768"/>
      <c r="O547" s="768"/>
      <c r="P547" s="768"/>
      <c r="Q547" s="768"/>
      <c r="R547" s="768"/>
      <c r="S547" s="768"/>
      <c r="T547" s="768"/>
      <c r="U547" s="768"/>
      <c r="V547" s="768"/>
      <c r="W547" s="768"/>
      <c r="X547" s="768"/>
      <c r="Y547" s="768"/>
      <c r="Z547" s="768"/>
      <c r="AA547" s="768"/>
      <c r="AB547" s="350"/>
    </row>
    <row r="548" spans="4:28" ht="16.5" customHeight="1" x14ac:dyDescent="0.3">
      <c r="D548" s="768"/>
      <c r="E548" s="768"/>
      <c r="F548" s="768"/>
      <c r="G548" s="768"/>
      <c r="H548" s="768"/>
      <c r="I548" s="768"/>
      <c r="J548" s="768"/>
      <c r="K548" s="768"/>
      <c r="L548" s="768"/>
      <c r="M548" s="768"/>
      <c r="N548" s="768"/>
      <c r="O548" s="768"/>
      <c r="P548" s="768"/>
      <c r="Q548" s="768"/>
      <c r="R548" s="768"/>
      <c r="S548" s="768"/>
      <c r="T548" s="768"/>
      <c r="U548" s="768"/>
      <c r="V548" s="768"/>
      <c r="W548" s="768"/>
      <c r="X548" s="768"/>
      <c r="Y548" s="768"/>
      <c r="Z548" s="768"/>
      <c r="AA548" s="768"/>
      <c r="AB548" s="350"/>
    </row>
    <row r="549" spans="4:28" ht="16.5" customHeight="1" x14ac:dyDescent="0.3">
      <c r="D549" s="768"/>
      <c r="E549" s="768"/>
      <c r="F549" s="768"/>
      <c r="G549" s="768"/>
      <c r="H549" s="768"/>
      <c r="I549" s="768"/>
      <c r="J549" s="768"/>
      <c r="K549" s="768"/>
      <c r="L549" s="768"/>
      <c r="M549" s="768"/>
      <c r="N549" s="768"/>
      <c r="O549" s="768"/>
      <c r="P549" s="768"/>
      <c r="Q549" s="768"/>
      <c r="R549" s="768"/>
      <c r="S549" s="768"/>
      <c r="T549" s="768"/>
      <c r="U549" s="768"/>
      <c r="V549" s="768"/>
      <c r="W549" s="768"/>
      <c r="X549" s="768"/>
      <c r="Y549" s="768"/>
      <c r="Z549" s="768"/>
      <c r="AA549" s="768"/>
      <c r="AB549" s="350"/>
    </row>
    <row r="550" spans="4:28" ht="16.5" customHeight="1" x14ac:dyDescent="0.3">
      <c r="D550" s="768"/>
      <c r="E550" s="768"/>
      <c r="F550" s="768"/>
      <c r="G550" s="768"/>
      <c r="H550" s="768"/>
      <c r="I550" s="768"/>
      <c r="J550" s="768"/>
      <c r="K550" s="768"/>
      <c r="L550" s="768"/>
      <c r="M550" s="768"/>
      <c r="N550" s="768"/>
      <c r="O550" s="768"/>
      <c r="P550" s="768"/>
      <c r="Q550" s="768"/>
      <c r="R550" s="768"/>
      <c r="S550" s="768"/>
      <c r="T550" s="768"/>
      <c r="U550" s="768"/>
      <c r="V550" s="768"/>
      <c r="W550" s="768"/>
      <c r="X550" s="768"/>
      <c r="Y550" s="768"/>
      <c r="Z550" s="768"/>
      <c r="AA550" s="768"/>
      <c r="AB550" s="350"/>
    </row>
    <row r="551" spans="4:28" ht="16.5" customHeight="1" x14ac:dyDescent="0.3">
      <c r="D551" s="768"/>
      <c r="E551" s="768"/>
      <c r="F551" s="768"/>
      <c r="G551" s="768"/>
      <c r="H551" s="768"/>
      <c r="I551" s="768"/>
      <c r="J551" s="768"/>
      <c r="K551" s="768"/>
      <c r="L551" s="768"/>
      <c r="M551" s="768"/>
      <c r="N551" s="768"/>
      <c r="O551" s="768"/>
      <c r="P551" s="768"/>
      <c r="Q551" s="768"/>
      <c r="R551" s="768"/>
      <c r="S551" s="768"/>
      <c r="T551" s="768"/>
      <c r="U551" s="768"/>
      <c r="V551" s="768"/>
      <c r="W551" s="768"/>
      <c r="X551" s="768"/>
      <c r="Y551" s="768"/>
      <c r="Z551" s="768"/>
      <c r="AA551" s="768"/>
      <c r="AB551" s="350"/>
    </row>
    <row r="552" spans="4:28" ht="16.5" customHeight="1" x14ac:dyDescent="0.3">
      <c r="D552" s="768"/>
      <c r="E552" s="768"/>
      <c r="F552" s="768"/>
      <c r="G552" s="768"/>
      <c r="H552" s="768"/>
      <c r="I552" s="768"/>
      <c r="J552" s="768"/>
      <c r="K552" s="768"/>
      <c r="L552" s="768"/>
      <c r="M552" s="768"/>
      <c r="N552" s="768"/>
      <c r="O552" s="768"/>
      <c r="P552" s="768"/>
      <c r="Q552" s="768"/>
      <c r="R552" s="768"/>
      <c r="S552" s="768"/>
      <c r="T552" s="768"/>
      <c r="U552" s="768"/>
      <c r="V552" s="768"/>
      <c r="W552" s="768"/>
      <c r="X552" s="768"/>
      <c r="Y552" s="768"/>
      <c r="Z552" s="768"/>
      <c r="AA552" s="768"/>
      <c r="AB552" s="350"/>
    </row>
    <row r="553" spans="4:28" ht="16.5" customHeight="1" x14ac:dyDescent="0.3">
      <c r="D553" s="768"/>
      <c r="E553" s="768"/>
      <c r="F553" s="768"/>
      <c r="G553" s="768"/>
      <c r="H553" s="768"/>
      <c r="I553" s="768"/>
      <c r="J553" s="768"/>
      <c r="K553" s="768"/>
      <c r="L553" s="768"/>
      <c r="M553" s="768"/>
      <c r="N553" s="768"/>
      <c r="O553" s="768"/>
      <c r="P553" s="768"/>
      <c r="Q553" s="768"/>
      <c r="R553" s="768"/>
      <c r="S553" s="768"/>
      <c r="T553" s="768"/>
      <c r="U553" s="768"/>
      <c r="V553" s="768"/>
      <c r="W553" s="768"/>
      <c r="X553" s="768"/>
      <c r="Y553" s="768"/>
      <c r="Z553" s="768"/>
      <c r="AA553" s="768"/>
      <c r="AB553" s="350"/>
    </row>
    <row r="554" spans="4:28" ht="16.5" customHeight="1" x14ac:dyDescent="0.3">
      <c r="D554" s="768"/>
      <c r="E554" s="768"/>
      <c r="F554" s="768"/>
      <c r="G554" s="768"/>
      <c r="H554" s="768"/>
      <c r="I554" s="768"/>
      <c r="J554" s="768"/>
      <c r="K554" s="768"/>
      <c r="L554" s="768"/>
      <c r="M554" s="768"/>
      <c r="N554" s="768"/>
      <c r="O554" s="768"/>
      <c r="P554" s="768"/>
      <c r="Q554" s="768"/>
      <c r="R554" s="768"/>
      <c r="S554" s="768"/>
      <c r="T554" s="768"/>
      <c r="U554" s="768"/>
      <c r="V554" s="768"/>
      <c r="W554" s="768"/>
      <c r="X554" s="768"/>
      <c r="Y554" s="768"/>
      <c r="Z554" s="768"/>
      <c r="AA554" s="768"/>
      <c r="AB554" s="350"/>
    </row>
    <row r="555" spans="4:28" ht="16.5" customHeight="1" x14ac:dyDescent="0.3">
      <c r="D555" s="768"/>
      <c r="E555" s="768"/>
      <c r="F555" s="768"/>
      <c r="G555" s="768"/>
      <c r="H555" s="768"/>
      <c r="I555" s="768"/>
      <c r="J555" s="768"/>
      <c r="K555" s="768"/>
      <c r="L555" s="768"/>
      <c r="M555" s="768"/>
      <c r="N555" s="768"/>
      <c r="O555" s="768"/>
      <c r="P555" s="768"/>
      <c r="Q555" s="768"/>
      <c r="R555" s="768"/>
      <c r="S555" s="768"/>
      <c r="T555" s="768"/>
      <c r="U555" s="768"/>
      <c r="V555" s="768"/>
      <c r="W555" s="768"/>
      <c r="X555" s="768"/>
      <c r="Y555" s="768"/>
      <c r="Z555" s="768"/>
      <c r="AA555" s="768"/>
      <c r="AB555" s="350"/>
    </row>
    <row r="556" spans="4:28" ht="16.5" customHeight="1" x14ac:dyDescent="0.3">
      <c r="D556" s="768"/>
      <c r="E556" s="768"/>
      <c r="F556" s="768"/>
      <c r="G556" s="768"/>
      <c r="H556" s="768"/>
      <c r="I556" s="768"/>
      <c r="J556" s="768"/>
      <c r="K556" s="768"/>
      <c r="L556" s="768"/>
      <c r="M556" s="768"/>
      <c r="N556" s="768"/>
      <c r="O556" s="768"/>
      <c r="P556" s="768"/>
      <c r="Q556" s="768"/>
      <c r="R556" s="768"/>
      <c r="S556" s="768"/>
      <c r="T556" s="768"/>
      <c r="U556" s="768"/>
      <c r="V556" s="768"/>
      <c r="W556" s="768"/>
      <c r="X556" s="768"/>
      <c r="Y556" s="768"/>
      <c r="Z556" s="768"/>
      <c r="AA556" s="768"/>
      <c r="AB556" s="350"/>
    </row>
    <row r="557" spans="4:28" ht="16.5" customHeight="1" x14ac:dyDescent="0.3">
      <c r="D557" s="768"/>
      <c r="E557" s="768"/>
      <c r="F557" s="768"/>
      <c r="G557" s="768"/>
      <c r="H557" s="768"/>
      <c r="I557" s="768"/>
      <c r="J557" s="768"/>
      <c r="K557" s="768"/>
      <c r="L557" s="768"/>
      <c r="M557" s="768"/>
      <c r="N557" s="768"/>
      <c r="O557" s="768"/>
      <c r="P557" s="768"/>
      <c r="Q557" s="768"/>
      <c r="R557" s="768"/>
      <c r="S557" s="768"/>
      <c r="T557" s="768"/>
      <c r="U557" s="768"/>
      <c r="V557" s="768"/>
      <c r="W557" s="768"/>
      <c r="X557" s="768"/>
      <c r="Y557" s="768"/>
      <c r="Z557" s="768"/>
      <c r="AA557" s="768"/>
      <c r="AB557" s="350"/>
    </row>
    <row r="558" spans="4:28" ht="16.5" customHeight="1" x14ac:dyDescent="0.3">
      <c r="D558" s="768"/>
      <c r="E558" s="768"/>
      <c r="F558" s="768"/>
      <c r="G558" s="768"/>
      <c r="H558" s="768"/>
      <c r="I558" s="768"/>
      <c r="J558" s="768"/>
      <c r="K558" s="768"/>
      <c r="L558" s="768"/>
      <c r="M558" s="768"/>
      <c r="N558" s="768"/>
      <c r="O558" s="768"/>
      <c r="P558" s="768"/>
      <c r="Q558" s="768"/>
      <c r="R558" s="768"/>
      <c r="S558" s="768"/>
      <c r="T558" s="768"/>
      <c r="U558" s="768"/>
      <c r="V558" s="768"/>
      <c r="W558" s="768"/>
      <c r="X558" s="768"/>
      <c r="Y558" s="768"/>
      <c r="Z558" s="768"/>
      <c r="AA558" s="768"/>
      <c r="AB558" s="350"/>
    </row>
    <row r="559" spans="4:28" ht="16.5" customHeight="1" x14ac:dyDescent="0.3">
      <c r="D559" s="768"/>
      <c r="E559" s="768"/>
      <c r="F559" s="768"/>
      <c r="G559" s="768"/>
      <c r="H559" s="768"/>
      <c r="I559" s="768"/>
      <c r="J559" s="768"/>
      <c r="K559" s="768"/>
      <c r="L559" s="768"/>
      <c r="M559" s="768"/>
      <c r="N559" s="768"/>
      <c r="O559" s="768"/>
      <c r="P559" s="768"/>
      <c r="Q559" s="768"/>
      <c r="R559" s="768"/>
      <c r="S559" s="768"/>
      <c r="T559" s="768"/>
      <c r="U559" s="768"/>
      <c r="V559" s="768"/>
      <c r="W559" s="768"/>
      <c r="X559" s="768"/>
      <c r="Y559" s="768"/>
      <c r="Z559" s="768"/>
      <c r="AA559" s="768"/>
      <c r="AB559" s="350"/>
    </row>
    <row r="560" spans="4:28" ht="16.5" customHeight="1" x14ac:dyDescent="0.3">
      <c r="D560" s="768"/>
      <c r="E560" s="768"/>
      <c r="F560" s="768"/>
      <c r="G560" s="768"/>
      <c r="H560" s="768"/>
      <c r="I560" s="768"/>
      <c r="J560" s="768"/>
      <c r="K560" s="768"/>
      <c r="L560" s="768"/>
      <c r="M560" s="768"/>
      <c r="N560" s="768"/>
      <c r="O560" s="768"/>
      <c r="P560" s="768"/>
      <c r="Q560" s="768"/>
      <c r="R560" s="768"/>
      <c r="S560" s="768"/>
      <c r="T560" s="768"/>
      <c r="U560" s="768"/>
      <c r="V560" s="768"/>
      <c r="W560" s="768"/>
      <c r="X560" s="768"/>
      <c r="Y560" s="768"/>
      <c r="Z560" s="768"/>
      <c r="AA560" s="768"/>
      <c r="AB560" s="350"/>
    </row>
    <row r="561" spans="4:28" ht="16.5" customHeight="1" x14ac:dyDescent="0.3">
      <c r="D561" s="768"/>
      <c r="E561" s="768"/>
      <c r="F561" s="768"/>
      <c r="G561" s="768"/>
      <c r="H561" s="768"/>
      <c r="I561" s="768"/>
      <c r="J561" s="768"/>
      <c r="K561" s="768"/>
      <c r="L561" s="768"/>
      <c r="M561" s="768"/>
      <c r="N561" s="768"/>
      <c r="O561" s="768"/>
      <c r="P561" s="768"/>
      <c r="Q561" s="768"/>
      <c r="R561" s="768"/>
      <c r="S561" s="768"/>
      <c r="T561" s="768"/>
      <c r="U561" s="768"/>
      <c r="V561" s="768"/>
      <c r="W561" s="768"/>
      <c r="X561" s="768"/>
      <c r="Y561" s="768"/>
      <c r="Z561" s="768"/>
      <c r="AA561" s="768"/>
      <c r="AB561" s="350"/>
    </row>
    <row r="562" spans="4:28" ht="16.5" customHeight="1" x14ac:dyDescent="0.3">
      <c r="D562" s="768"/>
      <c r="E562" s="768"/>
      <c r="F562" s="768"/>
      <c r="G562" s="768"/>
      <c r="H562" s="768"/>
      <c r="I562" s="768"/>
      <c r="J562" s="768"/>
      <c r="K562" s="768"/>
      <c r="L562" s="768"/>
      <c r="M562" s="768"/>
      <c r="N562" s="768"/>
      <c r="O562" s="768"/>
      <c r="P562" s="768"/>
      <c r="Q562" s="768"/>
      <c r="R562" s="768"/>
      <c r="S562" s="768"/>
      <c r="T562" s="768"/>
      <c r="U562" s="768"/>
      <c r="V562" s="768"/>
      <c r="W562" s="768"/>
      <c r="X562" s="768"/>
      <c r="Y562" s="768"/>
      <c r="Z562" s="768"/>
      <c r="AA562" s="768"/>
      <c r="AB562" s="350"/>
    </row>
    <row r="563" spans="4:28" ht="16.5" customHeight="1" x14ac:dyDescent="0.3">
      <c r="D563" s="768"/>
      <c r="E563" s="768"/>
      <c r="F563" s="768"/>
      <c r="G563" s="768"/>
      <c r="H563" s="768"/>
      <c r="I563" s="768"/>
      <c r="J563" s="768"/>
      <c r="K563" s="768"/>
      <c r="L563" s="768"/>
      <c r="M563" s="768"/>
      <c r="N563" s="768"/>
      <c r="O563" s="768"/>
      <c r="P563" s="768"/>
      <c r="Q563" s="768"/>
      <c r="R563" s="768"/>
      <c r="S563" s="768"/>
      <c r="T563" s="768"/>
      <c r="U563" s="768"/>
      <c r="V563" s="768"/>
      <c r="W563" s="768"/>
      <c r="X563" s="768"/>
      <c r="Y563" s="768"/>
      <c r="Z563" s="768"/>
      <c r="AA563" s="768"/>
      <c r="AB563" s="350"/>
    </row>
    <row r="564" spans="4:28" ht="16.5" customHeight="1" x14ac:dyDescent="0.3">
      <c r="D564" s="768"/>
      <c r="E564" s="768"/>
      <c r="F564" s="768"/>
      <c r="G564" s="768"/>
      <c r="H564" s="768"/>
      <c r="I564" s="768"/>
      <c r="J564" s="768"/>
      <c r="K564" s="768"/>
      <c r="L564" s="768"/>
      <c r="M564" s="768"/>
      <c r="N564" s="768"/>
      <c r="O564" s="768"/>
      <c r="P564" s="768"/>
      <c r="Q564" s="768"/>
      <c r="R564" s="768"/>
      <c r="S564" s="768"/>
      <c r="T564" s="768"/>
      <c r="U564" s="768"/>
      <c r="V564" s="768"/>
      <c r="W564" s="768"/>
      <c r="X564" s="768"/>
      <c r="Y564" s="768"/>
      <c r="Z564" s="768"/>
      <c r="AA564" s="768"/>
      <c r="AB564" s="350"/>
    </row>
    <row r="565" spans="4:28" ht="16.5" customHeight="1" x14ac:dyDescent="0.3">
      <c r="D565" s="768"/>
      <c r="E565" s="768"/>
      <c r="F565" s="768"/>
      <c r="G565" s="768"/>
      <c r="H565" s="768"/>
      <c r="I565" s="768"/>
      <c r="J565" s="768"/>
      <c r="K565" s="768"/>
      <c r="L565" s="768"/>
      <c r="M565" s="768"/>
      <c r="N565" s="768"/>
      <c r="O565" s="768"/>
      <c r="P565" s="768"/>
      <c r="Q565" s="768"/>
      <c r="R565" s="768"/>
      <c r="S565" s="768"/>
      <c r="T565" s="768"/>
      <c r="U565" s="768"/>
      <c r="V565" s="768"/>
      <c r="W565" s="768"/>
      <c r="X565" s="768"/>
      <c r="Y565" s="768"/>
      <c r="Z565" s="768"/>
      <c r="AA565" s="768"/>
      <c r="AB565" s="350"/>
    </row>
    <row r="566" spans="4:28" ht="16.5" customHeight="1" x14ac:dyDescent="0.3">
      <c r="D566" s="768"/>
      <c r="E566" s="768"/>
      <c r="F566" s="768"/>
      <c r="G566" s="768"/>
      <c r="H566" s="768"/>
      <c r="I566" s="768"/>
      <c r="J566" s="768"/>
      <c r="K566" s="768"/>
      <c r="L566" s="768"/>
      <c r="M566" s="768"/>
      <c r="N566" s="768"/>
      <c r="O566" s="768"/>
      <c r="P566" s="768"/>
      <c r="Q566" s="768"/>
      <c r="R566" s="768"/>
      <c r="S566" s="768"/>
      <c r="T566" s="768"/>
      <c r="U566" s="768"/>
      <c r="V566" s="768"/>
      <c r="W566" s="768"/>
      <c r="X566" s="768"/>
      <c r="Y566" s="768"/>
      <c r="Z566" s="768"/>
      <c r="AA566" s="768"/>
      <c r="AB566" s="350"/>
    </row>
    <row r="567" spans="4:28" ht="16.5" customHeight="1" x14ac:dyDescent="0.3">
      <c r="D567" s="768"/>
      <c r="E567" s="768"/>
      <c r="F567" s="768"/>
      <c r="G567" s="768"/>
      <c r="H567" s="768"/>
      <c r="I567" s="768"/>
      <c r="J567" s="768"/>
      <c r="K567" s="768"/>
      <c r="L567" s="768"/>
      <c r="M567" s="768"/>
      <c r="N567" s="768"/>
      <c r="O567" s="768"/>
      <c r="P567" s="768"/>
      <c r="Q567" s="768"/>
      <c r="R567" s="768"/>
      <c r="S567" s="768"/>
      <c r="T567" s="768"/>
      <c r="U567" s="768"/>
      <c r="V567" s="768"/>
      <c r="W567" s="768"/>
      <c r="X567" s="768"/>
      <c r="Y567" s="768"/>
      <c r="Z567" s="768"/>
      <c r="AA567" s="768"/>
      <c r="AB567" s="350"/>
    </row>
    <row r="568" spans="4:28" ht="16.5" customHeight="1" x14ac:dyDescent="0.3">
      <c r="D568" s="768"/>
      <c r="E568" s="768"/>
      <c r="F568" s="768"/>
      <c r="G568" s="768"/>
      <c r="H568" s="768"/>
      <c r="I568" s="768"/>
      <c r="J568" s="768"/>
      <c r="K568" s="768"/>
      <c r="L568" s="768"/>
      <c r="M568" s="768"/>
      <c r="N568" s="768"/>
      <c r="O568" s="768"/>
      <c r="P568" s="768"/>
      <c r="Q568" s="768"/>
      <c r="R568" s="768"/>
      <c r="S568" s="768"/>
      <c r="T568" s="768"/>
      <c r="U568" s="768"/>
      <c r="V568" s="768"/>
      <c r="W568" s="768"/>
      <c r="X568" s="768"/>
      <c r="Y568" s="768"/>
      <c r="Z568" s="768"/>
      <c r="AA568" s="768"/>
      <c r="AB568" s="350"/>
    </row>
    <row r="569" spans="4:28" ht="16.5" customHeight="1" x14ac:dyDescent="0.3">
      <c r="D569" s="768"/>
      <c r="E569" s="768"/>
      <c r="F569" s="768"/>
      <c r="G569" s="768"/>
      <c r="H569" s="768"/>
      <c r="I569" s="768"/>
      <c r="J569" s="768"/>
      <c r="K569" s="768"/>
      <c r="L569" s="768"/>
      <c r="M569" s="768"/>
      <c r="N569" s="768"/>
      <c r="O569" s="768"/>
      <c r="P569" s="768"/>
      <c r="Q569" s="768"/>
      <c r="R569" s="768"/>
      <c r="S569" s="768"/>
      <c r="T569" s="768"/>
      <c r="U569" s="768"/>
      <c r="V569" s="768"/>
      <c r="W569" s="768"/>
      <c r="X569" s="768"/>
      <c r="Y569" s="768"/>
      <c r="Z569" s="768"/>
      <c r="AA569" s="768"/>
      <c r="AB569" s="350"/>
    </row>
    <row r="570" spans="4:28" ht="16.5" customHeight="1" x14ac:dyDescent="0.3">
      <c r="D570" s="768"/>
      <c r="E570" s="768"/>
      <c r="F570" s="768"/>
      <c r="G570" s="768"/>
      <c r="H570" s="768"/>
      <c r="I570" s="768"/>
      <c r="J570" s="768"/>
      <c r="K570" s="768"/>
      <c r="L570" s="768"/>
      <c r="M570" s="768"/>
      <c r="N570" s="768"/>
      <c r="O570" s="768"/>
      <c r="P570" s="768"/>
      <c r="Q570" s="768"/>
      <c r="R570" s="768"/>
      <c r="S570" s="768"/>
      <c r="T570" s="768"/>
      <c r="U570" s="768"/>
      <c r="V570" s="768"/>
      <c r="W570" s="768"/>
      <c r="X570" s="768"/>
      <c r="Y570" s="768"/>
      <c r="Z570" s="768"/>
      <c r="AA570" s="768"/>
      <c r="AB570" s="350"/>
    </row>
    <row r="571" spans="4:28" ht="16.5" customHeight="1" x14ac:dyDescent="0.3">
      <c r="D571" s="768"/>
      <c r="E571" s="768"/>
      <c r="F571" s="768"/>
      <c r="G571" s="768"/>
      <c r="H571" s="768"/>
      <c r="I571" s="768"/>
      <c r="J571" s="768"/>
      <c r="K571" s="768"/>
      <c r="L571" s="768"/>
      <c r="M571" s="768"/>
      <c r="N571" s="768"/>
      <c r="O571" s="768"/>
      <c r="P571" s="768"/>
      <c r="Q571" s="768"/>
      <c r="R571" s="768"/>
      <c r="S571" s="768"/>
      <c r="T571" s="768"/>
      <c r="U571" s="768"/>
      <c r="V571" s="768"/>
      <c r="W571" s="768"/>
      <c r="X571" s="768"/>
      <c r="Y571" s="768"/>
      <c r="Z571" s="768"/>
      <c r="AA571" s="768"/>
      <c r="AB571" s="350"/>
    </row>
    <row r="572" spans="4:28" ht="16.5" customHeight="1" x14ac:dyDescent="0.3">
      <c r="D572" s="768"/>
      <c r="E572" s="768"/>
      <c r="F572" s="768"/>
      <c r="G572" s="768"/>
      <c r="H572" s="768"/>
      <c r="I572" s="768"/>
      <c r="J572" s="768"/>
      <c r="K572" s="768"/>
      <c r="L572" s="768"/>
      <c r="M572" s="768"/>
      <c r="N572" s="768"/>
      <c r="O572" s="768"/>
      <c r="P572" s="768"/>
      <c r="Q572" s="768"/>
      <c r="R572" s="768"/>
      <c r="S572" s="768"/>
      <c r="T572" s="768"/>
      <c r="U572" s="768"/>
      <c r="V572" s="768"/>
      <c r="W572" s="768"/>
      <c r="X572" s="768"/>
      <c r="Y572" s="768"/>
      <c r="Z572" s="768"/>
      <c r="AA572" s="768"/>
      <c r="AB572" s="350"/>
    </row>
    <row r="573" spans="4:28" ht="16.5" customHeight="1" x14ac:dyDescent="0.3">
      <c r="D573" s="768"/>
      <c r="E573" s="768"/>
      <c r="F573" s="768"/>
      <c r="G573" s="768"/>
      <c r="H573" s="768"/>
      <c r="I573" s="768"/>
      <c r="J573" s="768"/>
      <c r="K573" s="768"/>
      <c r="L573" s="768"/>
      <c r="M573" s="768"/>
      <c r="N573" s="768"/>
      <c r="O573" s="768"/>
      <c r="P573" s="768"/>
      <c r="Q573" s="768"/>
      <c r="R573" s="768"/>
      <c r="S573" s="768"/>
      <c r="T573" s="768"/>
      <c r="U573" s="768"/>
      <c r="V573" s="768"/>
      <c r="W573" s="768"/>
      <c r="X573" s="768"/>
      <c r="Y573" s="768"/>
      <c r="Z573" s="768"/>
      <c r="AA573" s="768"/>
      <c r="AB573" s="350"/>
    </row>
    <row r="574" spans="4:28" ht="16.5" customHeight="1" x14ac:dyDescent="0.3">
      <c r="D574" s="768"/>
      <c r="E574" s="768"/>
      <c r="F574" s="768"/>
      <c r="G574" s="768"/>
      <c r="H574" s="768"/>
      <c r="I574" s="768"/>
      <c r="J574" s="768"/>
      <c r="K574" s="768"/>
      <c r="L574" s="768"/>
      <c r="M574" s="768"/>
      <c r="N574" s="768"/>
      <c r="O574" s="768"/>
      <c r="P574" s="768"/>
      <c r="Q574" s="768"/>
      <c r="R574" s="768"/>
      <c r="S574" s="768"/>
      <c r="T574" s="768"/>
      <c r="U574" s="768"/>
      <c r="V574" s="768"/>
      <c r="W574" s="768"/>
      <c r="X574" s="768"/>
      <c r="Y574" s="768"/>
      <c r="Z574" s="768"/>
      <c r="AA574" s="768"/>
      <c r="AB574" s="350"/>
    </row>
    <row r="575" spans="4:28" ht="16.5" customHeight="1" x14ac:dyDescent="0.3">
      <c r="D575" s="768"/>
      <c r="E575" s="768"/>
      <c r="F575" s="768"/>
      <c r="G575" s="768"/>
      <c r="H575" s="768"/>
      <c r="I575" s="768"/>
      <c r="J575" s="768"/>
      <c r="K575" s="768"/>
      <c r="L575" s="768"/>
      <c r="M575" s="768"/>
      <c r="N575" s="768"/>
      <c r="O575" s="768"/>
      <c r="P575" s="768"/>
      <c r="Q575" s="768"/>
      <c r="R575" s="768"/>
      <c r="S575" s="768"/>
      <c r="T575" s="768"/>
      <c r="U575" s="768"/>
      <c r="V575" s="768"/>
      <c r="W575" s="768"/>
      <c r="X575" s="768"/>
      <c r="Y575" s="768"/>
      <c r="Z575" s="768"/>
      <c r="AA575" s="768"/>
      <c r="AB575" s="350"/>
    </row>
    <row r="576" spans="4:28" ht="16.5" customHeight="1" x14ac:dyDescent="0.3">
      <c r="D576" s="768"/>
      <c r="E576" s="768"/>
      <c r="F576" s="768"/>
      <c r="G576" s="768"/>
      <c r="H576" s="768"/>
      <c r="I576" s="768"/>
      <c r="J576" s="768"/>
      <c r="K576" s="768"/>
      <c r="L576" s="768"/>
      <c r="M576" s="768"/>
      <c r="N576" s="768"/>
      <c r="O576" s="768"/>
      <c r="P576" s="768"/>
      <c r="Q576" s="768"/>
      <c r="R576" s="768"/>
      <c r="S576" s="768"/>
      <c r="T576" s="768"/>
      <c r="U576" s="768"/>
      <c r="V576" s="768"/>
      <c r="W576" s="768"/>
      <c r="X576" s="768"/>
      <c r="Y576" s="768"/>
      <c r="Z576" s="768"/>
      <c r="AA576" s="768"/>
      <c r="AB576" s="350"/>
    </row>
    <row r="577" spans="4:28" ht="16.5" customHeight="1" x14ac:dyDescent="0.3">
      <c r="D577" s="768"/>
      <c r="E577" s="768"/>
      <c r="F577" s="768"/>
      <c r="G577" s="768"/>
      <c r="H577" s="768"/>
      <c r="I577" s="768"/>
      <c r="J577" s="768"/>
      <c r="K577" s="768"/>
      <c r="L577" s="768"/>
      <c r="M577" s="768"/>
      <c r="N577" s="768"/>
      <c r="O577" s="768"/>
      <c r="P577" s="768"/>
      <c r="Q577" s="768"/>
      <c r="R577" s="768"/>
      <c r="S577" s="768"/>
      <c r="T577" s="768"/>
      <c r="U577" s="768"/>
      <c r="V577" s="768"/>
      <c r="W577" s="768"/>
      <c r="X577" s="768"/>
      <c r="Y577" s="768"/>
      <c r="Z577" s="768"/>
      <c r="AA577" s="768"/>
      <c r="AB577" s="350"/>
    </row>
    <row r="578" spans="4:28" ht="16.5" customHeight="1" x14ac:dyDescent="0.3">
      <c r="D578" s="768"/>
      <c r="E578" s="768"/>
      <c r="F578" s="768"/>
      <c r="G578" s="768"/>
      <c r="H578" s="768"/>
      <c r="I578" s="768"/>
      <c r="J578" s="768"/>
      <c r="K578" s="768"/>
      <c r="L578" s="768"/>
      <c r="M578" s="768"/>
      <c r="N578" s="768"/>
      <c r="O578" s="768"/>
      <c r="P578" s="768"/>
      <c r="Q578" s="768"/>
      <c r="R578" s="768"/>
      <c r="S578" s="768"/>
      <c r="T578" s="768"/>
      <c r="U578" s="768"/>
      <c r="V578" s="768"/>
      <c r="W578" s="768"/>
      <c r="X578" s="768"/>
      <c r="Y578" s="768"/>
      <c r="Z578" s="768"/>
      <c r="AA578" s="768"/>
      <c r="AB578" s="350"/>
    </row>
    <row r="579" spans="4:28" ht="16.5" customHeight="1" x14ac:dyDescent="0.3">
      <c r="D579" s="768"/>
      <c r="E579" s="768"/>
      <c r="F579" s="768"/>
      <c r="G579" s="768"/>
      <c r="H579" s="768"/>
      <c r="I579" s="768"/>
      <c r="J579" s="768"/>
      <c r="K579" s="768"/>
      <c r="L579" s="768"/>
      <c r="M579" s="768"/>
      <c r="N579" s="768"/>
      <c r="O579" s="768"/>
      <c r="P579" s="768"/>
      <c r="Q579" s="768"/>
      <c r="R579" s="768"/>
      <c r="S579" s="768"/>
      <c r="T579" s="768"/>
      <c r="U579" s="768"/>
      <c r="V579" s="768"/>
      <c r="W579" s="768"/>
      <c r="X579" s="768"/>
      <c r="Y579" s="768"/>
      <c r="Z579" s="768"/>
      <c r="AA579" s="768"/>
      <c r="AB579" s="350"/>
    </row>
    <row r="580" spans="4:28" ht="16.5" customHeight="1" x14ac:dyDescent="0.3">
      <c r="D580" s="768"/>
      <c r="E580" s="768"/>
      <c r="F580" s="768"/>
      <c r="G580" s="768"/>
      <c r="H580" s="768"/>
      <c r="I580" s="768"/>
      <c r="J580" s="768"/>
      <c r="K580" s="768"/>
      <c r="L580" s="768"/>
      <c r="M580" s="768"/>
      <c r="N580" s="768"/>
      <c r="O580" s="768"/>
      <c r="P580" s="768"/>
      <c r="Q580" s="768"/>
      <c r="R580" s="768"/>
      <c r="S580" s="768"/>
      <c r="T580" s="768"/>
      <c r="U580" s="768"/>
      <c r="V580" s="768"/>
      <c r="W580" s="768"/>
      <c r="X580" s="768"/>
      <c r="Y580" s="768"/>
      <c r="Z580" s="768"/>
      <c r="AA580" s="768"/>
      <c r="AB580" s="350"/>
    </row>
    <row r="581" spans="4:28" ht="16.5" customHeight="1" x14ac:dyDescent="0.3">
      <c r="D581" s="768"/>
      <c r="E581" s="768"/>
      <c r="F581" s="768"/>
      <c r="G581" s="768"/>
      <c r="H581" s="768"/>
      <c r="I581" s="768"/>
      <c r="J581" s="768"/>
      <c r="K581" s="768"/>
      <c r="L581" s="768"/>
      <c r="M581" s="768"/>
      <c r="N581" s="768"/>
      <c r="O581" s="768"/>
      <c r="P581" s="768"/>
      <c r="Q581" s="768"/>
      <c r="R581" s="768"/>
      <c r="S581" s="768"/>
      <c r="T581" s="768"/>
      <c r="U581" s="768"/>
      <c r="V581" s="768"/>
      <c r="W581" s="768"/>
      <c r="X581" s="768"/>
      <c r="Y581" s="768"/>
      <c r="Z581" s="768"/>
      <c r="AA581" s="768"/>
      <c r="AB581" s="350"/>
    </row>
    <row r="582" spans="4:28" ht="16.5" customHeight="1" x14ac:dyDescent="0.3">
      <c r="D582" s="768"/>
      <c r="E582" s="768"/>
      <c r="F582" s="768"/>
      <c r="G582" s="768"/>
      <c r="H582" s="768"/>
      <c r="I582" s="768"/>
      <c r="J582" s="768"/>
      <c r="K582" s="768"/>
      <c r="L582" s="768"/>
      <c r="M582" s="768"/>
      <c r="N582" s="768"/>
      <c r="O582" s="768"/>
      <c r="P582" s="768"/>
      <c r="Q582" s="768"/>
      <c r="R582" s="768"/>
      <c r="S582" s="768"/>
      <c r="T582" s="768"/>
      <c r="U582" s="768"/>
      <c r="V582" s="768"/>
      <c r="W582" s="768"/>
      <c r="X582" s="768"/>
      <c r="Y582" s="768"/>
      <c r="Z582" s="768"/>
      <c r="AA582" s="768"/>
      <c r="AB582" s="350"/>
    </row>
    <row r="583" spans="4:28" ht="16.5" customHeight="1" x14ac:dyDescent="0.3">
      <c r="D583" s="768"/>
      <c r="E583" s="768"/>
      <c r="F583" s="768"/>
      <c r="G583" s="768"/>
      <c r="H583" s="768"/>
      <c r="I583" s="768"/>
      <c r="J583" s="768"/>
      <c r="K583" s="768"/>
      <c r="L583" s="768"/>
      <c r="M583" s="768"/>
      <c r="N583" s="768"/>
      <c r="O583" s="768"/>
      <c r="P583" s="768"/>
      <c r="Q583" s="768"/>
      <c r="R583" s="768"/>
      <c r="S583" s="768"/>
      <c r="T583" s="768"/>
      <c r="U583" s="768"/>
      <c r="V583" s="768"/>
      <c r="W583" s="768"/>
      <c r="X583" s="768"/>
      <c r="Y583" s="768"/>
      <c r="Z583" s="768"/>
      <c r="AA583" s="768"/>
      <c r="AB583" s="350"/>
    </row>
    <row r="584" spans="4:28" ht="16.5" customHeight="1" x14ac:dyDescent="0.3">
      <c r="D584" s="768"/>
      <c r="E584" s="768"/>
      <c r="F584" s="768"/>
      <c r="G584" s="768"/>
      <c r="H584" s="768"/>
      <c r="I584" s="768"/>
      <c r="J584" s="768"/>
      <c r="K584" s="768"/>
      <c r="L584" s="768"/>
      <c r="M584" s="768"/>
      <c r="N584" s="768"/>
      <c r="O584" s="768"/>
      <c r="P584" s="768"/>
      <c r="Q584" s="768"/>
      <c r="R584" s="768"/>
      <c r="S584" s="768"/>
      <c r="T584" s="768"/>
      <c r="U584" s="768"/>
      <c r="V584" s="768"/>
      <c r="W584" s="768"/>
      <c r="X584" s="768"/>
      <c r="Y584" s="768"/>
      <c r="Z584" s="768"/>
      <c r="AA584" s="768"/>
      <c r="AB584" s="350"/>
    </row>
    <row r="585" spans="4:28" ht="16.5" customHeight="1" x14ac:dyDescent="0.3">
      <c r="D585" s="768"/>
      <c r="E585" s="768"/>
      <c r="F585" s="768"/>
      <c r="G585" s="768"/>
      <c r="H585" s="768"/>
      <c r="I585" s="768"/>
      <c r="J585" s="768"/>
      <c r="K585" s="768"/>
      <c r="L585" s="768"/>
      <c r="M585" s="768"/>
      <c r="N585" s="768"/>
      <c r="O585" s="768"/>
      <c r="P585" s="768"/>
      <c r="Q585" s="768"/>
      <c r="R585" s="768"/>
      <c r="S585" s="768"/>
      <c r="T585" s="768"/>
      <c r="U585" s="768"/>
      <c r="V585" s="768"/>
      <c r="W585" s="768"/>
      <c r="X585" s="768"/>
      <c r="Y585" s="768"/>
      <c r="Z585" s="768"/>
      <c r="AA585" s="768"/>
      <c r="AB585" s="350"/>
    </row>
    <row r="586" spans="4:28" ht="16.5" customHeight="1" x14ac:dyDescent="0.3">
      <c r="D586" s="768"/>
      <c r="E586" s="768"/>
      <c r="F586" s="768"/>
      <c r="G586" s="768"/>
      <c r="H586" s="768"/>
      <c r="I586" s="768"/>
      <c r="J586" s="768"/>
      <c r="K586" s="768"/>
      <c r="L586" s="768"/>
      <c r="M586" s="768"/>
      <c r="N586" s="768"/>
      <c r="O586" s="768"/>
      <c r="P586" s="768"/>
      <c r="Q586" s="768"/>
      <c r="R586" s="768"/>
      <c r="S586" s="768"/>
      <c r="T586" s="768"/>
      <c r="U586" s="768"/>
      <c r="V586" s="768"/>
      <c r="W586" s="768"/>
      <c r="X586" s="768"/>
      <c r="Y586" s="768"/>
      <c r="Z586" s="768"/>
      <c r="AA586" s="768"/>
      <c r="AB586" s="350"/>
    </row>
    <row r="587" spans="4:28" ht="16.5" customHeight="1" x14ac:dyDescent="0.3">
      <c r="D587" s="768"/>
      <c r="E587" s="768"/>
      <c r="F587" s="768"/>
      <c r="G587" s="768"/>
      <c r="H587" s="768"/>
      <c r="I587" s="768"/>
      <c r="J587" s="768"/>
      <c r="K587" s="768"/>
      <c r="L587" s="768"/>
      <c r="M587" s="768"/>
      <c r="N587" s="768"/>
      <c r="O587" s="768"/>
      <c r="P587" s="768"/>
      <c r="Q587" s="768"/>
      <c r="R587" s="768"/>
      <c r="S587" s="768"/>
      <c r="T587" s="768"/>
      <c r="U587" s="768"/>
      <c r="V587" s="768"/>
      <c r="W587" s="768"/>
      <c r="X587" s="768"/>
      <c r="Y587" s="768"/>
      <c r="Z587" s="768"/>
      <c r="AA587" s="768"/>
      <c r="AB587" s="350"/>
    </row>
    <row r="588" spans="4:28" ht="16.5" customHeight="1" x14ac:dyDescent="0.3">
      <c r="D588" s="768"/>
      <c r="E588" s="768"/>
      <c r="F588" s="768"/>
      <c r="G588" s="768"/>
      <c r="H588" s="768"/>
      <c r="I588" s="768"/>
      <c r="J588" s="768"/>
      <c r="K588" s="768"/>
      <c r="L588" s="768"/>
      <c r="M588" s="768"/>
      <c r="N588" s="768"/>
      <c r="O588" s="768"/>
      <c r="P588" s="768"/>
      <c r="Q588" s="768"/>
      <c r="R588" s="768"/>
      <c r="S588" s="768"/>
      <c r="T588" s="768"/>
      <c r="U588" s="768"/>
      <c r="V588" s="768"/>
      <c r="W588" s="768"/>
      <c r="X588" s="768"/>
      <c r="Y588" s="768"/>
      <c r="Z588" s="768"/>
      <c r="AA588" s="768"/>
      <c r="AB588" s="350"/>
    </row>
    <row r="589" spans="4:28" ht="16.5" customHeight="1" x14ac:dyDescent="0.3">
      <c r="D589" s="768"/>
      <c r="E589" s="768"/>
      <c r="F589" s="768"/>
      <c r="G589" s="768"/>
      <c r="H589" s="768"/>
      <c r="I589" s="768"/>
      <c r="J589" s="768"/>
      <c r="K589" s="768"/>
      <c r="L589" s="768"/>
      <c r="M589" s="768"/>
      <c r="N589" s="768"/>
      <c r="O589" s="768"/>
      <c r="P589" s="768"/>
      <c r="Q589" s="768"/>
      <c r="R589" s="768"/>
      <c r="S589" s="768"/>
      <c r="T589" s="768"/>
      <c r="U589" s="768"/>
      <c r="V589" s="768"/>
      <c r="W589" s="768"/>
      <c r="X589" s="768"/>
      <c r="Y589" s="768"/>
      <c r="Z589" s="768"/>
      <c r="AA589" s="768"/>
      <c r="AB589" s="350"/>
    </row>
    <row r="590" spans="4:28" ht="16.5" customHeight="1" x14ac:dyDescent="0.3">
      <c r="D590" s="768"/>
      <c r="E590" s="768"/>
      <c r="F590" s="768"/>
      <c r="G590" s="768"/>
      <c r="H590" s="768"/>
      <c r="I590" s="768"/>
      <c r="J590" s="768"/>
      <c r="K590" s="768"/>
      <c r="L590" s="768"/>
      <c r="M590" s="768"/>
      <c r="N590" s="768"/>
      <c r="O590" s="768"/>
      <c r="P590" s="768"/>
      <c r="Q590" s="768"/>
      <c r="R590" s="768"/>
      <c r="S590" s="768"/>
      <c r="T590" s="768"/>
      <c r="U590" s="768"/>
      <c r="V590" s="768"/>
      <c r="W590" s="768"/>
      <c r="X590" s="768"/>
      <c r="Y590" s="768"/>
      <c r="Z590" s="768"/>
      <c r="AA590" s="768"/>
      <c r="AB590" s="350"/>
    </row>
    <row r="591" spans="4:28" ht="16.5" customHeight="1" x14ac:dyDescent="0.3">
      <c r="D591" s="768"/>
      <c r="E591" s="768"/>
      <c r="F591" s="768"/>
      <c r="G591" s="768"/>
      <c r="H591" s="768"/>
      <c r="I591" s="768"/>
      <c r="J591" s="768"/>
      <c r="K591" s="768"/>
      <c r="L591" s="768"/>
      <c r="M591" s="768"/>
      <c r="N591" s="768"/>
      <c r="O591" s="768"/>
      <c r="P591" s="768"/>
      <c r="Q591" s="768"/>
      <c r="R591" s="768"/>
      <c r="S591" s="768"/>
      <c r="T591" s="768"/>
      <c r="U591" s="768"/>
      <c r="V591" s="768"/>
      <c r="W591" s="768"/>
      <c r="X591" s="768"/>
      <c r="Y591" s="768"/>
      <c r="Z591" s="768"/>
      <c r="AA591" s="768"/>
      <c r="AB591" s="350"/>
    </row>
    <row r="592" spans="4:28" ht="16.5" customHeight="1" x14ac:dyDescent="0.3">
      <c r="D592" s="768"/>
      <c r="E592" s="768"/>
      <c r="F592" s="768"/>
      <c r="G592" s="768"/>
      <c r="H592" s="768"/>
      <c r="I592" s="768"/>
      <c r="J592" s="768"/>
      <c r="K592" s="768"/>
      <c r="L592" s="768"/>
      <c r="M592" s="768"/>
      <c r="N592" s="768"/>
      <c r="O592" s="768"/>
      <c r="P592" s="768"/>
      <c r="Q592" s="768"/>
      <c r="R592" s="768"/>
      <c r="S592" s="768"/>
      <c r="T592" s="768"/>
      <c r="U592" s="768"/>
      <c r="V592" s="768"/>
      <c r="W592" s="768"/>
      <c r="X592" s="768"/>
      <c r="Y592" s="768"/>
      <c r="Z592" s="768"/>
      <c r="AA592" s="768"/>
      <c r="AB592" s="350"/>
    </row>
    <row r="593" spans="4:28" ht="16.5" customHeight="1" x14ac:dyDescent="0.3">
      <c r="D593" s="768"/>
      <c r="E593" s="768"/>
      <c r="F593" s="768"/>
      <c r="G593" s="768"/>
      <c r="H593" s="768"/>
      <c r="I593" s="768"/>
      <c r="J593" s="768"/>
      <c r="K593" s="768"/>
      <c r="L593" s="768"/>
      <c r="M593" s="768"/>
      <c r="N593" s="768"/>
      <c r="O593" s="768"/>
      <c r="P593" s="768"/>
      <c r="Q593" s="768"/>
      <c r="R593" s="768"/>
      <c r="S593" s="768"/>
      <c r="T593" s="768"/>
      <c r="U593" s="768"/>
      <c r="V593" s="768"/>
      <c r="W593" s="768"/>
      <c r="X593" s="768"/>
      <c r="Y593" s="768"/>
      <c r="Z593" s="768"/>
      <c r="AA593" s="768"/>
      <c r="AB593" s="350"/>
    </row>
    <row r="594" spans="4:28" ht="16.5" customHeight="1" x14ac:dyDescent="0.3">
      <c r="D594" s="768"/>
      <c r="E594" s="768"/>
      <c r="F594" s="768"/>
      <c r="G594" s="768"/>
      <c r="H594" s="768"/>
      <c r="I594" s="768"/>
      <c r="J594" s="768"/>
      <c r="K594" s="768"/>
      <c r="L594" s="768"/>
      <c r="M594" s="768"/>
      <c r="N594" s="768"/>
      <c r="O594" s="768"/>
      <c r="P594" s="768"/>
      <c r="Q594" s="768"/>
      <c r="R594" s="768"/>
      <c r="S594" s="768"/>
      <c r="T594" s="768"/>
      <c r="U594" s="768"/>
      <c r="V594" s="768"/>
      <c r="W594" s="768"/>
      <c r="X594" s="768"/>
      <c r="Y594" s="768"/>
      <c r="Z594" s="768"/>
      <c r="AA594" s="768"/>
      <c r="AB594" s="350"/>
    </row>
    <row r="595" spans="4:28" ht="16.5" customHeight="1" x14ac:dyDescent="0.3">
      <c r="D595" s="768"/>
      <c r="E595" s="768"/>
      <c r="F595" s="768"/>
      <c r="G595" s="768"/>
      <c r="H595" s="768"/>
      <c r="I595" s="768"/>
      <c r="J595" s="768"/>
      <c r="K595" s="768"/>
      <c r="L595" s="768"/>
      <c r="M595" s="768"/>
      <c r="N595" s="768"/>
      <c r="O595" s="768"/>
      <c r="P595" s="768"/>
      <c r="Q595" s="768"/>
      <c r="R595" s="768"/>
      <c r="S595" s="768"/>
      <c r="T595" s="768"/>
      <c r="U595" s="768"/>
      <c r="V595" s="768"/>
      <c r="W595" s="768"/>
      <c r="X595" s="768"/>
      <c r="Y595" s="768"/>
      <c r="Z595" s="768"/>
      <c r="AA595" s="768"/>
      <c r="AB595" s="350"/>
    </row>
    <row r="596" spans="4:28" ht="16.5" customHeight="1" x14ac:dyDescent="0.3">
      <c r="D596" s="768"/>
      <c r="E596" s="768"/>
      <c r="F596" s="768"/>
      <c r="G596" s="768"/>
      <c r="H596" s="768"/>
      <c r="I596" s="768"/>
      <c r="J596" s="768"/>
      <c r="K596" s="768"/>
      <c r="L596" s="768"/>
      <c r="M596" s="768"/>
      <c r="N596" s="768"/>
      <c r="O596" s="768"/>
      <c r="P596" s="768"/>
      <c r="Q596" s="768"/>
      <c r="R596" s="768"/>
      <c r="S596" s="768"/>
      <c r="T596" s="768"/>
      <c r="U596" s="768"/>
      <c r="V596" s="768"/>
      <c r="W596" s="768"/>
      <c r="X596" s="768"/>
      <c r="Y596" s="768"/>
      <c r="Z596" s="768"/>
      <c r="AA596" s="768"/>
      <c r="AB596" s="350"/>
    </row>
    <row r="597" spans="4:28" ht="16.5" customHeight="1" x14ac:dyDescent="0.3">
      <c r="D597" s="768"/>
      <c r="E597" s="768"/>
      <c r="F597" s="768"/>
      <c r="G597" s="768"/>
      <c r="H597" s="768"/>
      <c r="I597" s="768"/>
      <c r="J597" s="768"/>
      <c r="K597" s="768"/>
      <c r="L597" s="768"/>
      <c r="M597" s="768"/>
      <c r="N597" s="768"/>
      <c r="O597" s="768"/>
      <c r="P597" s="768"/>
      <c r="Q597" s="768"/>
      <c r="R597" s="768"/>
      <c r="S597" s="768"/>
      <c r="T597" s="768"/>
      <c r="U597" s="768"/>
      <c r="V597" s="768"/>
      <c r="W597" s="768"/>
      <c r="X597" s="768"/>
      <c r="Y597" s="768"/>
      <c r="Z597" s="768"/>
      <c r="AA597" s="768"/>
      <c r="AB597" s="350"/>
    </row>
    <row r="598" spans="4:28" ht="16.5" customHeight="1" x14ac:dyDescent="0.3">
      <c r="D598" s="768"/>
      <c r="E598" s="768"/>
      <c r="F598" s="768"/>
      <c r="G598" s="768"/>
      <c r="H598" s="768"/>
      <c r="I598" s="768"/>
      <c r="J598" s="768"/>
      <c r="K598" s="768"/>
      <c r="L598" s="768"/>
      <c r="M598" s="768"/>
      <c r="N598" s="768"/>
      <c r="O598" s="768"/>
      <c r="P598" s="768"/>
      <c r="Q598" s="768"/>
      <c r="R598" s="768"/>
      <c r="S598" s="768"/>
      <c r="T598" s="768"/>
      <c r="U598" s="768"/>
      <c r="V598" s="768"/>
      <c r="W598" s="768"/>
      <c r="X598" s="768"/>
      <c r="Y598" s="768"/>
      <c r="Z598" s="768"/>
      <c r="AA598" s="768"/>
      <c r="AB598" s="350"/>
    </row>
    <row r="599" spans="4:28" ht="16.5" customHeight="1" x14ac:dyDescent="0.3">
      <c r="D599" s="768"/>
      <c r="E599" s="768"/>
      <c r="F599" s="768"/>
      <c r="G599" s="768"/>
      <c r="H599" s="768"/>
      <c r="I599" s="768"/>
      <c r="J599" s="768"/>
      <c r="K599" s="768"/>
      <c r="L599" s="768"/>
      <c r="M599" s="768"/>
      <c r="N599" s="768"/>
      <c r="O599" s="768"/>
      <c r="P599" s="768"/>
      <c r="Q599" s="768"/>
      <c r="R599" s="768"/>
      <c r="S599" s="768"/>
      <c r="T599" s="768"/>
      <c r="U599" s="768"/>
      <c r="V599" s="768"/>
      <c r="W599" s="768"/>
      <c r="X599" s="768"/>
      <c r="Y599" s="768"/>
      <c r="Z599" s="768"/>
      <c r="AA599" s="768"/>
      <c r="AB599" s="350"/>
    </row>
    <row r="600" spans="4:28" ht="16.5" customHeight="1" x14ac:dyDescent="0.3">
      <c r="D600" s="768"/>
      <c r="E600" s="768"/>
      <c r="F600" s="768"/>
      <c r="G600" s="768"/>
      <c r="H600" s="768"/>
      <c r="I600" s="768"/>
      <c r="J600" s="768"/>
      <c r="K600" s="768"/>
      <c r="L600" s="768"/>
      <c r="M600" s="768"/>
      <c r="N600" s="768"/>
      <c r="O600" s="768"/>
      <c r="P600" s="768"/>
      <c r="Q600" s="768"/>
      <c r="R600" s="768"/>
      <c r="S600" s="768"/>
      <c r="T600" s="768"/>
      <c r="U600" s="768"/>
      <c r="V600" s="768"/>
      <c r="W600" s="768"/>
      <c r="X600" s="768"/>
      <c r="Y600" s="768"/>
      <c r="Z600" s="768"/>
      <c r="AA600" s="768"/>
      <c r="AB600" s="350"/>
    </row>
    <row r="601" spans="4:28" ht="16.5" customHeight="1" x14ac:dyDescent="0.3">
      <c r="D601" s="768"/>
      <c r="E601" s="768"/>
      <c r="F601" s="768"/>
      <c r="G601" s="768"/>
      <c r="H601" s="768"/>
      <c r="I601" s="768"/>
      <c r="J601" s="768"/>
      <c r="K601" s="768"/>
      <c r="L601" s="768"/>
      <c r="M601" s="768"/>
      <c r="N601" s="768"/>
      <c r="O601" s="768"/>
      <c r="P601" s="768"/>
      <c r="Q601" s="768"/>
      <c r="R601" s="768"/>
      <c r="S601" s="768"/>
      <c r="T601" s="768"/>
      <c r="U601" s="768"/>
      <c r="V601" s="768"/>
      <c r="W601" s="768"/>
      <c r="X601" s="768"/>
      <c r="Y601" s="768"/>
      <c r="Z601" s="768"/>
      <c r="AA601" s="768"/>
      <c r="AB601" s="350"/>
    </row>
    <row r="602" spans="4:28" ht="16.5" customHeight="1" x14ac:dyDescent="0.3">
      <c r="D602" s="768"/>
      <c r="E602" s="768"/>
      <c r="F602" s="768"/>
      <c r="G602" s="768"/>
      <c r="H602" s="768"/>
      <c r="I602" s="768"/>
      <c r="J602" s="768"/>
      <c r="K602" s="768"/>
      <c r="L602" s="768"/>
      <c r="M602" s="768"/>
      <c r="N602" s="768"/>
      <c r="O602" s="768"/>
      <c r="P602" s="768"/>
      <c r="Q602" s="768"/>
      <c r="R602" s="768"/>
      <c r="S602" s="768"/>
      <c r="T602" s="768"/>
      <c r="U602" s="768"/>
      <c r="V602" s="768"/>
      <c r="W602" s="768"/>
      <c r="X602" s="768"/>
      <c r="Y602" s="768"/>
      <c r="Z602" s="768"/>
      <c r="AA602" s="768"/>
      <c r="AB602" s="350"/>
    </row>
    <row r="603" spans="4:28" ht="16.5" customHeight="1" x14ac:dyDescent="0.3">
      <c r="D603" s="768"/>
      <c r="E603" s="768"/>
      <c r="F603" s="768"/>
      <c r="G603" s="768"/>
      <c r="H603" s="768"/>
      <c r="I603" s="768"/>
      <c r="J603" s="768"/>
      <c r="K603" s="768"/>
      <c r="L603" s="768"/>
      <c r="M603" s="768"/>
      <c r="N603" s="768"/>
      <c r="O603" s="768"/>
      <c r="P603" s="768"/>
      <c r="Q603" s="768"/>
      <c r="R603" s="768"/>
      <c r="S603" s="768"/>
      <c r="T603" s="768"/>
      <c r="U603" s="768"/>
      <c r="V603" s="768"/>
      <c r="W603" s="768"/>
      <c r="X603" s="768"/>
      <c r="Y603" s="768"/>
      <c r="Z603" s="768"/>
      <c r="AA603" s="768"/>
      <c r="AB603" s="350"/>
    </row>
    <row r="604" spans="4:28" ht="16.5" customHeight="1" x14ac:dyDescent="0.3">
      <c r="D604" s="768"/>
      <c r="E604" s="768"/>
      <c r="F604" s="768"/>
      <c r="G604" s="768"/>
      <c r="H604" s="768"/>
      <c r="I604" s="768"/>
      <c r="J604" s="768"/>
      <c r="K604" s="768"/>
      <c r="L604" s="768"/>
      <c r="M604" s="768"/>
      <c r="N604" s="768"/>
      <c r="O604" s="768"/>
      <c r="P604" s="768"/>
      <c r="Q604" s="768"/>
      <c r="R604" s="768"/>
      <c r="S604" s="768"/>
      <c r="T604" s="768"/>
      <c r="U604" s="768"/>
      <c r="V604" s="768"/>
      <c r="W604" s="768"/>
      <c r="X604" s="768"/>
      <c r="Y604" s="768"/>
      <c r="Z604" s="768"/>
      <c r="AA604" s="768"/>
      <c r="AB604" s="350"/>
    </row>
    <row r="605" spans="4:28" ht="16.5" customHeight="1" x14ac:dyDescent="0.3">
      <c r="D605" s="768"/>
      <c r="E605" s="768"/>
      <c r="F605" s="768"/>
      <c r="G605" s="768"/>
      <c r="H605" s="768"/>
      <c r="I605" s="768"/>
      <c r="J605" s="768"/>
      <c r="K605" s="768"/>
      <c r="L605" s="768"/>
      <c r="M605" s="768"/>
      <c r="N605" s="768"/>
      <c r="O605" s="768"/>
      <c r="P605" s="768"/>
      <c r="Q605" s="768"/>
      <c r="R605" s="768"/>
      <c r="S605" s="768"/>
      <c r="T605" s="768"/>
      <c r="U605" s="768"/>
      <c r="V605" s="768"/>
      <c r="W605" s="768"/>
      <c r="X605" s="768"/>
      <c r="Y605" s="768"/>
      <c r="Z605" s="768"/>
      <c r="AA605" s="768"/>
      <c r="AB605" s="350"/>
    </row>
    <row r="606" spans="4:28" ht="16.5" customHeight="1" x14ac:dyDescent="0.3">
      <c r="D606" s="768"/>
      <c r="E606" s="768"/>
      <c r="F606" s="768"/>
      <c r="G606" s="768"/>
      <c r="H606" s="768"/>
      <c r="I606" s="768"/>
      <c r="J606" s="768"/>
      <c r="K606" s="768"/>
      <c r="L606" s="768"/>
      <c r="M606" s="768"/>
      <c r="N606" s="768"/>
      <c r="O606" s="768"/>
      <c r="P606" s="768"/>
      <c r="Q606" s="768"/>
      <c r="R606" s="768"/>
      <c r="S606" s="768"/>
      <c r="T606" s="768"/>
      <c r="U606" s="768"/>
      <c r="V606" s="768"/>
      <c r="W606" s="768"/>
      <c r="X606" s="768"/>
      <c r="Y606" s="768"/>
      <c r="Z606" s="768"/>
      <c r="AA606" s="768"/>
      <c r="AB606" s="350"/>
    </row>
    <row r="607" spans="4:28" ht="16.5" customHeight="1" x14ac:dyDescent="0.3">
      <c r="D607" s="768"/>
      <c r="E607" s="768"/>
      <c r="F607" s="768"/>
      <c r="G607" s="768"/>
      <c r="H607" s="768"/>
      <c r="I607" s="768"/>
      <c r="J607" s="768"/>
      <c r="K607" s="768"/>
      <c r="L607" s="768"/>
      <c r="M607" s="768"/>
      <c r="N607" s="768"/>
      <c r="O607" s="768"/>
      <c r="P607" s="768"/>
      <c r="Q607" s="768"/>
      <c r="R607" s="768"/>
      <c r="S607" s="768"/>
      <c r="T607" s="768"/>
      <c r="U607" s="768"/>
      <c r="V607" s="768"/>
      <c r="W607" s="768"/>
      <c r="X607" s="768"/>
      <c r="Y607" s="768"/>
      <c r="Z607" s="768"/>
      <c r="AA607" s="768"/>
      <c r="AB607" s="350"/>
    </row>
    <row r="608" spans="4:28" ht="16.5" customHeight="1" x14ac:dyDescent="0.3">
      <c r="D608" s="768"/>
      <c r="E608" s="768"/>
      <c r="F608" s="768"/>
      <c r="G608" s="768"/>
      <c r="H608" s="768"/>
      <c r="I608" s="768"/>
      <c r="J608" s="768"/>
      <c r="K608" s="768"/>
      <c r="L608" s="768"/>
      <c r="M608" s="768"/>
      <c r="N608" s="768"/>
      <c r="O608" s="768"/>
      <c r="P608" s="768"/>
      <c r="Q608" s="768"/>
      <c r="R608" s="768"/>
      <c r="S608" s="768"/>
      <c r="T608" s="768"/>
      <c r="U608" s="768"/>
      <c r="V608" s="768"/>
      <c r="W608" s="768"/>
      <c r="X608" s="768"/>
      <c r="Y608" s="768"/>
      <c r="Z608" s="768"/>
      <c r="AA608" s="768"/>
      <c r="AB608" s="350"/>
    </row>
    <row r="609" spans="4:28" ht="16.5" customHeight="1" x14ac:dyDescent="0.3">
      <c r="D609" s="768"/>
      <c r="E609" s="768"/>
      <c r="F609" s="768"/>
      <c r="G609" s="768"/>
      <c r="H609" s="768"/>
      <c r="I609" s="768"/>
      <c r="J609" s="768"/>
      <c r="K609" s="768"/>
      <c r="L609" s="768"/>
      <c r="M609" s="768"/>
      <c r="N609" s="768"/>
      <c r="O609" s="768"/>
      <c r="P609" s="768"/>
      <c r="Q609" s="768"/>
      <c r="R609" s="768"/>
      <c r="S609" s="768"/>
      <c r="T609" s="768"/>
      <c r="U609" s="768"/>
      <c r="V609" s="768"/>
      <c r="W609" s="768"/>
      <c r="X609" s="768"/>
      <c r="Y609" s="768"/>
      <c r="Z609" s="768"/>
      <c r="AA609" s="768"/>
      <c r="AB609" s="350"/>
    </row>
    <row r="610" spans="4:28" ht="16.5" customHeight="1" x14ac:dyDescent="0.3">
      <c r="D610" s="768"/>
      <c r="E610" s="768"/>
      <c r="F610" s="768"/>
      <c r="G610" s="768"/>
      <c r="H610" s="768"/>
      <c r="I610" s="768"/>
      <c r="J610" s="768"/>
      <c r="K610" s="768"/>
      <c r="L610" s="768"/>
      <c r="M610" s="768"/>
      <c r="N610" s="768"/>
      <c r="O610" s="768"/>
      <c r="P610" s="768"/>
      <c r="Q610" s="768"/>
      <c r="R610" s="768"/>
      <c r="S610" s="768"/>
      <c r="T610" s="768"/>
      <c r="U610" s="768"/>
      <c r="V610" s="768"/>
      <c r="W610" s="768"/>
      <c r="X610" s="768"/>
      <c r="Y610" s="768"/>
      <c r="Z610" s="768"/>
      <c r="AA610" s="768"/>
      <c r="AB610" s="350"/>
    </row>
    <row r="611" spans="4:28" ht="16.5" customHeight="1" x14ac:dyDescent="0.3">
      <c r="D611" s="768"/>
      <c r="E611" s="768"/>
      <c r="F611" s="768"/>
      <c r="G611" s="768"/>
      <c r="H611" s="768"/>
      <c r="I611" s="768"/>
      <c r="J611" s="768"/>
      <c r="K611" s="768"/>
      <c r="L611" s="768"/>
      <c r="M611" s="768"/>
      <c r="N611" s="768"/>
      <c r="O611" s="768"/>
      <c r="P611" s="768"/>
      <c r="Q611" s="768"/>
      <c r="R611" s="768"/>
      <c r="S611" s="768"/>
      <c r="T611" s="768"/>
      <c r="U611" s="768"/>
      <c r="V611" s="768"/>
      <c r="W611" s="768"/>
      <c r="X611" s="768"/>
      <c r="Y611" s="768"/>
      <c r="Z611" s="768"/>
      <c r="AA611" s="768"/>
      <c r="AB611" s="350"/>
    </row>
    <row r="612" spans="4:28" ht="16.5" customHeight="1" x14ac:dyDescent="0.3">
      <c r="D612" s="768"/>
      <c r="E612" s="768"/>
      <c r="F612" s="768"/>
      <c r="G612" s="768"/>
      <c r="H612" s="768"/>
      <c r="I612" s="768"/>
      <c r="J612" s="768"/>
      <c r="K612" s="768"/>
      <c r="L612" s="768"/>
      <c r="M612" s="768"/>
      <c r="N612" s="768"/>
      <c r="O612" s="768"/>
      <c r="P612" s="768"/>
      <c r="Q612" s="768"/>
      <c r="R612" s="768"/>
      <c r="S612" s="768"/>
      <c r="T612" s="768"/>
      <c r="U612" s="768"/>
      <c r="V612" s="768"/>
      <c r="W612" s="768"/>
      <c r="X612" s="768"/>
      <c r="Y612" s="768"/>
      <c r="Z612" s="768"/>
      <c r="AA612" s="768"/>
      <c r="AB612" s="350"/>
    </row>
    <row r="613" spans="4:28" ht="16.5" customHeight="1" x14ac:dyDescent="0.3">
      <c r="D613" s="768"/>
      <c r="E613" s="768"/>
      <c r="F613" s="768"/>
      <c r="G613" s="768"/>
      <c r="H613" s="768"/>
      <c r="I613" s="768"/>
      <c r="J613" s="768"/>
      <c r="K613" s="768"/>
      <c r="L613" s="768"/>
      <c r="M613" s="768"/>
      <c r="N613" s="768"/>
      <c r="O613" s="768"/>
      <c r="P613" s="768"/>
      <c r="Q613" s="768"/>
      <c r="R613" s="768"/>
      <c r="S613" s="768"/>
      <c r="T613" s="768"/>
      <c r="U613" s="768"/>
      <c r="V613" s="768"/>
      <c r="W613" s="768"/>
      <c r="X613" s="768"/>
      <c r="Y613" s="768"/>
      <c r="Z613" s="768"/>
      <c r="AA613" s="768"/>
      <c r="AB613" s="350"/>
    </row>
    <row r="614" spans="4:28" ht="16.5" customHeight="1" x14ac:dyDescent="0.3">
      <c r="D614" s="768"/>
      <c r="E614" s="768"/>
      <c r="F614" s="768"/>
      <c r="G614" s="768"/>
      <c r="H614" s="768"/>
      <c r="I614" s="768"/>
      <c r="J614" s="768"/>
      <c r="K614" s="768"/>
      <c r="L614" s="768"/>
      <c r="M614" s="768"/>
      <c r="N614" s="768"/>
      <c r="O614" s="768"/>
      <c r="P614" s="768"/>
      <c r="Q614" s="768"/>
      <c r="R614" s="768"/>
      <c r="S614" s="768"/>
      <c r="T614" s="768"/>
      <c r="U614" s="768"/>
      <c r="V614" s="768"/>
      <c r="W614" s="768"/>
      <c r="X614" s="768"/>
      <c r="Y614" s="768"/>
      <c r="Z614" s="768"/>
      <c r="AA614" s="768"/>
      <c r="AB614" s="350"/>
    </row>
    <row r="615" spans="4:28" ht="16.5" customHeight="1" x14ac:dyDescent="0.3">
      <c r="D615" s="768"/>
      <c r="E615" s="768"/>
      <c r="F615" s="768"/>
      <c r="G615" s="768"/>
      <c r="H615" s="768"/>
      <c r="I615" s="768"/>
      <c r="J615" s="768"/>
      <c r="K615" s="768"/>
      <c r="L615" s="768"/>
      <c r="M615" s="768"/>
      <c r="N615" s="768"/>
      <c r="O615" s="768"/>
      <c r="P615" s="768"/>
      <c r="Q615" s="768"/>
      <c r="R615" s="768"/>
      <c r="S615" s="768"/>
      <c r="T615" s="768"/>
      <c r="U615" s="768"/>
      <c r="V615" s="768"/>
      <c r="W615" s="768"/>
      <c r="X615" s="768"/>
      <c r="Y615" s="768"/>
      <c r="Z615" s="768"/>
      <c r="AA615" s="768"/>
      <c r="AB615" s="350"/>
    </row>
    <row r="616" spans="4:28" ht="16.5" customHeight="1" x14ac:dyDescent="0.3">
      <c r="D616" s="768"/>
      <c r="E616" s="768"/>
      <c r="F616" s="768"/>
      <c r="G616" s="768"/>
      <c r="H616" s="768"/>
      <c r="I616" s="768"/>
      <c r="J616" s="768"/>
      <c r="K616" s="768"/>
      <c r="L616" s="768"/>
      <c r="M616" s="768"/>
      <c r="N616" s="768"/>
      <c r="O616" s="768"/>
      <c r="P616" s="768"/>
      <c r="Q616" s="768"/>
      <c r="R616" s="768"/>
      <c r="S616" s="768"/>
      <c r="T616" s="768"/>
      <c r="U616" s="768"/>
      <c r="V616" s="768"/>
      <c r="W616" s="768"/>
      <c r="X616" s="768"/>
      <c r="Y616" s="768"/>
      <c r="Z616" s="768"/>
      <c r="AA616" s="768"/>
      <c r="AB616" s="350"/>
    </row>
    <row r="617" spans="4:28" ht="16.5" customHeight="1" x14ac:dyDescent="0.3">
      <c r="D617" s="768"/>
      <c r="E617" s="768"/>
      <c r="F617" s="768"/>
      <c r="G617" s="768"/>
      <c r="H617" s="768"/>
      <c r="I617" s="768"/>
      <c r="J617" s="768"/>
      <c r="K617" s="768"/>
      <c r="L617" s="768"/>
      <c r="M617" s="768"/>
      <c r="N617" s="768"/>
      <c r="O617" s="768"/>
      <c r="P617" s="768"/>
      <c r="Q617" s="768"/>
      <c r="R617" s="768"/>
      <c r="S617" s="768"/>
      <c r="T617" s="768"/>
      <c r="U617" s="768"/>
      <c r="V617" s="768"/>
      <c r="W617" s="768"/>
      <c r="X617" s="768"/>
      <c r="Y617" s="768"/>
      <c r="Z617" s="768"/>
      <c r="AA617" s="768"/>
      <c r="AB617" s="350"/>
    </row>
    <row r="618" spans="4:28" ht="16.5" customHeight="1" x14ac:dyDescent="0.3">
      <c r="D618" s="768"/>
      <c r="E618" s="768"/>
      <c r="F618" s="768"/>
      <c r="G618" s="768"/>
      <c r="H618" s="768"/>
      <c r="I618" s="768"/>
      <c r="J618" s="768"/>
      <c r="K618" s="768"/>
      <c r="L618" s="768"/>
      <c r="M618" s="768"/>
      <c r="N618" s="768"/>
      <c r="O618" s="768"/>
      <c r="P618" s="768"/>
      <c r="Q618" s="768"/>
      <c r="R618" s="768"/>
      <c r="S618" s="768"/>
      <c r="T618" s="768"/>
      <c r="U618" s="768"/>
      <c r="V618" s="768"/>
      <c r="W618" s="768"/>
      <c r="X618" s="768"/>
      <c r="Y618" s="768"/>
      <c r="Z618" s="768"/>
      <c r="AA618" s="768"/>
      <c r="AB618" s="350"/>
    </row>
    <row r="619" spans="4:28" ht="16.5" customHeight="1" x14ac:dyDescent="0.3">
      <c r="D619" s="768"/>
      <c r="E619" s="768"/>
      <c r="F619" s="768"/>
      <c r="G619" s="768"/>
      <c r="H619" s="768"/>
      <c r="I619" s="768"/>
      <c r="J619" s="768"/>
      <c r="K619" s="768"/>
      <c r="L619" s="768"/>
      <c r="M619" s="768"/>
      <c r="N619" s="768"/>
      <c r="O619" s="768"/>
      <c r="P619" s="768"/>
      <c r="Q619" s="768"/>
      <c r="R619" s="768"/>
      <c r="S619" s="768"/>
      <c r="T619" s="768"/>
      <c r="U619" s="768"/>
      <c r="V619" s="768"/>
      <c r="W619" s="768"/>
      <c r="X619" s="768"/>
      <c r="Y619" s="768"/>
      <c r="Z619" s="768"/>
      <c r="AA619" s="768"/>
      <c r="AB619" s="350"/>
    </row>
    <row r="620" spans="4:28" ht="16.5" customHeight="1" x14ac:dyDescent="0.3">
      <c r="D620" s="768"/>
      <c r="E620" s="768"/>
      <c r="F620" s="768"/>
      <c r="G620" s="768"/>
      <c r="H620" s="768"/>
      <c r="I620" s="768"/>
      <c r="J620" s="768"/>
      <c r="K620" s="768"/>
      <c r="L620" s="768"/>
      <c r="M620" s="768"/>
      <c r="N620" s="768"/>
      <c r="O620" s="768"/>
      <c r="P620" s="768"/>
      <c r="Q620" s="768"/>
      <c r="R620" s="768"/>
      <c r="S620" s="768"/>
      <c r="T620" s="768"/>
      <c r="U620" s="768"/>
      <c r="V620" s="768"/>
      <c r="W620" s="768"/>
      <c r="X620" s="768"/>
      <c r="Y620" s="768"/>
      <c r="Z620" s="768"/>
      <c r="AA620" s="768"/>
      <c r="AB620" s="350"/>
    </row>
    <row r="621" spans="4:28" ht="16.5" customHeight="1" x14ac:dyDescent="0.3">
      <c r="D621" s="768"/>
      <c r="E621" s="768"/>
      <c r="F621" s="768"/>
      <c r="G621" s="768"/>
      <c r="H621" s="768"/>
      <c r="I621" s="768"/>
      <c r="J621" s="768"/>
      <c r="K621" s="768"/>
      <c r="L621" s="768"/>
      <c r="M621" s="768"/>
      <c r="N621" s="768"/>
      <c r="O621" s="768"/>
      <c r="P621" s="768"/>
      <c r="Q621" s="768"/>
      <c r="R621" s="768"/>
      <c r="S621" s="768"/>
      <c r="T621" s="768"/>
      <c r="U621" s="768"/>
      <c r="V621" s="768"/>
      <c r="W621" s="768"/>
      <c r="X621" s="768"/>
      <c r="Y621" s="768"/>
      <c r="Z621" s="768"/>
      <c r="AA621" s="768"/>
      <c r="AB621" s="350"/>
    </row>
    <row r="622" spans="4:28" ht="16.5" customHeight="1" x14ac:dyDescent="0.3">
      <c r="D622" s="768"/>
      <c r="E622" s="768"/>
      <c r="F622" s="768"/>
      <c r="G622" s="768"/>
      <c r="H622" s="768"/>
      <c r="I622" s="768"/>
      <c r="J622" s="768"/>
      <c r="K622" s="768"/>
      <c r="L622" s="768"/>
      <c r="M622" s="768"/>
      <c r="N622" s="768"/>
      <c r="O622" s="768"/>
      <c r="P622" s="768"/>
      <c r="Q622" s="768"/>
      <c r="R622" s="768"/>
      <c r="S622" s="768"/>
      <c r="T622" s="768"/>
      <c r="U622" s="768"/>
      <c r="V622" s="768"/>
      <c r="W622" s="768"/>
      <c r="X622" s="768"/>
      <c r="Y622" s="768"/>
      <c r="Z622" s="768"/>
      <c r="AA622" s="768"/>
      <c r="AB622" s="350"/>
    </row>
    <row r="623" spans="4:28" ht="16.5" customHeight="1" x14ac:dyDescent="0.3">
      <c r="D623" s="768"/>
      <c r="E623" s="768"/>
      <c r="F623" s="768"/>
      <c r="G623" s="768"/>
      <c r="H623" s="768"/>
      <c r="I623" s="768"/>
      <c r="J623" s="768"/>
      <c r="K623" s="768"/>
      <c r="L623" s="768"/>
      <c r="M623" s="768"/>
      <c r="N623" s="768"/>
      <c r="O623" s="768"/>
      <c r="P623" s="768"/>
      <c r="Q623" s="768"/>
      <c r="R623" s="768"/>
      <c r="S623" s="768"/>
      <c r="T623" s="768"/>
      <c r="U623" s="768"/>
      <c r="V623" s="768"/>
      <c r="W623" s="768"/>
      <c r="X623" s="768"/>
      <c r="Y623" s="768"/>
      <c r="Z623" s="768"/>
      <c r="AA623" s="768"/>
      <c r="AB623" s="350"/>
    </row>
    <row r="624" spans="4:28" ht="16.5" customHeight="1" x14ac:dyDescent="0.3">
      <c r="D624" s="768"/>
      <c r="E624" s="768"/>
      <c r="F624" s="768"/>
      <c r="G624" s="768"/>
      <c r="H624" s="768"/>
      <c r="I624" s="768"/>
      <c r="J624" s="768"/>
      <c r="K624" s="768"/>
      <c r="L624" s="768"/>
      <c r="M624" s="768"/>
      <c r="N624" s="768"/>
      <c r="O624" s="768"/>
      <c r="P624" s="768"/>
      <c r="Q624" s="768"/>
      <c r="R624" s="768"/>
      <c r="S624" s="768"/>
      <c r="T624" s="768"/>
      <c r="U624" s="768"/>
      <c r="V624" s="768"/>
      <c r="W624" s="768"/>
      <c r="X624" s="768"/>
      <c r="Y624" s="768"/>
      <c r="Z624" s="768"/>
      <c r="AA624" s="768"/>
      <c r="AB624" s="350"/>
    </row>
    <row r="625" spans="4:28" ht="16.5" customHeight="1" x14ac:dyDescent="0.3">
      <c r="D625" s="768"/>
      <c r="E625" s="768"/>
      <c r="F625" s="768"/>
      <c r="G625" s="768"/>
      <c r="H625" s="768"/>
      <c r="I625" s="768"/>
      <c r="J625" s="768"/>
      <c r="K625" s="768"/>
      <c r="L625" s="768"/>
      <c r="M625" s="768"/>
      <c r="N625" s="768"/>
      <c r="O625" s="768"/>
      <c r="P625" s="768"/>
      <c r="Q625" s="768"/>
      <c r="R625" s="768"/>
      <c r="S625" s="768"/>
      <c r="T625" s="768"/>
      <c r="U625" s="768"/>
      <c r="V625" s="768"/>
      <c r="W625" s="768"/>
      <c r="X625" s="768"/>
      <c r="Y625" s="768"/>
      <c r="Z625" s="768"/>
      <c r="AA625" s="768"/>
      <c r="AB625" s="350"/>
    </row>
    <row r="626" spans="4:28" ht="16.5" customHeight="1" x14ac:dyDescent="0.3">
      <c r="D626" s="768"/>
      <c r="E626" s="768"/>
      <c r="F626" s="768"/>
      <c r="G626" s="768"/>
      <c r="H626" s="768"/>
      <c r="I626" s="768"/>
      <c r="J626" s="768"/>
      <c r="K626" s="768"/>
      <c r="L626" s="768"/>
      <c r="M626" s="768"/>
      <c r="N626" s="768"/>
      <c r="O626" s="768"/>
      <c r="P626" s="768"/>
      <c r="Q626" s="768"/>
      <c r="R626" s="768"/>
      <c r="S626" s="768"/>
      <c r="T626" s="768"/>
      <c r="U626" s="768"/>
      <c r="V626" s="768"/>
      <c r="W626" s="768"/>
      <c r="X626" s="768"/>
      <c r="Y626" s="768"/>
      <c r="Z626" s="768"/>
      <c r="AA626" s="768"/>
      <c r="AB626" s="350"/>
    </row>
    <row r="627" spans="4:28" ht="16.5" customHeight="1" x14ac:dyDescent="0.3">
      <c r="D627" s="768"/>
      <c r="E627" s="768"/>
      <c r="F627" s="768"/>
      <c r="G627" s="768"/>
      <c r="H627" s="768"/>
      <c r="I627" s="768"/>
      <c r="J627" s="768"/>
      <c r="K627" s="768"/>
      <c r="L627" s="768"/>
      <c r="M627" s="768"/>
      <c r="N627" s="768"/>
      <c r="O627" s="768"/>
      <c r="P627" s="768"/>
      <c r="Q627" s="768"/>
      <c r="R627" s="768"/>
      <c r="S627" s="768"/>
      <c r="T627" s="768"/>
      <c r="U627" s="768"/>
      <c r="V627" s="768"/>
      <c r="W627" s="768"/>
      <c r="X627" s="768"/>
      <c r="Y627" s="768"/>
      <c r="Z627" s="768"/>
      <c r="AA627" s="768"/>
      <c r="AB627" s="350"/>
    </row>
    <row r="628" spans="4:28" ht="16.5" customHeight="1" x14ac:dyDescent="0.3">
      <c r="D628" s="768"/>
      <c r="E628" s="768"/>
      <c r="F628" s="768"/>
      <c r="G628" s="768"/>
      <c r="H628" s="768"/>
      <c r="I628" s="768"/>
      <c r="J628" s="768"/>
      <c r="K628" s="768"/>
      <c r="L628" s="768"/>
      <c r="M628" s="768"/>
      <c r="N628" s="768"/>
      <c r="O628" s="768"/>
      <c r="P628" s="768"/>
      <c r="Q628" s="768"/>
      <c r="R628" s="768"/>
      <c r="S628" s="768"/>
      <c r="T628" s="768"/>
      <c r="U628" s="768"/>
      <c r="V628" s="768"/>
      <c r="W628" s="768"/>
      <c r="X628" s="768"/>
      <c r="Y628" s="768"/>
      <c r="Z628" s="768"/>
      <c r="AA628" s="768"/>
      <c r="AB628" s="350"/>
    </row>
    <row r="629" spans="4:28" ht="16.5" customHeight="1" x14ac:dyDescent="0.3">
      <c r="D629" s="768"/>
      <c r="E629" s="768"/>
      <c r="F629" s="768"/>
      <c r="G629" s="768"/>
      <c r="H629" s="768"/>
      <c r="I629" s="768"/>
      <c r="J629" s="768"/>
      <c r="K629" s="768"/>
      <c r="L629" s="768"/>
      <c r="M629" s="768"/>
      <c r="N629" s="768"/>
      <c r="O629" s="768"/>
      <c r="P629" s="768"/>
      <c r="Q629" s="768"/>
      <c r="R629" s="768"/>
      <c r="S629" s="768"/>
      <c r="T629" s="768"/>
      <c r="U629" s="768"/>
      <c r="V629" s="768"/>
      <c r="W629" s="768"/>
      <c r="X629" s="768"/>
      <c r="Y629" s="768"/>
      <c r="Z629" s="768"/>
      <c r="AA629" s="768"/>
      <c r="AB629" s="350"/>
    </row>
    <row r="630" spans="4:28" ht="16.5" customHeight="1" x14ac:dyDescent="0.3">
      <c r="D630" s="768"/>
      <c r="E630" s="768"/>
      <c r="F630" s="768"/>
      <c r="G630" s="768"/>
      <c r="H630" s="768"/>
      <c r="I630" s="768"/>
      <c r="J630" s="768"/>
      <c r="K630" s="768"/>
      <c r="L630" s="768"/>
      <c r="M630" s="768"/>
      <c r="N630" s="768"/>
      <c r="O630" s="768"/>
      <c r="P630" s="768"/>
      <c r="Q630" s="768"/>
      <c r="R630" s="768"/>
      <c r="S630" s="768"/>
      <c r="T630" s="768"/>
      <c r="U630" s="768"/>
      <c r="V630" s="768"/>
      <c r="W630" s="768"/>
      <c r="X630" s="768"/>
      <c r="Y630" s="768"/>
      <c r="Z630" s="768"/>
      <c r="AA630" s="768"/>
      <c r="AB630" s="350"/>
    </row>
    <row r="631" spans="4:28" ht="16.5" customHeight="1" x14ac:dyDescent="0.3">
      <c r="D631" s="768"/>
      <c r="E631" s="768"/>
      <c r="F631" s="768"/>
      <c r="G631" s="768"/>
      <c r="H631" s="768"/>
      <c r="I631" s="768"/>
      <c r="J631" s="768"/>
      <c r="K631" s="768"/>
      <c r="L631" s="768"/>
      <c r="M631" s="768"/>
      <c r="N631" s="768"/>
      <c r="O631" s="768"/>
      <c r="P631" s="768"/>
      <c r="Q631" s="768"/>
      <c r="R631" s="768"/>
      <c r="S631" s="768"/>
      <c r="T631" s="768"/>
      <c r="U631" s="768"/>
      <c r="V631" s="768"/>
      <c r="W631" s="768"/>
      <c r="X631" s="768"/>
      <c r="Y631" s="768"/>
      <c r="Z631" s="768"/>
      <c r="AA631" s="768"/>
      <c r="AB631" s="350"/>
    </row>
    <row r="632" spans="4:28" ht="16.5" customHeight="1" x14ac:dyDescent="0.3">
      <c r="D632" s="768"/>
      <c r="E632" s="768"/>
      <c r="F632" s="768"/>
      <c r="G632" s="768"/>
      <c r="H632" s="768"/>
      <c r="I632" s="768"/>
      <c r="J632" s="768"/>
      <c r="K632" s="768"/>
      <c r="L632" s="768"/>
      <c r="M632" s="768"/>
      <c r="N632" s="768"/>
      <c r="O632" s="768"/>
      <c r="P632" s="768"/>
      <c r="Q632" s="768"/>
      <c r="R632" s="768"/>
      <c r="S632" s="768"/>
      <c r="T632" s="768"/>
      <c r="U632" s="768"/>
      <c r="V632" s="768"/>
      <c r="W632" s="768"/>
      <c r="X632" s="768"/>
      <c r="Y632" s="768"/>
      <c r="Z632" s="768"/>
      <c r="AA632" s="768"/>
      <c r="AB632" s="350"/>
    </row>
    <row r="633" spans="4:28" ht="16.5" customHeight="1" x14ac:dyDescent="0.3">
      <c r="D633" s="768"/>
      <c r="E633" s="768"/>
      <c r="F633" s="768"/>
      <c r="G633" s="768"/>
      <c r="H633" s="768"/>
      <c r="I633" s="768"/>
      <c r="J633" s="768"/>
      <c r="K633" s="768"/>
      <c r="L633" s="768"/>
      <c r="M633" s="768"/>
      <c r="N633" s="768"/>
      <c r="O633" s="768"/>
      <c r="P633" s="768"/>
      <c r="Q633" s="768"/>
      <c r="R633" s="768"/>
      <c r="S633" s="768"/>
      <c r="T633" s="768"/>
      <c r="U633" s="768"/>
      <c r="V633" s="768"/>
      <c r="W633" s="768"/>
      <c r="X633" s="768"/>
      <c r="Y633" s="768"/>
      <c r="Z633" s="768"/>
      <c r="AA633" s="768"/>
      <c r="AB633" s="350"/>
    </row>
    <row r="634" spans="4:28" ht="16.5" customHeight="1" x14ac:dyDescent="0.3">
      <c r="D634" s="768"/>
      <c r="E634" s="768"/>
      <c r="F634" s="768"/>
      <c r="G634" s="768"/>
      <c r="H634" s="768"/>
      <c r="I634" s="768"/>
      <c r="J634" s="768"/>
      <c r="K634" s="768"/>
      <c r="L634" s="768"/>
      <c r="M634" s="768"/>
      <c r="N634" s="768"/>
      <c r="O634" s="768"/>
      <c r="P634" s="768"/>
      <c r="Q634" s="768"/>
      <c r="R634" s="768"/>
      <c r="S634" s="768"/>
      <c r="T634" s="768"/>
      <c r="U634" s="768"/>
      <c r="V634" s="768"/>
      <c r="W634" s="768"/>
      <c r="X634" s="768"/>
      <c r="Y634" s="768"/>
      <c r="Z634" s="768"/>
      <c r="AA634" s="768"/>
      <c r="AB634" s="350"/>
    </row>
    <row r="635" spans="4:28" ht="16.5" customHeight="1" x14ac:dyDescent="0.3">
      <c r="D635" s="768"/>
      <c r="E635" s="768"/>
      <c r="F635" s="768"/>
      <c r="G635" s="768"/>
      <c r="H635" s="768"/>
      <c r="I635" s="768"/>
      <c r="J635" s="768"/>
      <c r="K635" s="768"/>
      <c r="L635" s="768"/>
      <c r="M635" s="768"/>
      <c r="N635" s="768"/>
      <c r="O635" s="768"/>
      <c r="P635" s="768"/>
      <c r="Q635" s="768"/>
      <c r="R635" s="768"/>
      <c r="S635" s="768"/>
      <c r="T635" s="768"/>
      <c r="U635" s="768"/>
      <c r="V635" s="768"/>
      <c r="W635" s="768"/>
      <c r="X635" s="768"/>
      <c r="Y635" s="768"/>
      <c r="Z635" s="768"/>
      <c r="AA635" s="768"/>
      <c r="AB635" s="350"/>
    </row>
    <row r="636" spans="4:28" ht="16.5" customHeight="1" x14ac:dyDescent="0.3">
      <c r="D636" s="768"/>
      <c r="E636" s="768"/>
      <c r="F636" s="768"/>
      <c r="G636" s="768"/>
      <c r="H636" s="768"/>
      <c r="I636" s="768"/>
      <c r="J636" s="768"/>
      <c r="K636" s="768"/>
      <c r="L636" s="768"/>
      <c r="M636" s="768"/>
      <c r="N636" s="768"/>
      <c r="O636" s="768"/>
      <c r="P636" s="768"/>
      <c r="Q636" s="768"/>
      <c r="R636" s="768"/>
      <c r="S636" s="768"/>
      <c r="T636" s="768"/>
      <c r="U636" s="768"/>
      <c r="V636" s="768"/>
      <c r="W636" s="768"/>
      <c r="X636" s="768"/>
      <c r="Y636" s="768"/>
      <c r="Z636" s="768"/>
      <c r="AA636" s="768"/>
      <c r="AB636" s="350"/>
    </row>
    <row r="637" spans="4:28" ht="16.5" customHeight="1" x14ac:dyDescent="0.3">
      <c r="D637" s="768"/>
      <c r="E637" s="768"/>
      <c r="F637" s="768"/>
      <c r="G637" s="768"/>
      <c r="H637" s="768"/>
      <c r="I637" s="768"/>
      <c r="J637" s="768"/>
      <c r="K637" s="768"/>
      <c r="L637" s="768"/>
      <c r="M637" s="768"/>
      <c r="N637" s="768"/>
      <c r="O637" s="768"/>
      <c r="P637" s="768"/>
      <c r="Q637" s="768"/>
      <c r="R637" s="768"/>
      <c r="S637" s="768"/>
      <c r="T637" s="768"/>
      <c r="U637" s="768"/>
      <c r="V637" s="768"/>
      <c r="W637" s="768"/>
      <c r="X637" s="768"/>
      <c r="Y637" s="768"/>
      <c r="Z637" s="768"/>
      <c r="AA637" s="768"/>
      <c r="AB637" s="350"/>
    </row>
    <row r="638" spans="4:28" ht="16.5" customHeight="1" x14ac:dyDescent="0.3">
      <c r="D638" s="768"/>
      <c r="E638" s="768"/>
      <c r="F638" s="768"/>
      <c r="G638" s="768"/>
      <c r="H638" s="768"/>
      <c r="I638" s="768"/>
      <c r="J638" s="768"/>
      <c r="K638" s="768"/>
      <c r="L638" s="768"/>
      <c r="M638" s="768"/>
      <c r="N638" s="768"/>
      <c r="O638" s="768"/>
      <c r="P638" s="768"/>
      <c r="Q638" s="768"/>
      <c r="R638" s="768"/>
      <c r="S638" s="768"/>
      <c r="T638" s="768"/>
      <c r="U638" s="768"/>
      <c r="V638" s="768"/>
      <c r="W638" s="768"/>
      <c r="X638" s="768"/>
      <c r="Y638" s="768"/>
      <c r="Z638" s="768"/>
      <c r="AA638" s="768"/>
      <c r="AB638" s="350"/>
    </row>
    <row r="639" spans="4:28" ht="16.5" customHeight="1" x14ac:dyDescent="0.3">
      <c r="D639" s="768"/>
      <c r="E639" s="768"/>
      <c r="F639" s="768"/>
      <c r="G639" s="768"/>
      <c r="H639" s="768"/>
      <c r="I639" s="768"/>
      <c r="J639" s="768"/>
      <c r="K639" s="768"/>
      <c r="L639" s="768"/>
      <c r="M639" s="768"/>
      <c r="N639" s="768"/>
      <c r="O639" s="768"/>
      <c r="P639" s="768"/>
      <c r="Q639" s="768"/>
      <c r="R639" s="768"/>
      <c r="S639" s="768"/>
      <c r="T639" s="768"/>
      <c r="U639" s="768"/>
      <c r="V639" s="768"/>
      <c r="W639" s="768"/>
      <c r="X639" s="768"/>
      <c r="Y639" s="768"/>
      <c r="Z639" s="768"/>
      <c r="AA639" s="768"/>
      <c r="AB639" s="350"/>
    </row>
    <row r="640" spans="4:28" ht="16.5" customHeight="1" x14ac:dyDescent="0.3">
      <c r="D640" s="768"/>
      <c r="E640" s="768"/>
      <c r="F640" s="768"/>
      <c r="G640" s="768"/>
      <c r="H640" s="768"/>
      <c r="I640" s="768"/>
      <c r="J640" s="768"/>
      <c r="K640" s="768"/>
      <c r="L640" s="768"/>
      <c r="M640" s="768"/>
      <c r="N640" s="768"/>
      <c r="O640" s="768"/>
      <c r="P640" s="768"/>
      <c r="Q640" s="768"/>
      <c r="R640" s="768"/>
      <c r="S640" s="768"/>
      <c r="T640" s="768"/>
      <c r="U640" s="768"/>
      <c r="V640" s="768"/>
      <c r="W640" s="768"/>
      <c r="X640" s="768"/>
      <c r="Y640" s="768"/>
      <c r="Z640" s="768"/>
      <c r="AA640" s="768"/>
      <c r="AB640" s="350"/>
    </row>
    <row r="641" spans="4:28" ht="16.5" customHeight="1" x14ac:dyDescent="0.3">
      <c r="D641" s="768"/>
      <c r="E641" s="768"/>
      <c r="F641" s="768"/>
      <c r="G641" s="768"/>
      <c r="H641" s="768"/>
      <c r="I641" s="768"/>
      <c r="J641" s="768"/>
      <c r="K641" s="768"/>
      <c r="L641" s="768"/>
      <c r="M641" s="768"/>
      <c r="N641" s="768"/>
      <c r="O641" s="768"/>
      <c r="P641" s="768"/>
      <c r="Q641" s="768"/>
      <c r="R641" s="768"/>
      <c r="S641" s="768"/>
      <c r="T641" s="768"/>
      <c r="U641" s="768"/>
      <c r="V641" s="768"/>
      <c r="W641" s="768"/>
      <c r="X641" s="768"/>
      <c r="Y641" s="768"/>
      <c r="Z641" s="768"/>
      <c r="AA641" s="768"/>
      <c r="AB641" s="350"/>
    </row>
    <row r="642" spans="4:28" ht="16.5" customHeight="1" x14ac:dyDescent="0.3">
      <c r="D642" s="768"/>
      <c r="E642" s="768"/>
      <c r="F642" s="768"/>
      <c r="G642" s="768"/>
      <c r="H642" s="768"/>
      <c r="I642" s="768"/>
      <c r="J642" s="768"/>
      <c r="K642" s="768"/>
      <c r="L642" s="768"/>
      <c r="M642" s="768"/>
      <c r="N642" s="768"/>
      <c r="O642" s="768"/>
      <c r="P642" s="768"/>
      <c r="Q642" s="768"/>
      <c r="R642" s="768"/>
      <c r="S642" s="768"/>
      <c r="T642" s="768"/>
      <c r="U642" s="768"/>
      <c r="V642" s="768"/>
      <c r="W642" s="768"/>
      <c r="X642" s="768"/>
      <c r="Y642" s="768"/>
      <c r="Z642" s="768"/>
      <c r="AA642" s="768"/>
      <c r="AB642" s="350"/>
    </row>
    <row r="643" spans="4:28" ht="16.5" customHeight="1" x14ac:dyDescent="0.3">
      <c r="D643" s="768"/>
      <c r="E643" s="768"/>
      <c r="F643" s="768"/>
      <c r="G643" s="768"/>
      <c r="H643" s="768"/>
      <c r="I643" s="768"/>
      <c r="J643" s="768"/>
      <c r="K643" s="768"/>
      <c r="L643" s="768"/>
      <c r="M643" s="768"/>
      <c r="N643" s="768"/>
      <c r="O643" s="768"/>
      <c r="P643" s="768"/>
      <c r="Q643" s="768"/>
      <c r="R643" s="768"/>
      <c r="S643" s="768"/>
      <c r="T643" s="768"/>
      <c r="U643" s="768"/>
      <c r="V643" s="768"/>
      <c r="W643" s="768"/>
      <c r="X643" s="768"/>
      <c r="Y643" s="768"/>
      <c r="Z643" s="768"/>
      <c r="AA643" s="768"/>
      <c r="AB643" s="350"/>
    </row>
    <row r="644" spans="4:28" ht="16.5" customHeight="1" x14ac:dyDescent="0.3">
      <c r="D644" s="768"/>
      <c r="E644" s="768"/>
      <c r="F644" s="768"/>
      <c r="G644" s="768"/>
      <c r="H644" s="768"/>
      <c r="I644" s="768"/>
      <c r="J644" s="768"/>
      <c r="K644" s="768"/>
      <c r="L644" s="768"/>
      <c r="M644" s="768"/>
      <c r="N644" s="768"/>
      <c r="O644" s="768"/>
      <c r="P644" s="768"/>
      <c r="Q644" s="768"/>
      <c r="R644" s="768"/>
      <c r="S644" s="768"/>
      <c r="T644" s="768"/>
      <c r="U644" s="768"/>
      <c r="V644" s="768"/>
      <c r="W644" s="768"/>
      <c r="X644" s="768"/>
      <c r="Y644" s="768"/>
      <c r="Z644" s="768"/>
      <c r="AA644" s="768"/>
      <c r="AB644" s="350"/>
    </row>
    <row r="645" spans="4:28" ht="16.5" customHeight="1" x14ac:dyDescent="0.3">
      <c r="D645" s="768"/>
      <c r="E645" s="768"/>
      <c r="F645" s="768"/>
      <c r="G645" s="768"/>
      <c r="H645" s="768"/>
      <c r="I645" s="768"/>
      <c r="J645" s="768"/>
      <c r="K645" s="768"/>
      <c r="L645" s="768"/>
      <c r="M645" s="768"/>
      <c r="N645" s="768"/>
      <c r="O645" s="768"/>
      <c r="P645" s="768"/>
      <c r="Q645" s="768"/>
      <c r="R645" s="768"/>
      <c r="S645" s="768"/>
      <c r="T645" s="768"/>
      <c r="U645" s="768"/>
      <c r="V645" s="768"/>
      <c r="W645" s="768"/>
      <c r="X645" s="768"/>
      <c r="Y645" s="768"/>
      <c r="Z645" s="768"/>
      <c r="AA645" s="768"/>
      <c r="AB645" s="350"/>
    </row>
    <row r="646" spans="4:28" ht="16.5" customHeight="1" x14ac:dyDescent="0.3">
      <c r="D646" s="768"/>
      <c r="E646" s="768"/>
      <c r="F646" s="768"/>
      <c r="G646" s="768"/>
      <c r="H646" s="768"/>
      <c r="I646" s="768"/>
      <c r="J646" s="768"/>
      <c r="K646" s="768"/>
      <c r="L646" s="768"/>
      <c r="M646" s="768"/>
      <c r="N646" s="768"/>
      <c r="O646" s="768"/>
      <c r="P646" s="768"/>
      <c r="Q646" s="768"/>
      <c r="R646" s="768"/>
      <c r="S646" s="768"/>
      <c r="T646" s="768"/>
      <c r="U646" s="768"/>
      <c r="V646" s="768"/>
      <c r="W646" s="768"/>
      <c r="X646" s="768"/>
      <c r="Y646" s="768"/>
      <c r="Z646" s="768"/>
      <c r="AA646" s="768"/>
      <c r="AB646" s="350"/>
    </row>
    <row r="647" spans="4:28" ht="16.5" customHeight="1" x14ac:dyDescent="0.3">
      <c r="D647" s="768"/>
      <c r="E647" s="768"/>
      <c r="F647" s="768"/>
      <c r="G647" s="768"/>
      <c r="H647" s="768"/>
      <c r="I647" s="768"/>
      <c r="J647" s="768"/>
      <c r="K647" s="768"/>
      <c r="L647" s="768"/>
      <c r="M647" s="768"/>
      <c r="N647" s="768"/>
      <c r="O647" s="768"/>
      <c r="P647" s="768"/>
      <c r="Q647" s="768"/>
      <c r="R647" s="768"/>
      <c r="S647" s="768"/>
      <c r="T647" s="768"/>
      <c r="U647" s="768"/>
      <c r="V647" s="768"/>
      <c r="W647" s="768"/>
      <c r="X647" s="768"/>
      <c r="Y647" s="768"/>
      <c r="Z647" s="768"/>
      <c r="AA647" s="768"/>
      <c r="AB647" s="350"/>
    </row>
    <row r="648" spans="4:28" ht="16.5" customHeight="1" x14ac:dyDescent="0.3">
      <c r="D648" s="768"/>
      <c r="E648" s="768"/>
      <c r="F648" s="768"/>
      <c r="G648" s="768"/>
      <c r="H648" s="768"/>
      <c r="I648" s="768"/>
      <c r="J648" s="768"/>
      <c r="K648" s="768"/>
      <c r="L648" s="768"/>
      <c r="M648" s="768"/>
      <c r="N648" s="768"/>
      <c r="O648" s="768"/>
      <c r="P648" s="768"/>
      <c r="Q648" s="768"/>
      <c r="R648" s="768"/>
      <c r="S648" s="768"/>
      <c r="T648" s="768"/>
      <c r="U648" s="768"/>
      <c r="V648" s="768"/>
      <c r="W648" s="768"/>
      <c r="X648" s="768"/>
      <c r="Y648" s="768"/>
      <c r="Z648" s="768"/>
      <c r="AA648" s="768"/>
      <c r="AB648" s="350"/>
    </row>
    <row r="649" spans="4:28" ht="16.5" customHeight="1" x14ac:dyDescent="0.3">
      <c r="D649" s="768"/>
      <c r="E649" s="768"/>
      <c r="F649" s="768"/>
      <c r="G649" s="768"/>
      <c r="H649" s="768"/>
      <c r="I649" s="768"/>
      <c r="J649" s="768"/>
      <c r="K649" s="768"/>
      <c r="L649" s="768"/>
      <c r="M649" s="768"/>
      <c r="N649" s="768"/>
      <c r="O649" s="768"/>
      <c r="P649" s="768"/>
      <c r="Q649" s="768"/>
      <c r="R649" s="768"/>
      <c r="S649" s="768"/>
      <c r="T649" s="768"/>
      <c r="U649" s="768"/>
      <c r="V649" s="768"/>
      <c r="W649" s="768"/>
      <c r="X649" s="768"/>
      <c r="Y649" s="768"/>
      <c r="Z649" s="768"/>
      <c r="AA649" s="768"/>
      <c r="AB649" s="350"/>
    </row>
    <row r="650" spans="4:28" ht="17.25" customHeight="1" x14ac:dyDescent="0.3">
      <c r="D650" s="768"/>
      <c r="E650" s="768"/>
      <c r="F650" s="768"/>
      <c r="G650" s="768"/>
      <c r="H650" s="768"/>
      <c r="I650" s="768"/>
      <c r="J650" s="768"/>
      <c r="K650" s="768"/>
      <c r="L650" s="768"/>
      <c r="M650" s="768"/>
      <c r="N650" s="768"/>
      <c r="O650" s="768"/>
      <c r="P650" s="768"/>
      <c r="Q650" s="768"/>
      <c r="R650" s="768"/>
      <c r="S650" s="768"/>
      <c r="T650" s="768"/>
      <c r="U650" s="768"/>
      <c r="V650" s="768"/>
      <c r="W650" s="768"/>
      <c r="X650" s="768"/>
      <c r="Y650" s="768"/>
      <c r="Z650" s="768"/>
      <c r="AA650" s="768"/>
      <c r="AB650" s="350"/>
    </row>
    <row r="651" spans="4:28" ht="16.5" customHeight="1" x14ac:dyDescent="0.3">
      <c r="D651" s="768"/>
      <c r="E651" s="768"/>
      <c r="F651" s="768"/>
      <c r="G651" s="768"/>
      <c r="H651" s="768"/>
      <c r="I651" s="768"/>
      <c r="J651" s="768"/>
      <c r="K651" s="768"/>
      <c r="L651" s="768"/>
      <c r="M651" s="768"/>
      <c r="N651" s="768"/>
      <c r="O651" s="768"/>
      <c r="P651" s="768"/>
      <c r="Q651" s="768"/>
      <c r="R651" s="768"/>
      <c r="S651" s="768"/>
      <c r="T651" s="768"/>
      <c r="U651" s="768"/>
      <c r="V651" s="768"/>
      <c r="W651" s="768"/>
      <c r="X651" s="768"/>
      <c r="Y651" s="768"/>
      <c r="Z651" s="768"/>
      <c r="AA651" s="768"/>
      <c r="AB651" s="350"/>
    </row>
    <row r="652" spans="4:28" ht="16.5" customHeight="1" x14ac:dyDescent="0.3">
      <c r="D652" s="768"/>
      <c r="E652" s="768"/>
      <c r="F652" s="768"/>
      <c r="G652" s="768"/>
      <c r="H652" s="768"/>
      <c r="I652" s="768"/>
      <c r="J652" s="768"/>
      <c r="K652" s="768"/>
      <c r="L652" s="768"/>
      <c r="M652" s="768"/>
      <c r="N652" s="768"/>
      <c r="O652" s="768"/>
      <c r="P652" s="768"/>
      <c r="Q652" s="768"/>
      <c r="R652" s="768"/>
      <c r="S652" s="768"/>
      <c r="T652" s="768"/>
      <c r="U652" s="768"/>
      <c r="V652" s="768"/>
      <c r="W652" s="768"/>
      <c r="X652" s="768"/>
      <c r="Y652" s="768"/>
      <c r="Z652" s="768"/>
      <c r="AA652" s="768"/>
    </row>
    <row r="653" spans="4:28" ht="16.5" customHeight="1" x14ac:dyDescent="0.3">
      <c r="D653" s="768"/>
      <c r="E653" s="768"/>
      <c r="F653" s="768"/>
      <c r="G653" s="768"/>
      <c r="H653" s="768"/>
      <c r="I653" s="768"/>
      <c r="J653" s="768"/>
      <c r="K653" s="768"/>
      <c r="L653" s="768"/>
      <c r="M653" s="768"/>
      <c r="N653" s="768"/>
      <c r="O653" s="768"/>
      <c r="P653" s="768"/>
      <c r="Q653" s="768"/>
      <c r="R653" s="768"/>
      <c r="S653" s="768"/>
      <c r="T653" s="768"/>
      <c r="U653" s="768"/>
      <c r="V653" s="768"/>
      <c r="W653" s="768"/>
      <c r="X653" s="768"/>
      <c r="Y653" s="768"/>
      <c r="Z653" s="768"/>
      <c r="AA653" s="768"/>
    </row>
    <row r="654" spans="4:28" ht="16.5" customHeight="1" x14ac:dyDescent="0.3">
      <c r="D654" s="768"/>
      <c r="E654" s="768"/>
      <c r="F654" s="768"/>
      <c r="G654" s="768"/>
      <c r="H654" s="768"/>
      <c r="I654" s="768"/>
      <c r="J654" s="768"/>
      <c r="K654" s="768"/>
      <c r="L654" s="768"/>
      <c r="M654" s="768"/>
      <c r="N654" s="768"/>
      <c r="O654" s="768"/>
      <c r="P654" s="768"/>
      <c r="Q654" s="768"/>
      <c r="R654" s="768"/>
      <c r="S654" s="768"/>
      <c r="T654" s="768"/>
      <c r="U654" s="768"/>
      <c r="V654" s="768"/>
      <c r="W654" s="768"/>
      <c r="X654" s="768"/>
      <c r="Y654" s="768"/>
      <c r="Z654" s="768"/>
      <c r="AA654" s="768"/>
    </row>
    <row r="655" spans="4:28" ht="16.5" customHeight="1" x14ac:dyDescent="0.3">
      <c r="D655" s="768"/>
      <c r="E655" s="768"/>
      <c r="F655" s="768"/>
      <c r="G655" s="768"/>
      <c r="H655" s="768"/>
      <c r="I655" s="768"/>
      <c r="J655" s="768"/>
      <c r="K655" s="768"/>
      <c r="L655" s="768"/>
      <c r="M655" s="768"/>
      <c r="N655" s="768"/>
      <c r="O655" s="768"/>
      <c r="P655" s="768"/>
      <c r="Q655" s="768"/>
      <c r="R655" s="768"/>
      <c r="S655" s="768"/>
      <c r="T655" s="768"/>
      <c r="U655" s="768"/>
      <c r="V655" s="768"/>
      <c r="W655" s="768"/>
      <c r="X655" s="768"/>
      <c r="Y655" s="768"/>
      <c r="Z655" s="768"/>
      <c r="AA655" s="768"/>
    </row>
    <row r="656" spans="4:28" ht="16.5" customHeight="1" x14ac:dyDescent="0.3">
      <c r="D656" s="768"/>
      <c r="E656" s="768"/>
      <c r="F656" s="768"/>
      <c r="G656" s="768"/>
      <c r="H656" s="768"/>
      <c r="I656" s="768"/>
      <c r="J656" s="768"/>
      <c r="K656" s="768"/>
      <c r="L656" s="768"/>
      <c r="M656" s="768"/>
      <c r="N656" s="768"/>
      <c r="O656" s="768"/>
      <c r="P656" s="768"/>
      <c r="Q656" s="768"/>
      <c r="R656" s="768"/>
      <c r="S656" s="768"/>
      <c r="T656" s="768"/>
      <c r="U656" s="768"/>
      <c r="V656" s="768"/>
      <c r="W656" s="768"/>
      <c r="X656" s="768"/>
      <c r="Y656" s="768"/>
      <c r="Z656" s="768"/>
      <c r="AA656" s="768"/>
    </row>
    <row r="657" spans="4:27" ht="16.5" customHeight="1" x14ac:dyDescent="0.3">
      <c r="D657" s="768"/>
      <c r="E657" s="768"/>
      <c r="F657" s="768"/>
      <c r="G657" s="768"/>
      <c r="H657" s="768"/>
      <c r="I657" s="768"/>
      <c r="J657" s="768"/>
      <c r="K657" s="768"/>
      <c r="L657" s="768"/>
      <c r="M657" s="768"/>
      <c r="N657" s="768"/>
      <c r="O657" s="768"/>
      <c r="P657" s="768"/>
      <c r="Q657" s="768"/>
      <c r="R657" s="768"/>
      <c r="S657" s="768"/>
      <c r="T657" s="768"/>
      <c r="U657" s="768"/>
      <c r="V657" s="768"/>
      <c r="W657" s="768"/>
      <c r="X657" s="768"/>
      <c r="Y657" s="768"/>
      <c r="Z657" s="768"/>
      <c r="AA657" s="768"/>
    </row>
    <row r="658" spans="4:27" ht="16.5" customHeight="1" x14ac:dyDescent="0.3">
      <c r="D658" s="768"/>
      <c r="E658" s="768"/>
      <c r="F658" s="768"/>
      <c r="G658" s="768"/>
      <c r="H658" s="768"/>
      <c r="I658" s="768"/>
      <c r="J658" s="768"/>
      <c r="K658" s="768"/>
      <c r="L658" s="768"/>
      <c r="M658" s="768"/>
      <c r="N658" s="768"/>
      <c r="O658" s="768"/>
      <c r="P658" s="768"/>
      <c r="Q658" s="768"/>
      <c r="R658" s="768"/>
      <c r="S658" s="768"/>
      <c r="T658" s="768"/>
      <c r="U658" s="768"/>
      <c r="V658" s="768"/>
      <c r="W658" s="768"/>
      <c r="X658" s="768"/>
      <c r="Y658" s="768"/>
      <c r="Z658" s="768"/>
      <c r="AA658" s="768"/>
    </row>
    <row r="659" spans="4:27" ht="16.5" customHeight="1" x14ac:dyDescent="0.3">
      <c r="D659" s="768"/>
      <c r="E659" s="768"/>
      <c r="F659" s="768"/>
      <c r="G659" s="768"/>
      <c r="H659" s="768"/>
      <c r="I659" s="768"/>
      <c r="J659" s="768"/>
      <c r="K659" s="768"/>
      <c r="L659" s="768"/>
      <c r="M659" s="768"/>
      <c r="N659" s="768"/>
      <c r="O659" s="768"/>
      <c r="P659" s="768"/>
      <c r="Q659" s="768"/>
      <c r="R659" s="768"/>
      <c r="S659" s="768"/>
      <c r="T659" s="768"/>
      <c r="U659" s="768"/>
      <c r="V659" s="768"/>
      <c r="W659" s="768"/>
      <c r="X659" s="768"/>
      <c r="Y659" s="768"/>
      <c r="Z659" s="768"/>
      <c r="AA659" s="768"/>
    </row>
    <row r="660" spans="4:27" ht="16.5" customHeight="1" x14ac:dyDescent="0.3">
      <c r="D660" s="768"/>
      <c r="E660" s="768"/>
      <c r="F660" s="768"/>
      <c r="G660" s="768"/>
      <c r="H660" s="768"/>
      <c r="I660" s="768"/>
      <c r="J660" s="768"/>
      <c r="K660" s="768"/>
      <c r="L660" s="768"/>
      <c r="M660" s="768"/>
      <c r="N660" s="768"/>
      <c r="O660" s="768"/>
      <c r="P660" s="768"/>
      <c r="Q660" s="768"/>
      <c r="R660" s="768"/>
      <c r="S660" s="768"/>
      <c r="T660" s="768"/>
      <c r="U660" s="768"/>
      <c r="V660" s="768"/>
      <c r="W660" s="768"/>
      <c r="X660" s="768"/>
      <c r="Y660" s="768"/>
      <c r="Z660" s="768"/>
      <c r="AA660" s="768"/>
    </row>
    <row r="661" spans="4:27" ht="16.5" customHeight="1" x14ac:dyDescent="0.3">
      <c r="D661" s="768"/>
      <c r="E661" s="768"/>
      <c r="F661" s="768"/>
      <c r="G661" s="768"/>
      <c r="H661" s="768"/>
      <c r="I661" s="768"/>
      <c r="J661" s="768"/>
      <c r="K661" s="768"/>
      <c r="L661" s="768"/>
      <c r="M661" s="768"/>
      <c r="N661" s="768"/>
      <c r="O661" s="768"/>
      <c r="P661" s="768"/>
      <c r="Q661" s="768"/>
      <c r="R661" s="768"/>
      <c r="S661" s="768"/>
      <c r="T661" s="768"/>
      <c r="U661" s="768"/>
      <c r="V661" s="768"/>
      <c r="W661" s="768"/>
      <c r="X661" s="768"/>
      <c r="Y661" s="768"/>
      <c r="Z661" s="768"/>
      <c r="AA661" s="768"/>
    </row>
    <row r="662" spans="4:27" ht="16.5" customHeight="1" x14ac:dyDescent="0.3">
      <c r="D662" s="768"/>
      <c r="E662" s="768"/>
      <c r="F662" s="768"/>
      <c r="G662" s="768"/>
      <c r="H662" s="768"/>
      <c r="I662" s="768"/>
      <c r="J662" s="768"/>
      <c r="K662" s="768"/>
      <c r="L662" s="768"/>
      <c r="M662" s="768"/>
      <c r="N662" s="768"/>
      <c r="O662" s="768"/>
      <c r="P662" s="768"/>
      <c r="Q662" s="768"/>
      <c r="R662" s="768"/>
      <c r="S662" s="768"/>
      <c r="T662" s="768"/>
      <c r="U662" s="768"/>
      <c r="V662" s="768"/>
      <c r="W662" s="768"/>
      <c r="X662" s="768"/>
      <c r="Y662" s="768"/>
      <c r="Z662" s="768"/>
      <c r="AA662" s="768"/>
    </row>
    <row r="663" spans="4:27" ht="16.5" customHeight="1" x14ac:dyDescent="0.3">
      <c r="D663" s="768"/>
      <c r="E663" s="768"/>
      <c r="F663" s="768"/>
      <c r="G663" s="768"/>
      <c r="H663" s="768"/>
      <c r="I663" s="768"/>
      <c r="J663" s="768"/>
      <c r="K663" s="768"/>
      <c r="L663" s="768"/>
      <c r="M663" s="768"/>
      <c r="N663" s="768"/>
      <c r="O663" s="768"/>
      <c r="P663" s="768"/>
      <c r="Q663" s="768"/>
      <c r="R663" s="768"/>
      <c r="S663" s="768"/>
      <c r="T663" s="768"/>
      <c r="U663" s="768"/>
      <c r="V663" s="768"/>
      <c r="W663" s="768"/>
      <c r="X663" s="768"/>
      <c r="Y663" s="768"/>
      <c r="Z663" s="768"/>
      <c r="AA663" s="768"/>
    </row>
    <row r="664" spans="4:27" ht="16.5" customHeight="1" x14ac:dyDescent="0.3">
      <c r="D664" s="768"/>
      <c r="E664" s="768"/>
      <c r="F664" s="768"/>
      <c r="G664" s="768"/>
      <c r="H664" s="768"/>
      <c r="I664" s="768"/>
      <c r="J664" s="768"/>
      <c r="K664" s="768"/>
      <c r="L664" s="768"/>
      <c r="M664" s="768"/>
      <c r="N664" s="768"/>
      <c r="O664" s="768"/>
      <c r="P664" s="768"/>
      <c r="Q664" s="768"/>
      <c r="R664" s="768"/>
      <c r="S664" s="768"/>
      <c r="T664" s="768"/>
      <c r="U664" s="768"/>
      <c r="V664" s="768"/>
      <c r="W664" s="768"/>
      <c r="X664" s="768"/>
      <c r="Y664" s="768"/>
      <c r="Z664" s="768"/>
      <c r="AA664" s="768"/>
    </row>
    <row r="665" spans="4:27" ht="16.5" customHeight="1" x14ac:dyDescent="0.3">
      <c r="D665" s="768"/>
      <c r="E665" s="768"/>
      <c r="F665" s="768"/>
      <c r="G665" s="768"/>
      <c r="H665" s="768"/>
      <c r="I665" s="768"/>
      <c r="J665" s="768"/>
      <c r="K665" s="768"/>
      <c r="L665" s="768"/>
      <c r="M665" s="768"/>
      <c r="N665" s="768"/>
      <c r="O665" s="768"/>
      <c r="P665" s="768"/>
      <c r="Q665" s="768"/>
      <c r="R665" s="768"/>
      <c r="S665" s="768"/>
      <c r="T665" s="768"/>
      <c r="U665" s="768"/>
      <c r="V665" s="768"/>
      <c r="W665" s="768"/>
      <c r="X665" s="768"/>
      <c r="Y665" s="768"/>
      <c r="Z665" s="768"/>
      <c r="AA665" s="768"/>
    </row>
    <row r="666" spans="4:27" ht="16.5" customHeight="1" x14ac:dyDescent="0.3">
      <c r="D666" s="768"/>
      <c r="E666" s="768"/>
      <c r="F666" s="768"/>
      <c r="G666" s="768"/>
      <c r="H666" s="768"/>
      <c r="I666" s="768"/>
      <c r="J666" s="768"/>
      <c r="K666" s="768"/>
      <c r="L666" s="768"/>
      <c r="M666" s="768"/>
      <c r="N666" s="768"/>
      <c r="O666" s="768"/>
      <c r="P666" s="768"/>
      <c r="Q666" s="768"/>
      <c r="R666" s="768"/>
      <c r="S666" s="768"/>
      <c r="T666" s="768"/>
      <c r="U666" s="768"/>
      <c r="V666" s="768"/>
      <c r="W666" s="768"/>
      <c r="X666" s="768"/>
      <c r="Y666" s="768"/>
      <c r="Z666" s="768"/>
      <c r="AA666" s="768"/>
    </row>
    <row r="667" spans="4:27" ht="16.5" customHeight="1" x14ac:dyDescent="0.3">
      <c r="D667" s="768"/>
      <c r="E667" s="768"/>
      <c r="F667" s="768"/>
      <c r="G667" s="768"/>
      <c r="H667" s="768"/>
      <c r="I667" s="768"/>
      <c r="J667" s="768"/>
      <c r="K667" s="768"/>
      <c r="L667" s="768"/>
      <c r="M667" s="768"/>
      <c r="N667" s="768"/>
      <c r="O667" s="768"/>
      <c r="P667" s="768"/>
      <c r="Q667" s="768"/>
      <c r="R667" s="768"/>
      <c r="S667" s="768"/>
      <c r="T667" s="768"/>
      <c r="U667" s="768"/>
      <c r="V667" s="768"/>
      <c r="W667" s="768"/>
      <c r="X667" s="768"/>
      <c r="Y667" s="768"/>
      <c r="Z667" s="768"/>
      <c r="AA667" s="768"/>
    </row>
    <row r="668" spans="4:27" ht="16.5" customHeight="1" x14ac:dyDescent="0.3">
      <c r="D668" s="768"/>
      <c r="E668" s="768"/>
      <c r="F668" s="768"/>
      <c r="G668" s="768"/>
      <c r="H668" s="768"/>
      <c r="I668" s="768"/>
      <c r="J668" s="768"/>
      <c r="K668" s="768"/>
      <c r="L668" s="768"/>
      <c r="M668" s="768"/>
      <c r="N668" s="768"/>
      <c r="O668" s="768"/>
      <c r="P668" s="768"/>
      <c r="Q668" s="768"/>
      <c r="R668" s="768"/>
      <c r="S668" s="768"/>
      <c r="T668" s="768"/>
      <c r="U668" s="768"/>
      <c r="V668" s="768"/>
      <c r="W668" s="768"/>
      <c r="X668" s="768"/>
      <c r="Y668" s="768"/>
      <c r="Z668" s="768"/>
      <c r="AA668" s="768"/>
    </row>
    <row r="669" spans="4:27" ht="16.5" customHeight="1" x14ac:dyDescent="0.3">
      <c r="D669" s="768"/>
      <c r="E669" s="768"/>
      <c r="F669" s="768"/>
      <c r="G669" s="768"/>
      <c r="H669" s="768"/>
      <c r="I669" s="768"/>
      <c r="J669" s="768"/>
      <c r="K669" s="768"/>
      <c r="L669" s="768"/>
      <c r="M669" s="768"/>
      <c r="N669" s="768"/>
      <c r="O669" s="768"/>
      <c r="P669" s="768"/>
      <c r="Q669" s="768"/>
      <c r="R669" s="768"/>
      <c r="S669" s="768"/>
      <c r="T669" s="768"/>
      <c r="U669" s="768"/>
      <c r="V669" s="768"/>
      <c r="W669" s="768"/>
      <c r="X669" s="768"/>
      <c r="Y669" s="768"/>
      <c r="Z669" s="768"/>
      <c r="AA669" s="768"/>
    </row>
    <row r="670" spans="4:27" ht="16.5" customHeight="1" x14ac:dyDescent="0.3">
      <c r="D670" s="768"/>
      <c r="E670" s="768"/>
      <c r="F670" s="768"/>
      <c r="G670" s="768"/>
      <c r="H670" s="768"/>
      <c r="I670" s="768"/>
      <c r="J670" s="768"/>
      <c r="K670" s="768"/>
      <c r="L670" s="768"/>
      <c r="M670" s="768"/>
      <c r="N670" s="768"/>
      <c r="O670" s="768"/>
      <c r="P670" s="768"/>
      <c r="Q670" s="768"/>
      <c r="R670" s="768"/>
      <c r="S670" s="768"/>
      <c r="T670" s="768"/>
      <c r="U670" s="768"/>
      <c r="V670" s="768"/>
      <c r="W670" s="768"/>
      <c r="X670" s="768"/>
      <c r="Y670" s="768"/>
      <c r="Z670" s="768"/>
      <c r="AA670" s="768"/>
    </row>
    <row r="671" spans="4:27" ht="16.5" customHeight="1" x14ac:dyDescent="0.3">
      <c r="D671" s="768"/>
      <c r="E671" s="768"/>
      <c r="F671" s="768"/>
      <c r="G671" s="768"/>
      <c r="H671" s="768"/>
      <c r="I671" s="768"/>
      <c r="J671" s="768"/>
      <c r="K671" s="768"/>
      <c r="L671" s="768"/>
      <c r="M671" s="768"/>
      <c r="N671" s="768"/>
      <c r="O671" s="768"/>
      <c r="P671" s="768"/>
      <c r="Q671" s="768"/>
      <c r="R671" s="768"/>
      <c r="S671" s="768"/>
      <c r="T671" s="768"/>
      <c r="U671" s="768"/>
      <c r="V671" s="768"/>
      <c r="W671" s="768"/>
      <c r="X671" s="768"/>
      <c r="Y671" s="768"/>
      <c r="Z671" s="768"/>
      <c r="AA671" s="768"/>
    </row>
    <row r="672" spans="4:27" ht="16.5" customHeight="1" x14ac:dyDescent="0.3">
      <c r="D672" s="768"/>
      <c r="E672" s="768"/>
      <c r="F672" s="768"/>
      <c r="G672" s="768"/>
      <c r="H672" s="768"/>
      <c r="I672" s="768"/>
      <c r="J672" s="768"/>
      <c r="K672" s="768"/>
      <c r="L672" s="768"/>
      <c r="M672" s="768"/>
      <c r="N672" s="768"/>
      <c r="O672" s="768"/>
      <c r="P672" s="768"/>
      <c r="Q672" s="768"/>
      <c r="R672" s="768"/>
      <c r="S672" s="768"/>
      <c r="T672" s="768"/>
      <c r="U672" s="768"/>
      <c r="V672" s="768"/>
      <c r="W672" s="768"/>
      <c r="X672" s="768"/>
      <c r="Y672" s="768"/>
      <c r="Z672" s="768"/>
      <c r="AA672" s="768"/>
    </row>
    <row r="673" spans="4:27" ht="16.5" customHeight="1" x14ac:dyDescent="0.3">
      <c r="D673" s="768"/>
      <c r="E673" s="768"/>
      <c r="F673" s="768"/>
      <c r="G673" s="768"/>
      <c r="H673" s="768"/>
      <c r="I673" s="768"/>
      <c r="J673" s="768"/>
      <c r="K673" s="768"/>
      <c r="L673" s="768"/>
      <c r="M673" s="768"/>
      <c r="N673" s="768"/>
      <c r="O673" s="768"/>
      <c r="P673" s="768"/>
      <c r="Q673" s="768"/>
      <c r="R673" s="768"/>
      <c r="S673" s="768"/>
      <c r="T673" s="768"/>
      <c r="U673" s="768"/>
      <c r="V673" s="768"/>
      <c r="W673" s="768"/>
      <c r="X673" s="768"/>
      <c r="Y673" s="768"/>
      <c r="Z673" s="768"/>
      <c r="AA673" s="768"/>
    </row>
    <row r="674" spans="4:27" ht="16.5" customHeight="1" x14ac:dyDescent="0.3">
      <c r="D674" s="768"/>
      <c r="E674" s="768"/>
      <c r="F674" s="768"/>
      <c r="G674" s="768"/>
      <c r="H674" s="768"/>
      <c r="I674" s="768"/>
      <c r="J674" s="768"/>
      <c r="K674" s="768"/>
      <c r="L674" s="768"/>
      <c r="M674" s="768"/>
      <c r="N674" s="768"/>
      <c r="O674" s="768"/>
      <c r="P674" s="768"/>
      <c r="Q674" s="768"/>
      <c r="R674" s="768"/>
      <c r="S674" s="768"/>
      <c r="T674" s="768"/>
      <c r="U674" s="768"/>
      <c r="V674" s="768"/>
      <c r="W674" s="768"/>
      <c r="X674" s="768"/>
      <c r="Y674" s="768"/>
      <c r="Z674" s="768"/>
      <c r="AA674" s="768"/>
    </row>
    <row r="675" spans="4:27" ht="16.5" customHeight="1" x14ac:dyDescent="0.3">
      <c r="D675" s="768"/>
      <c r="E675" s="768"/>
      <c r="F675" s="768"/>
      <c r="G675" s="768"/>
      <c r="H675" s="768"/>
      <c r="I675" s="768"/>
      <c r="J675" s="768"/>
      <c r="K675" s="768"/>
      <c r="L675" s="768"/>
      <c r="M675" s="768"/>
      <c r="N675" s="768"/>
      <c r="O675" s="768"/>
      <c r="P675" s="768"/>
      <c r="Q675" s="768"/>
      <c r="R675" s="768"/>
      <c r="S675" s="768"/>
      <c r="T675" s="768"/>
      <c r="U675" s="768"/>
      <c r="V675" s="768"/>
      <c r="W675" s="768"/>
      <c r="X675" s="768"/>
      <c r="Y675" s="768"/>
      <c r="Z675" s="768"/>
      <c r="AA675" s="768"/>
    </row>
    <row r="676" spans="4:27" ht="16.5" customHeight="1" x14ac:dyDescent="0.3">
      <c r="D676" s="768"/>
      <c r="E676" s="768"/>
      <c r="F676" s="768"/>
      <c r="G676" s="768"/>
      <c r="H676" s="768"/>
      <c r="I676" s="768"/>
      <c r="J676" s="768"/>
      <c r="K676" s="768"/>
      <c r="L676" s="768"/>
      <c r="M676" s="768"/>
      <c r="N676" s="768"/>
      <c r="O676" s="768"/>
      <c r="P676" s="768"/>
      <c r="Q676" s="768"/>
      <c r="R676" s="768"/>
      <c r="S676" s="768"/>
      <c r="T676" s="768"/>
      <c r="U676" s="768"/>
      <c r="V676" s="768"/>
      <c r="W676" s="768"/>
      <c r="X676" s="768"/>
      <c r="Y676" s="768"/>
      <c r="Z676" s="768"/>
      <c r="AA676" s="768"/>
    </row>
    <row r="677" spans="4:27" ht="16.5" customHeight="1" x14ac:dyDescent="0.3">
      <c r="D677" s="768"/>
      <c r="E677" s="768"/>
      <c r="F677" s="768"/>
      <c r="G677" s="768"/>
      <c r="H677" s="768"/>
      <c r="I677" s="768"/>
      <c r="J677" s="768"/>
      <c r="K677" s="768"/>
      <c r="L677" s="768"/>
      <c r="M677" s="768"/>
      <c r="N677" s="768"/>
      <c r="O677" s="768"/>
      <c r="P677" s="768"/>
      <c r="Q677" s="768"/>
      <c r="R677" s="768"/>
      <c r="S677" s="768"/>
      <c r="T677" s="768"/>
      <c r="U677" s="768"/>
      <c r="V677" s="768"/>
      <c r="W677" s="768"/>
      <c r="X677" s="768"/>
      <c r="Y677" s="768"/>
      <c r="Z677" s="768"/>
      <c r="AA677" s="768"/>
    </row>
    <row r="678" spans="4:27" ht="16.5" customHeight="1" x14ac:dyDescent="0.3">
      <c r="D678" s="768"/>
      <c r="E678" s="768"/>
      <c r="F678" s="768"/>
      <c r="G678" s="768"/>
      <c r="H678" s="768"/>
      <c r="I678" s="768"/>
      <c r="J678" s="768"/>
      <c r="K678" s="768"/>
      <c r="L678" s="768"/>
      <c r="M678" s="768"/>
      <c r="N678" s="768"/>
      <c r="O678" s="768"/>
      <c r="P678" s="768"/>
      <c r="Q678" s="768"/>
      <c r="R678" s="768"/>
      <c r="S678" s="768"/>
      <c r="T678" s="768"/>
      <c r="U678" s="768"/>
      <c r="V678" s="768"/>
      <c r="W678" s="768"/>
      <c r="X678" s="768"/>
      <c r="Y678" s="768"/>
      <c r="Z678" s="768"/>
      <c r="AA678" s="768"/>
    </row>
    <row r="679" spans="4:27" ht="16.5" customHeight="1" x14ac:dyDescent="0.3">
      <c r="D679" s="768"/>
      <c r="E679" s="768"/>
      <c r="F679" s="768"/>
      <c r="G679" s="768"/>
      <c r="H679" s="768"/>
      <c r="I679" s="768"/>
      <c r="J679" s="768"/>
      <c r="K679" s="768"/>
      <c r="L679" s="768"/>
      <c r="M679" s="768"/>
      <c r="N679" s="768"/>
      <c r="O679" s="768"/>
      <c r="P679" s="768"/>
      <c r="Q679" s="768"/>
      <c r="R679" s="768"/>
      <c r="S679" s="768"/>
      <c r="T679" s="768"/>
      <c r="U679" s="768"/>
      <c r="V679" s="768"/>
      <c r="W679" s="768"/>
      <c r="X679" s="768"/>
      <c r="Y679" s="768"/>
      <c r="Z679" s="768"/>
      <c r="AA679" s="768"/>
    </row>
    <row r="680" spans="4:27" ht="16.5" customHeight="1" x14ac:dyDescent="0.3">
      <c r="D680" s="768"/>
      <c r="E680" s="768"/>
      <c r="F680" s="768"/>
      <c r="G680" s="768"/>
      <c r="H680" s="768"/>
      <c r="I680" s="768"/>
      <c r="J680" s="768"/>
      <c r="K680" s="768"/>
      <c r="L680" s="768"/>
      <c r="M680" s="768"/>
      <c r="N680" s="768"/>
      <c r="O680" s="768"/>
      <c r="P680" s="768"/>
      <c r="Q680" s="768"/>
      <c r="R680" s="768"/>
      <c r="S680" s="768"/>
      <c r="T680" s="768"/>
      <c r="U680" s="768"/>
      <c r="V680" s="768"/>
      <c r="W680" s="768"/>
      <c r="X680" s="768"/>
      <c r="Y680" s="768"/>
      <c r="Z680" s="768"/>
      <c r="AA680" s="768"/>
    </row>
    <row r="681" spans="4:27" ht="16.5" customHeight="1" x14ac:dyDescent="0.3">
      <c r="D681" s="768"/>
      <c r="E681" s="768"/>
      <c r="F681" s="768"/>
      <c r="G681" s="768"/>
      <c r="H681" s="768"/>
      <c r="I681" s="768"/>
      <c r="J681" s="768"/>
      <c r="K681" s="768"/>
      <c r="L681" s="768"/>
      <c r="M681" s="768"/>
      <c r="N681" s="768"/>
      <c r="O681" s="768"/>
      <c r="P681" s="768"/>
      <c r="Q681" s="768"/>
      <c r="R681" s="768"/>
      <c r="S681" s="768"/>
      <c r="T681" s="768"/>
      <c r="U681" s="768"/>
      <c r="V681" s="768"/>
      <c r="W681" s="768"/>
      <c r="X681" s="768"/>
      <c r="Y681" s="768"/>
      <c r="Z681" s="768"/>
      <c r="AA681" s="768"/>
    </row>
    <row r="682" spans="4:27" ht="16.5" customHeight="1" x14ac:dyDescent="0.3">
      <c r="D682" s="768"/>
      <c r="E682" s="768"/>
      <c r="F682" s="768"/>
      <c r="G682" s="768"/>
      <c r="H682" s="768"/>
      <c r="I682" s="768"/>
      <c r="J682" s="768"/>
      <c r="K682" s="768"/>
      <c r="L682" s="768"/>
      <c r="M682" s="768"/>
      <c r="N682" s="768"/>
      <c r="O682" s="768"/>
      <c r="P682" s="768"/>
      <c r="Q682" s="768"/>
      <c r="R682" s="768"/>
      <c r="S682" s="768"/>
      <c r="T682" s="768"/>
      <c r="U682" s="768"/>
      <c r="V682" s="768"/>
      <c r="W682" s="768"/>
      <c r="X682" s="768"/>
      <c r="Y682" s="768"/>
      <c r="Z682" s="768"/>
      <c r="AA682" s="768"/>
    </row>
    <row r="683" spans="4:27" ht="16.5" customHeight="1" x14ac:dyDescent="0.3">
      <c r="D683" s="768"/>
      <c r="E683" s="768"/>
      <c r="F683" s="768"/>
      <c r="G683" s="768"/>
      <c r="H683" s="768"/>
      <c r="I683" s="768"/>
      <c r="J683" s="768"/>
      <c r="K683" s="768"/>
      <c r="L683" s="768"/>
      <c r="M683" s="768"/>
      <c r="N683" s="768"/>
      <c r="O683" s="768"/>
      <c r="P683" s="768"/>
      <c r="Q683" s="768"/>
      <c r="R683" s="768"/>
      <c r="S683" s="768"/>
      <c r="T683" s="768"/>
      <c r="U683" s="768"/>
      <c r="V683" s="768"/>
      <c r="W683" s="768"/>
      <c r="X683" s="768"/>
      <c r="Y683" s="768"/>
      <c r="Z683" s="768"/>
      <c r="AA683" s="768"/>
    </row>
    <row r="684" spans="4:27" ht="16.5" customHeight="1" x14ac:dyDescent="0.3">
      <c r="D684" s="768"/>
      <c r="E684" s="768"/>
      <c r="F684" s="768"/>
      <c r="G684" s="768"/>
      <c r="H684" s="768"/>
      <c r="I684" s="768"/>
      <c r="J684" s="768"/>
      <c r="K684" s="768"/>
      <c r="L684" s="768"/>
      <c r="M684" s="768"/>
      <c r="N684" s="768"/>
      <c r="O684" s="768"/>
      <c r="P684" s="768"/>
      <c r="Q684" s="768"/>
      <c r="R684" s="768"/>
      <c r="S684" s="768"/>
      <c r="T684" s="768"/>
      <c r="U684" s="768"/>
      <c r="V684" s="768"/>
      <c r="W684" s="768"/>
      <c r="X684" s="768"/>
      <c r="Y684" s="768"/>
      <c r="Z684" s="768"/>
      <c r="AA684" s="768"/>
    </row>
    <row r="685" spans="4:27" ht="16.5" customHeight="1" x14ac:dyDescent="0.3">
      <c r="D685" s="768"/>
      <c r="E685" s="768"/>
      <c r="F685" s="768"/>
      <c r="G685" s="768"/>
      <c r="H685" s="768"/>
      <c r="I685" s="768"/>
      <c r="J685" s="768"/>
      <c r="K685" s="768"/>
      <c r="L685" s="768"/>
      <c r="M685" s="768"/>
      <c r="N685" s="768"/>
      <c r="O685" s="768"/>
      <c r="P685" s="768"/>
      <c r="Q685" s="768"/>
      <c r="R685" s="768"/>
      <c r="S685" s="768"/>
      <c r="T685" s="768"/>
      <c r="U685" s="768"/>
      <c r="V685" s="768"/>
      <c r="W685" s="768"/>
      <c r="X685" s="768"/>
      <c r="Y685" s="768"/>
      <c r="Z685" s="768"/>
      <c r="AA685" s="768"/>
    </row>
    <row r="686" spans="4:27" ht="16.5" customHeight="1" x14ac:dyDescent="0.3">
      <c r="D686" s="768"/>
      <c r="E686" s="768"/>
      <c r="F686" s="768"/>
      <c r="G686" s="768"/>
      <c r="H686" s="768"/>
      <c r="I686" s="768"/>
      <c r="J686" s="768"/>
      <c r="K686" s="768"/>
      <c r="L686" s="768"/>
      <c r="M686" s="768"/>
      <c r="N686" s="768"/>
      <c r="O686" s="768"/>
      <c r="P686" s="768"/>
      <c r="Q686" s="768"/>
      <c r="R686" s="768"/>
      <c r="S686" s="768"/>
      <c r="T686" s="768"/>
      <c r="U686" s="768"/>
      <c r="V686" s="768"/>
      <c r="W686" s="768"/>
      <c r="X686" s="768"/>
      <c r="Y686" s="768"/>
      <c r="Z686" s="768"/>
      <c r="AA686" s="768"/>
    </row>
    <row r="687" spans="4:27" ht="16.5" customHeight="1" x14ac:dyDescent="0.3">
      <c r="D687" s="768"/>
      <c r="E687" s="768"/>
      <c r="F687" s="768"/>
      <c r="G687" s="768"/>
      <c r="H687" s="768"/>
      <c r="I687" s="768"/>
      <c r="J687" s="768"/>
      <c r="K687" s="768"/>
      <c r="L687" s="768"/>
      <c r="M687" s="768"/>
      <c r="N687" s="768"/>
      <c r="O687" s="768"/>
      <c r="P687" s="768"/>
      <c r="Q687" s="768"/>
      <c r="R687" s="768"/>
      <c r="S687" s="768"/>
      <c r="T687" s="768"/>
      <c r="U687" s="768"/>
      <c r="V687" s="768"/>
      <c r="W687" s="768"/>
      <c r="X687" s="768"/>
      <c r="Y687" s="768"/>
      <c r="Z687" s="768"/>
      <c r="AA687" s="768"/>
    </row>
    <row r="688" spans="4:27" ht="16.5" customHeight="1" x14ac:dyDescent="0.3">
      <c r="D688" s="768"/>
      <c r="E688" s="768"/>
      <c r="F688" s="768"/>
      <c r="G688" s="768"/>
      <c r="H688" s="768"/>
      <c r="I688" s="768"/>
      <c r="J688" s="768"/>
      <c r="K688" s="768"/>
      <c r="L688" s="768"/>
      <c r="M688" s="768"/>
      <c r="N688" s="768"/>
      <c r="O688" s="768"/>
      <c r="P688" s="768"/>
      <c r="Q688" s="768"/>
      <c r="R688" s="768"/>
      <c r="S688" s="768"/>
      <c r="T688" s="768"/>
      <c r="U688" s="768"/>
      <c r="V688" s="768"/>
      <c r="W688" s="768"/>
      <c r="X688" s="768"/>
      <c r="Y688" s="768"/>
      <c r="Z688" s="768"/>
      <c r="AA688" s="768"/>
    </row>
    <row r="689" spans="4:27" ht="16.5" customHeight="1" x14ac:dyDescent="0.3">
      <c r="D689" s="768"/>
      <c r="E689" s="768"/>
      <c r="F689" s="768"/>
      <c r="G689" s="768"/>
      <c r="H689" s="768"/>
      <c r="I689" s="768"/>
      <c r="J689" s="768"/>
      <c r="K689" s="768"/>
      <c r="L689" s="768"/>
      <c r="M689" s="768"/>
      <c r="N689" s="768"/>
      <c r="O689" s="768"/>
      <c r="P689" s="768"/>
      <c r="Q689" s="768"/>
      <c r="R689" s="768"/>
      <c r="S689" s="768"/>
      <c r="T689" s="768"/>
      <c r="U689" s="768"/>
      <c r="V689" s="768"/>
      <c r="W689" s="768"/>
      <c r="X689" s="768"/>
      <c r="Y689" s="768"/>
      <c r="Z689" s="768"/>
      <c r="AA689" s="768"/>
    </row>
  </sheetData>
  <sheetProtection algorithmName="SHA-512" hashValue="cLV3HPWDMum7nrj41rFOmAkleBrvFKeV+KjUTN//gtbT2ga7r3hQTghdzayu38xK+QBYuQS4z/xnVxAyYW+Mzg==" saltValue="3INLdVjz/Z8S03LwDRJhuA==" spinCount="100000" sheet="1" objects="1" scenarios="1" selectLockedCells="1" selectUnlockedCells="1"/>
  <mergeCells count="188">
    <mergeCell ref="AX96:AX100"/>
    <mergeCell ref="BB96:BB100"/>
    <mergeCell ref="BF96:BF100"/>
    <mergeCell ref="BJ96:BJ100"/>
    <mergeCell ref="BO115:BU115"/>
    <mergeCell ref="BR117:BU117"/>
    <mergeCell ref="AV52:BM52"/>
    <mergeCell ref="AX62:AX65"/>
    <mergeCell ref="BB62:BB65"/>
    <mergeCell ref="BF62:BF65"/>
    <mergeCell ref="BJ62:BJ65"/>
    <mergeCell ref="AV70:BM70"/>
    <mergeCell ref="AX79:AX81"/>
    <mergeCell ref="BB79:BB81"/>
    <mergeCell ref="BF79:BF81"/>
    <mergeCell ref="BJ79:BJ81"/>
    <mergeCell ref="AV84:BM84"/>
    <mergeCell ref="BO63:BX63"/>
    <mergeCell ref="BO75:BX75"/>
    <mergeCell ref="BO78:BU78"/>
    <mergeCell ref="BO102:BU102"/>
    <mergeCell ref="BR92:BU92"/>
    <mergeCell ref="BO90:BU90"/>
    <mergeCell ref="AV25:BM25"/>
    <mergeCell ref="AX32:AX33"/>
    <mergeCell ref="BB32:BB33"/>
    <mergeCell ref="BF32:BF33"/>
    <mergeCell ref="BJ32:BJ33"/>
    <mergeCell ref="AV37:BM37"/>
    <mergeCell ref="AX46:AX49"/>
    <mergeCell ref="BB46:BB49"/>
    <mergeCell ref="BF46:BF49"/>
    <mergeCell ref="BJ46:BJ49"/>
    <mergeCell ref="U159:X159"/>
    <mergeCell ref="H158:K158"/>
    <mergeCell ref="H210:K210"/>
    <mergeCell ref="U265:X265"/>
    <mergeCell ref="H265:K265"/>
    <mergeCell ref="U249:X249"/>
    <mergeCell ref="H249:K249"/>
    <mergeCell ref="U234:X234"/>
    <mergeCell ref="H233:K233"/>
    <mergeCell ref="D184:O184"/>
    <mergeCell ref="D172:O172"/>
    <mergeCell ref="D170:O170"/>
    <mergeCell ref="Q184:AA184"/>
    <mergeCell ref="Q172:AA172"/>
    <mergeCell ref="Q170:AA170"/>
    <mergeCell ref="D196:O196"/>
    <mergeCell ref="Q208:AA208"/>
    <mergeCell ref="D208:O208"/>
    <mergeCell ref="Q229:AA229"/>
    <mergeCell ref="U210:X210"/>
    <mergeCell ref="U356:X356"/>
    <mergeCell ref="H356:K356"/>
    <mergeCell ref="H339:K339"/>
    <mergeCell ref="U339:X339"/>
    <mergeCell ref="U320:X320"/>
    <mergeCell ref="H320:K320"/>
    <mergeCell ref="U303:X303"/>
    <mergeCell ref="H303:K303"/>
    <mergeCell ref="H284:K284"/>
    <mergeCell ref="D352:O352"/>
    <mergeCell ref="Q352:AA352"/>
    <mergeCell ref="Q299:AA299"/>
    <mergeCell ref="D299:O299"/>
    <mergeCell ref="D317:O317"/>
    <mergeCell ref="Q317:AA317"/>
    <mergeCell ref="Q333:AA333"/>
    <mergeCell ref="D333:O333"/>
    <mergeCell ref="U284:X284"/>
    <mergeCell ref="BJ19:BJ21"/>
    <mergeCell ref="AV23:BM23"/>
    <mergeCell ref="AL27:AL29"/>
    <mergeCell ref="AV11:BM11"/>
    <mergeCell ref="U198:X198"/>
    <mergeCell ref="U186:X186"/>
    <mergeCell ref="H197:K197"/>
    <mergeCell ref="H185:K185"/>
    <mergeCell ref="Q76:AA76"/>
    <mergeCell ref="D76:O76"/>
    <mergeCell ref="Q78:AA78"/>
    <mergeCell ref="D78:O78"/>
    <mergeCell ref="D94:O94"/>
    <mergeCell ref="Q94:AA94"/>
    <mergeCell ref="D111:O111"/>
    <mergeCell ref="D113:O113"/>
    <mergeCell ref="D130:O130"/>
    <mergeCell ref="Q130:AA130"/>
    <mergeCell ref="U82:X82"/>
    <mergeCell ref="H81:K81"/>
    <mergeCell ref="U97:X97"/>
    <mergeCell ref="H97:K97"/>
    <mergeCell ref="U116:X116"/>
    <mergeCell ref="H116:K116"/>
    <mergeCell ref="Q280:AA280"/>
    <mergeCell ref="D278:O278"/>
    <mergeCell ref="D280:O280"/>
    <mergeCell ref="Q278:AA278"/>
    <mergeCell ref="Q196:AA196"/>
    <mergeCell ref="Q231:AA231"/>
    <mergeCell ref="D231:O231"/>
    <mergeCell ref="U174:X174"/>
    <mergeCell ref="H173:K173"/>
    <mergeCell ref="BO23:BX23"/>
    <mergeCell ref="BO6:BX6"/>
    <mergeCell ref="CG14:CK14"/>
    <mergeCell ref="BR104:BU104"/>
    <mergeCell ref="Q111:AA111"/>
    <mergeCell ref="Q113:AA113"/>
    <mergeCell ref="AC75:AI75"/>
    <mergeCell ref="AC50:AI50"/>
    <mergeCell ref="U11:X11"/>
    <mergeCell ref="CD14:CE14"/>
    <mergeCell ref="BZ11:CW11"/>
    <mergeCell ref="BR65:BU65"/>
    <mergeCell ref="CM14:CQ14"/>
    <mergeCell ref="CS14:CW14"/>
    <mergeCell ref="BO25:BX25"/>
    <mergeCell ref="BO34:BX34"/>
    <mergeCell ref="BO43:BX43"/>
    <mergeCell ref="BO53:BX53"/>
    <mergeCell ref="AX19:AX21"/>
    <mergeCell ref="BB19:BB21"/>
    <mergeCell ref="BF19:BF21"/>
    <mergeCell ref="AV6:BM6"/>
    <mergeCell ref="AV8:BM8"/>
    <mergeCell ref="Q35:AA35"/>
    <mergeCell ref="AK25:AT25"/>
    <mergeCell ref="AL31:AL35"/>
    <mergeCell ref="AL37:AL41"/>
    <mergeCell ref="AR38:AR41"/>
    <mergeCell ref="AL51:AL56"/>
    <mergeCell ref="AR52:AR56"/>
    <mergeCell ref="AC43:AI43"/>
    <mergeCell ref="AC45:AI45"/>
    <mergeCell ref="AC47:AI47"/>
    <mergeCell ref="AR45:AR47"/>
    <mergeCell ref="AR32:AR35"/>
    <mergeCell ref="AR28:AR29"/>
    <mergeCell ref="AL44:AL47"/>
    <mergeCell ref="BZ6:CW6"/>
    <mergeCell ref="AF125:AI125"/>
    <mergeCell ref="D229:O229"/>
    <mergeCell ref="Q246:AA246"/>
    <mergeCell ref="D246:O246"/>
    <mergeCell ref="Q262:AA262"/>
    <mergeCell ref="D262:O262"/>
    <mergeCell ref="AC11:AI11"/>
    <mergeCell ref="Q144:AA144"/>
    <mergeCell ref="D157:O157"/>
    <mergeCell ref="D144:O144"/>
    <mergeCell ref="BR80:BU80"/>
    <mergeCell ref="BO11:BX11"/>
    <mergeCell ref="AC23:AI23"/>
    <mergeCell ref="AK6:AT6"/>
    <mergeCell ref="AR14:AR18"/>
    <mergeCell ref="AC6:AI6"/>
    <mergeCell ref="AC8:AI8"/>
    <mergeCell ref="AE17:AH17"/>
    <mergeCell ref="AC73:AI73"/>
    <mergeCell ref="AK8:AT8"/>
    <mergeCell ref="AK9:AT9"/>
    <mergeCell ref="AK11:AT11"/>
    <mergeCell ref="AK23:AT23"/>
    <mergeCell ref="H11:K11"/>
    <mergeCell ref="U59:X59"/>
    <mergeCell ref="Q73:AA73"/>
    <mergeCell ref="Q8:AA8"/>
    <mergeCell ref="U10:X10"/>
    <mergeCell ref="Q6:AA6"/>
    <mergeCell ref="H132:K132"/>
    <mergeCell ref="U132:X132"/>
    <mergeCell ref="Q157:AA157"/>
    <mergeCell ref="D6:O6"/>
    <mergeCell ref="D8:O8"/>
    <mergeCell ref="D23:O23"/>
    <mergeCell ref="D35:O35"/>
    <mergeCell ref="H38:K38"/>
    <mergeCell ref="H59:K59"/>
    <mergeCell ref="D73:O73"/>
    <mergeCell ref="D56:O56"/>
    <mergeCell ref="U37:X37"/>
    <mergeCell ref="U38:X38"/>
    <mergeCell ref="Q56:AA56"/>
    <mergeCell ref="U58:X58"/>
    <mergeCell ref="U146:X146"/>
    <mergeCell ref="H145:K145"/>
  </mergeCells>
  <phoneticPr fontId="24" type="noConversion"/>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000"/>
  </sheetPr>
  <dimension ref="A1:CG339"/>
  <sheetViews>
    <sheetView topLeftCell="BA1" zoomScale="47" zoomScaleNormal="47" zoomScaleSheetLayoutView="40" workbookViewId="0">
      <selection activeCell="BM8" sqref="BM8:BM19"/>
    </sheetView>
  </sheetViews>
  <sheetFormatPr defaultColWidth="9.140625" defaultRowHeight="17.25" x14ac:dyDescent="0.3"/>
  <cols>
    <col min="1" max="1" width="2.28515625" style="203" customWidth="1"/>
    <col min="2" max="2" width="48.5703125" style="203" customWidth="1"/>
    <col min="3" max="3" width="45.7109375" style="203" customWidth="1"/>
    <col min="4" max="4" width="15.7109375" style="203" customWidth="1"/>
    <col min="5" max="5" width="10.7109375" style="203" customWidth="1"/>
    <col min="6" max="6" width="49.7109375" style="203" customWidth="1"/>
    <col min="7" max="7" width="15.5703125" style="203" customWidth="1"/>
    <col min="8" max="9" width="12.5703125" style="203" customWidth="1"/>
    <col min="10" max="10" width="16.140625" style="203" customWidth="1"/>
    <col min="11" max="11" width="36.7109375" style="203" customWidth="1"/>
    <col min="12" max="12" width="45.85546875" style="203" customWidth="1"/>
    <col min="13" max="13" width="25" style="203" customWidth="1"/>
    <col min="14" max="14" width="22.7109375" style="203" customWidth="1"/>
    <col min="15" max="15" width="17.42578125" style="203" customWidth="1"/>
    <col min="16" max="16" width="20" style="203" customWidth="1"/>
    <col min="17" max="17" width="29.85546875" style="772" customWidth="1"/>
    <col min="18" max="18" width="2" style="203" customWidth="1"/>
    <col min="19" max="22" width="9.7109375" style="203" customWidth="1"/>
    <col min="23" max="23" width="27.5703125" style="203" customWidth="1"/>
    <col min="24" max="24" width="38.85546875" style="784" customWidth="1"/>
    <col min="25" max="25" width="100.5703125" style="813" customWidth="1"/>
    <col min="26" max="28" width="15.7109375" style="203" customWidth="1"/>
    <col min="29" max="29" width="17" style="203" customWidth="1"/>
    <col min="30" max="30" width="33.28515625" style="772" customWidth="1"/>
    <col min="31" max="31" width="1.85546875" style="203" customWidth="1"/>
    <col min="32" max="35" width="9.7109375" style="203" customWidth="1"/>
    <col min="36" max="36" width="16" style="203" customWidth="1"/>
    <col min="37" max="37" width="38.85546875" style="784" customWidth="1"/>
    <col min="38" max="38" width="100.42578125" style="813" customWidth="1"/>
    <col min="39" max="41" width="15.85546875" style="203" customWidth="1"/>
    <col min="42" max="42" width="18.7109375" style="203" customWidth="1"/>
    <col min="43" max="43" width="22.140625" style="203" customWidth="1"/>
    <col min="44" max="44" width="1.85546875" style="203" customWidth="1"/>
    <col min="45" max="47" width="9.85546875" style="203" customWidth="1"/>
    <col min="48" max="48" width="11.140625" style="203" customWidth="1"/>
    <col min="49" max="49" width="30.140625" style="203" customWidth="1"/>
    <col min="50" max="50" width="38.85546875" style="784" customWidth="1"/>
    <col min="51" max="51" width="101" style="813" customWidth="1"/>
    <col min="52" max="54" width="15.85546875" style="203" customWidth="1"/>
    <col min="55" max="55" width="19" style="203" customWidth="1"/>
    <col min="56" max="56" width="27.140625" style="203" customWidth="1"/>
    <col min="57" max="57" width="1.85546875" style="203" customWidth="1"/>
    <col min="58" max="61" width="9.42578125" style="203" customWidth="1"/>
    <col min="62" max="62" width="26" style="203" customWidth="1"/>
    <col min="63" max="63" width="38.85546875" style="784" customWidth="1"/>
    <col min="64" max="64" width="100.5703125" style="813" customWidth="1"/>
    <col min="65" max="65" width="21.140625" style="203" customWidth="1"/>
    <col min="66" max="66" width="19.85546875" style="203" customWidth="1"/>
    <col min="67" max="67" width="20.140625" style="203" customWidth="1"/>
    <col min="68" max="68" width="21.5703125" style="203" customWidth="1"/>
    <col min="69" max="69" width="24" style="203" customWidth="1"/>
    <col min="70" max="70" width="1.85546875" style="203" customWidth="1"/>
    <col min="71" max="71" width="55.7109375" style="203" customWidth="1"/>
    <col min="72" max="72" width="44.140625" style="203" bestFit="1" customWidth="1"/>
    <col min="73" max="73" width="32.7109375" style="203" bestFit="1" customWidth="1"/>
    <col min="74" max="74" width="56.7109375" style="203" bestFit="1" customWidth="1"/>
    <col min="75" max="75" width="2" style="203" customWidth="1"/>
    <col min="76" max="85" width="28.28515625" style="203" customWidth="1"/>
    <col min="86" max="16384" width="9.140625" style="203"/>
  </cols>
  <sheetData>
    <row r="1" spans="2:85" ht="18" thickBot="1" x14ac:dyDescent="0.35"/>
    <row r="2" spans="2:85" s="815" customFormat="1" ht="57.75" customHeight="1" thickBot="1" x14ac:dyDescent="0.45">
      <c r="B2" s="1371" t="s">
        <v>178</v>
      </c>
      <c r="C2" s="1372"/>
      <c r="D2" s="1372"/>
      <c r="E2" s="1372"/>
      <c r="F2" s="1372"/>
      <c r="G2" s="1372"/>
      <c r="H2" s="1372"/>
      <c r="I2" s="1372"/>
      <c r="J2" s="1372"/>
      <c r="K2" s="1372"/>
      <c r="L2" s="1372"/>
      <c r="M2" s="1372"/>
      <c r="N2" s="1372"/>
      <c r="O2" s="1372"/>
      <c r="P2" s="1372"/>
      <c r="Q2" s="1373"/>
      <c r="R2" s="770"/>
      <c r="S2" s="1699" t="s">
        <v>207</v>
      </c>
      <c r="T2" s="1700"/>
      <c r="U2" s="1700"/>
      <c r="V2" s="1700"/>
      <c r="W2" s="1700"/>
      <c r="X2" s="1700"/>
      <c r="Y2" s="1700"/>
      <c r="Z2" s="1700"/>
      <c r="AA2" s="1700"/>
      <c r="AB2" s="1700"/>
      <c r="AC2" s="1700"/>
      <c r="AD2" s="1700"/>
      <c r="AE2" s="1700"/>
      <c r="AF2" s="1700"/>
      <c r="AG2" s="1700"/>
      <c r="AH2" s="1700"/>
      <c r="AI2" s="1700"/>
      <c r="AJ2" s="1700"/>
      <c r="AK2" s="1700"/>
      <c r="AL2" s="1700"/>
      <c r="AM2" s="1700"/>
      <c r="AN2" s="1700"/>
      <c r="AO2" s="1700"/>
      <c r="AP2" s="1700"/>
      <c r="AQ2" s="1700"/>
      <c r="AR2" s="1700"/>
      <c r="AS2" s="1700"/>
      <c r="AT2" s="1700"/>
      <c r="AU2" s="1700"/>
      <c r="AV2" s="1700"/>
      <c r="AW2" s="1700"/>
      <c r="AX2" s="1700"/>
      <c r="AY2" s="1700"/>
      <c r="AZ2" s="1700"/>
      <c r="BA2" s="1700"/>
      <c r="BB2" s="1700"/>
      <c r="BC2" s="1700"/>
      <c r="BD2" s="1700"/>
      <c r="BE2" s="1700"/>
      <c r="BF2" s="1700"/>
      <c r="BG2" s="1700"/>
      <c r="BH2" s="1700"/>
      <c r="BI2" s="1700"/>
      <c r="BJ2" s="1700"/>
      <c r="BK2" s="1700"/>
      <c r="BL2" s="1700"/>
      <c r="BM2" s="1700"/>
      <c r="BN2" s="1700"/>
      <c r="BO2" s="1700"/>
      <c r="BP2" s="1700"/>
      <c r="BQ2" s="1700"/>
      <c r="BR2" s="1700"/>
      <c r="BS2" s="1700"/>
      <c r="BT2" s="1700"/>
      <c r="BU2" s="1700"/>
      <c r="BV2" s="1701"/>
      <c r="BW2" s="771"/>
      <c r="BX2" s="1353" t="s">
        <v>177</v>
      </c>
      <c r="BY2" s="1354"/>
      <c r="BZ2" s="1354"/>
      <c r="CA2" s="1354"/>
      <c r="CB2" s="1354"/>
      <c r="CC2" s="1354"/>
      <c r="CD2" s="1354"/>
      <c r="CE2" s="1354"/>
      <c r="CF2" s="1354"/>
      <c r="CG2" s="1355"/>
    </row>
    <row r="3" spans="2:85" s="815" customFormat="1" ht="76.5" customHeight="1" thickBot="1" x14ac:dyDescent="0.45">
      <c r="B3" s="1405" t="s">
        <v>17</v>
      </c>
      <c r="C3" s="1406"/>
      <c r="D3" s="1406"/>
      <c r="E3" s="1406"/>
      <c r="F3" s="1406"/>
      <c r="G3" s="1406"/>
      <c r="H3" s="1406"/>
      <c r="I3" s="1406"/>
      <c r="J3" s="1406"/>
      <c r="K3" s="1406"/>
      <c r="L3" s="1406"/>
      <c r="M3" s="1406"/>
      <c r="N3" s="1406"/>
      <c r="O3" s="1406"/>
      <c r="P3" s="1406"/>
      <c r="Q3" s="1406"/>
      <c r="R3" s="1407"/>
      <c r="S3" s="1406"/>
      <c r="T3" s="1406"/>
      <c r="U3" s="1406"/>
      <c r="V3" s="1406"/>
      <c r="W3" s="1406"/>
      <c r="X3" s="1406"/>
      <c r="Y3" s="1406"/>
      <c r="Z3" s="1406"/>
      <c r="AA3" s="1406"/>
      <c r="AB3" s="1406"/>
      <c r="AC3" s="1406"/>
      <c r="AD3" s="1406"/>
      <c r="AE3" s="1406"/>
      <c r="AF3" s="1406"/>
      <c r="AG3" s="1406"/>
      <c r="AH3" s="1406"/>
      <c r="AI3" s="1406"/>
      <c r="AJ3" s="1406"/>
      <c r="AK3" s="1406"/>
      <c r="AL3" s="1406"/>
      <c r="AM3" s="1406"/>
      <c r="AN3" s="1406"/>
      <c r="AO3" s="1406"/>
      <c r="AP3" s="1406"/>
      <c r="AQ3" s="1406"/>
      <c r="AR3" s="1406"/>
      <c r="AS3" s="1406"/>
      <c r="AT3" s="1406"/>
      <c r="AU3" s="1406"/>
      <c r="AV3" s="1406"/>
      <c r="AW3" s="1406"/>
      <c r="AX3" s="1406"/>
      <c r="AY3" s="1406"/>
      <c r="AZ3" s="1406"/>
      <c r="BA3" s="1406"/>
      <c r="BB3" s="1406"/>
      <c r="BC3" s="1406"/>
      <c r="BD3" s="1406"/>
      <c r="BE3" s="1406"/>
      <c r="BF3" s="1406"/>
      <c r="BG3" s="1406"/>
      <c r="BH3" s="1406"/>
      <c r="BI3" s="1406"/>
      <c r="BJ3" s="1406"/>
      <c r="BK3" s="1406"/>
      <c r="BL3" s="1406"/>
      <c r="BM3" s="1406"/>
      <c r="BN3" s="1406"/>
      <c r="BO3" s="1406"/>
      <c r="BP3" s="1406"/>
      <c r="BQ3" s="1406"/>
      <c r="BR3" s="1406"/>
      <c r="BS3" s="1406"/>
      <c r="BT3" s="1406"/>
      <c r="BU3" s="1406"/>
      <c r="BV3" s="1406"/>
      <c r="BW3" s="1407"/>
      <c r="BX3" s="1406"/>
      <c r="BY3" s="1406"/>
      <c r="BZ3" s="1406"/>
      <c r="CA3" s="1406"/>
      <c r="CB3" s="1406"/>
      <c r="CC3" s="1406"/>
      <c r="CD3" s="1406"/>
      <c r="CE3" s="1406"/>
      <c r="CF3" s="1406"/>
      <c r="CG3" s="1408"/>
    </row>
    <row r="4" spans="2:85" s="816" customFormat="1" ht="54.75" customHeight="1" thickBot="1" x14ac:dyDescent="0.45">
      <c r="B4" s="1409" t="s">
        <v>18</v>
      </c>
      <c r="C4" s="1430" t="s">
        <v>1</v>
      </c>
      <c r="D4" s="1412" t="s">
        <v>2</v>
      </c>
      <c r="E4" s="1409" t="s">
        <v>3</v>
      </c>
      <c r="F4" s="1514"/>
      <c r="G4" s="1331" t="s">
        <v>4</v>
      </c>
      <c r="H4" s="1332"/>
      <c r="I4" s="1332"/>
      <c r="J4" s="1334"/>
      <c r="K4" s="1331" t="s">
        <v>201</v>
      </c>
      <c r="L4" s="1332"/>
      <c r="M4" s="1332"/>
      <c r="N4" s="1332"/>
      <c r="O4" s="1332"/>
      <c r="P4" s="1332"/>
      <c r="Q4" s="1332"/>
      <c r="R4" s="1747"/>
      <c r="S4" s="1332" t="s">
        <v>5</v>
      </c>
      <c r="T4" s="1332"/>
      <c r="U4" s="1332"/>
      <c r="V4" s="1332"/>
      <c r="W4" s="1332"/>
      <c r="X4" s="1332"/>
      <c r="Y4" s="1332"/>
      <c r="Z4" s="1332"/>
      <c r="AA4" s="1332"/>
      <c r="AB4" s="1332"/>
      <c r="AC4" s="1332"/>
      <c r="AD4" s="1332"/>
      <c r="AE4" s="1332"/>
      <c r="AF4" s="1332"/>
      <c r="AG4" s="1332"/>
      <c r="AH4" s="1332"/>
      <c r="AI4" s="1332"/>
      <c r="AJ4" s="1332"/>
      <c r="AK4" s="1332"/>
      <c r="AL4" s="1332"/>
      <c r="AM4" s="1332"/>
      <c r="AN4" s="1332"/>
      <c r="AO4" s="1332"/>
      <c r="AP4" s="1332"/>
      <c r="AQ4" s="1332"/>
      <c r="AR4" s="1332"/>
      <c r="AS4" s="1332"/>
      <c r="AT4" s="1332"/>
      <c r="AU4" s="1332"/>
      <c r="AV4" s="1332"/>
      <c r="AW4" s="1332"/>
      <c r="AX4" s="1332"/>
      <c r="AY4" s="1332"/>
      <c r="AZ4" s="1332"/>
      <c r="BA4" s="1332"/>
      <c r="BB4" s="1332"/>
      <c r="BC4" s="1332"/>
      <c r="BD4" s="1332"/>
      <c r="BE4" s="1332"/>
      <c r="BF4" s="1332"/>
      <c r="BG4" s="1332"/>
      <c r="BH4" s="1332"/>
      <c r="BI4" s="1332"/>
      <c r="BJ4" s="1332"/>
      <c r="BK4" s="1332"/>
      <c r="BL4" s="1332"/>
      <c r="BM4" s="1332"/>
      <c r="BN4" s="1332"/>
      <c r="BO4" s="1332"/>
      <c r="BP4" s="1332"/>
      <c r="BQ4" s="1332"/>
      <c r="BR4" s="1332"/>
      <c r="BS4" s="1332"/>
      <c r="BT4" s="1332"/>
      <c r="BU4" s="1332"/>
      <c r="BV4" s="1332"/>
      <c r="BW4" s="1753"/>
      <c r="BX4" s="1365" t="s">
        <v>7</v>
      </c>
      <c r="BY4" s="1365"/>
      <c r="BZ4" s="1365"/>
      <c r="CA4" s="1365"/>
      <c r="CB4" s="1365"/>
      <c r="CC4" s="1365"/>
      <c r="CD4" s="1365"/>
      <c r="CE4" s="1365"/>
      <c r="CF4" s="1365"/>
      <c r="CG4" s="1366"/>
    </row>
    <row r="5" spans="2:85" s="816" customFormat="1" ht="45" customHeight="1" thickBot="1" x14ac:dyDescent="0.45">
      <c r="B5" s="1410"/>
      <c r="C5" s="1431"/>
      <c r="D5" s="1413"/>
      <c r="E5" s="1410"/>
      <c r="F5" s="1515"/>
      <c r="G5" s="1528"/>
      <c r="H5" s="1529"/>
      <c r="I5" s="1529"/>
      <c r="J5" s="1530"/>
      <c r="K5" s="1528"/>
      <c r="L5" s="1529"/>
      <c r="M5" s="1529"/>
      <c r="N5" s="1529"/>
      <c r="O5" s="1529"/>
      <c r="P5" s="1529"/>
      <c r="Q5" s="1529"/>
      <c r="R5" s="1748"/>
      <c r="S5" s="1328">
        <v>2017</v>
      </c>
      <c r="T5" s="1328"/>
      <c r="U5" s="1328"/>
      <c r="V5" s="1328"/>
      <c r="W5" s="1328"/>
      <c r="X5" s="1328"/>
      <c r="Y5" s="1328"/>
      <c r="Z5" s="1328"/>
      <c r="AA5" s="1328"/>
      <c r="AB5" s="1328"/>
      <c r="AC5" s="1328"/>
      <c r="AD5" s="1328"/>
      <c r="AE5" s="1750"/>
      <c r="AF5" s="1328">
        <v>2018</v>
      </c>
      <c r="AG5" s="1328"/>
      <c r="AH5" s="1328"/>
      <c r="AI5" s="1328"/>
      <c r="AJ5" s="1328"/>
      <c r="AK5" s="1328"/>
      <c r="AL5" s="1328"/>
      <c r="AM5" s="1328"/>
      <c r="AN5" s="1328"/>
      <c r="AO5" s="1328"/>
      <c r="AP5" s="1328"/>
      <c r="AQ5" s="1328"/>
      <c r="AR5" s="1750"/>
      <c r="AS5" s="1328">
        <v>2019</v>
      </c>
      <c r="AT5" s="1328"/>
      <c r="AU5" s="1328"/>
      <c r="AV5" s="1328"/>
      <c r="AW5" s="1328"/>
      <c r="AX5" s="1328"/>
      <c r="AY5" s="1328"/>
      <c r="AZ5" s="1328"/>
      <c r="BA5" s="1328"/>
      <c r="BB5" s="1328"/>
      <c r="BC5" s="1328"/>
      <c r="BD5" s="1328"/>
      <c r="BE5" s="1750"/>
      <c r="BF5" s="1328">
        <v>2020</v>
      </c>
      <c r="BG5" s="1328"/>
      <c r="BH5" s="1328"/>
      <c r="BI5" s="1328"/>
      <c r="BJ5" s="1328"/>
      <c r="BK5" s="1328"/>
      <c r="BL5" s="1328"/>
      <c r="BM5" s="1328"/>
      <c r="BN5" s="1328"/>
      <c r="BO5" s="1328"/>
      <c r="BP5" s="1328"/>
      <c r="BQ5" s="1328"/>
      <c r="BR5" s="1750"/>
      <c r="BS5" s="1334" t="s">
        <v>6</v>
      </c>
      <c r="BT5" s="1328" t="s">
        <v>206</v>
      </c>
      <c r="BU5" s="1328"/>
      <c r="BV5" s="1328"/>
      <c r="BW5" s="1754"/>
      <c r="BX5" s="817" t="s">
        <v>9</v>
      </c>
      <c r="BY5" s="817"/>
      <c r="BZ5" s="817"/>
      <c r="CA5" s="817"/>
      <c r="CB5" s="817"/>
      <c r="CC5" s="818"/>
      <c r="CD5" s="817"/>
      <c r="CE5" s="817"/>
      <c r="CF5" s="819" t="s">
        <v>10</v>
      </c>
      <c r="CG5" s="820"/>
    </row>
    <row r="6" spans="2:85" s="816" customFormat="1" ht="72" customHeight="1" thickBot="1" x14ac:dyDescent="0.45">
      <c r="B6" s="1410"/>
      <c r="C6" s="1431"/>
      <c r="D6" s="1413"/>
      <c r="E6" s="1410"/>
      <c r="F6" s="1515"/>
      <c r="G6" s="1521">
        <v>2017</v>
      </c>
      <c r="H6" s="1525">
        <v>2018</v>
      </c>
      <c r="I6" s="1517">
        <v>2019</v>
      </c>
      <c r="J6" s="1519">
        <v>2020</v>
      </c>
      <c r="K6" s="821" t="s">
        <v>19</v>
      </c>
      <c r="L6" s="1331" t="s">
        <v>199</v>
      </c>
      <c r="M6" s="1514" t="s">
        <v>198</v>
      </c>
      <c r="N6" s="1330" t="s">
        <v>9</v>
      </c>
      <c r="O6" s="1430"/>
      <c r="P6" s="1430"/>
      <c r="Q6" s="1412"/>
      <c r="R6" s="1748"/>
      <c r="S6" s="1329" t="s">
        <v>202</v>
      </c>
      <c r="T6" s="1329"/>
      <c r="U6" s="1329"/>
      <c r="V6" s="1329"/>
      <c r="W6" s="1330"/>
      <c r="X6" s="1333" t="s">
        <v>200</v>
      </c>
      <c r="Y6" s="1334"/>
      <c r="Z6" s="1331" t="s">
        <v>203</v>
      </c>
      <c r="AA6" s="1332"/>
      <c r="AB6" s="1332"/>
      <c r="AC6" s="1332"/>
      <c r="AD6" s="1332"/>
      <c r="AE6" s="1751"/>
      <c r="AF6" s="1329" t="s">
        <v>202</v>
      </c>
      <c r="AG6" s="1329"/>
      <c r="AH6" s="1329"/>
      <c r="AI6" s="1329"/>
      <c r="AJ6" s="1330"/>
      <c r="AK6" s="1333" t="s">
        <v>200</v>
      </c>
      <c r="AL6" s="1334"/>
      <c r="AM6" s="1331" t="s">
        <v>203</v>
      </c>
      <c r="AN6" s="1332"/>
      <c r="AO6" s="1332"/>
      <c r="AP6" s="1332"/>
      <c r="AQ6" s="1332"/>
      <c r="AR6" s="1751"/>
      <c r="AS6" s="1329" t="s">
        <v>202</v>
      </c>
      <c r="AT6" s="1329"/>
      <c r="AU6" s="1329"/>
      <c r="AV6" s="1329"/>
      <c r="AW6" s="1330"/>
      <c r="AX6" s="1333" t="s">
        <v>200</v>
      </c>
      <c r="AY6" s="1334"/>
      <c r="AZ6" s="1331" t="s">
        <v>203</v>
      </c>
      <c r="BA6" s="1332"/>
      <c r="BB6" s="1332"/>
      <c r="BC6" s="1332"/>
      <c r="BD6" s="1332"/>
      <c r="BE6" s="1751"/>
      <c r="BF6" s="1329"/>
      <c r="BG6" s="1329"/>
      <c r="BH6" s="1329"/>
      <c r="BI6" s="1329"/>
      <c r="BJ6" s="1330"/>
      <c r="BK6" s="1333" t="s">
        <v>200</v>
      </c>
      <c r="BL6" s="1334"/>
      <c r="BM6" s="1331" t="s">
        <v>203</v>
      </c>
      <c r="BN6" s="1332"/>
      <c r="BO6" s="1332"/>
      <c r="BP6" s="1332"/>
      <c r="BQ6" s="1332"/>
      <c r="BR6" s="1751"/>
      <c r="BS6" s="1336"/>
      <c r="BT6" s="1334" t="s">
        <v>204</v>
      </c>
      <c r="BU6" s="1519" t="s">
        <v>655</v>
      </c>
      <c r="BV6" s="1331" t="s">
        <v>205</v>
      </c>
      <c r="BW6" s="1754"/>
      <c r="BX6" s="1426">
        <v>2017</v>
      </c>
      <c r="BY6" s="1338"/>
      <c r="BZ6" s="1337">
        <v>2018</v>
      </c>
      <c r="CA6" s="1338"/>
      <c r="CB6" s="1337">
        <v>2019</v>
      </c>
      <c r="CC6" s="1338"/>
      <c r="CD6" s="1337">
        <v>2020</v>
      </c>
      <c r="CE6" s="1338"/>
      <c r="CF6" s="822"/>
      <c r="CG6" s="823"/>
    </row>
    <row r="7" spans="2:85" s="834" customFormat="1" ht="99" customHeight="1" thickBot="1" x14ac:dyDescent="0.3">
      <c r="B7" s="1411"/>
      <c r="C7" s="1432"/>
      <c r="D7" s="1414"/>
      <c r="E7" s="1411"/>
      <c r="F7" s="1516"/>
      <c r="G7" s="1522"/>
      <c r="H7" s="1526"/>
      <c r="I7" s="1518"/>
      <c r="J7" s="1520"/>
      <c r="K7" s="824"/>
      <c r="L7" s="1344"/>
      <c r="M7" s="1516"/>
      <c r="N7" s="825">
        <v>2017</v>
      </c>
      <c r="O7" s="826">
        <v>2018</v>
      </c>
      <c r="P7" s="826">
        <v>2019</v>
      </c>
      <c r="Q7" s="827">
        <v>2020</v>
      </c>
      <c r="R7" s="1748"/>
      <c r="S7" s="825" t="s">
        <v>12</v>
      </c>
      <c r="T7" s="826" t="s">
        <v>13</v>
      </c>
      <c r="U7" s="826" t="s">
        <v>14</v>
      </c>
      <c r="V7" s="826" t="s">
        <v>15</v>
      </c>
      <c r="W7" s="826" t="s">
        <v>11</v>
      </c>
      <c r="X7" s="1335"/>
      <c r="Y7" s="1336"/>
      <c r="Z7" s="825" t="s">
        <v>12</v>
      </c>
      <c r="AA7" s="826" t="s">
        <v>13</v>
      </c>
      <c r="AB7" s="826" t="s">
        <v>14</v>
      </c>
      <c r="AC7" s="828" t="s">
        <v>15</v>
      </c>
      <c r="AD7" s="829" t="s">
        <v>8</v>
      </c>
      <c r="AE7" s="1751"/>
      <c r="AF7" s="825" t="s">
        <v>12</v>
      </c>
      <c r="AG7" s="826" t="s">
        <v>13</v>
      </c>
      <c r="AH7" s="826" t="s">
        <v>14</v>
      </c>
      <c r="AI7" s="826" t="s">
        <v>15</v>
      </c>
      <c r="AJ7" s="830" t="s">
        <v>8</v>
      </c>
      <c r="AK7" s="1335"/>
      <c r="AL7" s="1336"/>
      <c r="AM7" s="825" t="s">
        <v>12</v>
      </c>
      <c r="AN7" s="826" t="s">
        <v>13</v>
      </c>
      <c r="AO7" s="826" t="s">
        <v>14</v>
      </c>
      <c r="AP7" s="828" t="s">
        <v>15</v>
      </c>
      <c r="AQ7" s="829" t="s">
        <v>8</v>
      </c>
      <c r="AR7" s="1751"/>
      <c r="AS7" s="825" t="s">
        <v>12</v>
      </c>
      <c r="AT7" s="826" t="s">
        <v>13</v>
      </c>
      <c r="AU7" s="826" t="s">
        <v>14</v>
      </c>
      <c r="AV7" s="826" t="s">
        <v>15</v>
      </c>
      <c r="AW7" s="830" t="s">
        <v>8</v>
      </c>
      <c r="AX7" s="1335"/>
      <c r="AY7" s="1336"/>
      <c r="AZ7" s="825" t="s">
        <v>12</v>
      </c>
      <c r="BA7" s="826" t="s">
        <v>13</v>
      </c>
      <c r="BB7" s="826" t="s">
        <v>14</v>
      </c>
      <c r="BC7" s="828" t="s">
        <v>15</v>
      </c>
      <c r="BD7" s="829" t="s">
        <v>8</v>
      </c>
      <c r="BE7" s="1751"/>
      <c r="BF7" s="825" t="s">
        <v>12</v>
      </c>
      <c r="BG7" s="826" t="s">
        <v>13</v>
      </c>
      <c r="BH7" s="826" t="s">
        <v>14</v>
      </c>
      <c r="BI7" s="826" t="s">
        <v>15</v>
      </c>
      <c r="BJ7" s="830" t="s">
        <v>8</v>
      </c>
      <c r="BK7" s="1335"/>
      <c r="BL7" s="1336"/>
      <c r="BM7" s="825" t="s">
        <v>12</v>
      </c>
      <c r="BN7" s="826" t="s">
        <v>13</v>
      </c>
      <c r="BO7" s="826" t="s">
        <v>14</v>
      </c>
      <c r="BP7" s="828" t="s">
        <v>15</v>
      </c>
      <c r="BQ7" s="829" t="s">
        <v>8</v>
      </c>
      <c r="BR7" s="1751"/>
      <c r="BS7" s="1336"/>
      <c r="BT7" s="1336"/>
      <c r="BU7" s="1762"/>
      <c r="BV7" s="1344"/>
      <c r="BW7" s="1754"/>
      <c r="BX7" s="831" t="s">
        <v>20</v>
      </c>
      <c r="BY7" s="832" t="s">
        <v>16</v>
      </c>
      <c r="BZ7" s="833" t="s">
        <v>20</v>
      </c>
      <c r="CA7" s="832" t="s">
        <v>16</v>
      </c>
      <c r="CB7" s="833" t="s">
        <v>20</v>
      </c>
      <c r="CC7" s="832" t="s">
        <v>16</v>
      </c>
      <c r="CD7" s="833" t="s">
        <v>20</v>
      </c>
      <c r="CE7" s="832" t="s">
        <v>16</v>
      </c>
      <c r="CF7" s="833" t="s">
        <v>20</v>
      </c>
      <c r="CG7" s="832" t="s">
        <v>16</v>
      </c>
    </row>
    <row r="8" spans="2:85" s="782" customFormat="1" ht="51" customHeight="1" x14ac:dyDescent="0.25">
      <c r="B8" s="1394" t="s">
        <v>21</v>
      </c>
      <c r="C8" s="1443" t="s">
        <v>531</v>
      </c>
      <c r="D8" s="1400" t="s">
        <v>532</v>
      </c>
      <c r="E8" s="1447">
        <v>4</v>
      </c>
      <c r="F8" s="1444" t="s">
        <v>22</v>
      </c>
      <c r="G8" s="1214">
        <v>1</v>
      </c>
      <c r="H8" s="1096">
        <v>2</v>
      </c>
      <c r="I8" s="1096">
        <v>4</v>
      </c>
      <c r="J8" s="1239">
        <v>4</v>
      </c>
      <c r="K8" s="1491">
        <f>SUM(M8:M55)</f>
        <v>370816.74</v>
      </c>
      <c r="L8" s="1508" t="s">
        <v>533</v>
      </c>
      <c r="M8" s="1697">
        <v>111500</v>
      </c>
      <c r="N8" s="1691">
        <v>24223.360000000001</v>
      </c>
      <c r="O8" s="1298">
        <v>18521.009999999998</v>
      </c>
      <c r="P8" s="1298">
        <v>42530.63</v>
      </c>
      <c r="Q8" s="1511">
        <f>9000+20000+9000+2660</f>
        <v>40660</v>
      </c>
      <c r="R8" s="1748"/>
      <c r="S8" s="1266"/>
      <c r="T8" s="1267"/>
      <c r="U8" s="1267">
        <v>1</v>
      </c>
      <c r="V8" s="1268">
        <v>1</v>
      </c>
      <c r="W8" s="1194">
        <f>IFERROR(SUM(S8:V43),0)</f>
        <v>2</v>
      </c>
      <c r="X8" s="1325" t="s">
        <v>195</v>
      </c>
      <c r="Y8" s="1319" t="s">
        <v>534</v>
      </c>
      <c r="Z8" s="1291"/>
      <c r="AA8" s="1291"/>
      <c r="AB8" s="1291"/>
      <c r="AC8" s="1291">
        <v>24263.360000000001</v>
      </c>
      <c r="AD8" s="1288">
        <f>IFERROR(SUM(Z8:AC19),0)</f>
        <v>24263.360000000001</v>
      </c>
      <c r="AE8" s="1751"/>
      <c r="AF8" s="1362">
        <v>1</v>
      </c>
      <c r="AG8" s="1359">
        <v>1</v>
      </c>
      <c r="AH8" s="1359"/>
      <c r="AI8" s="1356"/>
      <c r="AJ8" s="1194">
        <f>IFERROR(SUM(AF8:AI43),0)</f>
        <v>2</v>
      </c>
      <c r="AK8" s="1325" t="s">
        <v>195</v>
      </c>
      <c r="AL8" s="1319" t="s">
        <v>625</v>
      </c>
      <c r="AM8" s="1207"/>
      <c r="AN8" s="1210"/>
      <c r="AO8" s="1210"/>
      <c r="AP8" s="1223">
        <v>18521.009999999998</v>
      </c>
      <c r="AQ8" s="1288">
        <f>IFERROR(SUM(AM8:AP19),0)</f>
        <v>18521.009999999998</v>
      </c>
      <c r="AR8" s="1751"/>
      <c r="AS8" s="1266">
        <v>0</v>
      </c>
      <c r="AT8" s="1267"/>
      <c r="AU8" s="1267"/>
      <c r="AV8" s="1268">
        <v>3</v>
      </c>
      <c r="AW8" s="1194">
        <f>IFERROR(SUM(AS8:AV43),0)</f>
        <v>3</v>
      </c>
      <c r="AX8" s="1325" t="s">
        <v>195</v>
      </c>
      <c r="AY8" s="1319" t="s">
        <v>535</v>
      </c>
      <c r="AZ8" s="1207"/>
      <c r="BA8" s="1210"/>
      <c r="BB8" s="1210"/>
      <c r="BC8" s="1210">
        <v>42520.63</v>
      </c>
      <c r="BD8" s="1288">
        <f>IFERROR(SUM(AZ8:BC19),0)</f>
        <v>42520.63</v>
      </c>
      <c r="BE8" s="1751"/>
      <c r="BF8" s="1265"/>
      <c r="BG8" s="1273"/>
      <c r="BH8" s="1273"/>
      <c r="BI8" s="1274"/>
      <c r="BJ8" s="1194">
        <f>SUM(BF8:BI43)</f>
        <v>0</v>
      </c>
      <c r="BK8" s="1325" t="s">
        <v>195</v>
      </c>
      <c r="BL8" s="1345" t="s">
        <v>676</v>
      </c>
      <c r="BM8" s="1166">
        <v>9000</v>
      </c>
      <c r="BN8" s="1147">
        <v>1800</v>
      </c>
      <c r="BO8" s="1147">
        <v>2190</v>
      </c>
      <c r="BP8" s="1147">
        <v>13205</v>
      </c>
      <c r="BQ8" s="1288">
        <f>SUM(BM8:BP19)</f>
        <v>26195</v>
      </c>
      <c r="BR8" s="1751"/>
      <c r="BS8" s="1367" t="s">
        <v>641</v>
      </c>
      <c r="BT8" s="1194">
        <f>SUM(AW8,BJ8)</f>
        <v>3</v>
      </c>
      <c r="BU8" s="1288">
        <f>SUM(AD8,AQ8,BD8,BQ8)</f>
        <v>111500</v>
      </c>
      <c r="BV8" s="1288">
        <f>SUM(AD8:AD55,AQ8:AQ55,BD8:BD55,BQ8:BQ55)</f>
        <v>370016.74</v>
      </c>
      <c r="BW8" s="1754"/>
      <c r="BX8" s="1041">
        <f>IFERROR(W8/G8,BZ81)</f>
        <v>2</v>
      </c>
      <c r="BY8" s="1392">
        <f>IFERROR(AD8/N8,0)</f>
        <v>1.0016512985812043</v>
      </c>
      <c r="BZ8" s="1041">
        <f>IFERROR(AJ8/H8,0)</f>
        <v>1</v>
      </c>
      <c r="CA8" s="1041">
        <f>IFERROR(AQ8/O8,0)</f>
        <v>1</v>
      </c>
      <c r="CB8" s="1041">
        <f>IFERROR(AW8/I8,0)</f>
        <v>0.75</v>
      </c>
      <c r="CC8" s="1041">
        <f>IFERROR(BD8/P8,0)</f>
        <v>0.99976487533807989</v>
      </c>
      <c r="CD8" s="1041">
        <f>IFERROR(BJ8/J8,0)</f>
        <v>0</v>
      </c>
      <c r="CE8" s="1041">
        <f>IFERROR(BQ8/Q8,0)</f>
        <v>0.64424495818986716</v>
      </c>
      <c r="CF8" s="1041">
        <f>IFERROR(BT8/E8,0)</f>
        <v>0.75</v>
      </c>
      <c r="CG8" s="1041">
        <f>IFERROR(BV8/K8,0)</f>
        <v>0.9978426000940519</v>
      </c>
    </row>
    <row r="9" spans="2:85" s="782" customFormat="1" ht="51" customHeight="1" x14ac:dyDescent="0.25">
      <c r="B9" s="1395"/>
      <c r="C9" s="1398"/>
      <c r="D9" s="1401"/>
      <c r="E9" s="1448"/>
      <c r="F9" s="1445"/>
      <c r="G9" s="1215"/>
      <c r="H9" s="1097"/>
      <c r="I9" s="1097"/>
      <c r="J9" s="1240"/>
      <c r="K9" s="1492"/>
      <c r="L9" s="1509"/>
      <c r="M9" s="1497"/>
      <c r="N9" s="1500"/>
      <c r="O9" s="1299"/>
      <c r="P9" s="1299"/>
      <c r="Q9" s="1505"/>
      <c r="R9" s="1748"/>
      <c r="S9" s="1014"/>
      <c r="T9" s="1016"/>
      <c r="U9" s="1016"/>
      <c r="V9" s="1269"/>
      <c r="W9" s="1195"/>
      <c r="X9" s="1326"/>
      <c r="Y9" s="1320"/>
      <c r="Z9" s="1292"/>
      <c r="AA9" s="1292"/>
      <c r="AB9" s="1292"/>
      <c r="AC9" s="1292"/>
      <c r="AD9" s="1289"/>
      <c r="AE9" s="1751"/>
      <c r="AF9" s="1363"/>
      <c r="AG9" s="1360"/>
      <c r="AH9" s="1360"/>
      <c r="AI9" s="1357"/>
      <c r="AJ9" s="1195"/>
      <c r="AK9" s="1326"/>
      <c r="AL9" s="1320"/>
      <c r="AM9" s="1208"/>
      <c r="AN9" s="1211"/>
      <c r="AO9" s="1211"/>
      <c r="AP9" s="1224"/>
      <c r="AQ9" s="1289"/>
      <c r="AR9" s="1751"/>
      <c r="AS9" s="1014"/>
      <c r="AT9" s="1016"/>
      <c r="AU9" s="1016"/>
      <c r="AV9" s="1269"/>
      <c r="AW9" s="1195"/>
      <c r="AX9" s="1326"/>
      <c r="AY9" s="1320"/>
      <c r="AZ9" s="1208"/>
      <c r="BA9" s="1211"/>
      <c r="BB9" s="1211"/>
      <c r="BC9" s="1211"/>
      <c r="BD9" s="1289"/>
      <c r="BE9" s="1751"/>
      <c r="BF9" s="987"/>
      <c r="BG9" s="989"/>
      <c r="BH9" s="989"/>
      <c r="BI9" s="1275"/>
      <c r="BJ9" s="1195"/>
      <c r="BK9" s="1326"/>
      <c r="BL9" s="1346"/>
      <c r="BM9" s="1167"/>
      <c r="BN9" s="1148"/>
      <c r="BO9" s="1148"/>
      <c r="BP9" s="1148"/>
      <c r="BQ9" s="1289"/>
      <c r="BR9" s="1751"/>
      <c r="BS9" s="1368"/>
      <c r="BT9" s="1195"/>
      <c r="BU9" s="1289"/>
      <c r="BV9" s="1289"/>
      <c r="BW9" s="1754"/>
      <c r="BX9" s="1042"/>
      <c r="BY9" s="1393"/>
      <c r="BZ9" s="1042"/>
      <c r="CA9" s="1042"/>
      <c r="CB9" s="1042"/>
      <c r="CC9" s="1042"/>
      <c r="CD9" s="1042"/>
      <c r="CE9" s="1042"/>
      <c r="CF9" s="1042"/>
      <c r="CG9" s="1042"/>
    </row>
    <row r="10" spans="2:85" s="782" customFormat="1" ht="51" customHeight="1" x14ac:dyDescent="0.25">
      <c r="B10" s="1395"/>
      <c r="C10" s="1398"/>
      <c r="D10" s="1401"/>
      <c r="E10" s="1448"/>
      <c r="F10" s="1445"/>
      <c r="G10" s="1215"/>
      <c r="H10" s="1097"/>
      <c r="I10" s="1097"/>
      <c r="J10" s="1240"/>
      <c r="K10" s="1492"/>
      <c r="L10" s="1509"/>
      <c r="M10" s="1497"/>
      <c r="N10" s="1500"/>
      <c r="O10" s="1299"/>
      <c r="P10" s="1299"/>
      <c r="Q10" s="1505"/>
      <c r="R10" s="1748"/>
      <c r="S10" s="1014"/>
      <c r="T10" s="1016"/>
      <c r="U10" s="1016"/>
      <c r="V10" s="1269"/>
      <c r="W10" s="1195"/>
      <c r="X10" s="1326"/>
      <c r="Y10" s="1320"/>
      <c r="Z10" s="1292"/>
      <c r="AA10" s="1292"/>
      <c r="AB10" s="1292"/>
      <c r="AC10" s="1292"/>
      <c r="AD10" s="1289"/>
      <c r="AE10" s="1751"/>
      <c r="AF10" s="1363"/>
      <c r="AG10" s="1360"/>
      <c r="AH10" s="1360"/>
      <c r="AI10" s="1357"/>
      <c r="AJ10" s="1195"/>
      <c r="AK10" s="1326"/>
      <c r="AL10" s="1320"/>
      <c r="AM10" s="1208"/>
      <c r="AN10" s="1211"/>
      <c r="AO10" s="1211"/>
      <c r="AP10" s="1224"/>
      <c r="AQ10" s="1289"/>
      <c r="AR10" s="1751"/>
      <c r="AS10" s="1014"/>
      <c r="AT10" s="1016"/>
      <c r="AU10" s="1016"/>
      <c r="AV10" s="1269"/>
      <c r="AW10" s="1195"/>
      <c r="AX10" s="1326"/>
      <c r="AY10" s="1320"/>
      <c r="AZ10" s="1208"/>
      <c r="BA10" s="1211"/>
      <c r="BB10" s="1211"/>
      <c r="BC10" s="1211"/>
      <c r="BD10" s="1289"/>
      <c r="BE10" s="1751"/>
      <c r="BF10" s="987"/>
      <c r="BG10" s="989"/>
      <c r="BH10" s="989"/>
      <c r="BI10" s="1275"/>
      <c r="BJ10" s="1195"/>
      <c r="BK10" s="1326"/>
      <c r="BL10" s="1346"/>
      <c r="BM10" s="1167"/>
      <c r="BN10" s="1148"/>
      <c r="BO10" s="1148"/>
      <c r="BP10" s="1148"/>
      <c r="BQ10" s="1289"/>
      <c r="BR10" s="1751"/>
      <c r="BS10" s="1368"/>
      <c r="BT10" s="1195"/>
      <c r="BU10" s="1289"/>
      <c r="BV10" s="1289"/>
      <c r="BW10" s="1754"/>
      <c r="BX10" s="1042"/>
      <c r="BY10" s="1393"/>
      <c r="BZ10" s="1042"/>
      <c r="CA10" s="1042"/>
      <c r="CB10" s="1042"/>
      <c r="CC10" s="1042"/>
      <c r="CD10" s="1042"/>
      <c r="CE10" s="1042"/>
      <c r="CF10" s="1042"/>
      <c r="CG10" s="1042"/>
    </row>
    <row r="11" spans="2:85" s="782" customFormat="1" ht="51" customHeight="1" x14ac:dyDescent="0.25">
      <c r="B11" s="1395"/>
      <c r="C11" s="1398"/>
      <c r="D11" s="1401"/>
      <c r="E11" s="1448"/>
      <c r="F11" s="1445"/>
      <c r="G11" s="1215"/>
      <c r="H11" s="1097"/>
      <c r="I11" s="1097"/>
      <c r="J11" s="1240"/>
      <c r="K11" s="1492"/>
      <c r="L11" s="1509"/>
      <c r="M11" s="1497"/>
      <c r="N11" s="1500"/>
      <c r="O11" s="1299"/>
      <c r="P11" s="1299"/>
      <c r="Q11" s="1505"/>
      <c r="R11" s="1748"/>
      <c r="S11" s="1014"/>
      <c r="T11" s="1016"/>
      <c r="U11" s="1016"/>
      <c r="V11" s="1269"/>
      <c r="W11" s="1195"/>
      <c r="X11" s="1326"/>
      <c r="Y11" s="1320"/>
      <c r="Z11" s="1292"/>
      <c r="AA11" s="1292"/>
      <c r="AB11" s="1292"/>
      <c r="AC11" s="1292"/>
      <c r="AD11" s="1289"/>
      <c r="AE11" s="1751"/>
      <c r="AF11" s="1363"/>
      <c r="AG11" s="1360"/>
      <c r="AH11" s="1360"/>
      <c r="AI11" s="1357"/>
      <c r="AJ11" s="1195"/>
      <c r="AK11" s="1326"/>
      <c r="AL11" s="1320"/>
      <c r="AM11" s="1208"/>
      <c r="AN11" s="1211"/>
      <c r="AO11" s="1211"/>
      <c r="AP11" s="1224"/>
      <c r="AQ11" s="1289"/>
      <c r="AR11" s="1751"/>
      <c r="AS11" s="1014"/>
      <c r="AT11" s="1016"/>
      <c r="AU11" s="1016"/>
      <c r="AV11" s="1269"/>
      <c r="AW11" s="1195"/>
      <c r="AX11" s="1326"/>
      <c r="AY11" s="1320"/>
      <c r="AZ11" s="1208"/>
      <c r="BA11" s="1211"/>
      <c r="BB11" s="1211"/>
      <c r="BC11" s="1211"/>
      <c r="BD11" s="1289"/>
      <c r="BE11" s="1751"/>
      <c r="BF11" s="987"/>
      <c r="BG11" s="989"/>
      <c r="BH11" s="989"/>
      <c r="BI11" s="1275"/>
      <c r="BJ11" s="1195"/>
      <c r="BK11" s="1326"/>
      <c r="BL11" s="1346"/>
      <c r="BM11" s="1167"/>
      <c r="BN11" s="1148"/>
      <c r="BO11" s="1148"/>
      <c r="BP11" s="1148"/>
      <c r="BQ11" s="1289"/>
      <c r="BR11" s="1751"/>
      <c r="BS11" s="1368"/>
      <c r="BT11" s="1195"/>
      <c r="BU11" s="1289"/>
      <c r="BV11" s="1289"/>
      <c r="BW11" s="1754"/>
      <c r="BX11" s="1042"/>
      <c r="BY11" s="1393"/>
      <c r="BZ11" s="1042"/>
      <c r="CA11" s="1042"/>
      <c r="CB11" s="1042"/>
      <c r="CC11" s="1042"/>
      <c r="CD11" s="1042"/>
      <c r="CE11" s="1042"/>
      <c r="CF11" s="1042"/>
      <c r="CG11" s="1042"/>
    </row>
    <row r="12" spans="2:85" s="782" customFormat="1" ht="51" customHeight="1" x14ac:dyDescent="0.25">
      <c r="B12" s="1395"/>
      <c r="C12" s="1398"/>
      <c r="D12" s="1401"/>
      <c r="E12" s="1448"/>
      <c r="F12" s="1445"/>
      <c r="G12" s="1215"/>
      <c r="H12" s="1097"/>
      <c r="I12" s="1097"/>
      <c r="J12" s="1240"/>
      <c r="K12" s="1492"/>
      <c r="L12" s="1509"/>
      <c r="M12" s="1497"/>
      <c r="N12" s="1500"/>
      <c r="O12" s="1299"/>
      <c r="P12" s="1299"/>
      <c r="Q12" s="1505"/>
      <c r="R12" s="1748"/>
      <c r="S12" s="1014"/>
      <c r="T12" s="1016"/>
      <c r="U12" s="1016"/>
      <c r="V12" s="1269"/>
      <c r="W12" s="1195"/>
      <c r="X12" s="1326"/>
      <c r="Y12" s="1320"/>
      <c r="Z12" s="1292"/>
      <c r="AA12" s="1292"/>
      <c r="AB12" s="1292"/>
      <c r="AC12" s="1292"/>
      <c r="AD12" s="1289"/>
      <c r="AE12" s="1751"/>
      <c r="AF12" s="1363"/>
      <c r="AG12" s="1360"/>
      <c r="AH12" s="1360"/>
      <c r="AI12" s="1357"/>
      <c r="AJ12" s="1195"/>
      <c r="AK12" s="1326" t="s">
        <v>196</v>
      </c>
      <c r="AL12" s="1320"/>
      <c r="AM12" s="1208"/>
      <c r="AN12" s="1211"/>
      <c r="AO12" s="1211"/>
      <c r="AP12" s="1224"/>
      <c r="AQ12" s="1289"/>
      <c r="AR12" s="1751"/>
      <c r="AS12" s="1014"/>
      <c r="AT12" s="1016"/>
      <c r="AU12" s="1016"/>
      <c r="AV12" s="1269"/>
      <c r="AW12" s="1195"/>
      <c r="AX12" s="1326" t="s">
        <v>196</v>
      </c>
      <c r="AY12" s="1320"/>
      <c r="AZ12" s="1208"/>
      <c r="BA12" s="1211"/>
      <c r="BB12" s="1211"/>
      <c r="BC12" s="1211"/>
      <c r="BD12" s="1289"/>
      <c r="BE12" s="1751"/>
      <c r="BF12" s="987"/>
      <c r="BG12" s="989"/>
      <c r="BH12" s="989"/>
      <c r="BI12" s="1275"/>
      <c r="BJ12" s="1195"/>
      <c r="BK12" s="1326" t="s">
        <v>196</v>
      </c>
      <c r="BL12" s="1346"/>
      <c r="BM12" s="1167"/>
      <c r="BN12" s="1148"/>
      <c r="BO12" s="1148"/>
      <c r="BP12" s="1148"/>
      <c r="BQ12" s="1289"/>
      <c r="BR12" s="1751"/>
      <c r="BS12" s="1368"/>
      <c r="BT12" s="1195"/>
      <c r="BU12" s="1289"/>
      <c r="BV12" s="1289"/>
      <c r="BW12" s="1754"/>
      <c r="BX12" s="1042"/>
      <c r="BY12" s="1393"/>
      <c r="BZ12" s="1042"/>
      <c r="CA12" s="1042"/>
      <c r="CB12" s="1042"/>
      <c r="CC12" s="1042"/>
      <c r="CD12" s="1042"/>
      <c r="CE12" s="1042"/>
      <c r="CF12" s="1042"/>
      <c r="CG12" s="1042"/>
    </row>
    <row r="13" spans="2:85" s="782" customFormat="1" ht="51" customHeight="1" x14ac:dyDescent="0.25">
      <c r="B13" s="1395"/>
      <c r="C13" s="1398"/>
      <c r="D13" s="1401"/>
      <c r="E13" s="1448"/>
      <c r="F13" s="1445"/>
      <c r="G13" s="1215"/>
      <c r="H13" s="1097"/>
      <c r="I13" s="1097"/>
      <c r="J13" s="1240"/>
      <c r="K13" s="1492"/>
      <c r="L13" s="1509"/>
      <c r="M13" s="1497"/>
      <c r="N13" s="1500"/>
      <c r="O13" s="1299"/>
      <c r="P13" s="1299"/>
      <c r="Q13" s="1505"/>
      <c r="R13" s="1748"/>
      <c r="S13" s="1014"/>
      <c r="T13" s="1016"/>
      <c r="U13" s="1016"/>
      <c r="V13" s="1269"/>
      <c r="W13" s="1195"/>
      <c r="X13" s="1326"/>
      <c r="Y13" s="1320"/>
      <c r="Z13" s="1292"/>
      <c r="AA13" s="1292"/>
      <c r="AB13" s="1292"/>
      <c r="AC13" s="1292"/>
      <c r="AD13" s="1289"/>
      <c r="AE13" s="1751"/>
      <c r="AF13" s="1363"/>
      <c r="AG13" s="1360"/>
      <c r="AH13" s="1360"/>
      <c r="AI13" s="1357"/>
      <c r="AJ13" s="1195"/>
      <c r="AK13" s="1326"/>
      <c r="AL13" s="1320"/>
      <c r="AM13" s="1208"/>
      <c r="AN13" s="1211"/>
      <c r="AO13" s="1211"/>
      <c r="AP13" s="1224"/>
      <c r="AQ13" s="1289"/>
      <c r="AR13" s="1751"/>
      <c r="AS13" s="1014"/>
      <c r="AT13" s="1016"/>
      <c r="AU13" s="1016"/>
      <c r="AV13" s="1269"/>
      <c r="AW13" s="1195"/>
      <c r="AX13" s="1326"/>
      <c r="AY13" s="1320"/>
      <c r="AZ13" s="1208"/>
      <c r="BA13" s="1211"/>
      <c r="BB13" s="1211"/>
      <c r="BC13" s="1211"/>
      <c r="BD13" s="1289"/>
      <c r="BE13" s="1751"/>
      <c r="BF13" s="987"/>
      <c r="BG13" s="989"/>
      <c r="BH13" s="989"/>
      <c r="BI13" s="1275"/>
      <c r="BJ13" s="1195"/>
      <c r="BK13" s="1326"/>
      <c r="BL13" s="1346"/>
      <c r="BM13" s="1167"/>
      <c r="BN13" s="1148"/>
      <c r="BO13" s="1148"/>
      <c r="BP13" s="1148"/>
      <c r="BQ13" s="1289"/>
      <c r="BR13" s="1751"/>
      <c r="BS13" s="1368"/>
      <c r="BT13" s="1195"/>
      <c r="BU13" s="1289"/>
      <c r="BV13" s="1289"/>
      <c r="BW13" s="1754"/>
      <c r="BX13" s="1042"/>
      <c r="BY13" s="1393"/>
      <c r="BZ13" s="1042"/>
      <c r="CA13" s="1042"/>
      <c r="CB13" s="1042"/>
      <c r="CC13" s="1042"/>
      <c r="CD13" s="1042"/>
      <c r="CE13" s="1042"/>
      <c r="CF13" s="1042"/>
      <c r="CG13" s="1042"/>
    </row>
    <row r="14" spans="2:85" s="782" customFormat="1" ht="51" customHeight="1" x14ac:dyDescent="0.25">
      <c r="B14" s="1395"/>
      <c r="C14" s="1398"/>
      <c r="D14" s="1401"/>
      <c r="E14" s="1448"/>
      <c r="F14" s="1445"/>
      <c r="G14" s="1215"/>
      <c r="H14" s="1097"/>
      <c r="I14" s="1097"/>
      <c r="J14" s="1240"/>
      <c r="K14" s="1492"/>
      <c r="L14" s="1509"/>
      <c r="M14" s="1497"/>
      <c r="N14" s="1500"/>
      <c r="O14" s="1299"/>
      <c r="P14" s="1299"/>
      <c r="Q14" s="1505"/>
      <c r="R14" s="1748"/>
      <c r="S14" s="1014"/>
      <c r="T14" s="1016"/>
      <c r="U14" s="1016"/>
      <c r="V14" s="1269"/>
      <c r="W14" s="1195"/>
      <c r="X14" s="1326"/>
      <c r="Y14" s="1320"/>
      <c r="Z14" s="1292"/>
      <c r="AA14" s="1292"/>
      <c r="AB14" s="1292"/>
      <c r="AC14" s="1292"/>
      <c r="AD14" s="1289"/>
      <c r="AE14" s="1751"/>
      <c r="AF14" s="1363"/>
      <c r="AG14" s="1360"/>
      <c r="AH14" s="1360"/>
      <c r="AI14" s="1357"/>
      <c r="AJ14" s="1195"/>
      <c r="AK14" s="1326"/>
      <c r="AL14" s="1320"/>
      <c r="AM14" s="1208"/>
      <c r="AN14" s="1211"/>
      <c r="AO14" s="1211"/>
      <c r="AP14" s="1224"/>
      <c r="AQ14" s="1289"/>
      <c r="AR14" s="1751"/>
      <c r="AS14" s="1014"/>
      <c r="AT14" s="1016"/>
      <c r="AU14" s="1016"/>
      <c r="AV14" s="1269"/>
      <c r="AW14" s="1195"/>
      <c r="AX14" s="1326"/>
      <c r="AY14" s="1320"/>
      <c r="AZ14" s="1208"/>
      <c r="BA14" s="1211"/>
      <c r="BB14" s="1211"/>
      <c r="BC14" s="1211"/>
      <c r="BD14" s="1289"/>
      <c r="BE14" s="1751"/>
      <c r="BF14" s="987"/>
      <c r="BG14" s="989"/>
      <c r="BH14" s="989"/>
      <c r="BI14" s="1275"/>
      <c r="BJ14" s="1195"/>
      <c r="BK14" s="1326"/>
      <c r="BL14" s="1346"/>
      <c r="BM14" s="1167"/>
      <c r="BN14" s="1148"/>
      <c r="BO14" s="1148"/>
      <c r="BP14" s="1148"/>
      <c r="BQ14" s="1289"/>
      <c r="BR14" s="1751"/>
      <c r="BS14" s="1368"/>
      <c r="BT14" s="1195"/>
      <c r="BU14" s="1289"/>
      <c r="BV14" s="1289"/>
      <c r="BW14" s="1754"/>
      <c r="BX14" s="1042"/>
      <c r="BY14" s="1393"/>
      <c r="BZ14" s="1042"/>
      <c r="CA14" s="1042"/>
      <c r="CB14" s="1042"/>
      <c r="CC14" s="1042"/>
      <c r="CD14" s="1042"/>
      <c r="CE14" s="1042"/>
      <c r="CF14" s="1042"/>
      <c r="CG14" s="1042"/>
    </row>
    <row r="15" spans="2:85" s="782" customFormat="1" ht="51" customHeight="1" x14ac:dyDescent="0.25">
      <c r="B15" s="1395"/>
      <c r="C15" s="1398"/>
      <c r="D15" s="1401"/>
      <c r="E15" s="1448"/>
      <c r="F15" s="1445"/>
      <c r="G15" s="1215"/>
      <c r="H15" s="1097"/>
      <c r="I15" s="1097"/>
      <c r="J15" s="1240"/>
      <c r="K15" s="1492"/>
      <c r="L15" s="1509"/>
      <c r="M15" s="1497"/>
      <c r="N15" s="1500"/>
      <c r="O15" s="1299"/>
      <c r="P15" s="1299"/>
      <c r="Q15" s="1505"/>
      <c r="R15" s="1748"/>
      <c r="S15" s="1014"/>
      <c r="T15" s="1016"/>
      <c r="U15" s="1016"/>
      <c r="V15" s="1269"/>
      <c r="W15" s="1195"/>
      <c r="X15" s="1326"/>
      <c r="Y15" s="1320"/>
      <c r="Z15" s="1292"/>
      <c r="AA15" s="1292"/>
      <c r="AB15" s="1292"/>
      <c r="AC15" s="1292"/>
      <c r="AD15" s="1289"/>
      <c r="AE15" s="1751"/>
      <c r="AF15" s="1363"/>
      <c r="AG15" s="1360"/>
      <c r="AH15" s="1360"/>
      <c r="AI15" s="1357"/>
      <c r="AJ15" s="1195"/>
      <c r="AK15" s="1326"/>
      <c r="AL15" s="1320"/>
      <c r="AM15" s="1208"/>
      <c r="AN15" s="1211"/>
      <c r="AO15" s="1211"/>
      <c r="AP15" s="1224"/>
      <c r="AQ15" s="1289"/>
      <c r="AR15" s="1751"/>
      <c r="AS15" s="1014"/>
      <c r="AT15" s="1016"/>
      <c r="AU15" s="1016"/>
      <c r="AV15" s="1269"/>
      <c r="AW15" s="1195"/>
      <c r="AX15" s="1326"/>
      <c r="AY15" s="1320"/>
      <c r="AZ15" s="1208"/>
      <c r="BA15" s="1211"/>
      <c r="BB15" s="1211"/>
      <c r="BC15" s="1211"/>
      <c r="BD15" s="1289"/>
      <c r="BE15" s="1751"/>
      <c r="BF15" s="987"/>
      <c r="BG15" s="989"/>
      <c r="BH15" s="989"/>
      <c r="BI15" s="1275"/>
      <c r="BJ15" s="1195"/>
      <c r="BK15" s="1326"/>
      <c r="BL15" s="1346"/>
      <c r="BM15" s="1167"/>
      <c r="BN15" s="1148"/>
      <c r="BO15" s="1148"/>
      <c r="BP15" s="1148"/>
      <c r="BQ15" s="1289"/>
      <c r="BR15" s="1751"/>
      <c r="BS15" s="1368"/>
      <c r="BT15" s="1195"/>
      <c r="BU15" s="1289"/>
      <c r="BV15" s="1289"/>
      <c r="BW15" s="1754"/>
      <c r="BX15" s="1042"/>
      <c r="BY15" s="1393">
        <f>IFERROR(BH15/#REF!,0)</f>
        <v>0</v>
      </c>
      <c r="BZ15" s="1042"/>
      <c r="CA15" s="1042">
        <f>IFERROR(BM15/#REF!,0)</f>
        <v>0</v>
      </c>
      <c r="CB15" s="1042"/>
      <c r="CC15" s="1042">
        <f>IFERROR(BS15/#REF!,0)</f>
        <v>0</v>
      </c>
      <c r="CD15" s="1042"/>
      <c r="CE15" s="1042"/>
      <c r="CF15" s="1042"/>
      <c r="CG15" s="1042"/>
    </row>
    <row r="16" spans="2:85" s="782" customFormat="1" ht="51" customHeight="1" x14ac:dyDescent="0.25">
      <c r="B16" s="1395"/>
      <c r="C16" s="1398"/>
      <c r="D16" s="1401"/>
      <c r="E16" s="1448"/>
      <c r="F16" s="1445"/>
      <c r="G16" s="1215"/>
      <c r="H16" s="1097"/>
      <c r="I16" s="1097"/>
      <c r="J16" s="1240"/>
      <c r="K16" s="1492"/>
      <c r="L16" s="1509"/>
      <c r="M16" s="1497"/>
      <c r="N16" s="1500"/>
      <c r="O16" s="1299"/>
      <c r="P16" s="1299"/>
      <c r="Q16" s="1505"/>
      <c r="R16" s="1748"/>
      <c r="S16" s="1014"/>
      <c r="T16" s="1016"/>
      <c r="U16" s="1016"/>
      <c r="V16" s="1269"/>
      <c r="W16" s="1195"/>
      <c r="X16" s="1326"/>
      <c r="Y16" s="1320"/>
      <c r="Z16" s="1292"/>
      <c r="AA16" s="1292"/>
      <c r="AB16" s="1292"/>
      <c r="AC16" s="1292"/>
      <c r="AD16" s="1289"/>
      <c r="AE16" s="1751"/>
      <c r="AF16" s="1363"/>
      <c r="AG16" s="1360"/>
      <c r="AH16" s="1360"/>
      <c r="AI16" s="1357"/>
      <c r="AJ16" s="1195"/>
      <c r="AK16" s="1326" t="s">
        <v>197</v>
      </c>
      <c r="AL16" s="1320"/>
      <c r="AM16" s="1208"/>
      <c r="AN16" s="1211"/>
      <c r="AO16" s="1211"/>
      <c r="AP16" s="1224"/>
      <c r="AQ16" s="1289"/>
      <c r="AR16" s="1751"/>
      <c r="AS16" s="1014"/>
      <c r="AT16" s="1016"/>
      <c r="AU16" s="1016"/>
      <c r="AV16" s="1269"/>
      <c r="AW16" s="1195"/>
      <c r="AX16" s="1326" t="s">
        <v>197</v>
      </c>
      <c r="AY16" s="1320"/>
      <c r="AZ16" s="1208"/>
      <c r="BA16" s="1211"/>
      <c r="BB16" s="1211"/>
      <c r="BC16" s="1211"/>
      <c r="BD16" s="1289"/>
      <c r="BE16" s="1751"/>
      <c r="BF16" s="987"/>
      <c r="BG16" s="989"/>
      <c r="BH16" s="989"/>
      <c r="BI16" s="1275"/>
      <c r="BJ16" s="1195"/>
      <c r="BK16" s="1326" t="s">
        <v>197</v>
      </c>
      <c r="BL16" s="1346"/>
      <c r="BM16" s="1167"/>
      <c r="BN16" s="1148"/>
      <c r="BO16" s="1148"/>
      <c r="BP16" s="1148"/>
      <c r="BQ16" s="1289"/>
      <c r="BR16" s="1751"/>
      <c r="BS16" s="1368"/>
      <c r="BT16" s="1195"/>
      <c r="BU16" s="1289"/>
      <c r="BV16" s="1289"/>
      <c r="BW16" s="1754"/>
      <c r="BX16" s="1042"/>
      <c r="BY16" s="1393">
        <f>IFERROR(BH16/#REF!,0)</f>
        <v>0</v>
      </c>
      <c r="BZ16" s="1042"/>
      <c r="CA16" s="1042">
        <f>IFERROR(BM16/#REF!,0)</f>
        <v>0</v>
      </c>
      <c r="CB16" s="1042"/>
      <c r="CC16" s="1042">
        <f>IFERROR(BS16/#REF!,0)</f>
        <v>0</v>
      </c>
      <c r="CD16" s="1042"/>
      <c r="CE16" s="1042"/>
      <c r="CF16" s="1042"/>
      <c r="CG16" s="1042"/>
    </row>
    <row r="17" spans="2:85" s="782" customFormat="1" ht="51" customHeight="1" x14ac:dyDescent="0.25">
      <c r="B17" s="1395"/>
      <c r="C17" s="1398"/>
      <c r="D17" s="1401"/>
      <c r="E17" s="1448"/>
      <c r="F17" s="1445"/>
      <c r="G17" s="1215"/>
      <c r="H17" s="1097"/>
      <c r="I17" s="1097"/>
      <c r="J17" s="1240"/>
      <c r="K17" s="1492"/>
      <c r="L17" s="1509"/>
      <c r="M17" s="1497"/>
      <c r="N17" s="1500"/>
      <c r="O17" s="1299"/>
      <c r="P17" s="1299"/>
      <c r="Q17" s="1505"/>
      <c r="R17" s="1748"/>
      <c r="S17" s="1014"/>
      <c r="T17" s="1016"/>
      <c r="U17" s="1016"/>
      <c r="V17" s="1269"/>
      <c r="W17" s="1195"/>
      <c r="X17" s="1326"/>
      <c r="Y17" s="1320"/>
      <c r="Z17" s="1292"/>
      <c r="AA17" s="1292"/>
      <c r="AB17" s="1292"/>
      <c r="AC17" s="1292"/>
      <c r="AD17" s="1289"/>
      <c r="AE17" s="1751"/>
      <c r="AF17" s="1363"/>
      <c r="AG17" s="1360"/>
      <c r="AH17" s="1360"/>
      <c r="AI17" s="1357"/>
      <c r="AJ17" s="1195"/>
      <c r="AK17" s="1326"/>
      <c r="AL17" s="1320"/>
      <c r="AM17" s="1208"/>
      <c r="AN17" s="1211"/>
      <c r="AO17" s="1211"/>
      <c r="AP17" s="1224"/>
      <c r="AQ17" s="1289"/>
      <c r="AR17" s="1751"/>
      <c r="AS17" s="1014"/>
      <c r="AT17" s="1016"/>
      <c r="AU17" s="1016"/>
      <c r="AV17" s="1269"/>
      <c r="AW17" s="1195"/>
      <c r="AX17" s="1326"/>
      <c r="AY17" s="1320"/>
      <c r="AZ17" s="1208"/>
      <c r="BA17" s="1211"/>
      <c r="BB17" s="1211"/>
      <c r="BC17" s="1211"/>
      <c r="BD17" s="1289"/>
      <c r="BE17" s="1751"/>
      <c r="BF17" s="987"/>
      <c r="BG17" s="989"/>
      <c r="BH17" s="989"/>
      <c r="BI17" s="1275"/>
      <c r="BJ17" s="1195"/>
      <c r="BK17" s="1326"/>
      <c r="BL17" s="1346"/>
      <c r="BM17" s="1167"/>
      <c r="BN17" s="1148"/>
      <c r="BO17" s="1148"/>
      <c r="BP17" s="1148"/>
      <c r="BQ17" s="1289"/>
      <c r="BR17" s="1751"/>
      <c r="BS17" s="1368"/>
      <c r="BT17" s="1195"/>
      <c r="BU17" s="1289"/>
      <c r="BV17" s="1289"/>
      <c r="BW17" s="1754"/>
      <c r="BX17" s="1042"/>
      <c r="BY17" s="1393">
        <f>IFERROR(BH17/#REF!,0)</f>
        <v>0</v>
      </c>
      <c r="BZ17" s="1042"/>
      <c r="CA17" s="1042">
        <f>IFERROR(BM17/#REF!,0)</f>
        <v>0</v>
      </c>
      <c r="CB17" s="1042"/>
      <c r="CC17" s="1042">
        <f>IFERROR(BS17/#REF!,0)</f>
        <v>0</v>
      </c>
      <c r="CD17" s="1042"/>
      <c r="CE17" s="1042"/>
      <c r="CF17" s="1042"/>
      <c r="CG17" s="1042"/>
    </row>
    <row r="18" spans="2:85" s="782" customFormat="1" ht="115.9" customHeight="1" x14ac:dyDescent="0.25">
      <c r="B18" s="1395"/>
      <c r="C18" s="1398"/>
      <c r="D18" s="1401"/>
      <c r="E18" s="1448"/>
      <c r="F18" s="1445"/>
      <c r="G18" s="1215"/>
      <c r="H18" s="1097"/>
      <c r="I18" s="1097"/>
      <c r="J18" s="1240"/>
      <c r="K18" s="1492"/>
      <c r="L18" s="1509"/>
      <c r="M18" s="1497"/>
      <c r="N18" s="1500"/>
      <c r="O18" s="1299"/>
      <c r="P18" s="1299"/>
      <c r="Q18" s="1505"/>
      <c r="R18" s="1748"/>
      <c r="S18" s="1014"/>
      <c r="T18" s="1016"/>
      <c r="U18" s="1016"/>
      <c r="V18" s="1269"/>
      <c r="W18" s="1195"/>
      <c r="X18" s="1326"/>
      <c r="Y18" s="1320"/>
      <c r="Z18" s="1292"/>
      <c r="AA18" s="1292"/>
      <c r="AB18" s="1292"/>
      <c r="AC18" s="1292"/>
      <c r="AD18" s="1289"/>
      <c r="AE18" s="1751"/>
      <c r="AF18" s="1363"/>
      <c r="AG18" s="1360"/>
      <c r="AH18" s="1360"/>
      <c r="AI18" s="1357"/>
      <c r="AJ18" s="1195"/>
      <c r="AK18" s="1326"/>
      <c r="AL18" s="1320"/>
      <c r="AM18" s="1208"/>
      <c r="AN18" s="1211"/>
      <c r="AO18" s="1211"/>
      <c r="AP18" s="1224"/>
      <c r="AQ18" s="1289"/>
      <c r="AR18" s="1751"/>
      <c r="AS18" s="1014"/>
      <c r="AT18" s="1016"/>
      <c r="AU18" s="1016"/>
      <c r="AV18" s="1269"/>
      <c r="AW18" s="1195"/>
      <c r="AX18" s="1326"/>
      <c r="AY18" s="1320"/>
      <c r="AZ18" s="1208"/>
      <c r="BA18" s="1211"/>
      <c r="BB18" s="1211"/>
      <c r="BC18" s="1211"/>
      <c r="BD18" s="1289"/>
      <c r="BE18" s="1751"/>
      <c r="BF18" s="987"/>
      <c r="BG18" s="989"/>
      <c r="BH18" s="989"/>
      <c r="BI18" s="1275"/>
      <c r="BJ18" s="1195"/>
      <c r="BK18" s="1326"/>
      <c r="BL18" s="1346"/>
      <c r="BM18" s="1167"/>
      <c r="BN18" s="1148"/>
      <c r="BO18" s="1148"/>
      <c r="BP18" s="1148"/>
      <c r="BQ18" s="1289"/>
      <c r="BR18" s="1751"/>
      <c r="BS18" s="1368"/>
      <c r="BT18" s="1195"/>
      <c r="BU18" s="1289"/>
      <c r="BV18" s="1289"/>
      <c r="BW18" s="1754"/>
      <c r="BX18" s="1042"/>
      <c r="BY18" s="1393"/>
      <c r="BZ18" s="1042"/>
      <c r="CA18" s="1042"/>
      <c r="CB18" s="1042"/>
      <c r="CC18" s="1042"/>
      <c r="CD18" s="1042"/>
      <c r="CE18" s="1042"/>
      <c r="CF18" s="1042"/>
      <c r="CG18" s="1042"/>
    </row>
    <row r="19" spans="2:85" s="782" customFormat="1" ht="408.6" customHeight="1" thickBot="1" x14ac:dyDescent="0.3">
      <c r="B19" s="1395"/>
      <c r="C19" s="1398"/>
      <c r="D19" s="1401"/>
      <c r="E19" s="1448"/>
      <c r="F19" s="1445"/>
      <c r="G19" s="1215"/>
      <c r="H19" s="1097"/>
      <c r="I19" s="1097"/>
      <c r="J19" s="1240"/>
      <c r="K19" s="1492"/>
      <c r="L19" s="1510"/>
      <c r="M19" s="1513"/>
      <c r="N19" s="1501"/>
      <c r="O19" s="1503"/>
      <c r="P19" s="1503"/>
      <c r="Q19" s="1506"/>
      <c r="R19" s="1748"/>
      <c r="S19" s="1014"/>
      <c r="T19" s="1016"/>
      <c r="U19" s="1016"/>
      <c r="V19" s="1269"/>
      <c r="W19" s="1195"/>
      <c r="X19" s="1327"/>
      <c r="Y19" s="1321"/>
      <c r="Z19" s="1490"/>
      <c r="AA19" s="1490"/>
      <c r="AB19" s="1490"/>
      <c r="AC19" s="1490"/>
      <c r="AD19" s="1312"/>
      <c r="AE19" s="1751"/>
      <c r="AF19" s="1363"/>
      <c r="AG19" s="1360"/>
      <c r="AH19" s="1360"/>
      <c r="AI19" s="1357"/>
      <c r="AJ19" s="1195"/>
      <c r="AK19" s="1327"/>
      <c r="AL19" s="1321"/>
      <c r="AM19" s="1221"/>
      <c r="AN19" s="1222"/>
      <c r="AO19" s="1222"/>
      <c r="AP19" s="1225"/>
      <c r="AQ19" s="1312"/>
      <c r="AR19" s="1751"/>
      <c r="AS19" s="1014"/>
      <c r="AT19" s="1016"/>
      <c r="AU19" s="1016"/>
      <c r="AV19" s="1269"/>
      <c r="AW19" s="1195"/>
      <c r="AX19" s="1327"/>
      <c r="AY19" s="1321"/>
      <c r="AZ19" s="1221"/>
      <c r="BA19" s="1222"/>
      <c r="BB19" s="1222"/>
      <c r="BC19" s="1222"/>
      <c r="BD19" s="1312"/>
      <c r="BE19" s="1751"/>
      <c r="BF19" s="987"/>
      <c r="BG19" s="989"/>
      <c r="BH19" s="989"/>
      <c r="BI19" s="1275"/>
      <c r="BJ19" s="1195"/>
      <c r="BK19" s="1327"/>
      <c r="BL19" s="1347"/>
      <c r="BM19" s="1206"/>
      <c r="BN19" s="1149"/>
      <c r="BO19" s="1149"/>
      <c r="BP19" s="1149"/>
      <c r="BQ19" s="1312"/>
      <c r="BR19" s="1751"/>
      <c r="BS19" s="1369"/>
      <c r="BT19" s="1195"/>
      <c r="BU19" s="1312"/>
      <c r="BV19" s="1289"/>
      <c r="BW19" s="1754"/>
      <c r="BX19" s="1042"/>
      <c r="BY19" s="1393">
        <f>IFERROR(BH19/#REF!,0)</f>
        <v>0</v>
      </c>
      <c r="BZ19" s="1042"/>
      <c r="CA19" s="1042">
        <f>IFERROR(BM19/#REF!,0)</f>
        <v>0</v>
      </c>
      <c r="CB19" s="1042"/>
      <c r="CC19" s="1042">
        <f>IFERROR(BS19/#REF!,0)</f>
        <v>0</v>
      </c>
      <c r="CD19" s="1042"/>
      <c r="CE19" s="1042"/>
      <c r="CF19" s="1042"/>
      <c r="CG19" s="1042"/>
    </row>
    <row r="20" spans="2:85" s="782" customFormat="1" ht="45.6" customHeight="1" x14ac:dyDescent="0.25">
      <c r="B20" s="1395"/>
      <c r="C20" s="1398"/>
      <c r="D20" s="1401"/>
      <c r="E20" s="1448"/>
      <c r="F20" s="1445"/>
      <c r="G20" s="1215"/>
      <c r="H20" s="1097"/>
      <c r="I20" s="1097"/>
      <c r="J20" s="1240"/>
      <c r="K20" s="1492"/>
      <c r="L20" s="1694" t="s">
        <v>536</v>
      </c>
      <c r="M20" s="1512">
        <v>122516.74</v>
      </c>
      <c r="N20" s="1499">
        <v>0</v>
      </c>
      <c r="O20" s="1502">
        <v>33488.97</v>
      </c>
      <c r="P20" s="1502">
        <v>65103.94</v>
      </c>
      <c r="Q20" s="1504">
        <f>12000+10000+9000+1500+1500+2380</f>
        <v>36380</v>
      </c>
      <c r="R20" s="1748"/>
      <c r="S20" s="1014"/>
      <c r="T20" s="1016"/>
      <c r="U20" s="1016"/>
      <c r="V20" s="1269"/>
      <c r="W20" s="1195"/>
      <c r="X20" s="1325" t="s">
        <v>196</v>
      </c>
      <c r="Y20" s="1322" t="s">
        <v>537</v>
      </c>
      <c r="Z20" s="1291"/>
      <c r="AA20" s="1291"/>
      <c r="AB20" s="1291"/>
      <c r="AC20" s="1291"/>
      <c r="AD20" s="1288">
        <f>IFERROR(SUM(Z20:AC31),0)</f>
        <v>0</v>
      </c>
      <c r="AE20" s="1751"/>
      <c r="AF20" s="1363"/>
      <c r="AG20" s="1360"/>
      <c r="AH20" s="1360"/>
      <c r="AI20" s="1357"/>
      <c r="AJ20" s="1195"/>
      <c r="AK20" s="1325" t="s">
        <v>467</v>
      </c>
      <c r="AL20" s="1322" t="s">
        <v>538</v>
      </c>
      <c r="AM20" s="1207"/>
      <c r="AN20" s="1210"/>
      <c r="AO20" s="1210"/>
      <c r="AP20" s="1223">
        <v>33488.97</v>
      </c>
      <c r="AQ20" s="1288">
        <f>IFERROR(SUM(AM20:AP31),0)</f>
        <v>33488.97</v>
      </c>
      <c r="AR20" s="1751"/>
      <c r="AS20" s="1014"/>
      <c r="AT20" s="1016"/>
      <c r="AU20" s="1016"/>
      <c r="AV20" s="1269"/>
      <c r="AW20" s="1195"/>
      <c r="AX20" s="1325" t="s">
        <v>467</v>
      </c>
      <c r="AY20" s="1322" t="s">
        <v>539</v>
      </c>
      <c r="AZ20" s="1207"/>
      <c r="BA20" s="1210"/>
      <c r="BB20" s="1210"/>
      <c r="BC20" s="1210">
        <v>65103.94</v>
      </c>
      <c r="BD20" s="1288">
        <f>IFERROR(SUM(AZ20:BC31),0)</f>
        <v>65103.94</v>
      </c>
      <c r="BE20" s="1751"/>
      <c r="BF20" s="987"/>
      <c r="BG20" s="989"/>
      <c r="BH20" s="989"/>
      <c r="BI20" s="1275"/>
      <c r="BJ20" s="1195"/>
      <c r="BK20" s="1325" t="s">
        <v>467</v>
      </c>
      <c r="BL20" s="1341" t="s">
        <v>678</v>
      </c>
      <c r="BM20" s="1166">
        <v>10000</v>
      </c>
      <c r="BN20" s="1147">
        <v>5543.83</v>
      </c>
      <c r="BO20" s="1147">
        <v>8380</v>
      </c>
      <c r="BP20" s="1147">
        <v>0</v>
      </c>
      <c r="BQ20" s="1288">
        <f>SUM(BM20:BP31)</f>
        <v>23923.83</v>
      </c>
      <c r="BR20" s="1751"/>
      <c r="BS20" s="1351"/>
      <c r="BT20" s="1195"/>
      <c r="BU20" s="1288">
        <f>SUM(AD20,AQ20,BD20,BQ20)</f>
        <v>122516.74</v>
      </c>
      <c r="BV20" s="1289"/>
      <c r="BW20" s="1754"/>
      <c r="BX20" s="1042"/>
      <c r="BY20" s="1041">
        <f>IFERROR(AD20/N20,0)</f>
        <v>0</v>
      </c>
      <c r="BZ20" s="1042">
        <f>IFERROR(AJ20/H20,0)</f>
        <v>0</v>
      </c>
      <c r="CA20" s="1041">
        <f>IFERROR(AQ20/O20,0)</f>
        <v>1</v>
      </c>
      <c r="CB20" s="1042"/>
      <c r="CC20" s="1041">
        <f>IFERROR(BD20/P20,0)</f>
        <v>1</v>
      </c>
      <c r="CD20" s="1042"/>
      <c r="CE20" s="1041">
        <f>IFERROR(BQ20/Q20,0)</f>
        <v>0.65760940076965368</v>
      </c>
      <c r="CF20" s="1042"/>
      <c r="CG20" s="1042"/>
    </row>
    <row r="21" spans="2:85" s="782" customFormat="1" ht="18" x14ac:dyDescent="0.25">
      <c r="B21" s="1395"/>
      <c r="C21" s="1398"/>
      <c r="D21" s="1401"/>
      <c r="E21" s="1448"/>
      <c r="F21" s="1445"/>
      <c r="G21" s="1215"/>
      <c r="H21" s="1097"/>
      <c r="I21" s="1097"/>
      <c r="J21" s="1240"/>
      <c r="K21" s="1492"/>
      <c r="L21" s="1509"/>
      <c r="M21" s="1497"/>
      <c r="N21" s="1500"/>
      <c r="O21" s="1299"/>
      <c r="P21" s="1299"/>
      <c r="Q21" s="1505"/>
      <c r="R21" s="1748"/>
      <c r="S21" s="1014"/>
      <c r="T21" s="1016"/>
      <c r="U21" s="1016"/>
      <c r="V21" s="1269"/>
      <c r="W21" s="1195"/>
      <c r="X21" s="1326"/>
      <c r="Y21" s="1323"/>
      <c r="Z21" s="1292"/>
      <c r="AA21" s="1292"/>
      <c r="AB21" s="1292"/>
      <c r="AC21" s="1292"/>
      <c r="AD21" s="1289"/>
      <c r="AE21" s="1751"/>
      <c r="AF21" s="1363"/>
      <c r="AG21" s="1360"/>
      <c r="AH21" s="1360"/>
      <c r="AI21" s="1357"/>
      <c r="AJ21" s="1195"/>
      <c r="AK21" s="1326"/>
      <c r="AL21" s="1323"/>
      <c r="AM21" s="1208"/>
      <c r="AN21" s="1211"/>
      <c r="AO21" s="1211"/>
      <c r="AP21" s="1224"/>
      <c r="AQ21" s="1289"/>
      <c r="AR21" s="1751"/>
      <c r="AS21" s="1014"/>
      <c r="AT21" s="1016"/>
      <c r="AU21" s="1016"/>
      <c r="AV21" s="1269"/>
      <c r="AW21" s="1195"/>
      <c r="AX21" s="1326"/>
      <c r="AY21" s="1323"/>
      <c r="AZ21" s="1208"/>
      <c r="BA21" s="1211"/>
      <c r="BB21" s="1211"/>
      <c r="BC21" s="1211"/>
      <c r="BD21" s="1289"/>
      <c r="BE21" s="1751"/>
      <c r="BF21" s="987"/>
      <c r="BG21" s="989"/>
      <c r="BH21" s="989"/>
      <c r="BI21" s="1275"/>
      <c r="BJ21" s="1195"/>
      <c r="BK21" s="1326"/>
      <c r="BL21" s="1342"/>
      <c r="BM21" s="1167"/>
      <c r="BN21" s="1148"/>
      <c r="BO21" s="1148"/>
      <c r="BP21" s="1148"/>
      <c r="BQ21" s="1289"/>
      <c r="BR21" s="1751"/>
      <c r="BS21" s="1351"/>
      <c r="BT21" s="1195"/>
      <c r="BU21" s="1289"/>
      <c r="BV21" s="1289"/>
      <c r="BW21" s="1754"/>
      <c r="BX21" s="1042"/>
      <c r="BY21" s="1042"/>
      <c r="BZ21" s="1042"/>
      <c r="CA21" s="1042"/>
      <c r="CB21" s="1042"/>
      <c r="CC21" s="1042"/>
      <c r="CD21" s="1042"/>
      <c r="CE21" s="1042"/>
      <c r="CF21" s="1042"/>
      <c r="CG21" s="1042"/>
    </row>
    <row r="22" spans="2:85" s="782" customFormat="1" ht="18" x14ac:dyDescent="0.25">
      <c r="B22" s="1395"/>
      <c r="C22" s="1398"/>
      <c r="D22" s="1401"/>
      <c r="E22" s="1448"/>
      <c r="F22" s="1445"/>
      <c r="G22" s="1215"/>
      <c r="H22" s="1097"/>
      <c r="I22" s="1097"/>
      <c r="J22" s="1240"/>
      <c r="K22" s="1492"/>
      <c r="L22" s="1509"/>
      <c r="M22" s="1497"/>
      <c r="N22" s="1500"/>
      <c r="O22" s="1299"/>
      <c r="P22" s="1299"/>
      <c r="Q22" s="1505"/>
      <c r="R22" s="1748"/>
      <c r="S22" s="1014"/>
      <c r="T22" s="1016"/>
      <c r="U22" s="1016"/>
      <c r="V22" s="1269"/>
      <c r="W22" s="1195"/>
      <c r="X22" s="1326"/>
      <c r="Y22" s="1323"/>
      <c r="Z22" s="1292"/>
      <c r="AA22" s="1292"/>
      <c r="AB22" s="1292"/>
      <c r="AC22" s="1292"/>
      <c r="AD22" s="1289"/>
      <c r="AE22" s="1751"/>
      <c r="AF22" s="1363"/>
      <c r="AG22" s="1360"/>
      <c r="AH22" s="1360"/>
      <c r="AI22" s="1357"/>
      <c r="AJ22" s="1195"/>
      <c r="AK22" s="1326"/>
      <c r="AL22" s="1323"/>
      <c r="AM22" s="1208"/>
      <c r="AN22" s="1211"/>
      <c r="AO22" s="1211"/>
      <c r="AP22" s="1224"/>
      <c r="AQ22" s="1289"/>
      <c r="AR22" s="1751"/>
      <c r="AS22" s="1014"/>
      <c r="AT22" s="1016"/>
      <c r="AU22" s="1016"/>
      <c r="AV22" s="1269"/>
      <c r="AW22" s="1195"/>
      <c r="AX22" s="1326"/>
      <c r="AY22" s="1323"/>
      <c r="AZ22" s="1208"/>
      <c r="BA22" s="1211"/>
      <c r="BB22" s="1211"/>
      <c r="BC22" s="1211"/>
      <c r="BD22" s="1289"/>
      <c r="BE22" s="1751"/>
      <c r="BF22" s="987"/>
      <c r="BG22" s="989"/>
      <c r="BH22" s="989"/>
      <c r="BI22" s="1275"/>
      <c r="BJ22" s="1195"/>
      <c r="BK22" s="1326"/>
      <c r="BL22" s="1342"/>
      <c r="BM22" s="1167"/>
      <c r="BN22" s="1148"/>
      <c r="BO22" s="1148"/>
      <c r="BP22" s="1148"/>
      <c r="BQ22" s="1289"/>
      <c r="BR22" s="1751"/>
      <c r="BS22" s="1351"/>
      <c r="BT22" s="1195"/>
      <c r="BU22" s="1289"/>
      <c r="BV22" s="1289"/>
      <c r="BW22" s="1754"/>
      <c r="BX22" s="1042"/>
      <c r="BY22" s="1042"/>
      <c r="BZ22" s="1042"/>
      <c r="CA22" s="1042"/>
      <c r="CB22" s="1042"/>
      <c r="CC22" s="1042"/>
      <c r="CD22" s="1042"/>
      <c r="CE22" s="1042"/>
      <c r="CF22" s="1042"/>
      <c r="CG22" s="1042"/>
    </row>
    <row r="23" spans="2:85" s="782" customFormat="1" ht="15" customHeight="1" x14ac:dyDescent="0.25">
      <c r="B23" s="1395"/>
      <c r="C23" s="1398"/>
      <c r="D23" s="1401"/>
      <c r="E23" s="1448"/>
      <c r="F23" s="1445"/>
      <c r="G23" s="1215"/>
      <c r="H23" s="1097"/>
      <c r="I23" s="1097"/>
      <c r="J23" s="1240"/>
      <c r="K23" s="1492"/>
      <c r="L23" s="1509"/>
      <c r="M23" s="1497"/>
      <c r="N23" s="1500"/>
      <c r="O23" s="1299"/>
      <c r="P23" s="1299"/>
      <c r="Q23" s="1505"/>
      <c r="R23" s="1748"/>
      <c r="S23" s="1014"/>
      <c r="T23" s="1016"/>
      <c r="U23" s="1016"/>
      <c r="V23" s="1269"/>
      <c r="W23" s="1195"/>
      <c r="X23" s="1326"/>
      <c r="Y23" s="1323"/>
      <c r="Z23" s="1292"/>
      <c r="AA23" s="1292"/>
      <c r="AB23" s="1292"/>
      <c r="AC23" s="1292"/>
      <c r="AD23" s="1289"/>
      <c r="AE23" s="1751"/>
      <c r="AF23" s="1363"/>
      <c r="AG23" s="1360"/>
      <c r="AH23" s="1360"/>
      <c r="AI23" s="1357"/>
      <c r="AJ23" s="1195"/>
      <c r="AK23" s="1326"/>
      <c r="AL23" s="1323"/>
      <c r="AM23" s="1208"/>
      <c r="AN23" s="1211"/>
      <c r="AO23" s="1211"/>
      <c r="AP23" s="1224"/>
      <c r="AQ23" s="1289"/>
      <c r="AR23" s="1751"/>
      <c r="AS23" s="1014"/>
      <c r="AT23" s="1016"/>
      <c r="AU23" s="1016"/>
      <c r="AV23" s="1269"/>
      <c r="AW23" s="1195"/>
      <c r="AX23" s="1326"/>
      <c r="AY23" s="1323"/>
      <c r="AZ23" s="1208"/>
      <c r="BA23" s="1211"/>
      <c r="BB23" s="1211"/>
      <c r="BC23" s="1211"/>
      <c r="BD23" s="1289"/>
      <c r="BE23" s="1751"/>
      <c r="BF23" s="987"/>
      <c r="BG23" s="989"/>
      <c r="BH23" s="989"/>
      <c r="BI23" s="1275"/>
      <c r="BJ23" s="1195"/>
      <c r="BK23" s="1326"/>
      <c r="BL23" s="1342"/>
      <c r="BM23" s="1167"/>
      <c r="BN23" s="1148"/>
      <c r="BO23" s="1148"/>
      <c r="BP23" s="1148"/>
      <c r="BQ23" s="1289"/>
      <c r="BR23" s="1751"/>
      <c r="BS23" s="1351"/>
      <c r="BT23" s="1195"/>
      <c r="BU23" s="1289"/>
      <c r="BV23" s="1289"/>
      <c r="BW23" s="1754"/>
      <c r="BX23" s="1042"/>
      <c r="BY23" s="1042"/>
      <c r="BZ23" s="1042"/>
      <c r="CA23" s="1042"/>
      <c r="CB23" s="1042"/>
      <c r="CC23" s="1042"/>
      <c r="CD23" s="1042"/>
      <c r="CE23" s="1042"/>
      <c r="CF23" s="1042"/>
      <c r="CG23" s="1042"/>
    </row>
    <row r="24" spans="2:85" s="782" customFormat="1" ht="15.75" customHeight="1" x14ac:dyDescent="0.25">
      <c r="B24" s="1395"/>
      <c r="C24" s="1398"/>
      <c r="D24" s="1401"/>
      <c r="E24" s="1448"/>
      <c r="F24" s="1445"/>
      <c r="G24" s="1215"/>
      <c r="H24" s="1097"/>
      <c r="I24" s="1097"/>
      <c r="J24" s="1240"/>
      <c r="K24" s="1492"/>
      <c r="L24" s="1509"/>
      <c r="M24" s="1497"/>
      <c r="N24" s="1500"/>
      <c r="O24" s="1299"/>
      <c r="P24" s="1299"/>
      <c r="Q24" s="1505"/>
      <c r="R24" s="1748"/>
      <c r="S24" s="1014"/>
      <c r="T24" s="1016"/>
      <c r="U24" s="1016"/>
      <c r="V24" s="1269"/>
      <c r="W24" s="1195"/>
      <c r="X24" s="1326"/>
      <c r="Y24" s="1323"/>
      <c r="Z24" s="1292"/>
      <c r="AA24" s="1292"/>
      <c r="AB24" s="1292"/>
      <c r="AC24" s="1292"/>
      <c r="AD24" s="1289"/>
      <c r="AE24" s="1751"/>
      <c r="AF24" s="1363"/>
      <c r="AG24" s="1360"/>
      <c r="AH24" s="1360"/>
      <c r="AI24" s="1357"/>
      <c r="AJ24" s="1195"/>
      <c r="AK24" s="1326" t="s">
        <v>196</v>
      </c>
      <c r="AL24" s="1323"/>
      <c r="AM24" s="1208"/>
      <c r="AN24" s="1211"/>
      <c r="AO24" s="1211"/>
      <c r="AP24" s="1224"/>
      <c r="AQ24" s="1289"/>
      <c r="AR24" s="1751"/>
      <c r="AS24" s="1014"/>
      <c r="AT24" s="1016"/>
      <c r="AU24" s="1016"/>
      <c r="AV24" s="1269"/>
      <c r="AW24" s="1195"/>
      <c r="AX24" s="1326" t="s">
        <v>196</v>
      </c>
      <c r="AY24" s="1323"/>
      <c r="AZ24" s="1208"/>
      <c r="BA24" s="1211"/>
      <c r="BB24" s="1211"/>
      <c r="BC24" s="1211"/>
      <c r="BD24" s="1289"/>
      <c r="BE24" s="1751"/>
      <c r="BF24" s="987"/>
      <c r="BG24" s="989"/>
      <c r="BH24" s="989"/>
      <c r="BI24" s="1275"/>
      <c r="BJ24" s="1195"/>
      <c r="BK24" s="1326" t="s">
        <v>196</v>
      </c>
      <c r="BL24" s="1342"/>
      <c r="BM24" s="1167"/>
      <c r="BN24" s="1148"/>
      <c r="BO24" s="1148"/>
      <c r="BP24" s="1148"/>
      <c r="BQ24" s="1289"/>
      <c r="BR24" s="1751"/>
      <c r="BS24" s="1351"/>
      <c r="BT24" s="1195"/>
      <c r="BU24" s="1289"/>
      <c r="BV24" s="1289"/>
      <c r="BW24" s="1754"/>
      <c r="BX24" s="1042"/>
      <c r="BY24" s="1042"/>
      <c r="BZ24" s="1042"/>
      <c r="CA24" s="1042"/>
      <c r="CB24" s="1042"/>
      <c r="CC24" s="1042"/>
      <c r="CD24" s="1042"/>
      <c r="CE24" s="1042"/>
      <c r="CF24" s="1042"/>
      <c r="CG24" s="1042"/>
    </row>
    <row r="25" spans="2:85" s="782" customFormat="1" ht="15" customHeight="1" x14ac:dyDescent="0.25">
      <c r="B25" s="1395"/>
      <c r="C25" s="1398"/>
      <c r="D25" s="1401"/>
      <c r="E25" s="1448"/>
      <c r="F25" s="1445"/>
      <c r="G25" s="1215"/>
      <c r="H25" s="1097"/>
      <c r="I25" s="1097"/>
      <c r="J25" s="1240"/>
      <c r="K25" s="1492"/>
      <c r="L25" s="1509"/>
      <c r="M25" s="1497"/>
      <c r="N25" s="1500"/>
      <c r="O25" s="1299"/>
      <c r="P25" s="1299"/>
      <c r="Q25" s="1505"/>
      <c r="R25" s="1748"/>
      <c r="S25" s="1014"/>
      <c r="T25" s="1016"/>
      <c r="U25" s="1016"/>
      <c r="V25" s="1269"/>
      <c r="W25" s="1195"/>
      <c r="X25" s="1326"/>
      <c r="Y25" s="1323"/>
      <c r="Z25" s="1292"/>
      <c r="AA25" s="1292"/>
      <c r="AB25" s="1292"/>
      <c r="AC25" s="1292"/>
      <c r="AD25" s="1289"/>
      <c r="AE25" s="1751"/>
      <c r="AF25" s="1363"/>
      <c r="AG25" s="1360"/>
      <c r="AH25" s="1360"/>
      <c r="AI25" s="1357"/>
      <c r="AJ25" s="1195"/>
      <c r="AK25" s="1326"/>
      <c r="AL25" s="1323"/>
      <c r="AM25" s="1208"/>
      <c r="AN25" s="1211"/>
      <c r="AO25" s="1211"/>
      <c r="AP25" s="1224"/>
      <c r="AQ25" s="1289"/>
      <c r="AR25" s="1751"/>
      <c r="AS25" s="1014"/>
      <c r="AT25" s="1016"/>
      <c r="AU25" s="1016"/>
      <c r="AV25" s="1269"/>
      <c r="AW25" s="1195"/>
      <c r="AX25" s="1326"/>
      <c r="AY25" s="1323"/>
      <c r="AZ25" s="1208"/>
      <c r="BA25" s="1211"/>
      <c r="BB25" s="1211"/>
      <c r="BC25" s="1211"/>
      <c r="BD25" s="1289"/>
      <c r="BE25" s="1751"/>
      <c r="BF25" s="987"/>
      <c r="BG25" s="989"/>
      <c r="BH25" s="989"/>
      <c r="BI25" s="1275"/>
      <c r="BJ25" s="1195"/>
      <c r="BK25" s="1326"/>
      <c r="BL25" s="1342"/>
      <c r="BM25" s="1167"/>
      <c r="BN25" s="1148"/>
      <c r="BO25" s="1148"/>
      <c r="BP25" s="1148"/>
      <c r="BQ25" s="1289"/>
      <c r="BR25" s="1751"/>
      <c r="BS25" s="1351"/>
      <c r="BT25" s="1195"/>
      <c r="BU25" s="1289"/>
      <c r="BV25" s="1289"/>
      <c r="BW25" s="1754"/>
      <c r="BX25" s="1042"/>
      <c r="BY25" s="1042"/>
      <c r="BZ25" s="1042"/>
      <c r="CA25" s="1042"/>
      <c r="CB25" s="1042"/>
      <c r="CC25" s="1042"/>
      <c r="CD25" s="1042"/>
      <c r="CE25" s="1042"/>
      <c r="CF25" s="1042"/>
      <c r="CG25" s="1042"/>
    </row>
    <row r="26" spans="2:85" s="782" customFormat="1" ht="15" customHeight="1" x14ac:dyDescent="0.25">
      <c r="B26" s="1395"/>
      <c r="C26" s="1398"/>
      <c r="D26" s="1401"/>
      <c r="E26" s="1448"/>
      <c r="F26" s="1445"/>
      <c r="G26" s="1215"/>
      <c r="H26" s="1097"/>
      <c r="I26" s="1097"/>
      <c r="J26" s="1240"/>
      <c r="K26" s="1492"/>
      <c r="L26" s="1509"/>
      <c r="M26" s="1497"/>
      <c r="N26" s="1500"/>
      <c r="O26" s="1299"/>
      <c r="P26" s="1299"/>
      <c r="Q26" s="1505"/>
      <c r="R26" s="1748"/>
      <c r="S26" s="1014"/>
      <c r="T26" s="1016"/>
      <c r="U26" s="1016"/>
      <c r="V26" s="1269"/>
      <c r="W26" s="1195"/>
      <c r="X26" s="1326"/>
      <c r="Y26" s="1323"/>
      <c r="Z26" s="1292"/>
      <c r="AA26" s="1292"/>
      <c r="AB26" s="1292"/>
      <c r="AC26" s="1292"/>
      <c r="AD26" s="1289"/>
      <c r="AE26" s="1751"/>
      <c r="AF26" s="1363"/>
      <c r="AG26" s="1360"/>
      <c r="AH26" s="1360"/>
      <c r="AI26" s="1357"/>
      <c r="AJ26" s="1195"/>
      <c r="AK26" s="1326"/>
      <c r="AL26" s="1323"/>
      <c r="AM26" s="1208"/>
      <c r="AN26" s="1211"/>
      <c r="AO26" s="1211"/>
      <c r="AP26" s="1224"/>
      <c r="AQ26" s="1289"/>
      <c r="AR26" s="1751"/>
      <c r="AS26" s="1014"/>
      <c r="AT26" s="1016"/>
      <c r="AU26" s="1016"/>
      <c r="AV26" s="1269"/>
      <c r="AW26" s="1195"/>
      <c r="AX26" s="1326"/>
      <c r="AY26" s="1323"/>
      <c r="AZ26" s="1208"/>
      <c r="BA26" s="1211"/>
      <c r="BB26" s="1211"/>
      <c r="BC26" s="1211"/>
      <c r="BD26" s="1289"/>
      <c r="BE26" s="1751"/>
      <c r="BF26" s="987"/>
      <c r="BG26" s="989"/>
      <c r="BH26" s="989"/>
      <c r="BI26" s="1275"/>
      <c r="BJ26" s="1195"/>
      <c r="BK26" s="1326"/>
      <c r="BL26" s="1342"/>
      <c r="BM26" s="1167"/>
      <c r="BN26" s="1148"/>
      <c r="BO26" s="1148"/>
      <c r="BP26" s="1148"/>
      <c r="BQ26" s="1289"/>
      <c r="BR26" s="1751"/>
      <c r="BS26" s="1351"/>
      <c r="BT26" s="1195"/>
      <c r="BU26" s="1289"/>
      <c r="BV26" s="1289"/>
      <c r="BW26" s="1754"/>
      <c r="BX26" s="1042"/>
      <c r="BY26" s="1042"/>
      <c r="BZ26" s="1042"/>
      <c r="CA26" s="1042"/>
      <c r="CB26" s="1042"/>
      <c r="CC26" s="1042"/>
      <c r="CD26" s="1042"/>
      <c r="CE26" s="1042"/>
      <c r="CF26" s="1042"/>
      <c r="CG26" s="1042"/>
    </row>
    <row r="27" spans="2:85" s="782" customFormat="1" ht="15" customHeight="1" x14ac:dyDescent="0.25">
      <c r="B27" s="1395"/>
      <c r="C27" s="1398"/>
      <c r="D27" s="1401"/>
      <c r="E27" s="1448"/>
      <c r="F27" s="1445"/>
      <c r="G27" s="1215"/>
      <c r="H27" s="1097"/>
      <c r="I27" s="1097"/>
      <c r="J27" s="1240"/>
      <c r="K27" s="1492"/>
      <c r="L27" s="1509"/>
      <c r="M27" s="1497"/>
      <c r="N27" s="1500"/>
      <c r="O27" s="1299"/>
      <c r="P27" s="1299"/>
      <c r="Q27" s="1505"/>
      <c r="R27" s="1748"/>
      <c r="S27" s="1014"/>
      <c r="T27" s="1016"/>
      <c r="U27" s="1016"/>
      <c r="V27" s="1269"/>
      <c r="W27" s="1195"/>
      <c r="X27" s="1326"/>
      <c r="Y27" s="1323"/>
      <c r="Z27" s="1292"/>
      <c r="AA27" s="1292"/>
      <c r="AB27" s="1292"/>
      <c r="AC27" s="1292"/>
      <c r="AD27" s="1289"/>
      <c r="AE27" s="1751"/>
      <c r="AF27" s="1363"/>
      <c r="AG27" s="1360"/>
      <c r="AH27" s="1360"/>
      <c r="AI27" s="1357"/>
      <c r="AJ27" s="1195"/>
      <c r="AK27" s="1326"/>
      <c r="AL27" s="1323"/>
      <c r="AM27" s="1208"/>
      <c r="AN27" s="1211"/>
      <c r="AO27" s="1211"/>
      <c r="AP27" s="1224">
        <v>0</v>
      </c>
      <c r="AQ27" s="1289"/>
      <c r="AR27" s="1751"/>
      <c r="AS27" s="1014"/>
      <c r="AT27" s="1016"/>
      <c r="AU27" s="1016"/>
      <c r="AV27" s="1269"/>
      <c r="AW27" s="1195"/>
      <c r="AX27" s="1326"/>
      <c r="AY27" s="1323"/>
      <c r="AZ27" s="1208"/>
      <c r="BA27" s="1211"/>
      <c r="BB27" s="1211"/>
      <c r="BC27" s="1211">
        <v>0</v>
      </c>
      <c r="BD27" s="1289"/>
      <c r="BE27" s="1751"/>
      <c r="BF27" s="987"/>
      <c r="BG27" s="989"/>
      <c r="BH27" s="989"/>
      <c r="BI27" s="1275"/>
      <c r="BJ27" s="1195"/>
      <c r="BK27" s="1326"/>
      <c r="BL27" s="1342"/>
      <c r="BM27" s="1167"/>
      <c r="BN27" s="1148"/>
      <c r="BO27" s="1148"/>
      <c r="BP27" s="1148"/>
      <c r="BQ27" s="1289"/>
      <c r="BR27" s="1751"/>
      <c r="BS27" s="1351"/>
      <c r="BT27" s="1195"/>
      <c r="BU27" s="1289"/>
      <c r="BV27" s="1289"/>
      <c r="BW27" s="1754"/>
      <c r="BX27" s="1042"/>
      <c r="BY27" s="1042">
        <f>IFERROR(BH27/#REF!,0)</f>
        <v>0</v>
      </c>
      <c r="BZ27" s="1042"/>
      <c r="CA27" s="1042">
        <f>IFERROR(BM27/#REF!,0)</f>
        <v>0</v>
      </c>
      <c r="CB27" s="1042"/>
      <c r="CC27" s="1042">
        <f>IFERROR(BS27/#REF!,0)</f>
        <v>0</v>
      </c>
      <c r="CD27" s="1042"/>
      <c r="CE27" s="1042"/>
      <c r="CF27" s="1042"/>
      <c r="CG27" s="1042"/>
    </row>
    <row r="28" spans="2:85" s="782" customFormat="1" ht="15" customHeight="1" x14ac:dyDescent="0.25">
      <c r="B28" s="1395"/>
      <c r="C28" s="1398"/>
      <c r="D28" s="1401"/>
      <c r="E28" s="1448"/>
      <c r="F28" s="1445"/>
      <c r="G28" s="1215"/>
      <c r="H28" s="1097"/>
      <c r="I28" s="1097"/>
      <c r="J28" s="1240"/>
      <c r="K28" s="1492"/>
      <c r="L28" s="1509"/>
      <c r="M28" s="1497"/>
      <c r="N28" s="1500"/>
      <c r="O28" s="1299"/>
      <c r="P28" s="1299"/>
      <c r="Q28" s="1505"/>
      <c r="R28" s="1748"/>
      <c r="S28" s="1014"/>
      <c r="T28" s="1016"/>
      <c r="U28" s="1016"/>
      <c r="V28" s="1269"/>
      <c r="W28" s="1195"/>
      <c r="X28" s="1326"/>
      <c r="Y28" s="1323"/>
      <c r="Z28" s="1292"/>
      <c r="AA28" s="1292"/>
      <c r="AB28" s="1292"/>
      <c r="AC28" s="1292"/>
      <c r="AD28" s="1289"/>
      <c r="AE28" s="1751"/>
      <c r="AF28" s="1363"/>
      <c r="AG28" s="1360"/>
      <c r="AH28" s="1360"/>
      <c r="AI28" s="1357"/>
      <c r="AJ28" s="1195"/>
      <c r="AK28" s="1326" t="s">
        <v>197</v>
      </c>
      <c r="AL28" s="1323"/>
      <c r="AM28" s="1208"/>
      <c r="AN28" s="1211"/>
      <c r="AO28" s="1211"/>
      <c r="AP28" s="1224"/>
      <c r="AQ28" s="1289"/>
      <c r="AR28" s="1751"/>
      <c r="AS28" s="1014"/>
      <c r="AT28" s="1016"/>
      <c r="AU28" s="1016"/>
      <c r="AV28" s="1269"/>
      <c r="AW28" s="1195"/>
      <c r="AX28" s="1326" t="s">
        <v>197</v>
      </c>
      <c r="AY28" s="1323"/>
      <c r="AZ28" s="1208"/>
      <c r="BA28" s="1211"/>
      <c r="BB28" s="1211"/>
      <c r="BC28" s="1211"/>
      <c r="BD28" s="1289"/>
      <c r="BE28" s="1751"/>
      <c r="BF28" s="987"/>
      <c r="BG28" s="989"/>
      <c r="BH28" s="989"/>
      <c r="BI28" s="1275"/>
      <c r="BJ28" s="1195"/>
      <c r="BK28" s="1326" t="s">
        <v>197</v>
      </c>
      <c r="BL28" s="1342"/>
      <c r="BM28" s="1167"/>
      <c r="BN28" s="1148"/>
      <c r="BO28" s="1148"/>
      <c r="BP28" s="1148"/>
      <c r="BQ28" s="1289"/>
      <c r="BR28" s="1751"/>
      <c r="BS28" s="1351"/>
      <c r="BT28" s="1195"/>
      <c r="BU28" s="1289"/>
      <c r="BV28" s="1289"/>
      <c r="BW28" s="1754"/>
      <c r="BX28" s="1042"/>
      <c r="BY28" s="1042">
        <f>IFERROR(BH28/#REF!,0)</f>
        <v>0</v>
      </c>
      <c r="BZ28" s="1042"/>
      <c r="CA28" s="1042">
        <f>IFERROR(BM28/#REF!,0)</f>
        <v>0</v>
      </c>
      <c r="CB28" s="1042"/>
      <c r="CC28" s="1042">
        <f>IFERROR(BS28/#REF!,0)</f>
        <v>0</v>
      </c>
      <c r="CD28" s="1042"/>
      <c r="CE28" s="1042"/>
      <c r="CF28" s="1042"/>
      <c r="CG28" s="1042"/>
    </row>
    <row r="29" spans="2:85" s="782" customFormat="1" ht="15" customHeight="1" x14ac:dyDescent="0.25">
      <c r="B29" s="1395"/>
      <c r="C29" s="1398"/>
      <c r="D29" s="1401"/>
      <c r="E29" s="1448"/>
      <c r="F29" s="1445"/>
      <c r="G29" s="1215"/>
      <c r="H29" s="1097"/>
      <c r="I29" s="1097"/>
      <c r="J29" s="1240"/>
      <c r="K29" s="1492"/>
      <c r="L29" s="1509"/>
      <c r="M29" s="1497"/>
      <c r="N29" s="1500"/>
      <c r="O29" s="1299"/>
      <c r="P29" s="1299"/>
      <c r="Q29" s="1505"/>
      <c r="R29" s="1748"/>
      <c r="S29" s="1014"/>
      <c r="T29" s="1016"/>
      <c r="U29" s="1016"/>
      <c r="V29" s="1269"/>
      <c r="W29" s="1195"/>
      <c r="X29" s="1326"/>
      <c r="Y29" s="1323"/>
      <c r="Z29" s="1292"/>
      <c r="AA29" s="1292"/>
      <c r="AB29" s="1292"/>
      <c r="AC29" s="1292"/>
      <c r="AD29" s="1289"/>
      <c r="AE29" s="1751"/>
      <c r="AF29" s="1363"/>
      <c r="AG29" s="1360"/>
      <c r="AH29" s="1360"/>
      <c r="AI29" s="1357"/>
      <c r="AJ29" s="1195"/>
      <c r="AK29" s="1326"/>
      <c r="AL29" s="1323"/>
      <c r="AM29" s="1208"/>
      <c r="AN29" s="1211"/>
      <c r="AO29" s="1211"/>
      <c r="AP29" s="1224">
        <v>0</v>
      </c>
      <c r="AQ29" s="1289"/>
      <c r="AR29" s="1751"/>
      <c r="AS29" s="1014"/>
      <c r="AT29" s="1016"/>
      <c r="AU29" s="1016"/>
      <c r="AV29" s="1269"/>
      <c r="AW29" s="1195"/>
      <c r="AX29" s="1326"/>
      <c r="AY29" s="1323"/>
      <c r="AZ29" s="1208"/>
      <c r="BA29" s="1211"/>
      <c r="BB29" s="1211"/>
      <c r="BC29" s="1211">
        <v>0</v>
      </c>
      <c r="BD29" s="1289"/>
      <c r="BE29" s="1751"/>
      <c r="BF29" s="987"/>
      <c r="BG29" s="989"/>
      <c r="BH29" s="989"/>
      <c r="BI29" s="1275"/>
      <c r="BJ29" s="1195"/>
      <c r="BK29" s="1326"/>
      <c r="BL29" s="1342"/>
      <c r="BM29" s="1167"/>
      <c r="BN29" s="1148"/>
      <c r="BO29" s="1148"/>
      <c r="BP29" s="1148"/>
      <c r="BQ29" s="1289"/>
      <c r="BR29" s="1751"/>
      <c r="BS29" s="1351"/>
      <c r="BT29" s="1195"/>
      <c r="BU29" s="1289"/>
      <c r="BV29" s="1289"/>
      <c r="BW29" s="1754"/>
      <c r="BX29" s="1042"/>
      <c r="BY29" s="1042">
        <f>IFERROR(BH29/#REF!,0)</f>
        <v>0</v>
      </c>
      <c r="BZ29" s="1042"/>
      <c r="CA29" s="1042">
        <f>IFERROR(BM29/#REF!,0)</f>
        <v>0</v>
      </c>
      <c r="CB29" s="1042"/>
      <c r="CC29" s="1042">
        <f>IFERROR(BS29/#REF!,0)</f>
        <v>0</v>
      </c>
      <c r="CD29" s="1042"/>
      <c r="CE29" s="1042"/>
      <c r="CF29" s="1042"/>
      <c r="CG29" s="1042"/>
    </row>
    <row r="30" spans="2:85" s="782" customFormat="1" ht="15" customHeight="1" x14ac:dyDescent="0.25">
      <c r="B30" s="1395"/>
      <c r="C30" s="1398"/>
      <c r="D30" s="1401"/>
      <c r="E30" s="1448"/>
      <c r="F30" s="1445"/>
      <c r="G30" s="1215"/>
      <c r="H30" s="1097"/>
      <c r="I30" s="1097"/>
      <c r="J30" s="1240"/>
      <c r="K30" s="1492"/>
      <c r="L30" s="1509"/>
      <c r="M30" s="1497"/>
      <c r="N30" s="1500"/>
      <c r="O30" s="1299"/>
      <c r="P30" s="1299"/>
      <c r="Q30" s="1505"/>
      <c r="R30" s="1748"/>
      <c r="S30" s="1014"/>
      <c r="T30" s="1016"/>
      <c r="U30" s="1016"/>
      <c r="V30" s="1269"/>
      <c r="W30" s="1195"/>
      <c r="X30" s="1326"/>
      <c r="Y30" s="1323"/>
      <c r="Z30" s="1292"/>
      <c r="AA30" s="1292"/>
      <c r="AB30" s="1292"/>
      <c r="AC30" s="1292"/>
      <c r="AD30" s="1289"/>
      <c r="AE30" s="1751"/>
      <c r="AF30" s="1363"/>
      <c r="AG30" s="1360"/>
      <c r="AH30" s="1360"/>
      <c r="AI30" s="1357"/>
      <c r="AJ30" s="1195"/>
      <c r="AK30" s="1326"/>
      <c r="AL30" s="1323"/>
      <c r="AM30" s="1208"/>
      <c r="AN30" s="1211"/>
      <c r="AO30" s="1211"/>
      <c r="AP30" s="1224">
        <v>0</v>
      </c>
      <c r="AQ30" s="1289"/>
      <c r="AR30" s="1751"/>
      <c r="AS30" s="1014"/>
      <c r="AT30" s="1016"/>
      <c r="AU30" s="1016"/>
      <c r="AV30" s="1269"/>
      <c r="AW30" s="1195"/>
      <c r="AX30" s="1326"/>
      <c r="AY30" s="1323"/>
      <c r="AZ30" s="1208"/>
      <c r="BA30" s="1211"/>
      <c r="BB30" s="1211"/>
      <c r="BC30" s="1211">
        <v>0</v>
      </c>
      <c r="BD30" s="1289"/>
      <c r="BE30" s="1751"/>
      <c r="BF30" s="987"/>
      <c r="BG30" s="989"/>
      <c r="BH30" s="989"/>
      <c r="BI30" s="1275"/>
      <c r="BJ30" s="1195"/>
      <c r="BK30" s="1326"/>
      <c r="BL30" s="1342"/>
      <c r="BM30" s="1167"/>
      <c r="BN30" s="1148"/>
      <c r="BO30" s="1148"/>
      <c r="BP30" s="1148"/>
      <c r="BQ30" s="1289"/>
      <c r="BR30" s="1751"/>
      <c r="BS30" s="1351"/>
      <c r="BT30" s="1195"/>
      <c r="BU30" s="1289"/>
      <c r="BV30" s="1289"/>
      <c r="BW30" s="1754"/>
      <c r="BX30" s="1042"/>
      <c r="BY30" s="1042"/>
      <c r="BZ30" s="1042"/>
      <c r="CA30" s="1042"/>
      <c r="CB30" s="1042"/>
      <c r="CC30" s="1042"/>
      <c r="CD30" s="1042"/>
      <c r="CE30" s="1042"/>
      <c r="CF30" s="1042"/>
      <c r="CG30" s="1042"/>
    </row>
    <row r="31" spans="2:85" s="782" customFormat="1" ht="125.45" customHeight="1" thickBot="1" x14ac:dyDescent="0.3">
      <c r="B31" s="1395"/>
      <c r="C31" s="1398"/>
      <c r="D31" s="1401"/>
      <c r="E31" s="1448"/>
      <c r="F31" s="1445"/>
      <c r="G31" s="1215"/>
      <c r="H31" s="1097"/>
      <c r="I31" s="1097"/>
      <c r="J31" s="1240"/>
      <c r="K31" s="1492"/>
      <c r="L31" s="1510"/>
      <c r="M31" s="1513"/>
      <c r="N31" s="1501"/>
      <c r="O31" s="1503"/>
      <c r="P31" s="1503"/>
      <c r="Q31" s="1506"/>
      <c r="R31" s="1748"/>
      <c r="S31" s="1014"/>
      <c r="T31" s="1016"/>
      <c r="U31" s="1016"/>
      <c r="V31" s="1269"/>
      <c r="W31" s="1195"/>
      <c r="X31" s="1327"/>
      <c r="Y31" s="1324"/>
      <c r="Z31" s="1490"/>
      <c r="AA31" s="1490"/>
      <c r="AB31" s="1490"/>
      <c r="AC31" s="1490"/>
      <c r="AD31" s="1312"/>
      <c r="AE31" s="1751"/>
      <c r="AF31" s="1363"/>
      <c r="AG31" s="1360"/>
      <c r="AH31" s="1360"/>
      <c r="AI31" s="1357"/>
      <c r="AJ31" s="1195"/>
      <c r="AK31" s="1327"/>
      <c r="AL31" s="1324"/>
      <c r="AM31" s="1221"/>
      <c r="AN31" s="1222"/>
      <c r="AO31" s="1222"/>
      <c r="AP31" s="1225">
        <v>0</v>
      </c>
      <c r="AQ31" s="1312"/>
      <c r="AR31" s="1751"/>
      <c r="AS31" s="1014"/>
      <c r="AT31" s="1016"/>
      <c r="AU31" s="1016"/>
      <c r="AV31" s="1269"/>
      <c r="AW31" s="1195"/>
      <c r="AX31" s="1327"/>
      <c r="AY31" s="1324"/>
      <c r="AZ31" s="1221"/>
      <c r="BA31" s="1222"/>
      <c r="BB31" s="1222"/>
      <c r="BC31" s="1222">
        <v>0</v>
      </c>
      <c r="BD31" s="1312"/>
      <c r="BE31" s="1751"/>
      <c r="BF31" s="987"/>
      <c r="BG31" s="989"/>
      <c r="BH31" s="989"/>
      <c r="BI31" s="1275"/>
      <c r="BJ31" s="1195"/>
      <c r="BK31" s="1327"/>
      <c r="BL31" s="1343"/>
      <c r="BM31" s="1206"/>
      <c r="BN31" s="1149"/>
      <c r="BO31" s="1149"/>
      <c r="BP31" s="1149"/>
      <c r="BQ31" s="1312"/>
      <c r="BR31" s="1751"/>
      <c r="BS31" s="1352"/>
      <c r="BT31" s="1195"/>
      <c r="BU31" s="1312"/>
      <c r="BV31" s="1289"/>
      <c r="BW31" s="1754"/>
      <c r="BX31" s="1042"/>
      <c r="BY31" s="1042">
        <f>IFERROR(BH31/#REF!,0)</f>
        <v>0</v>
      </c>
      <c r="BZ31" s="1042"/>
      <c r="CA31" s="1042">
        <f>IFERROR(BM31/#REF!,0)</f>
        <v>0</v>
      </c>
      <c r="CB31" s="1042"/>
      <c r="CC31" s="1042">
        <f>IFERROR(BS31/#REF!,0)</f>
        <v>0</v>
      </c>
      <c r="CD31" s="1042"/>
      <c r="CE31" s="1042"/>
      <c r="CF31" s="1042"/>
      <c r="CG31" s="1042"/>
    </row>
    <row r="32" spans="2:85" s="782" customFormat="1" ht="27.75" customHeight="1" x14ac:dyDescent="0.25">
      <c r="B32" s="1395"/>
      <c r="C32" s="1398"/>
      <c r="D32" s="1401"/>
      <c r="E32" s="1448"/>
      <c r="F32" s="1445"/>
      <c r="G32" s="1215"/>
      <c r="H32" s="1097"/>
      <c r="I32" s="1097"/>
      <c r="J32" s="1240"/>
      <c r="K32" s="1492"/>
      <c r="L32" s="1694" t="s">
        <v>540</v>
      </c>
      <c r="M32" s="1512">
        <v>98800</v>
      </c>
      <c r="N32" s="1499">
        <v>19973.330000000002</v>
      </c>
      <c r="O32" s="1502">
        <v>26771</v>
      </c>
      <c r="P32" s="1502">
        <v>33205</v>
      </c>
      <c r="Q32" s="1504">
        <f>15000+2500+2000+5500+1750</f>
        <v>26750</v>
      </c>
      <c r="R32" s="1748"/>
      <c r="S32" s="1014"/>
      <c r="T32" s="1016"/>
      <c r="U32" s="1016"/>
      <c r="V32" s="1269"/>
      <c r="W32" s="1195"/>
      <c r="X32" s="1306" t="s">
        <v>197</v>
      </c>
      <c r="Y32" s="1322" t="s">
        <v>541</v>
      </c>
      <c r="Z32" s="1291"/>
      <c r="AA32" s="1291"/>
      <c r="AB32" s="1291"/>
      <c r="AC32" s="1291">
        <v>19973.330000000002</v>
      </c>
      <c r="AD32" s="1288">
        <f>IFERROR(SUM(Z32:AC43),0)</f>
        <v>19973.330000000002</v>
      </c>
      <c r="AE32" s="1751"/>
      <c r="AF32" s="1363"/>
      <c r="AG32" s="1360"/>
      <c r="AH32" s="1360"/>
      <c r="AI32" s="1357"/>
      <c r="AJ32" s="1195"/>
      <c r="AK32" s="1306" t="s">
        <v>468</v>
      </c>
      <c r="AL32" s="1322" t="s">
        <v>542</v>
      </c>
      <c r="AM32" s="1490"/>
      <c r="AN32" s="1391"/>
      <c r="AO32" s="1391"/>
      <c r="AP32" s="1486">
        <v>26771</v>
      </c>
      <c r="AQ32" s="1288">
        <f>IFERROR(SUM(AM32:AP43),0)</f>
        <v>26771</v>
      </c>
      <c r="AR32" s="1751"/>
      <c r="AS32" s="1014"/>
      <c r="AT32" s="1016"/>
      <c r="AU32" s="1016"/>
      <c r="AV32" s="1269"/>
      <c r="AW32" s="1195"/>
      <c r="AX32" s="1306" t="s">
        <v>468</v>
      </c>
      <c r="AY32" s="1322" t="s">
        <v>543</v>
      </c>
      <c r="AZ32" s="1207"/>
      <c r="BA32" s="1210"/>
      <c r="BB32" s="1210"/>
      <c r="BC32" s="1210">
        <v>33205</v>
      </c>
      <c r="BD32" s="1288">
        <f>IFERROR(SUM(AZ32:BC43),0)</f>
        <v>33205</v>
      </c>
      <c r="BE32" s="1751"/>
      <c r="BF32" s="987"/>
      <c r="BG32" s="989"/>
      <c r="BH32" s="989"/>
      <c r="BI32" s="1275"/>
      <c r="BJ32" s="1195"/>
      <c r="BK32" s="1306" t="s">
        <v>468</v>
      </c>
      <c r="BL32" s="1341" t="s">
        <v>677</v>
      </c>
      <c r="BM32" s="1166">
        <v>5000</v>
      </c>
      <c r="BN32" s="1147">
        <v>6000</v>
      </c>
      <c r="BO32" s="1147">
        <v>5750</v>
      </c>
      <c r="BP32" s="1147">
        <v>1300.67</v>
      </c>
      <c r="BQ32" s="1288">
        <f>SUM(BM32:BP43)</f>
        <v>18050.669999999998</v>
      </c>
      <c r="BR32" s="1751"/>
      <c r="BS32" s="1690"/>
      <c r="BT32" s="1195"/>
      <c r="BU32" s="1288">
        <f>SUM(AD32,AQ32,BD32,BQ32)</f>
        <v>98000</v>
      </c>
      <c r="BV32" s="1289"/>
      <c r="BW32" s="1754"/>
      <c r="BX32" s="1042"/>
      <c r="BY32" s="1041">
        <f>IFERROR(AD32/N32,0)</f>
        <v>1</v>
      </c>
      <c r="BZ32" s="1042">
        <f>IFERROR(AJ32/H32,0)</f>
        <v>0</v>
      </c>
      <c r="CA32" s="1041">
        <f>IFERROR(AQ32/O32,0)</f>
        <v>1</v>
      </c>
      <c r="CB32" s="1042"/>
      <c r="CC32" s="1041">
        <f>IFERROR(BD32/P32,0)</f>
        <v>1</v>
      </c>
      <c r="CD32" s="1042"/>
      <c r="CE32" s="1041">
        <f>IFERROR(BQ32/Q32,0)</f>
        <v>0.67479140186915876</v>
      </c>
      <c r="CF32" s="1042"/>
      <c r="CG32" s="1042"/>
    </row>
    <row r="33" spans="2:85" s="782" customFormat="1" ht="27.75" customHeight="1" x14ac:dyDescent="0.25">
      <c r="B33" s="1395"/>
      <c r="C33" s="1398"/>
      <c r="D33" s="1401"/>
      <c r="E33" s="1448"/>
      <c r="F33" s="1445"/>
      <c r="G33" s="1215"/>
      <c r="H33" s="1097"/>
      <c r="I33" s="1097"/>
      <c r="J33" s="1240"/>
      <c r="K33" s="1492"/>
      <c r="L33" s="1509"/>
      <c r="M33" s="1497"/>
      <c r="N33" s="1500"/>
      <c r="O33" s="1299"/>
      <c r="P33" s="1299"/>
      <c r="Q33" s="1505"/>
      <c r="R33" s="1748"/>
      <c r="S33" s="1014"/>
      <c r="T33" s="1016"/>
      <c r="U33" s="1016"/>
      <c r="V33" s="1269"/>
      <c r="W33" s="1195"/>
      <c r="X33" s="1307"/>
      <c r="Y33" s="1323"/>
      <c r="Z33" s="1292"/>
      <c r="AA33" s="1292"/>
      <c r="AB33" s="1292"/>
      <c r="AC33" s="1292"/>
      <c r="AD33" s="1289"/>
      <c r="AE33" s="1751"/>
      <c r="AF33" s="1363"/>
      <c r="AG33" s="1360"/>
      <c r="AH33" s="1360"/>
      <c r="AI33" s="1357"/>
      <c r="AJ33" s="1195"/>
      <c r="AK33" s="1307"/>
      <c r="AL33" s="1323"/>
      <c r="AM33" s="1208"/>
      <c r="AN33" s="1211"/>
      <c r="AO33" s="1211"/>
      <c r="AP33" s="1224"/>
      <c r="AQ33" s="1289"/>
      <c r="AR33" s="1751"/>
      <c r="AS33" s="1014"/>
      <c r="AT33" s="1016"/>
      <c r="AU33" s="1016"/>
      <c r="AV33" s="1269"/>
      <c r="AW33" s="1195"/>
      <c r="AX33" s="1307"/>
      <c r="AY33" s="1323"/>
      <c r="AZ33" s="1208"/>
      <c r="BA33" s="1211"/>
      <c r="BB33" s="1211"/>
      <c r="BC33" s="1211"/>
      <c r="BD33" s="1289"/>
      <c r="BE33" s="1751"/>
      <c r="BF33" s="987"/>
      <c r="BG33" s="989"/>
      <c r="BH33" s="989"/>
      <c r="BI33" s="1275"/>
      <c r="BJ33" s="1195"/>
      <c r="BK33" s="1307"/>
      <c r="BL33" s="1342"/>
      <c r="BM33" s="1167"/>
      <c r="BN33" s="1148"/>
      <c r="BO33" s="1148"/>
      <c r="BP33" s="1148"/>
      <c r="BQ33" s="1289"/>
      <c r="BR33" s="1751"/>
      <c r="BS33" s="1351"/>
      <c r="BT33" s="1195"/>
      <c r="BU33" s="1289"/>
      <c r="BV33" s="1289"/>
      <c r="BW33" s="1754"/>
      <c r="BX33" s="1042"/>
      <c r="BY33" s="1042"/>
      <c r="BZ33" s="1042"/>
      <c r="CA33" s="1042"/>
      <c r="CB33" s="1042"/>
      <c r="CC33" s="1042"/>
      <c r="CD33" s="1042"/>
      <c r="CE33" s="1042"/>
      <c r="CF33" s="1042"/>
      <c r="CG33" s="1042"/>
    </row>
    <row r="34" spans="2:85" s="782" customFormat="1" ht="27.75" customHeight="1" x14ac:dyDescent="0.25">
      <c r="B34" s="1395"/>
      <c r="C34" s="1398"/>
      <c r="D34" s="1401"/>
      <c r="E34" s="1448"/>
      <c r="F34" s="1445"/>
      <c r="G34" s="1215"/>
      <c r="H34" s="1097"/>
      <c r="I34" s="1097"/>
      <c r="J34" s="1240"/>
      <c r="K34" s="1492"/>
      <c r="L34" s="1509"/>
      <c r="M34" s="1497"/>
      <c r="N34" s="1500"/>
      <c r="O34" s="1299"/>
      <c r="P34" s="1299"/>
      <c r="Q34" s="1505"/>
      <c r="R34" s="1748"/>
      <c r="S34" s="1014"/>
      <c r="T34" s="1016"/>
      <c r="U34" s="1016"/>
      <c r="V34" s="1269"/>
      <c r="W34" s="1195"/>
      <c r="X34" s="1307"/>
      <c r="Y34" s="1323"/>
      <c r="Z34" s="1292"/>
      <c r="AA34" s="1292"/>
      <c r="AB34" s="1292"/>
      <c r="AC34" s="1292"/>
      <c r="AD34" s="1289"/>
      <c r="AE34" s="1751"/>
      <c r="AF34" s="1363"/>
      <c r="AG34" s="1360"/>
      <c r="AH34" s="1360"/>
      <c r="AI34" s="1357"/>
      <c r="AJ34" s="1195"/>
      <c r="AK34" s="1307"/>
      <c r="AL34" s="1323"/>
      <c r="AM34" s="1208"/>
      <c r="AN34" s="1211"/>
      <c r="AO34" s="1211"/>
      <c r="AP34" s="1224"/>
      <c r="AQ34" s="1289"/>
      <c r="AR34" s="1751"/>
      <c r="AS34" s="1014"/>
      <c r="AT34" s="1016"/>
      <c r="AU34" s="1016"/>
      <c r="AV34" s="1269"/>
      <c r="AW34" s="1195"/>
      <c r="AX34" s="1307"/>
      <c r="AY34" s="1323"/>
      <c r="AZ34" s="1208"/>
      <c r="BA34" s="1211"/>
      <c r="BB34" s="1211"/>
      <c r="BC34" s="1211"/>
      <c r="BD34" s="1289"/>
      <c r="BE34" s="1751"/>
      <c r="BF34" s="987"/>
      <c r="BG34" s="989"/>
      <c r="BH34" s="989"/>
      <c r="BI34" s="1275"/>
      <c r="BJ34" s="1195"/>
      <c r="BK34" s="1307"/>
      <c r="BL34" s="1342"/>
      <c r="BM34" s="1167"/>
      <c r="BN34" s="1148"/>
      <c r="BO34" s="1148"/>
      <c r="BP34" s="1148"/>
      <c r="BQ34" s="1289"/>
      <c r="BR34" s="1751"/>
      <c r="BS34" s="1351"/>
      <c r="BT34" s="1195"/>
      <c r="BU34" s="1289"/>
      <c r="BV34" s="1289"/>
      <c r="BW34" s="1754"/>
      <c r="BX34" s="1042"/>
      <c r="BY34" s="1042"/>
      <c r="BZ34" s="1042"/>
      <c r="CA34" s="1042"/>
      <c r="CB34" s="1042"/>
      <c r="CC34" s="1042"/>
      <c r="CD34" s="1042"/>
      <c r="CE34" s="1042"/>
      <c r="CF34" s="1042"/>
      <c r="CG34" s="1042"/>
    </row>
    <row r="35" spans="2:85" s="782" customFormat="1" ht="27.75" customHeight="1" x14ac:dyDescent="0.25">
      <c r="B35" s="1395"/>
      <c r="C35" s="1398"/>
      <c r="D35" s="1401"/>
      <c r="E35" s="1448"/>
      <c r="F35" s="1445"/>
      <c r="G35" s="1215"/>
      <c r="H35" s="1097"/>
      <c r="I35" s="1097"/>
      <c r="J35" s="1240"/>
      <c r="K35" s="1492"/>
      <c r="L35" s="1509"/>
      <c r="M35" s="1497"/>
      <c r="N35" s="1500"/>
      <c r="O35" s="1299"/>
      <c r="P35" s="1299"/>
      <c r="Q35" s="1505"/>
      <c r="R35" s="1748"/>
      <c r="S35" s="1014"/>
      <c r="T35" s="1016"/>
      <c r="U35" s="1016"/>
      <c r="V35" s="1269"/>
      <c r="W35" s="1195"/>
      <c r="X35" s="1307"/>
      <c r="Y35" s="1323"/>
      <c r="Z35" s="1292"/>
      <c r="AA35" s="1292"/>
      <c r="AB35" s="1292"/>
      <c r="AC35" s="1292"/>
      <c r="AD35" s="1289"/>
      <c r="AE35" s="1751"/>
      <c r="AF35" s="1363"/>
      <c r="AG35" s="1360"/>
      <c r="AH35" s="1360"/>
      <c r="AI35" s="1357"/>
      <c r="AJ35" s="1195"/>
      <c r="AK35" s="1307"/>
      <c r="AL35" s="1323"/>
      <c r="AM35" s="1208"/>
      <c r="AN35" s="1211"/>
      <c r="AO35" s="1211"/>
      <c r="AP35" s="1224"/>
      <c r="AQ35" s="1289"/>
      <c r="AR35" s="1751"/>
      <c r="AS35" s="1014"/>
      <c r="AT35" s="1016"/>
      <c r="AU35" s="1016"/>
      <c r="AV35" s="1269"/>
      <c r="AW35" s="1195"/>
      <c r="AX35" s="1307"/>
      <c r="AY35" s="1323"/>
      <c r="AZ35" s="1208"/>
      <c r="BA35" s="1211"/>
      <c r="BB35" s="1211"/>
      <c r="BC35" s="1211"/>
      <c r="BD35" s="1289"/>
      <c r="BE35" s="1751"/>
      <c r="BF35" s="987"/>
      <c r="BG35" s="989"/>
      <c r="BH35" s="989"/>
      <c r="BI35" s="1275"/>
      <c r="BJ35" s="1195"/>
      <c r="BK35" s="1307"/>
      <c r="BL35" s="1342"/>
      <c r="BM35" s="1167"/>
      <c r="BN35" s="1148"/>
      <c r="BO35" s="1148"/>
      <c r="BP35" s="1148"/>
      <c r="BQ35" s="1289"/>
      <c r="BR35" s="1751"/>
      <c r="BS35" s="1351"/>
      <c r="BT35" s="1195"/>
      <c r="BU35" s="1289"/>
      <c r="BV35" s="1289"/>
      <c r="BW35" s="1754"/>
      <c r="BX35" s="1042"/>
      <c r="BY35" s="1042"/>
      <c r="BZ35" s="1042"/>
      <c r="CA35" s="1042"/>
      <c r="CB35" s="1042"/>
      <c r="CC35" s="1042"/>
      <c r="CD35" s="1042"/>
      <c r="CE35" s="1042"/>
      <c r="CF35" s="1042"/>
      <c r="CG35" s="1042"/>
    </row>
    <row r="36" spans="2:85" s="782" customFormat="1" ht="27.75" customHeight="1" x14ac:dyDescent="0.25">
      <c r="B36" s="1395"/>
      <c r="C36" s="1398"/>
      <c r="D36" s="1401"/>
      <c r="E36" s="1448"/>
      <c r="F36" s="1445"/>
      <c r="G36" s="1215"/>
      <c r="H36" s="1097"/>
      <c r="I36" s="1097"/>
      <c r="J36" s="1240"/>
      <c r="K36" s="1492"/>
      <c r="L36" s="1509"/>
      <c r="M36" s="1497"/>
      <c r="N36" s="1500"/>
      <c r="O36" s="1299"/>
      <c r="P36" s="1299"/>
      <c r="Q36" s="1505"/>
      <c r="R36" s="1748"/>
      <c r="S36" s="1014"/>
      <c r="T36" s="1016"/>
      <c r="U36" s="1016"/>
      <c r="V36" s="1269"/>
      <c r="W36" s="1195"/>
      <c r="X36" s="1307"/>
      <c r="Y36" s="1323"/>
      <c r="Z36" s="1292"/>
      <c r="AA36" s="1292"/>
      <c r="AB36" s="1292"/>
      <c r="AC36" s="1292"/>
      <c r="AD36" s="1289"/>
      <c r="AE36" s="1751"/>
      <c r="AF36" s="1363"/>
      <c r="AG36" s="1360"/>
      <c r="AH36" s="1360"/>
      <c r="AI36" s="1357"/>
      <c r="AJ36" s="1195"/>
      <c r="AK36" s="1307" t="s">
        <v>196</v>
      </c>
      <c r="AL36" s="1323"/>
      <c r="AM36" s="1208"/>
      <c r="AN36" s="1211"/>
      <c r="AO36" s="1211"/>
      <c r="AP36" s="1224"/>
      <c r="AQ36" s="1289"/>
      <c r="AR36" s="1751"/>
      <c r="AS36" s="1014"/>
      <c r="AT36" s="1016"/>
      <c r="AU36" s="1016"/>
      <c r="AV36" s="1269"/>
      <c r="AW36" s="1195"/>
      <c r="AX36" s="1307" t="s">
        <v>196</v>
      </c>
      <c r="AY36" s="1323"/>
      <c r="AZ36" s="1208"/>
      <c r="BA36" s="1211"/>
      <c r="BB36" s="1211"/>
      <c r="BC36" s="1211"/>
      <c r="BD36" s="1289"/>
      <c r="BE36" s="1751"/>
      <c r="BF36" s="987"/>
      <c r="BG36" s="989"/>
      <c r="BH36" s="989"/>
      <c r="BI36" s="1275"/>
      <c r="BJ36" s="1195"/>
      <c r="BK36" s="1307" t="s">
        <v>196</v>
      </c>
      <c r="BL36" s="1342"/>
      <c r="BM36" s="1167"/>
      <c r="BN36" s="1148"/>
      <c r="BO36" s="1148"/>
      <c r="BP36" s="1148"/>
      <c r="BQ36" s="1289"/>
      <c r="BR36" s="1751"/>
      <c r="BS36" s="1351"/>
      <c r="BT36" s="1195"/>
      <c r="BU36" s="1289"/>
      <c r="BV36" s="1289"/>
      <c r="BW36" s="1754"/>
      <c r="BX36" s="1042"/>
      <c r="BY36" s="1042"/>
      <c r="BZ36" s="1042"/>
      <c r="CA36" s="1042"/>
      <c r="CB36" s="1042"/>
      <c r="CC36" s="1042"/>
      <c r="CD36" s="1042"/>
      <c r="CE36" s="1042"/>
      <c r="CF36" s="1042"/>
      <c r="CG36" s="1042"/>
    </row>
    <row r="37" spans="2:85" s="782" customFormat="1" ht="27.75" customHeight="1" x14ac:dyDescent="0.25">
      <c r="B37" s="1395"/>
      <c r="C37" s="1398"/>
      <c r="D37" s="1401"/>
      <c r="E37" s="1448"/>
      <c r="F37" s="1445"/>
      <c r="G37" s="1215"/>
      <c r="H37" s="1097"/>
      <c r="I37" s="1097"/>
      <c r="J37" s="1240"/>
      <c r="K37" s="1492"/>
      <c r="L37" s="1509"/>
      <c r="M37" s="1497"/>
      <c r="N37" s="1500"/>
      <c r="O37" s="1299"/>
      <c r="P37" s="1299"/>
      <c r="Q37" s="1505"/>
      <c r="R37" s="1748"/>
      <c r="S37" s="1014"/>
      <c r="T37" s="1016"/>
      <c r="U37" s="1016"/>
      <c r="V37" s="1269"/>
      <c r="W37" s="1195"/>
      <c r="X37" s="1307"/>
      <c r="Y37" s="1323"/>
      <c r="Z37" s="1292"/>
      <c r="AA37" s="1292"/>
      <c r="AB37" s="1292"/>
      <c r="AC37" s="1292"/>
      <c r="AD37" s="1289"/>
      <c r="AE37" s="1751"/>
      <c r="AF37" s="1363"/>
      <c r="AG37" s="1360"/>
      <c r="AH37" s="1360"/>
      <c r="AI37" s="1357"/>
      <c r="AJ37" s="1195"/>
      <c r="AK37" s="1307"/>
      <c r="AL37" s="1323"/>
      <c r="AM37" s="1208"/>
      <c r="AN37" s="1211"/>
      <c r="AO37" s="1211"/>
      <c r="AP37" s="1224"/>
      <c r="AQ37" s="1289"/>
      <c r="AR37" s="1751"/>
      <c r="AS37" s="1014"/>
      <c r="AT37" s="1016"/>
      <c r="AU37" s="1016"/>
      <c r="AV37" s="1269"/>
      <c r="AW37" s="1195"/>
      <c r="AX37" s="1307"/>
      <c r="AY37" s="1323"/>
      <c r="AZ37" s="1208"/>
      <c r="BA37" s="1211"/>
      <c r="BB37" s="1211"/>
      <c r="BC37" s="1211"/>
      <c r="BD37" s="1289"/>
      <c r="BE37" s="1751"/>
      <c r="BF37" s="987"/>
      <c r="BG37" s="989"/>
      <c r="BH37" s="989"/>
      <c r="BI37" s="1275"/>
      <c r="BJ37" s="1195"/>
      <c r="BK37" s="1307"/>
      <c r="BL37" s="1342"/>
      <c r="BM37" s="1167"/>
      <c r="BN37" s="1148"/>
      <c r="BO37" s="1148"/>
      <c r="BP37" s="1148"/>
      <c r="BQ37" s="1289"/>
      <c r="BR37" s="1751"/>
      <c r="BS37" s="1351"/>
      <c r="BT37" s="1195"/>
      <c r="BU37" s="1289"/>
      <c r="BV37" s="1289"/>
      <c r="BW37" s="1754"/>
      <c r="BX37" s="1042"/>
      <c r="BY37" s="1042"/>
      <c r="BZ37" s="1042"/>
      <c r="CA37" s="1042"/>
      <c r="CB37" s="1042"/>
      <c r="CC37" s="1042"/>
      <c r="CD37" s="1042"/>
      <c r="CE37" s="1042"/>
      <c r="CF37" s="1042"/>
      <c r="CG37" s="1042"/>
    </row>
    <row r="38" spans="2:85" s="782" customFormat="1" ht="27.75" customHeight="1" x14ac:dyDescent="0.25">
      <c r="B38" s="1395"/>
      <c r="C38" s="1398"/>
      <c r="D38" s="1401"/>
      <c r="E38" s="1448"/>
      <c r="F38" s="1445"/>
      <c r="G38" s="1215"/>
      <c r="H38" s="1097"/>
      <c r="I38" s="1097"/>
      <c r="J38" s="1240"/>
      <c r="K38" s="1492"/>
      <c r="L38" s="1509"/>
      <c r="M38" s="1497"/>
      <c r="N38" s="1500"/>
      <c r="O38" s="1299"/>
      <c r="P38" s="1299"/>
      <c r="Q38" s="1505"/>
      <c r="R38" s="1748"/>
      <c r="S38" s="1014"/>
      <c r="T38" s="1016"/>
      <c r="U38" s="1016"/>
      <c r="V38" s="1269"/>
      <c r="W38" s="1195"/>
      <c r="X38" s="1307"/>
      <c r="Y38" s="1323"/>
      <c r="Z38" s="1292"/>
      <c r="AA38" s="1292"/>
      <c r="AB38" s="1292"/>
      <c r="AC38" s="1292"/>
      <c r="AD38" s="1289"/>
      <c r="AE38" s="1751"/>
      <c r="AF38" s="1363"/>
      <c r="AG38" s="1360"/>
      <c r="AH38" s="1360"/>
      <c r="AI38" s="1357"/>
      <c r="AJ38" s="1195"/>
      <c r="AK38" s="1307"/>
      <c r="AL38" s="1323"/>
      <c r="AM38" s="1208"/>
      <c r="AN38" s="1211"/>
      <c r="AO38" s="1211"/>
      <c r="AP38" s="1224"/>
      <c r="AQ38" s="1289"/>
      <c r="AR38" s="1751"/>
      <c r="AS38" s="1014"/>
      <c r="AT38" s="1016"/>
      <c r="AU38" s="1016"/>
      <c r="AV38" s="1269"/>
      <c r="AW38" s="1195"/>
      <c r="AX38" s="1307"/>
      <c r="AY38" s="1323"/>
      <c r="AZ38" s="1208"/>
      <c r="BA38" s="1211"/>
      <c r="BB38" s="1211"/>
      <c r="BC38" s="1211"/>
      <c r="BD38" s="1289"/>
      <c r="BE38" s="1751"/>
      <c r="BF38" s="987"/>
      <c r="BG38" s="989"/>
      <c r="BH38" s="989"/>
      <c r="BI38" s="1275"/>
      <c r="BJ38" s="1195"/>
      <c r="BK38" s="1307"/>
      <c r="BL38" s="1342"/>
      <c r="BM38" s="1167"/>
      <c r="BN38" s="1148"/>
      <c r="BO38" s="1148"/>
      <c r="BP38" s="1148"/>
      <c r="BQ38" s="1289"/>
      <c r="BR38" s="1751"/>
      <c r="BS38" s="1351"/>
      <c r="BT38" s="1195"/>
      <c r="BU38" s="1289"/>
      <c r="BV38" s="1289"/>
      <c r="BW38" s="1754"/>
      <c r="BX38" s="1042"/>
      <c r="BY38" s="1042"/>
      <c r="BZ38" s="1042"/>
      <c r="CA38" s="1042"/>
      <c r="CB38" s="1042"/>
      <c r="CC38" s="1042"/>
      <c r="CD38" s="1042"/>
      <c r="CE38" s="1042"/>
      <c r="CF38" s="1042"/>
      <c r="CG38" s="1042"/>
    </row>
    <row r="39" spans="2:85" s="782" customFormat="1" ht="27.75" customHeight="1" x14ac:dyDescent="0.25">
      <c r="B39" s="1395"/>
      <c r="C39" s="1398"/>
      <c r="D39" s="1401"/>
      <c r="E39" s="1448"/>
      <c r="F39" s="1445"/>
      <c r="G39" s="1215"/>
      <c r="H39" s="1097"/>
      <c r="I39" s="1097"/>
      <c r="J39" s="1240"/>
      <c r="K39" s="1492"/>
      <c r="L39" s="1509"/>
      <c r="M39" s="1497"/>
      <c r="N39" s="1500"/>
      <c r="O39" s="1299"/>
      <c r="P39" s="1299"/>
      <c r="Q39" s="1505"/>
      <c r="R39" s="1748"/>
      <c r="S39" s="1014"/>
      <c r="T39" s="1016"/>
      <c r="U39" s="1016"/>
      <c r="V39" s="1269"/>
      <c r="W39" s="1195"/>
      <c r="X39" s="1307"/>
      <c r="Y39" s="1323"/>
      <c r="Z39" s="1292"/>
      <c r="AA39" s="1292"/>
      <c r="AB39" s="1292"/>
      <c r="AC39" s="1292"/>
      <c r="AD39" s="1289"/>
      <c r="AE39" s="1751"/>
      <c r="AF39" s="1363"/>
      <c r="AG39" s="1360"/>
      <c r="AH39" s="1360"/>
      <c r="AI39" s="1357"/>
      <c r="AJ39" s="1195"/>
      <c r="AK39" s="1307"/>
      <c r="AL39" s="1323"/>
      <c r="AM39" s="1208"/>
      <c r="AN39" s="1211"/>
      <c r="AO39" s="1211"/>
      <c r="AP39" s="1224"/>
      <c r="AQ39" s="1289"/>
      <c r="AR39" s="1751"/>
      <c r="AS39" s="1014"/>
      <c r="AT39" s="1016"/>
      <c r="AU39" s="1016"/>
      <c r="AV39" s="1269"/>
      <c r="AW39" s="1195"/>
      <c r="AX39" s="1307"/>
      <c r="AY39" s="1323"/>
      <c r="AZ39" s="1208"/>
      <c r="BA39" s="1211"/>
      <c r="BB39" s="1211"/>
      <c r="BC39" s="1211"/>
      <c r="BD39" s="1289"/>
      <c r="BE39" s="1751"/>
      <c r="BF39" s="987"/>
      <c r="BG39" s="989"/>
      <c r="BH39" s="989"/>
      <c r="BI39" s="1275"/>
      <c r="BJ39" s="1195"/>
      <c r="BK39" s="1307"/>
      <c r="BL39" s="1342"/>
      <c r="BM39" s="1167"/>
      <c r="BN39" s="1148"/>
      <c r="BO39" s="1148"/>
      <c r="BP39" s="1148"/>
      <c r="BQ39" s="1289"/>
      <c r="BR39" s="1751"/>
      <c r="BS39" s="1351"/>
      <c r="BT39" s="1195"/>
      <c r="BU39" s="1289"/>
      <c r="BV39" s="1289"/>
      <c r="BW39" s="1754"/>
      <c r="BX39" s="1042"/>
      <c r="BY39" s="1042">
        <f>IFERROR(BH39/#REF!,0)</f>
        <v>0</v>
      </c>
      <c r="BZ39" s="1042"/>
      <c r="CA39" s="1042">
        <f>IFERROR(BM39/#REF!,0)</f>
        <v>0</v>
      </c>
      <c r="CB39" s="1042"/>
      <c r="CC39" s="1042">
        <f>IFERROR(BS39/#REF!,0)</f>
        <v>0</v>
      </c>
      <c r="CD39" s="1042"/>
      <c r="CE39" s="1042"/>
      <c r="CF39" s="1042"/>
      <c r="CG39" s="1042"/>
    </row>
    <row r="40" spans="2:85" s="782" customFormat="1" ht="27.75" customHeight="1" x14ac:dyDescent="0.25">
      <c r="B40" s="1395"/>
      <c r="C40" s="1398"/>
      <c r="D40" s="1401"/>
      <c r="E40" s="1448"/>
      <c r="F40" s="1445"/>
      <c r="G40" s="1215"/>
      <c r="H40" s="1097"/>
      <c r="I40" s="1097"/>
      <c r="J40" s="1240"/>
      <c r="K40" s="1492"/>
      <c r="L40" s="1509"/>
      <c r="M40" s="1497"/>
      <c r="N40" s="1500"/>
      <c r="O40" s="1299"/>
      <c r="P40" s="1299"/>
      <c r="Q40" s="1505"/>
      <c r="R40" s="1748"/>
      <c r="S40" s="1014"/>
      <c r="T40" s="1016"/>
      <c r="U40" s="1016"/>
      <c r="V40" s="1269"/>
      <c r="W40" s="1195"/>
      <c r="X40" s="1307"/>
      <c r="Y40" s="1323"/>
      <c r="Z40" s="1292"/>
      <c r="AA40" s="1292"/>
      <c r="AB40" s="1292"/>
      <c r="AC40" s="1292"/>
      <c r="AD40" s="1289"/>
      <c r="AE40" s="1751"/>
      <c r="AF40" s="1363"/>
      <c r="AG40" s="1360"/>
      <c r="AH40" s="1360"/>
      <c r="AI40" s="1357"/>
      <c r="AJ40" s="1195"/>
      <c r="AK40" s="1307" t="s">
        <v>197</v>
      </c>
      <c r="AL40" s="1323"/>
      <c r="AM40" s="1208"/>
      <c r="AN40" s="1211"/>
      <c r="AO40" s="1211"/>
      <c r="AP40" s="1224"/>
      <c r="AQ40" s="1289"/>
      <c r="AR40" s="1751"/>
      <c r="AS40" s="1014"/>
      <c r="AT40" s="1016"/>
      <c r="AU40" s="1016"/>
      <c r="AV40" s="1269"/>
      <c r="AW40" s="1195"/>
      <c r="AX40" s="1307" t="s">
        <v>197</v>
      </c>
      <c r="AY40" s="1323"/>
      <c r="AZ40" s="1208"/>
      <c r="BA40" s="1211"/>
      <c r="BB40" s="1211"/>
      <c r="BC40" s="1211"/>
      <c r="BD40" s="1289"/>
      <c r="BE40" s="1751"/>
      <c r="BF40" s="987"/>
      <c r="BG40" s="989"/>
      <c r="BH40" s="989"/>
      <c r="BI40" s="1275"/>
      <c r="BJ40" s="1195"/>
      <c r="BK40" s="1307" t="s">
        <v>197</v>
      </c>
      <c r="BL40" s="1342"/>
      <c r="BM40" s="1167"/>
      <c r="BN40" s="1148"/>
      <c r="BO40" s="1148"/>
      <c r="BP40" s="1148"/>
      <c r="BQ40" s="1289"/>
      <c r="BR40" s="1751"/>
      <c r="BS40" s="1351"/>
      <c r="BT40" s="1195"/>
      <c r="BU40" s="1289"/>
      <c r="BV40" s="1289"/>
      <c r="BW40" s="1754"/>
      <c r="BX40" s="1042"/>
      <c r="BY40" s="1042">
        <f>IFERROR(BH40/#REF!,0)</f>
        <v>0</v>
      </c>
      <c r="BZ40" s="1042"/>
      <c r="CA40" s="1042">
        <f>IFERROR(BM40/#REF!,0)</f>
        <v>0</v>
      </c>
      <c r="CB40" s="1042"/>
      <c r="CC40" s="1042">
        <f>IFERROR(BS40/#REF!,0)</f>
        <v>0</v>
      </c>
      <c r="CD40" s="1042"/>
      <c r="CE40" s="1042"/>
      <c r="CF40" s="1042"/>
      <c r="CG40" s="1042"/>
    </row>
    <row r="41" spans="2:85" s="782" customFormat="1" ht="27.75" customHeight="1" x14ac:dyDescent="0.25">
      <c r="B41" s="1395"/>
      <c r="C41" s="1398"/>
      <c r="D41" s="1401"/>
      <c r="E41" s="1448"/>
      <c r="F41" s="1445"/>
      <c r="G41" s="1215"/>
      <c r="H41" s="1097"/>
      <c r="I41" s="1097"/>
      <c r="J41" s="1240"/>
      <c r="K41" s="1492"/>
      <c r="L41" s="1509"/>
      <c r="M41" s="1497"/>
      <c r="N41" s="1500"/>
      <c r="O41" s="1299"/>
      <c r="P41" s="1299"/>
      <c r="Q41" s="1505"/>
      <c r="R41" s="1748"/>
      <c r="S41" s="1014"/>
      <c r="T41" s="1016"/>
      <c r="U41" s="1016"/>
      <c r="V41" s="1269"/>
      <c r="W41" s="1195"/>
      <c r="X41" s="1307"/>
      <c r="Y41" s="1323"/>
      <c r="Z41" s="1292"/>
      <c r="AA41" s="1292"/>
      <c r="AB41" s="1292"/>
      <c r="AC41" s="1292"/>
      <c r="AD41" s="1289"/>
      <c r="AE41" s="1751"/>
      <c r="AF41" s="1363"/>
      <c r="AG41" s="1360"/>
      <c r="AH41" s="1360"/>
      <c r="AI41" s="1357"/>
      <c r="AJ41" s="1195"/>
      <c r="AK41" s="1307"/>
      <c r="AL41" s="1323"/>
      <c r="AM41" s="1208"/>
      <c r="AN41" s="1211"/>
      <c r="AO41" s="1211"/>
      <c r="AP41" s="1224"/>
      <c r="AQ41" s="1289"/>
      <c r="AR41" s="1751"/>
      <c r="AS41" s="1014"/>
      <c r="AT41" s="1016"/>
      <c r="AU41" s="1016"/>
      <c r="AV41" s="1269"/>
      <c r="AW41" s="1195"/>
      <c r="AX41" s="1307"/>
      <c r="AY41" s="1323"/>
      <c r="AZ41" s="1208"/>
      <c r="BA41" s="1211"/>
      <c r="BB41" s="1211"/>
      <c r="BC41" s="1211"/>
      <c r="BD41" s="1289"/>
      <c r="BE41" s="1751"/>
      <c r="BF41" s="987"/>
      <c r="BG41" s="989"/>
      <c r="BH41" s="989"/>
      <c r="BI41" s="1275"/>
      <c r="BJ41" s="1195"/>
      <c r="BK41" s="1307"/>
      <c r="BL41" s="1342"/>
      <c r="BM41" s="1167"/>
      <c r="BN41" s="1148"/>
      <c r="BO41" s="1148"/>
      <c r="BP41" s="1148"/>
      <c r="BQ41" s="1289"/>
      <c r="BR41" s="1751"/>
      <c r="BS41" s="1351"/>
      <c r="BT41" s="1195"/>
      <c r="BU41" s="1289"/>
      <c r="BV41" s="1289"/>
      <c r="BW41" s="1754"/>
      <c r="BX41" s="1042"/>
      <c r="BY41" s="1042">
        <f>IFERROR(BH41/#REF!,0)</f>
        <v>0</v>
      </c>
      <c r="BZ41" s="1042"/>
      <c r="CA41" s="1042">
        <f>IFERROR(BM41/#REF!,0)</f>
        <v>0</v>
      </c>
      <c r="CB41" s="1042"/>
      <c r="CC41" s="1042">
        <f>IFERROR(BS41/#REF!,0)</f>
        <v>0</v>
      </c>
      <c r="CD41" s="1042"/>
      <c r="CE41" s="1042"/>
      <c r="CF41" s="1042"/>
      <c r="CG41" s="1042"/>
    </row>
    <row r="42" spans="2:85" s="782" customFormat="1" ht="27.75" customHeight="1" x14ac:dyDescent="0.25">
      <c r="B42" s="1395"/>
      <c r="C42" s="1398"/>
      <c r="D42" s="1401"/>
      <c r="E42" s="1448"/>
      <c r="F42" s="1445"/>
      <c r="G42" s="1215"/>
      <c r="H42" s="1097"/>
      <c r="I42" s="1097"/>
      <c r="J42" s="1240"/>
      <c r="K42" s="1492"/>
      <c r="L42" s="1509"/>
      <c r="M42" s="1497"/>
      <c r="N42" s="1500"/>
      <c r="O42" s="1299"/>
      <c r="P42" s="1299"/>
      <c r="Q42" s="1505"/>
      <c r="R42" s="1748"/>
      <c r="S42" s="1014"/>
      <c r="T42" s="1016"/>
      <c r="U42" s="1016"/>
      <c r="V42" s="1269"/>
      <c r="W42" s="1195"/>
      <c r="X42" s="1307"/>
      <c r="Y42" s="1323"/>
      <c r="Z42" s="1292"/>
      <c r="AA42" s="1292"/>
      <c r="AB42" s="1292"/>
      <c r="AC42" s="1292"/>
      <c r="AD42" s="1289"/>
      <c r="AE42" s="1751"/>
      <c r="AF42" s="1363"/>
      <c r="AG42" s="1360"/>
      <c r="AH42" s="1360"/>
      <c r="AI42" s="1357"/>
      <c r="AJ42" s="1195"/>
      <c r="AK42" s="1307"/>
      <c r="AL42" s="1323"/>
      <c r="AM42" s="1208"/>
      <c r="AN42" s="1211"/>
      <c r="AO42" s="1211"/>
      <c r="AP42" s="1224"/>
      <c r="AQ42" s="1289"/>
      <c r="AR42" s="1751"/>
      <c r="AS42" s="1014"/>
      <c r="AT42" s="1016"/>
      <c r="AU42" s="1016"/>
      <c r="AV42" s="1269"/>
      <c r="AW42" s="1195"/>
      <c r="AX42" s="1307"/>
      <c r="AY42" s="1323"/>
      <c r="AZ42" s="1208"/>
      <c r="BA42" s="1211"/>
      <c r="BB42" s="1211"/>
      <c r="BC42" s="1211"/>
      <c r="BD42" s="1289"/>
      <c r="BE42" s="1751"/>
      <c r="BF42" s="987"/>
      <c r="BG42" s="989"/>
      <c r="BH42" s="989"/>
      <c r="BI42" s="1275"/>
      <c r="BJ42" s="1195"/>
      <c r="BK42" s="1307"/>
      <c r="BL42" s="1342"/>
      <c r="BM42" s="1167"/>
      <c r="BN42" s="1148"/>
      <c r="BO42" s="1148"/>
      <c r="BP42" s="1148"/>
      <c r="BQ42" s="1289"/>
      <c r="BR42" s="1751"/>
      <c r="BS42" s="1351"/>
      <c r="BT42" s="1195"/>
      <c r="BU42" s="1289"/>
      <c r="BV42" s="1289"/>
      <c r="BW42" s="1754"/>
      <c r="BX42" s="1042"/>
      <c r="BY42" s="1042"/>
      <c r="BZ42" s="1042"/>
      <c r="CA42" s="1042"/>
      <c r="CB42" s="1042"/>
      <c r="CC42" s="1042"/>
      <c r="CD42" s="1042"/>
      <c r="CE42" s="1042"/>
      <c r="CF42" s="1042"/>
      <c r="CG42" s="1042"/>
    </row>
    <row r="43" spans="2:85" s="782" customFormat="1" ht="27.75" customHeight="1" thickBot="1" x14ac:dyDescent="0.3">
      <c r="B43" s="1395"/>
      <c r="C43" s="1399"/>
      <c r="D43" s="1402"/>
      <c r="E43" s="1449"/>
      <c r="F43" s="1446"/>
      <c r="G43" s="1524"/>
      <c r="H43" s="1523"/>
      <c r="I43" s="1523"/>
      <c r="J43" s="1370"/>
      <c r="K43" s="1492"/>
      <c r="L43" s="1695"/>
      <c r="M43" s="1498"/>
      <c r="N43" s="1507"/>
      <c r="O43" s="1300"/>
      <c r="P43" s="1300"/>
      <c r="Q43" s="1527"/>
      <c r="R43" s="1748"/>
      <c r="S43" s="1015"/>
      <c r="T43" s="1017"/>
      <c r="U43" s="1017"/>
      <c r="V43" s="1270"/>
      <c r="W43" s="1196"/>
      <c r="X43" s="1308"/>
      <c r="Y43" s="1324"/>
      <c r="Z43" s="1293"/>
      <c r="AA43" s="1293"/>
      <c r="AB43" s="1293"/>
      <c r="AC43" s="1293"/>
      <c r="AD43" s="1290"/>
      <c r="AE43" s="1751"/>
      <c r="AF43" s="1364"/>
      <c r="AG43" s="1361"/>
      <c r="AH43" s="1361"/>
      <c r="AI43" s="1358"/>
      <c r="AJ43" s="1196"/>
      <c r="AK43" s="1308"/>
      <c r="AL43" s="1324"/>
      <c r="AM43" s="1221"/>
      <c r="AN43" s="1222"/>
      <c r="AO43" s="1222"/>
      <c r="AP43" s="1225"/>
      <c r="AQ43" s="1290"/>
      <c r="AR43" s="1751"/>
      <c r="AS43" s="1015"/>
      <c r="AT43" s="1017"/>
      <c r="AU43" s="1017"/>
      <c r="AV43" s="1270"/>
      <c r="AW43" s="1196"/>
      <c r="AX43" s="1308"/>
      <c r="AY43" s="1324"/>
      <c r="AZ43" s="1221"/>
      <c r="BA43" s="1222"/>
      <c r="BB43" s="1222"/>
      <c r="BC43" s="1222"/>
      <c r="BD43" s="1290"/>
      <c r="BE43" s="1751"/>
      <c r="BF43" s="988"/>
      <c r="BG43" s="990"/>
      <c r="BH43" s="990"/>
      <c r="BI43" s="1276"/>
      <c r="BJ43" s="1196"/>
      <c r="BK43" s="1308"/>
      <c r="BL43" s="1343"/>
      <c r="BM43" s="1206"/>
      <c r="BN43" s="1149"/>
      <c r="BO43" s="1149"/>
      <c r="BP43" s="1149"/>
      <c r="BQ43" s="1312"/>
      <c r="BR43" s="1751"/>
      <c r="BS43" s="1351"/>
      <c r="BT43" s="1196"/>
      <c r="BU43" s="1312"/>
      <c r="BV43" s="1289"/>
      <c r="BW43" s="1754"/>
      <c r="BX43" s="1043"/>
      <c r="BY43" s="1042">
        <f>IFERROR(BH43/#REF!,0)</f>
        <v>0</v>
      </c>
      <c r="BZ43" s="1043"/>
      <c r="CA43" s="1042">
        <f>IFERROR(BM43/#REF!,0)</f>
        <v>0</v>
      </c>
      <c r="CB43" s="1043"/>
      <c r="CC43" s="1042">
        <f>IFERROR(BS43/#REF!,0)</f>
        <v>0</v>
      </c>
      <c r="CD43" s="1043"/>
      <c r="CE43" s="1042"/>
      <c r="CF43" s="1043"/>
      <c r="CG43" s="1042"/>
    </row>
    <row r="44" spans="2:85" s="782" customFormat="1" ht="44.25" customHeight="1" x14ac:dyDescent="0.25">
      <c r="B44" s="1395"/>
      <c r="C44" s="1397" t="s">
        <v>544</v>
      </c>
      <c r="D44" s="1400" t="s">
        <v>545</v>
      </c>
      <c r="E44" s="1403">
        <v>3</v>
      </c>
      <c r="F44" s="1444" t="s">
        <v>23</v>
      </c>
      <c r="G44" s="1214">
        <v>1</v>
      </c>
      <c r="H44" s="1096">
        <v>2</v>
      </c>
      <c r="I44" s="1096">
        <v>3</v>
      </c>
      <c r="J44" s="1239">
        <v>3</v>
      </c>
      <c r="K44" s="1492"/>
      <c r="L44" s="1494" t="s">
        <v>546</v>
      </c>
      <c r="M44" s="1497">
        <v>38000</v>
      </c>
      <c r="N44" s="1500">
        <v>0</v>
      </c>
      <c r="O44" s="1299"/>
      <c r="P44" s="1299">
        <v>4660</v>
      </c>
      <c r="Q44" s="1505">
        <f>21000+10000+5000+2520</f>
        <v>38520</v>
      </c>
      <c r="R44" s="1748"/>
      <c r="S44" s="1179"/>
      <c r="T44" s="1182"/>
      <c r="U44" s="1182">
        <v>1</v>
      </c>
      <c r="V44" s="1440">
        <v>1</v>
      </c>
      <c r="W44" s="1534">
        <f>IFERROR(SUM(S44:V55),0)</f>
        <v>2</v>
      </c>
      <c r="X44" s="995" t="s">
        <v>195</v>
      </c>
      <c r="Y44" s="1322" t="s">
        <v>547</v>
      </c>
      <c r="Z44" s="1291"/>
      <c r="AA44" s="1291"/>
      <c r="AB44" s="1291"/>
      <c r="AC44" s="1291"/>
      <c r="AD44" s="1288">
        <f>IFERROR(SUM(Z44:AC55),0)</f>
        <v>0</v>
      </c>
      <c r="AE44" s="1751"/>
      <c r="AF44" s="1180"/>
      <c r="AG44" s="1183"/>
      <c r="AH44" s="1183"/>
      <c r="AI44" s="1186"/>
      <c r="AJ44" s="1189">
        <f>SUM(AF44:AI55)</f>
        <v>0</v>
      </c>
      <c r="AK44" s="995" t="s">
        <v>195</v>
      </c>
      <c r="AL44" s="1374" t="s">
        <v>548</v>
      </c>
      <c r="AM44" s="1490"/>
      <c r="AN44" s="1391"/>
      <c r="AO44" s="1391"/>
      <c r="AP44" s="1486"/>
      <c r="AQ44" s="1288">
        <f>IFERROR(SUM(AM44:AP55),0)</f>
        <v>0</v>
      </c>
      <c r="AR44" s="1751"/>
      <c r="AS44" s="1377"/>
      <c r="AT44" s="1380"/>
      <c r="AU44" s="1380"/>
      <c r="AV44" s="1314"/>
      <c r="AW44" s="1189">
        <f>SUM(AS44:AV55)</f>
        <v>0</v>
      </c>
      <c r="AX44" s="1317" t="s">
        <v>195</v>
      </c>
      <c r="AY44" s="1318" t="s">
        <v>549</v>
      </c>
      <c r="AZ44" s="1207"/>
      <c r="BA44" s="1210"/>
      <c r="BB44" s="1210"/>
      <c r="BC44" s="1223">
        <v>4660</v>
      </c>
      <c r="BD44" s="1288">
        <f>SUM(AZ44:BC55)</f>
        <v>4660</v>
      </c>
      <c r="BE44" s="1751"/>
      <c r="BF44" s="1481"/>
      <c r="BG44" s="1309"/>
      <c r="BH44" s="1309"/>
      <c r="BI44" s="1348"/>
      <c r="BJ44" s="1189">
        <f>SUM(BF44:BI55)</f>
        <v>0</v>
      </c>
      <c r="BK44" s="1317" t="s">
        <v>195</v>
      </c>
      <c r="BL44" s="1685" t="s">
        <v>521</v>
      </c>
      <c r="BM44" s="1166">
        <v>28500</v>
      </c>
      <c r="BN44" s="1147">
        <v>3660</v>
      </c>
      <c r="BO44" s="1147">
        <v>1180</v>
      </c>
      <c r="BP44" s="1150">
        <v>0</v>
      </c>
      <c r="BQ44" s="1288">
        <f>SUM(BM44:BP55)</f>
        <v>33340</v>
      </c>
      <c r="BR44" s="1751"/>
      <c r="BS44" s="1383"/>
      <c r="BT44" s="1022">
        <f>SUM(W44,AJ44,AW44,BJ44)</f>
        <v>2</v>
      </c>
      <c r="BU44" s="1288">
        <f>SUM(AD44,AQ44,BD44,BQ44)</f>
        <v>38000</v>
      </c>
      <c r="BV44" s="1289"/>
      <c r="BW44" s="1754"/>
      <c r="BX44" s="1386">
        <f>IFERROR(W44/G44,0)</f>
        <v>2</v>
      </c>
      <c r="BY44" s="1041">
        <f>IFERROR(AD44/N44,0)</f>
        <v>0</v>
      </c>
      <c r="BZ44" s="1041">
        <f>IFERROR(AJ44/H44,0)</f>
        <v>0</v>
      </c>
      <c r="CA44" s="1041">
        <f>IFERROR(AQ44/O44,0)</f>
        <v>0</v>
      </c>
      <c r="CB44" s="1262">
        <f>IFERROR(AW44/I44,0)</f>
        <v>0</v>
      </c>
      <c r="CC44" s="1170">
        <f>IFERROR(#REF!/M44,0)</f>
        <v>0</v>
      </c>
      <c r="CD44" s="1041">
        <f>IFERROR(BJ44/J44,0)</f>
        <v>0</v>
      </c>
      <c r="CE44" s="1041">
        <f>IFERROR(BQ44/Q44,0)</f>
        <v>0.86552440290758048</v>
      </c>
      <c r="CF44" s="1041">
        <f>IFERROR(BT44/E44,0)</f>
        <v>0.66666666666666663</v>
      </c>
      <c r="CG44" s="1042"/>
    </row>
    <row r="45" spans="2:85" s="782" customFormat="1" ht="26.25" customHeight="1" x14ac:dyDescent="0.25">
      <c r="B45" s="1395"/>
      <c r="C45" s="1398"/>
      <c r="D45" s="1401"/>
      <c r="E45" s="1403"/>
      <c r="F45" s="1445"/>
      <c r="G45" s="1215"/>
      <c r="H45" s="1097"/>
      <c r="I45" s="1097"/>
      <c r="J45" s="1240"/>
      <c r="K45" s="1492"/>
      <c r="L45" s="1494"/>
      <c r="M45" s="1497"/>
      <c r="N45" s="1500"/>
      <c r="O45" s="1299"/>
      <c r="P45" s="1299"/>
      <c r="Q45" s="1505"/>
      <c r="R45" s="1748"/>
      <c r="S45" s="1181"/>
      <c r="T45" s="1184"/>
      <c r="U45" s="1184"/>
      <c r="V45" s="1442"/>
      <c r="W45" s="1456"/>
      <c r="X45" s="996"/>
      <c r="Y45" s="1323"/>
      <c r="Z45" s="1292"/>
      <c r="AA45" s="1292"/>
      <c r="AB45" s="1292"/>
      <c r="AC45" s="1292"/>
      <c r="AD45" s="1289"/>
      <c r="AE45" s="1751"/>
      <c r="AF45" s="1181"/>
      <c r="AG45" s="1184"/>
      <c r="AH45" s="1184"/>
      <c r="AI45" s="1187"/>
      <c r="AJ45" s="993"/>
      <c r="AK45" s="996"/>
      <c r="AL45" s="1375"/>
      <c r="AM45" s="1208"/>
      <c r="AN45" s="1211"/>
      <c r="AO45" s="1211"/>
      <c r="AP45" s="1224"/>
      <c r="AQ45" s="1289"/>
      <c r="AR45" s="1751"/>
      <c r="AS45" s="1378"/>
      <c r="AT45" s="1381"/>
      <c r="AU45" s="1381"/>
      <c r="AV45" s="1315"/>
      <c r="AW45" s="993"/>
      <c r="AX45" s="996"/>
      <c r="AY45" s="1295"/>
      <c r="AZ45" s="1208"/>
      <c r="BA45" s="1211"/>
      <c r="BB45" s="1211"/>
      <c r="BC45" s="1224"/>
      <c r="BD45" s="1289"/>
      <c r="BE45" s="1751"/>
      <c r="BF45" s="1482"/>
      <c r="BG45" s="1310"/>
      <c r="BH45" s="1310"/>
      <c r="BI45" s="1349"/>
      <c r="BJ45" s="993"/>
      <c r="BK45" s="996"/>
      <c r="BL45" s="1686"/>
      <c r="BM45" s="1167"/>
      <c r="BN45" s="1148"/>
      <c r="BO45" s="1148"/>
      <c r="BP45" s="1151"/>
      <c r="BQ45" s="1289"/>
      <c r="BR45" s="1751"/>
      <c r="BS45" s="1384"/>
      <c r="BT45" s="1023"/>
      <c r="BU45" s="1289"/>
      <c r="BV45" s="1289"/>
      <c r="BW45" s="1754"/>
      <c r="BX45" s="1387"/>
      <c r="BY45" s="1042"/>
      <c r="BZ45" s="1042"/>
      <c r="CA45" s="1042"/>
      <c r="CB45" s="1169"/>
      <c r="CC45" s="1042"/>
      <c r="CD45" s="1042"/>
      <c r="CE45" s="1042"/>
      <c r="CF45" s="1042"/>
      <c r="CG45" s="1042"/>
    </row>
    <row r="46" spans="2:85" s="782" customFormat="1" ht="48" customHeight="1" x14ac:dyDescent="0.25">
      <c r="B46" s="1395"/>
      <c r="C46" s="1398"/>
      <c r="D46" s="1401"/>
      <c r="E46" s="1403"/>
      <c r="F46" s="1445"/>
      <c r="G46" s="1215"/>
      <c r="H46" s="1097"/>
      <c r="I46" s="1097"/>
      <c r="J46" s="1240"/>
      <c r="K46" s="1492"/>
      <c r="L46" s="1494"/>
      <c r="M46" s="1497"/>
      <c r="N46" s="1500"/>
      <c r="O46" s="1299"/>
      <c r="P46" s="1299"/>
      <c r="Q46" s="1505"/>
      <c r="R46" s="1748"/>
      <c r="S46" s="1181"/>
      <c r="T46" s="1184"/>
      <c r="U46" s="1184"/>
      <c r="V46" s="1442"/>
      <c r="W46" s="1456"/>
      <c r="X46" s="996"/>
      <c r="Y46" s="1323"/>
      <c r="Z46" s="1292"/>
      <c r="AA46" s="1292"/>
      <c r="AB46" s="1292"/>
      <c r="AC46" s="1292"/>
      <c r="AD46" s="1289"/>
      <c r="AE46" s="1751"/>
      <c r="AF46" s="1181"/>
      <c r="AG46" s="1184"/>
      <c r="AH46" s="1184"/>
      <c r="AI46" s="1187"/>
      <c r="AJ46" s="993"/>
      <c r="AK46" s="996"/>
      <c r="AL46" s="1375"/>
      <c r="AM46" s="1208"/>
      <c r="AN46" s="1211"/>
      <c r="AO46" s="1211"/>
      <c r="AP46" s="1224"/>
      <c r="AQ46" s="1289"/>
      <c r="AR46" s="1751"/>
      <c r="AS46" s="1378"/>
      <c r="AT46" s="1381"/>
      <c r="AU46" s="1381"/>
      <c r="AV46" s="1315"/>
      <c r="AW46" s="993"/>
      <c r="AX46" s="996"/>
      <c r="AY46" s="1295"/>
      <c r="AZ46" s="1208"/>
      <c r="BA46" s="1211"/>
      <c r="BB46" s="1211"/>
      <c r="BC46" s="1224"/>
      <c r="BD46" s="1289"/>
      <c r="BE46" s="1751"/>
      <c r="BF46" s="1482"/>
      <c r="BG46" s="1310"/>
      <c r="BH46" s="1310"/>
      <c r="BI46" s="1349"/>
      <c r="BJ46" s="993"/>
      <c r="BK46" s="996"/>
      <c r="BL46" s="1686"/>
      <c r="BM46" s="1167"/>
      <c r="BN46" s="1148"/>
      <c r="BO46" s="1148"/>
      <c r="BP46" s="1151"/>
      <c r="BQ46" s="1289"/>
      <c r="BR46" s="1751"/>
      <c r="BS46" s="1384"/>
      <c r="BT46" s="1023"/>
      <c r="BU46" s="1289"/>
      <c r="BV46" s="1289"/>
      <c r="BW46" s="1754"/>
      <c r="BX46" s="1387"/>
      <c r="BY46" s="1042"/>
      <c r="BZ46" s="1042"/>
      <c r="CA46" s="1042"/>
      <c r="CB46" s="1169"/>
      <c r="CC46" s="1042"/>
      <c r="CD46" s="1042"/>
      <c r="CE46" s="1042"/>
      <c r="CF46" s="1042"/>
      <c r="CG46" s="1042"/>
    </row>
    <row r="47" spans="2:85" s="782" customFormat="1" ht="44.25" customHeight="1" x14ac:dyDescent="0.25">
      <c r="B47" s="1395"/>
      <c r="C47" s="1398"/>
      <c r="D47" s="1401"/>
      <c r="E47" s="1403"/>
      <c r="F47" s="1445"/>
      <c r="G47" s="1215"/>
      <c r="H47" s="1097"/>
      <c r="I47" s="1097"/>
      <c r="J47" s="1240"/>
      <c r="K47" s="1492"/>
      <c r="L47" s="1494"/>
      <c r="M47" s="1497"/>
      <c r="N47" s="1500"/>
      <c r="O47" s="1299"/>
      <c r="P47" s="1299"/>
      <c r="Q47" s="1505"/>
      <c r="R47" s="1748"/>
      <c r="S47" s="1181"/>
      <c r="T47" s="1184"/>
      <c r="U47" s="1184"/>
      <c r="V47" s="1442"/>
      <c r="W47" s="1456"/>
      <c r="X47" s="996"/>
      <c r="Y47" s="1488"/>
      <c r="Z47" s="1292"/>
      <c r="AA47" s="1292"/>
      <c r="AB47" s="1292"/>
      <c r="AC47" s="1292"/>
      <c r="AD47" s="1289"/>
      <c r="AE47" s="1751"/>
      <c r="AF47" s="1181"/>
      <c r="AG47" s="1184"/>
      <c r="AH47" s="1184"/>
      <c r="AI47" s="1187"/>
      <c r="AJ47" s="993"/>
      <c r="AK47" s="996"/>
      <c r="AL47" s="1376"/>
      <c r="AM47" s="1208"/>
      <c r="AN47" s="1211"/>
      <c r="AO47" s="1211"/>
      <c r="AP47" s="1224"/>
      <c r="AQ47" s="1289"/>
      <c r="AR47" s="1751"/>
      <c r="AS47" s="1378"/>
      <c r="AT47" s="1381"/>
      <c r="AU47" s="1381"/>
      <c r="AV47" s="1315"/>
      <c r="AW47" s="993"/>
      <c r="AX47" s="996"/>
      <c r="AY47" s="1295"/>
      <c r="AZ47" s="1208"/>
      <c r="BA47" s="1211"/>
      <c r="BB47" s="1211"/>
      <c r="BC47" s="1224"/>
      <c r="BD47" s="1289"/>
      <c r="BE47" s="1751"/>
      <c r="BF47" s="1482"/>
      <c r="BG47" s="1310"/>
      <c r="BH47" s="1310"/>
      <c r="BI47" s="1349"/>
      <c r="BJ47" s="993"/>
      <c r="BK47" s="996"/>
      <c r="BL47" s="1686"/>
      <c r="BM47" s="1167"/>
      <c r="BN47" s="1148"/>
      <c r="BO47" s="1148"/>
      <c r="BP47" s="1151"/>
      <c r="BQ47" s="1289"/>
      <c r="BR47" s="1751"/>
      <c r="BS47" s="1384"/>
      <c r="BT47" s="1023"/>
      <c r="BU47" s="1289"/>
      <c r="BV47" s="1289"/>
      <c r="BW47" s="1754"/>
      <c r="BX47" s="1387"/>
      <c r="BY47" s="1042"/>
      <c r="BZ47" s="1042"/>
      <c r="CA47" s="1042"/>
      <c r="CB47" s="1169"/>
      <c r="CC47" s="1042"/>
      <c r="CD47" s="1042"/>
      <c r="CE47" s="1042"/>
      <c r="CF47" s="1042"/>
      <c r="CG47" s="1042"/>
    </row>
    <row r="48" spans="2:85" s="782" customFormat="1" ht="15" customHeight="1" x14ac:dyDescent="0.25">
      <c r="B48" s="1395"/>
      <c r="C48" s="1398"/>
      <c r="D48" s="1401"/>
      <c r="E48" s="1403"/>
      <c r="F48" s="1445"/>
      <c r="G48" s="1215"/>
      <c r="H48" s="1097"/>
      <c r="I48" s="1097"/>
      <c r="J48" s="1240"/>
      <c r="K48" s="1492"/>
      <c r="L48" s="1494"/>
      <c r="M48" s="1497"/>
      <c r="N48" s="1500"/>
      <c r="O48" s="1299"/>
      <c r="P48" s="1299"/>
      <c r="Q48" s="1505"/>
      <c r="R48" s="1748"/>
      <c r="S48" s="1181"/>
      <c r="T48" s="1184"/>
      <c r="U48" s="1184"/>
      <c r="V48" s="1442"/>
      <c r="W48" s="1456"/>
      <c r="X48" s="996" t="s">
        <v>196</v>
      </c>
      <c r="Y48" s="1487"/>
      <c r="Z48" s="1292"/>
      <c r="AA48" s="1292"/>
      <c r="AB48" s="1292"/>
      <c r="AC48" s="1292"/>
      <c r="AD48" s="1289"/>
      <c r="AE48" s="1751"/>
      <c r="AF48" s="1181"/>
      <c r="AG48" s="1184"/>
      <c r="AH48" s="1184"/>
      <c r="AI48" s="1187"/>
      <c r="AJ48" s="993"/>
      <c r="AK48" s="996" t="s">
        <v>196</v>
      </c>
      <c r="AL48" s="1389" t="s">
        <v>550</v>
      </c>
      <c r="AM48" s="1208"/>
      <c r="AN48" s="1211"/>
      <c r="AO48" s="1211"/>
      <c r="AP48" s="1224"/>
      <c r="AQ48" s="1289"/>
      <c r="AR48" s="1751"/>
      <c r="AS48" s="1378"/>
      <c r="AT48" s="1381"/>
      <c r="AU48" s="1381"/>
      <c r="AV48" s="1315"/>
      <c r="AW48" s="993"/>
      <c r="AX48" s="996" t="s">
        <v>196</v>
      </c>
      <c r="AY48" s="1294" t="s">
        <v>551</v>
      </c>
      <c r="AZ48" s="1208"/>
      <c r="BA48" s="1211"/>
      <c r="BB48" s="1211"/>
      <c r="BC48" s="1224"/>
      <c r="BD48" s="1289"/>
      <c r="BE48" s="1751"/>
      <c r="BF48" s="1482"/>
      <c r="BG48" s="1310"/>
      <c r="BH48" s="1310"/>
      <c r="BI48" s="1349"/>
      <c r="BJ48" s="993"/>
      <c r="BK48" s="996" t="s">
        <v>196</v>
      </c>
      <c r="BL48" s="1339"/>
      <c r="BM48" s="1167"/>
      <c r="BN48" s="1148"/>
      <c r="BO48" s="1148"/>
      <c r="BP48" s="1151"/>
      <c r="BQ48" s="1289"/>
      <c r="BR48" s="1751"/>
      <c r="BS48" s="1384"/>
      <c r="BT48" s="1023"/>
      <c r="BU48" s="1289"/>
      <c r="BV48" s="1289"/>
      <c r="BW48" s="1754"/>
      <c r="BX48" s="1387"/>
      <c r="BY48" s="1042"/>
      <c r="BZ48" s="1042"/>
      <c r="CA48" s="1042"/>
      <c r="CB48" s="1169"/>
      <c r="CC48" s="1042"/>
      <c r="CD48" s="1042"/>
      <c r="CE48" s="1042"/>
      <c r="CF48" s="1042"/>
      <c r="CG48" s="1042"/>
    </row>
    <row r="49" spans="1:85" s="782" customFormat="1" ht="42.75" customHeight="1" x14ac:dyDescent="0.25">
      <c r="B49" s="1395"/>
      <c r="C49" s="1398"/>
      <c r="D49" s="1401"/>
      <c r="E49" s="1403"/>
      <c r="F49" s="1445"/>
      <c r="G49" s="1215"/>
      <c r="H49" s="1097"/>
      <c r="I49" s="1097"/>
      <c r="J49" s="1240"/>
      <c r="K49" s="1492"/>
      <c r="L49" s="1494"/>
      <c r="M49" s="1497"/>
      <c r="N49" s="1500"/>
      <c r="O49" s="1299"/>
      <c r="P49" s="1299"/>
      <c r="Q49" s="1505"/>
      <c r="R49" s="1748"/>
      <c r="S49" s="1181"/>
      <c r="T49" s="1184"/>
      <c r="U49" s="1184"/>
      <c r="V49" s="1442"/>
      <c r="W49" s="1456"/>
      <c r="X49" s="996"/>
      <c r="Y49" s="1323"/>
      <c r="Z49" s="1292"/>
      <c r="AA49" s="1292"/>
      <c r="AB49" s="1292"/>
      <c r="AC49" s="1292"/>
      <c r="AD49" s="1289"/>
      <c r="AE49" s="1751"/>
      <c r="AF49" s="1181"/>
      <c r="AG49" s="1184"/>
      <c r="AH49" s="1184"/>
      <c r="AI49" s="1187"/>
      <c r="AJ49" s="993"/>
      <c r="AK49" s="996"/>
      <c r="AL49" s="1375"/>
      <c r="AM49" s="1208"/>
      <c r="AN49" s="1211"/>
      <c r="AO49" s="1211"/>
      <c r="AP49" s="1224"/>
      <c r="AQ49" s="1289"/>
      <c r="AR49" s="1751"/>
      <c r="AS49" s="1378"/>
      <c r="AT49" s="1381"/>
      <c r="AU49" s="1381"/>
      <c r="AV49" s="1315"/>
      <c r="AW49" s="993"/>
      <c r="AX49" s="996"/>
      <c r="AY49" s="1295"/>
      <c r="AZ49" s="1208"/>
      <c r="BA49" s="1211"/>
      <c r="BB49" s="1211"/>
      <c r="BC49" s="1224"/>
      <c r="BD49" s="1289"/>
      <c r="BE49" s="1751"/>
      <c r="BF49" s="1482"/>
      <c r="BG49" s="1310"/>
      <c r="BH49" s="1310"/>
      <c r="BI49" s="1349"/>
      <c r="BJ49" s="993"/>
      <c r="BK49" s="996"/>
      <c r="BL49" s="1339"/>
      <c r="BM49" s="1167"/>
      <c r="BN49" s="1148"/>
      <c r="BO49" s="1148"/>
      <c r="BP49" s="1151"/>
      <c r="BQ49" s="1289"/>
      <c r="BR49" s="1751"/>
      <c r="BS49" s="1384"/>
      <c r="BT49" s="1023"/>
      <c r="BU49" s="1289"/>
      <c r="BV49" s="1289"/>
      <c r="BW49" s="1754"/>
      <c r="BX49" s="1387"/>
      <c r="BY49" s="1042"/>
      <c r="BZ49" s="1042"/>
      <c r="CA49" s="1042"/>
      <c r="CB49" s="1169"/>
      <c r="CC49" s="1042"/>
      <c r="CD49" s="1042"/>
      <c r="CE49" s="1042"/>
      <c r="CF49" s="1042"/>
      <c r="CG49" s="1042"/>
    </row>
    <row r="50" spans="1:85" s="782" customFormat="1" ht="15" customHeight="1" x14ac:dyDescent="0.25">
      <c r="B50" s="1395"/>
      <c r="C50" s="1398"/>
      <c r="D50" s="1401"/>
      <c r="E50" s="1403"/>
      <c r="F50" s="1445"/>
      <c r="G50" s="1215"/>
      <c r="H50" s="1097"/>
      <c r="I50" s="1097"/>
      <c r="J50" s="1240"/>
      <c r="K50" s="1492"/>
      <c r="L50" s="1494"/>
      <c r="M50" s="1497"/>
      <c r="N50" s="1500"/>
      <c r="O50" s="1299"/>
      <c r="P50" s="1299"/>
      <c r="Q50" s="1505"/>
      <c r="R50" s="1748"/>
      <c r="S50" s="1181"/>
      <c r="T50" s="1184"/>
      <c r="U50" s="1184"/>
      <c r="V50" s="1442"/>
      <c r="W50" s="1456"/>
      <c r="X50" s="996"/>
      <c r="Y50" s="1323"/>
      <c r="Z50" s="1292"/>
      <c r="AA50" s="1292"/>
      <c r="AB50" s="1292"/>
      <c r="AC50" s="1292"/>
      <c r="AD50" s="1289"/>
      <c r="AE50" s="1751"/>
      <c r="AF50" s="1181"/>
      <c r="AG50" s="1184"/>
      <c r="AH50" s="1184"/>
      <c r="AI50" s="1187"/>
      <c r="AJ50" s="993"/>
      <c r="AK50" s="996"/>
      <c r="AL50" s="1375"/>
      <c r="AM50" s="1208"/>
      <c r="AN50" s="1211"/>
      <c r="AO50" s="1211"/>
      <c r="AP50" s="1224"/>
      <c r="AQ50" s="1289"/>
      <c r="AR50" s="1751"/>
      <c r="AS50" s="1378"/>
      <c r="AT50" s="1381"/>
      <c r="AU50" s="1381"/>
      <c r="AV50" s="1315"/>
      <c r="AW50" s="993"/>
      <c r="AX50" s="996"/>
      <c r="AY50" s="1295"/>
      <c r="AZ50" s="1208"/>
      <c r="BA50" s="1211"/>
      <c r="BB50" s="1211"/>
      <c r="BC50" s="1224"/>
      <c r="BD50" s="1289"/>
      <c r="BE50" s="1751"/>
      <c r="BF50" s="1482"/>
      <c r="BG50" s="1310"/>
      <c r="BH50" s="1310"/>
      <c r="BI50" s="1349"/>
      <c r="BJ50" s="993"/>
      <c r="BK50" s="996"/>
      <c r="BL50" s="1339"/>
      <c r="BM50" s="1167"/>
      <c r="BN50" s="1148"/>
      <c r="BO50" s="1148"/>
      <c r="BP50" s="1151"/>
      <c r="BQ50" s="1289"/>
      <c r="BR50" s="1751"/>
      <c r="BS50" s="1384"/>
      <c r="BT50" s="1023"/>
      <c r="BU50" s="1289"/>
      <c r="BV50" s="1289"/>
      <c r="BW50" s="1754"/>
      <c r="BX50" s="1387"/>
      <c r="BY50" s="1042"/>
      <c r="BZ50" s="1042"/>
      <c r="CA50" s="1042"/>
      <c r="CB50" s="1169"/>
      <c r="CC50" s="1042"/>
      <c r="CD50" s="1042"/>
      <c r="CE50" s="1042"/>
      <c r="CF50" s="1042"/>
      <c r="CG50" s="1042"/>
    </row>
    <row r="51" spans="1:85" s="782" customFormat="1" ht="20.25" customHeight="1" x14ac:dyDescent="0.25">
      <c r="B51" s="1395"/>
      <c r="C51" s="1398"/>
      <c r="D51" s="1401"/>
      <c r="E51" s="1403"/>
      <c r="F51" s="1445"/>
      <c r="G51" s="1215"/>
      <c r="H51" s="1097"/>
      <c r="I51" s="1097"/>
      <c r="J51" s="1240"/>
      <c r="K51" s="1492"/>
      <c r="L51" s="1494"/>
      <c r="M51" s="1497"/>
      <c r="N51" s="1500"/>
      <c r="O51" s="1299"/>
      <c r="P51" s="1299"/>
      <c r="Q51" s="1505"/>
      <c r="R51" s="1748"/>
      <c r="S51" s="1181"/>
      <c r="T51" s="1184"/>
      <c r="U51" s="1184"/>
      <c r="V51" s="1442"/>
      <c r="W51" s="1456"/>
      <c r="X51" s="996"/>
      <c r="Y51" s="1488"/>
      <c r="Z51" s="1292"/>
      <c r="AA51" s="1292"/>
      <c r="AB51" s="1292"/>
      <c r="AC51" s="1292"/>
      <c r="AD51" s="1289"/>
      <c r="AE51" s="1751"/>
      <c r="AF51" s="1181"/>
      <c r="AG51" s="1184"/>
      <c r="AH51" s="1184"/>
      <c r="AI51" s="1187"/>
      <c r="AJ51" s="993"/>
      <c r="AK51" s="996"/>
      <c r="AL51" s="1376"/>
      <c r="AM51" s="1208"/>
      <c r="AN51" s="1211"/>
      <c r="AO51" s="1211"/>
      <c r="AP51" s="1224"/>
      <c r="AQ51" s="1289"/>
      <c r="AR51" s="1751"/>
      <c r="AS51" s="1378"/>
      <c r="AT51" s="1381"/>
      <c r="AU51" s="1381"/>
      <c r="AV51" s="1315"/>
      <c r="AW51" s="993"/>
      <c r="AX51" s="996"/>
      <c r="AY51" s="1295"/>
      <c r="AZ51" s="1208"/>
      <c r="BA51" s="1211"/>
      <c r="BB51" s="1211"/>
      <c r="BC51" s="1224"/>
      <c r="BD51" s="1289"/>
      <c r="BE51" s="1751"/>
      <c r="BF51" s="1482"/>
      <c r="BG51" s="1310"/>
      <c r="BH51" s="1310"/>
      <c r="BI51" s="1349"/>
      <c r="BJ51" s="993"/>
      <c r="BK51" s="996"/>
      <c r="BL51" s="1339"/>
      <c r="BM51" s="1167"/>
      <c r="BN51" s="1148"/>
      <c r="BO51" s="1148"/>
      <c r="BP51" s="1151"/>
      <c r="BQ51" s="1289"/>
      <c r="BR51" s="1751"/>
      <c r="BS51" s="1384"/>
      <c r="BT51" s="1023"/>
      <c r="BU51" s="1289"/>
      <c r="BV51" s="1289"/>
      <c r="BW51" s="1754"/>
      <c r="BX51" s="1387"/>
      <c r="BY51" s="1042">
        <f>IFERROR(BH51/#REF!,0)</f>
        <v>0</v>
      </c>
      <c r="BZ51" s="1042"/>
      <c r="CA51" s="1042">
        <f>IFERROR(BM51/#REF!,0)</f>
        <v>0</v>
      </c>
      <c r="CB51" s="1263"/>
      <c r="CC51" s="1042"/>
      <c r="CD51" s="1042"/>
      <c r="CE51" s="1042"/>
      <c r="CF51" s="1042"/>
      <c r="CG51" s="1042"/>
    </row>
    <row r="52" spans="1:85" s="782" customFormat="1" ht="93" customHeight="1" x14ac:dyDescent="0.25">
      <c r="B52" s="1395"/>
      <c r="C52" s="1398"/>
      <c r="D52" s="1401"/>
      <c r="E52" s="1403"/>
      <c r="F52" s="1445"/>
      <c r="G52" s="1215"/>
      <c r="H52" s="1097"/>
      <c r="I52" s="1097"/>
      <c r="J52" s="1240"/>
      <c r="K52" s="1492"/>
      <c r="L52" s="1494"/>
      <c r="M52" s="1497"/>
      <c r="N52" s="1500"/>
      <c r="O52" s="1299"/>
      <c r="P52" s="1299"/>
      <c r="Q52" s="1505"/>
      <c r="R52" s="1748"/>
      <c r="S52" s="1181"/>
      <c r="T52" s="1184"/>
      <c r="U52" s="1184"/>
      <c r="V52" s="1442"/>
      <c r="W52" s="1456"/>
      <c r="X52" s="996" t="s">
        <v>197</v>
      </c>
      <c r="Y52" s="1487"/>
      <c r="Z52" s="1292"/>
      <c r="AA52" s="1292"/>
      <c r="AB52" s="1292"/>
      <c r="AC52" s="1292"/>
      <c r="AD52" s="1289"/>
      <c r="AE52" s="1751"/>
      <c r="AF52" s="1181"/>
      <c r="AG52" s="1184"/>
      <c r="AH52" s="1184"/>
      <c r="AI52" s="1187"/>
      <c r="AJ52" s="993"/>
      <c r="AK52" s="996" t="s">
        <v>197</v>
      </c>
      <c r="AL52" s="1389" t="s">
        <v>552</v>
      </c>
      <c r="AM52" s="1208"/>
      <c r="AN52" s="1211"/>
      <c r="AO52" s="1211"/>
      <c r="AP52" s="1224"/>
      <c r="AQ52" s="1289"/>
      <c r="AR52" s="1751"/>
      <c r="AS52" s="1378"/>
      <c r="AT52" s="1381"/>
      <c r="AU52" s="1381"/>
      <c r="AV52" s="1315"/>
      <c r="AW52" s="993"/>
      <c r="AX52" s="996" t="s">
        <v>197</v>
      </c>
      <c r="AY52" s="1294" t="s">
        <v>553</v>
      </c>
      <c r="AZ52" s="1208"/>
      <c r="BA52" s="1211"/>
      <c r="BB52" s="1211"/>
      <c r="BC52" s="1224"/>
      <c r="BD52" s="1289"/>
      <c r="BE52" s="1751"/>
      <c r="BF52" s="1482"/>
      <c r="BG52" s="1310"/>
      <c r="BH52" s="1310"/>
      <c r="BI52" s="1349"/>
      <c r="BJ52" s="993"/>
      <c r="BK52" s="996" t="s">
        <v>197</v>
      </c>
      <c r="BL52" s="1339"/>
      <c r="BM52" s="1167"/>
      <c r="BN52" s="1148"/>
      <c r="BO52" s="1148"/>
      <c r="BP52" s="1151"/>
      <c r="BQ52" s="1289"/>
      <c r="BR52" s="1751"/>
      <c r="BS52" s="1384"/>
      <c r="BT52" s="1023"/>
      <c r="BU52" s="1289"/>
      <c r="BV52" s="1289"/>
      <c r="BW52" s="1754"/>
      <c r="BX52" s="1387"/>
      <c r="BY52" s="1042">
        <f>IFERROR(BH52/#REF!,0)</f>
        <v>0</v>
      </c>
      <c r="BZ52" s="1042"/>
      <c r="CA52" s="1042">
        <f>IFERROR(BM52/#REF!,0)</f>
        <v>0</v>
      </c>
      <c r="CB52" s="1263"/>
      <c r="CC52" s="1042"/>
      <c r="CD52" s="1042"/>
      <c r="CE52" s="1042"/>
      <c r="CF52" s="1042"/>
      <c r="CG52" s="1042"/>
    </row>
    <row r="53" spans="1:85" s="782" customFormat="1" ht="93" customHeight="1" x14ac:dyDescent="0.25">
      <c r="B53" s="1395"/>
      <c r="C53" s="1398"/>
      <c r="D53" s="1401"/>
      <c r="E53" s="1403"/>
      <c r="F53" s="1445"/>
      <c r="G53" s="1215"/>
      <c r="H53" s="1097"/>
      <c r="I53" s="1097"/>
      <c r="J53" s="1240"/>
      <c r="K53" s="1492"/>
      <c r="L53" s="1494"/>
      <c r="M53" s="1497"/>
      <c r="N53" s="1500"/>
      <c r="O53" s="1299"/>
      <c r="P53" s="1299"/>
      <c r="Q53" s="1505"/>
      <c r="R53" s="1748"/>
      <c r="S53" s="1181"/>
      <c r="T53" s="1184"/>
      <c r="U53" s="1184"/>
      <c r="V53" s="1442"/>
      <c r="W53" s="1456"/>
      <c r="X53" s="996"/>
      <c r="Y53" s="1323"/>
      <c r="Z53" s="1292"/>
      <c r="AA53" s="1292"/>
      <c r="AB53" s="1292"/>
      <c r="AC53" s="1292"/>
      <c r="AD53" s="1289"/>
      <c r="AE53" s="1751"/>
      <c r="AF53" s="1181"/>
      <c r="AG53" s="1184"/>
      <c r="AH53" s="1184"/>
      <c r="AI53" s="1187"/>
      <c r="AJ53" s="993"/>
      <c r="AK53" s="996"/>
      <c r="AL53" s="1375"/>
      <c r="AM53" s="1208"/>
      <c r="AN53" s="1211"/>
      <c r="AO53" s="1211"/>
      <c r="AP53" s="1224"/>
      <c r="AQ53" s="1289"/>
      <c r="AR53" s="1751"/>
      <c r="AS53" s="1378"/>
      <c r="AT53" s="1381"/>
      <c r="AU53" s="1381"/>
      <c r="AV53" s="1315"/>
      <c r="AW53" s="993"/>
      <c r="AX53" s="996"/>
      <c r="AY53" s="1295"/>
      <c r="AZ53" s="1208"/>
      <c r="BA53" s="1211"/>
      <c r="BB53" s="1211"/>
      <c r="BC53" s="1224"/>
      <c r="BD53" s="1289"/>
      <c r="BE53" s="1751"/>
      <c r="BF53" s="1482"/>
      <c r="BG53" s="1310"/>
      <c r="BH53" s="1310"/>
      <c r="BI53" s="1349"/>
      <c r="BJ53" s="993"/>
      <c r="BK53" s="996"/>
      <c r="BL53" s="1339"/>
      <c r="BM53" s="1167"/>
      <c r="BN53" s="1148"/>
      <c r="BO53" s="1148"/>
      <c r="BP53" s="1151"/>
      <c r="BQ53" s="1289"/>
      <c r="BR53" s="1751"/>
      <c r="BS53" s="1384"/>
      <c r="BT53" s="1023"/>
      <c r="BU53" s="1289"/>
      <c r="BV53" s="1289"/>
      <c r="BW53" s="1754"/>
      <c r="BX53" s="1387"/>
      <c r="BY53" s="1042">
        <f>IFERROR(BH53/#REF!,0)</f>
        <v>0</v>
      </c>
      <c r="BZ53" s="1042"/>
      <c r="CA53" s="1042">
        <f>IFERROR(BM53/#REF!,0)</f>
        <v>0</v>
      </c>
      <c r="CB53" s="1263"/>
      <c r="CC53" s="1042"/>
      <c r="CD53" s="1042"/>
      <c r="CE53" s="1042"/>
      <c r="CF53" s="1042"/>
      <c r="CG53" s="1042"/>
    </row>
    <row r="54" spans="1:85" s="782" customFormat="1" ht="93" customHeight="1" x14ac:dyDescent="0.25">
      <c r="B54" s="1395"/>
      <c r="C54" s="1398"/>
      <c r="D54" s="1401"/>
      <c r="E54" s="1403"/>
      <c r="F54" s="1445"/>
      <c r="G54" s="1215"/>
      <c r="H54" s="1097"/>
      <c r="I54" s="1097"/>
      <c r="J54" s="1240"/>
      <c r="K54" s="1492"/>
      <c r="L54" s="1494"/>
      <c r="M54" s="1497"/>
      <c r="N54" s="1500"/>
      <c r="O54" s="1299"/>
      <c r="P54" s="1299"/>
      <c r="Q54" s="1505"/>
      <c r="R54" s="1748"/>
      <c r="S54" s="1181"/>
      <c r="T54" s="1184"/>
      <c r="U54" s="1184"/>
      <c r="V54" s="1442"/>
      <c r="W54" s="1456"/>
      <c r="X54" s="996"/>
      <c r="Y54" s="1323"/>
      <c r="Z54" s="1292"/>
      <c r="AA54" s="1292"/>
      <c r="AB54" s="1292"/>
      <c r="AC54" s="1292"/>
      <c r="AD54" s="1289"/>
      <c r="AE54" s="1751"/>
      <c r="AF54" s="1181"/>
      <c r="AG54" s="1184"/>
      <c r="AH54" s="1184"/>
      <c r="AI54" s="1187"/>
      <c r="AJ54" s="993"/>
      <c r="AK54" s="996"/>
      <c r="AL54" s="1375"/>
      <c r="AM54" s="1208"/>
      <c r="AN54" s="1211"/>
      <c r="AO54" s="1211"/>
      <c r="AP54" s="1224"/>
      <c r="AQ54" s="1289"/>
      <c r="AR54" s="1751"/>
      <c r="AS54" s="1378"/>
      <c r="AT54" s="1381"/>
      <c r="AU54" s="1381"/>
      <c r="AV54" s="1315"/>
      <c r="AW54" s="993"/>
      <c r="AX54" s="996"/>
      <c r="AY54" s="1295"/>
      <c r="AZ54" s="1208"/>
      <c r="BA54" s="1211"/>
      <c r="BB54" s="1211"/>
      <c r="BC54" s="1224"/>
      <c r="BD54" s="1289"/>
      <c r="BE54" s="1751"/>
      <c r="BF54" s="1482"/>
      <c r="BG54" s="1310"/>
      <c r="BH54" s="1310"/>
      <c r="BI54" s="1349"/>
      <c r="BJ54" s="993"/>
      <c r="BK54" s="996"/>
      <c r="BL54" s="1339"/>
      <c r="BM54" s="1167"/>
      <c r="BN54" s="1148"/>
      <c r="BO54" s="1148"/>
      <c r="BP54" s="1151"/>
      <c r="BQ54" s="1289"/>
      <c r="BR54" s="1751"/>
      <c r="BS54" s="1384"/>
      <c r="BT54" s="1023"/>
      <c r="BU54" s="1289"/>
      <c r="BV54" s="1289"/>
      <c r="BW54" s="1754"/>
      <c r="BX54" s="1387"/>
      <c r="BY54" s="1042"/>
      <c r="BZ54" s="1042"/>
      <c r="CA54" s="1042"/>
      <c r="CB54" s="1263"/>
      <c r="CC54" s="1042"/>
      <c r="CD54" s="1042"/>
      <c r="CE54" s="1042"/>
      <c r="CF54" s="1042"/>
      <c r="CG54" s="1042"/>
    </row>
    <row r="55" spans="1:85" s="782" customFormat="1" ht="93" customHeight="1" thickBot="1" x14ac:dyDescent="0.3">
      <c r="B55" s="1396"/>
      <c r="C55" s="1399"/>
      <c r="D55" s="1402"/>
      <c r="E55" s="1404"/>
      <c r="F55" s="1446"/>
      <c r="G55" s="1216"/>
      <c r="H55" s="1098"/>
      <c r="I55" s="1098"/>
      <c r="J55" s="1241"/>
      <c r="K55" s="1493"/>
      <c r="L55" s="1495"/>
      <c r="M55" s="1498"/>
      <c r="N55" s="1507"/>
      <c r="O55" s="1300"/>
      <c r="P55" s="1300"/>
      <c r="Q55" s="1527"/>
      <c r="R55" s="1749"/>
      <c r="S55" s="1277"/>
      <c r="T55" s="1278"/>
      <c r="U55" s="1278"/>
      <c r="V55" s="1485"/>
      <c r="W55" s="1535"/>
      <c r="X55" s="1068"/>
      <c r="Y55" s="1324"/>
      <c r="Z55" s="1293"/>
      <c r="AA55" s="1293"/>
      <c r="AB55" s="1293"/>
      <c r="AC55" s="1293"/>
      <c r="AD55" s="1290"/>
      <c r="AE55" s="1752"/>
      <c r="AF55" s="1277"/>
      <c r="AG55" s="1278"/>
      <c r="AH55" s="1278"/>
      <c r="AI55" s="1287"/>
      <c r="AJ55" s="994"/>
      <c r="AK55" s="1068"/>
      <c r="AL55" s="1390"/>
      <c r="AM55" s="1221"/>
      <c r="AN55" s="1222"/>
      <c r="AO55" s="1222"/>
      <c r="AP55" s="1225"/>
      <c r="AQ55" s="1290"/>
      <c r="AR55" s="1752"/>
      <c r="AS55" s="1379"/>
      <c r="AT55" s="1382"/>
      <c r="AU55" s="1382"/>
      <c r="AV55" s="1316"/>
      <c r="AW55" s="994"/>
      <c r="AX55" s="1068"/>
      <c r="AY55" s="1296"/>
      <c r="AZ55" s="1221"/>
      <c r="BA55" s="1222"/>
      <c r="BB55" s="1222"/>
      <c r="BC55" s="1225"/>
      <c r="BD55" s="1290"/>
      <c r="BE55" s="1752"/>
      <c r="BF55" s="1483"/>
      <c r="BG55" s="1311"/>
      <c r="BH55" s="1311"/>
      <c r="BI55" s="1350"/>
      <c r="BJ55" s="994"/>
      <c r="BK55" s="1068"/>
      <c r="BL55" s="1340"/>
      <c r="BM55" s="1206"/>
      <c r="BN55" s="1149"/>
      <c r="BO55" s="1149"/>
      <c r="BP55" s="1152"/>
      <c r="BQ55" s="1290"/>
      <c r="BR55" s="1752"/>
      <c r="BS55" s="1385"/>
      <c r="BT55" s="1024"/>
      <c r="BU55" s="1312"/>
      <c r="BV55" s="1290"/>
      <c r="BW55" s="1755"/>
      <c r="BX55" s="1388"/>
      <c r="BY55" s="1043">
        <f>IFERROR(BH55/#REF!,0)</f>
        <v>0</v>
      </c>
      <c r="BZ55" s="1043"/>
      <c r="CA55" s="1043">
        <f>IFERROR(BM55/#REF!,0)</f>
        <v>0</v>
      </c>
      <c r="CB55" s="1264"/>
      <c r="CC55" s="1043"/>
      <c r="CD55" s="1043"/>
      <c r="CE55" s="1043"/>
      <c r="CF55" s="1043"/>
      <c r="CG55" s="1043"/>
    </row>
    <row r="56" spans="1:85" s="204" customFormat="1" ht="29.25" customHeight="1" thickBot="1" x14ac:dyDescent="0.3">
      <c r="B56" s="1689">
        <v>1</v>
      </c>
      <c r="C56" s="1689"/>
      <c r="D56" s="1689"/>
      <c r="E56" s="1689"/>
      <c r="F56" s="1689"/>
      <c r="G56" s="1689"/>
      <c r="H56" s="1689"/>
      <c r="I56" s="1689"/>
      <c r="J56" s="1689"/>
      <c r="K56" s="1689"/>
      <c r="L56" s="1689"/>
      <c r="M56" s="1689"/>
      <c r="N56" s="1689"/>
      <c r="O56" s="1689"/>
      <c r="P56" s="1689"/>
      <c r="Q56" s="1689"/>
      <c r="R56" s="1689"/>
      <c r="S56" s="1689"/>
      <c r="T56" s="1689"/>
      <c r="U56" s="1689"/>
      <c r="V56" s="1689"/>
      <c r="W56" s="1689"/>
      <c r="X56" s="1689"/>
      <c r="Y56" s="1689"/>
      <c r="Z56" s="1689"/>
      <c r="AA56" s="1689"/>
      <c r="AB56" s="1689"/>
      <c r="AC56" s="1689"/>
      <c r="AD56" s="1689"/>
      <c r="AE56" s="1689"/>
      <c r="AF56" s="1689"/>
      <c r="AG56" s="1689"/>
      <c r="AH56" s="1689"/>
      <c r="AI56" s="1689"/>
      <c r="AJ56" s="1689"/>
      <c r="AK56" s="1689"/>
      <c r="AL56" s="1689"/>
      <c r="AM56" s="1689"/>
      <c r="AN56" s="1689"/>
      <c r="AO56" s="1689"/>
      <c r="AP56" s="1689"/>
      <c r="AQ56" s="1689"/>
      <c r="AR56" s="1689"/>
      <c r="AS56" s="1689"/>
      <c r="AT56" s="1689"/>
      <c r="AU56" s="1689"/>
      <c r="AV56" s="1689"/>
      <c r="AW56" s="1689"/>
      <c r="AX56" s="1689"/>
      <c r="AY56" s="1689"/>
      <c r="AZ56" s="1689"/>
      <c r="BA56" s="1689"/>
      <c r="BB56" s="1689"/>
      <c r="BC56" s="1689"/>
      <c r="BD56" s="1689"/>
      <c r="BE56" s="1689"/>
      <c r="BF56" s="1689"/>
      <c r="BG56" s="1689"/>
      <c r="BH56" s="1689"/>
      <c r="BI56" s="1689"/>
      <c r="BJ56" s="1689"/>
      <c r="BK56" s="1689"/>
      <c r="BL56" s="1689"/>
      <c r="BM56" s="1689"/>
      <c r="BN56" s="1689"/>
      <c r="BO56" s="1689"/>
      <c r="BP56" s="1689"/>
      <c r="BQ56" s="1689"/>
      <c r="BR56" s="1689"/>
      <c r="BS56" s="1689"/>
      <c r="BT56" s="1689"/>
      <c r="BU56" s="1689"/>
      <c r="BV56" s="1689"/>
      <c r="BW56" s="1689"/>
      <c r="BX56" s="1689"/>
      <c r="BY56" s="1689"/>
      <c r="BZ56" s="1689"/>
      <c r="CA56" s="1689"/>
      <c r="CB56" s="1689"/>
      <c r="CC56" s="1689"/>
      <c r="CD56" s="1689"/>
      <c r="CE56" s="1689"/>
      <c r="CF56" s="1689"/>
      <c r="CG56" s="1689"/>
    </row>
    <row r="57" spans="1:85" s="204" customFormat="1" ht="57" customHeight="1" thickBot="1" x14ac:dyDescent="0.3">
      <c r="B57" s="1105" t="s">
        <v>178</v>
      </c>
      <c r="C57" s="1106"/>
      <c r="D57" s="1106"/>
      <c r="E57" s="1106"/>
      <c r="F57" s="1106"/>
      <c r="G57" s="1106"/>
      <c r="H57" s="1106"/>
      <c r="I57" s="1106"/>
      <c r="J57" s="1106"/>
      <c r="K57" s="1106"/>
      <c r="L57" s="1106"/>
      <c r="M57" s="1106"/>
      <c r="N57" s="1106"/>
      <c r="O57" s="1106"/>
      <c r="P57" s="1106"/>
      <c r="Q57" s="1725"/>
      <c r="R57" s="1728"/>
      <c r="S57" s="1726" t="s">
        <v>207</v>
      </c>
      <c r="T57" s="1086"/>
      <c r="U57" s="1086"/>
      <c r="V57" s="1086"/>
      <c r="W57" s="1086"/>
      <c r="X57" s="1086"/>
      <c r="Y57" s="1086"/>
      <c r="Z57" s="1086"/>
      <c r="AA57" s="1086"/>
      <c r="AB57" s="1086"/>
      <c r="AC57" s="1086"/>
      <c r="AD57" s="1086"/>
      <c r="AE57" s="1086"/>
      <c r="AF57" s="1086"/>
      <c r="AG57" s="1086"/>
      <c r="AH57" s="1086"/>
      <c r="AI57" s="1086"/>
      <c r="AJ57" s="1086"/>
      <c r="AK57" s="1086"/>
      <c r="AL57" s="1086"/>
      <c r="AM57" s="1086"/>
      <c r="AN57" s="1086"/>
      <c r="AO57" s="1086"/>
      <c r="AP57" s="1086"/>
      <c r="AQ57" s="1086"/>
      <c r="AR57" s="1086"/>
      <c r="AS57" s="1086"/>
      <c r="AT57" s="1086"/>
      <c r="AU57" s="1086"/>
      <c r="AV57" s="1086"/>
      <c r="AW57" s="1086"/>
      <c r="AX57" s="1086"/>
      <c r="AY57" s="1086"/>
      <c r="AZ57" s="1086"/>
      <c r="BA57" s="1086"/>
      <c r="BB57" s="1086"/>
      <c r="BC57" s="1086"/>
      <c r="BD57" s="1086"/>
      <c r="BE57" s="1086"/>
      <c r="BF57" s="1086"/>
      <c r="BG57" s="1086"/>
      <c r="BH57" s="1086"/>
      <c r="BI57" s="1086"/>
      <c r="BJ57" s="1086"/>
      <c r="BK57" s="1086"/>
      <c r="BL57" s="1086"/>
      <c r="BM57" s="1086"/>
      <c r="BN57" s="1086"/>
      <c r="BO57" s="1086"/>
      <c r="BP57" s="1086"/>
      <c r="BQ57" s="1086"/>
      <c r="BR57" s="1086"/>
      <c r="BS57" s="1086"/>
      <c r="BT57" s="1086"/>
      <c r="BU57" s="1086"/>
      <c r="BV57" s="1727"/>
      <c r="BW57" s="1740"/>
      <c r="BX57" s="1759" t="s">
        <v>177</v>
      </c>
      <c r="BY57" s="1760"/>
      <c r="BZ57" s="1760"/>
      <c r="CA57" s="1760"/>
      <c r="CB57" s="1760"/>
      <c r="CC57" s="1760"/>
      <c r="CD57" s="1760"/>
      <c r="CE57" s="1760"/>
      <c r="CF57" s="1760"/>
      <c r="CG57" s="1761"/>
    </row>
    <row r="58" spans="1:85" s="801" customFormat="1" ht="33.75" customHeight="1" thickBot="1" x14ac:dyDescent="0.35">
      <c r="A58" s="800"/>
      <c r="B58" s="1076" t="s">
        <v>24</v>
      </c>
      <c r="C58" s="1073" t="s">
        <v>1</v>
      </c>
      <c r="D58" s="1077" t="s">
        <v>2</v>
      </c>
      <c r="E58" s="1076" t="s">
        <v>3</v>
      </c>
      <c r="F58" s="1074"/>
      <c r="G58" s="1085" t="s">
        <v>4</v>
      </c>
      <c r="H58" s="1070"/>
      <c r="I58" s="1070"/>
      <c r="J58" s="1082"/>
      <c r="K58" s="1085" t="s">
        <v>201</v>
      </c>
      <c r="L58" s="1070"/>
      <c r="M58" s="1070"/>
      <c r="N58" s="1070"/>
      <c r="O58" s="1070"/>
      <c r="P58" s="1070"/>
      <c r="Q58" s="1070"/>
      <c r="R58" s="1729"/>
      <c r="S58" s="1087" t="s">
        <v>5</v>
      </c>
      <c r="T58" s="1087"/>
      <c r="U58" s="1087"/>
      <c r="V58" s="1087"/>
      <c r="W58" s="1087"/>
      <c r="X58" s="1087"/>
      <c r="Y58" s="1087"/>
      <c r="Z58" s="1087"/>
      <c r="AA58" s="1087"/>
      <c r="AB58" s="1087"/>
      <c r="AC58" s="1087"/>
      <c r="AD58" s="1087"/>
      <c r="AE58" s="1087"/>
      <c r="AF58" s="1087"/>
      <c r="AG58" s="1087"/>
      <c r="AH58" s="1087"/>
      <c r="AI58" s="1087"/>
      <c r="AJ58" s="1087"/>
      <c r="AK58" s="1087"/>
      <c r="AL58" s="1087"/>
      <c r="AM58" s="1087"/>
      <c r="AN58" s="1087"/>
      <c r="AO58" s="1087"/>
      <c r="AP58" s="1087"/>
      <c r="AQ58" s="1087"/>
      <c r="AR58" s="1087"/>
      <c r="AS58" s="1087"/>
      <c r="AT58" s="1087"/>
      <c r="AU58" s="1087"/>
      <c r="AV58" s="1087"/>
      <c r="AW58" s="1087"/>
      <c r="AX58" s="1087"/>
      <c r="AY58" s="1087"/>
      <c r="AZ58" s="1087"/>
      <c r="BA58" s="1087"/>
      <c r="BB58" s="1087"/>
      <c r="BC58" s="1087"/>
      <c r="BD58" s="1087"/>
      <c r="BE58" s="1087"/>
      <c r="BF58" s="1087"/>
      <c r="BG58" s="1087"/>
      <c r="BH58" s="1087"/>
      <c r="BI58" s="1087"/>
      <c r="BJ58" s="1087"/>
      <c r="BK58" s="1087"/>
      <c r="BL58" s="1087"/>
      <c r="BM58" s="1087"/>
      <c r="BN58" s="1087"/>
      <c r="BO58" s="1087"/>
      <c r="BP58" s="1087"/>
      <c r="BQ58" s="1087"/>
      <c r="BR58" s="1087"/>
      <c r="BS58" s="1087"/>
      <c r="BT58" s="1087"/>
      <c r="BU58" s="1087"/>
      <c r="BV58" s="1087"/>
      <c r="BW58" s="1741"/>
      <c r="BX58" s="1036" t="s">
        <v>7</v>
      </c>
      <c r="BY58" s="1036"/>
      <c r="BZ58" s="1036"/>
      <c r="CA58" s="1036"/>
      <c r="CB58" s="1036"/>
      <c r="CC58" s="1036"/>
      <c r="CD58" s="1036"/>
      <c r="CE58" s="1036"/>
      <c r="CF58" s="1036"/>
      <c r="CG58" s="1037"/>
    </row>
    <row r="59" spans="1:85" s="801" customFormat="1" ht="29.25" customHeight="1" thickBot="1" x14ac:dyDescent="0.3">
      <c r="A59" s="800"/>
      <c r="B59" s="1107"/>
      <c r="C59" s="1109"/>
      <c r="D59" s="1111"/>
      <c r="E59" s="1107"/>
      <c r="F59" s="1113"/>
      <c r="G59" s="1095"/>
      <c r="H59" s="1075"/>
      <c r="I59" s="1075"/>
      <c r="J59" s="1084"/>
      <c r="K59" s="1095"/>
      <c r="L59" s="1075"/>
      <c r="M59" s="1075"/>
      <c r="N59" s="1075"/>
      <c r="O59" s="1075"/>
      <c r="P59" s="1075"/>
      <c r="Q59" s="1075"/>
      <c r="R59" s="1729"/>
      <c r="S59" s="1071">
        <v>2017</v>
      </c>
      <c r="T59" s="1071"/>
      <c r="U59" s="1071"/>
      <c r="V59" s="1071"/>
      <c r="W59" s="1071"/>
      <c r="X59" s="1071"/>
      <c r="Y59" s="1071"/>
      <c r="Z59" s="1071"/>
      <c r="AA59" s="1071"/>
      <c r="AB59" s="1071"/>
      <c r="AC59" s="1071"/>
      <c r="AD59" s="1570"/>
      <c r="AE59" s="1737"/>
      <c r="AF59" s="1489">
        <v>2018</v>
      </c>
      <c r="AG59" s="1071"/>
      <c r="AH59" s="1071"/>
      <c r="AI59" s="1071"/>
      <c r="AJ59" s="1071"/>
      <c r="AK59" s="1071"/>
      <c r="AL59" s="1071"/>
      <c r="AM59" s="1070"/>
      <c r="AN59" s="1070"/>
      <c r="AO59" s="1070"/>
      <c r="AP59" s="1070"/>
      <c r="AQ59" s="1070"/>
      <c r="AR59" s="1737"/>
      <c r="AS59" s="1070">
        <v>2019</v>
      </c>
      <c r="AT59" s="1070"/>
      <c r="AU59" s="1070"/>
      <c r="AV59" s="1070"/>
      <c r="AW59" s="1070"/>
      <c r="AX59" s="1071"/>
      <c r="AY59" s="1071"/>
      <c r="AZ59" s="1070"/>
      <c r="BA59" s="1070"/>
      <c r="BB59" s="1070"/>
      <c r="BC59" s="1070"/>
      <c r="BD59" s="1070"/>
      <c r="BE59" s="1737"/>
      <c r="BF59" s="1070">
        <v>2020</v>
      </c>
      <c r="BG59" s="1070"/>
      <c r="BH59" s="1070"/>
      <c r="BI59" s="1070"/>
      <c r="BJ59" s="1070"/>
      <c r="BK59" s="1071"/>
      <c r="BL59" s="1071"/>
      <c r="BM59" s="1070"/>
      <c r="BN59" s="1070"/>
      <c r="BO59" s="1070"/>
      <c r="BP59" s="1070"/>
      <c r="BQ59" s="1070"/>
      <c r="BR59" s="1737"/>
      <c r="BS59" s="1082" t="s">
        <v>6</v>
      </c>
      <c r="BT59" s="1071" t="s">
        <v>206</v>
      </c>
      <c r="BU59" s="1071"/>
      <c r="BV59" s="1071"/>
      <c r="BW59" s="1741"/>
      <c r="BX59" s="773" t="s">
        <v>9</v>
      </c>
      <c r="BY59" s="773"/>
      <c r="BZ59" s="773"/>
      <c r="CA59" s="773"/>
      <c r="CB59" s="773"/>
      <c r="CC59" s="774"/>
      <c r="CD59" s="773"/>
      <c r="CE59" s="773"/>
      <c r="CF59" s="775" t="s">
        <v>10</v>
      </c>
      <c r="CG59" s="776"/>
    </row>
    <row r="60" spans="1:85" s="801" customFormat="1" ht="30" customHeight="1" thickBot="1" x14ac:dyDescent="0.3">
      <c r="A60" s="800"/>
      <c r="B60" s="1107"/>
      <c r="C60" s="1109"/>
      <c r="D60" s="1111"/>
      <c r="E60" s="1107"/>
      <c r="F60" s="1113"/>
      <c r="G60" s="1115">
        <v>2017</v>
      </c>
      <c r="H60" s="1117">
        <v>2018</v>
      </c>
      <c r="I60" s="1119">
        <v>2019</v>
      </c>
      <c r="J60" s="1121">
        <v>2020</v>
      </c>
      <c r="K60" s="787" t="s">
        <v>19</v>
      </c>
      <c r="L60" s="1085" t="s">
        <v>199</v>
      </c>
      <c r="M60" s="1692" t="s">
        <v>198</v>
      </c>
      <c r="N60" s="1072" t="s">
        <v>9</v>
      </c>
      <c r="O60" s="1073"/>
      <c r="P60" s="1073"/>
      <c r="Q60" s="1077"/>
      <c r="R60" s="1729"/>
      <c r="S60" s="1080" t="s">
        <v>202</v>
      </c>
      <c r="T60" s="1080"/>
      <c r="U60" s="1080"/>
      <c r="V60" s="1080"/>
      <c r="W60" s="1072"/>
      <c r="X60" s="1081" t="s">
        <v>200</v>
      </c>
      <c r="Y60" s="1082"/>
      <c r="Z60" s="1085" t="s">
        <v>203</v>
      </c>
      <c r="AA60" s="1070"/>
      <c r="AB60" s="1070"/>
      <c r="AC60" s="1070"/>
      <c r="AD60" s="1082"/>
      <c r="AE60" s="1738"/>
      <c r="AF60" s="1629" t="s">
        <v>202</v>
      </c>
      <c r="AG60" s="1080"/>
      <c r="AH60" s="1080"/>
      <c r="AI60" s="1080"/>
      <c r="AJ60" s="1072"/>
      <c r="AK60" s="1081" t="s">
        <v>200</v>
      </c>
      <c r="AL60" s="1070"/>
      <c r="AM60" s="1076" t="s">
        <v>203</v>
      </c>
      <c r="AN60" s="1073"/>
      <c r="AO60" s="1073"/>
      <c r="AP60" s="1073"/>
      <c r="AQ60" s="1074"/>
      <c r="AR60" s="1738"/>
      <c r="AS60" s="1076" t="s">
        <v>202</v>
      </c>
      <c r="AT60" s="1073"/>
      <c r="AU60" s="1073"/>
      <c r="AV60" s="1073"/>
      <c r="AW60" s="1074"/>
      <c r="AX60" s="1070" t="s">
        <v>200</v>
      </c>
      <c r="AY60" s="1070"/>
      <c r="AZ60" s="1076" t="s">
        <v>203</v>
      </c>
      <c r="BA60" s="1073"/>
      <c r="BB60" s="1073"/>
      <c r="BC60" s="1073"/>
      <c r="BD60" s="1074"/>
      <c r="BE60" s="1738"/>
      <c r="BF60" s="1076"/>
      <c r="BG60" s="1073"/>
      <c r="BH60" s="1073"/>
      <c r="BI60" s="1073"/>
      <c r="BJ60" s="1074"/>
      <c r="BK60" s="1070" t="s">
        <v>200</v>
      </c>
      <c r="BL60" s="1070"/>
      <c r="BM60" s="1076" t="s">
        <v>203</v>
      </c>
      <c r="BN60" s="1073"/>
      <c r="BO60" s="1073"/>
      <c r="BP60" s="1073"/>
      <c r="BQ60" s="1074"/>
      <c r="BR60" s="1738"/>
      <c r="BS60" s="1094"/>
      <c r="BT60" s="1082" t="s">
        <v>204</v>
      </c>
      <c r="BU60" s="781"/>
      <c r="BV60" s="1085" t="s">
        <v>205</v>
      </c>
      <c r="BW60" s="1741"/>
      <c r="BX60" s="1038">
        <v>2017</v>
      </c>
      <c r="BY60" s="1039"/>
      <c r="BZ60" s="1040">
        <v>2018</v>
      </c>
      <c r="CA60" s="1039"/>
      <c r="CB60" s="1040">
        <v>2019</v>
      </c>
      <c r="CC60" s="1039"/>
      <c r="CD60" s="1040">
        <v>2020</v>
      </c>
      <c r="CE60" s="1039"/>
      <c r="CF60" s="788"/>
      <c r="CG60" s="789"/>
    </row>
    <row r="61" spans="1:85" s="801" customFormat="1" ht="47.25" customHeight="1" thickBot="1" x14ac:dyDescent="0.3">
      <c r="A61" s="800"/>
      <c r="B61" s="1427"/>
      <c r="C61" s="1428"/>
      <c r="D61" s="1429"/>
      <c r="E61" s="1427"/>
      <c r="F61" s="1124"/>
      <c r="G61" s="1116"/>
      <c r="H61" s="1118"/>
      <c r="I61" s="1120"/>
      <c r="J61" s="1122"/>
      <c r="K61" s="790"/>
      <c r="L61" s="1095"/>
      <c r="M61" s="1693"/>
      <c r="N61" s="802">
        <v>2017</v>
      </c>
      <c r="O61" s="803">
        <v>2018</v>
      </c>
      <c r="P61" s="803">
        <v>2019</v>
      </c>
      <c r="Q61" s="804">
        <v>2020</v>
      </c>
      <c r="R61" s="1729"/>
      <c r="S61" s="802" t="s">
        <v>12</v>
      </c>
      <c r="T61" s="803" t="s">
        <v>13</v>
      </c>
      <c r="U61" s="803" t="s">
        <v>14</v>
      </c>
      <c r="V61" s="803" t="s">
        <v>15</v>
      </c>
      <c r="W61" s="803" t="s">
        <v>11</v>
      </c>
      <c r="X61" s="1083"/>
      <c r="Y61" s="1084"/>
      <c r="Z61" s="791" t="s">
        <v>12</v>
      </c>
      <c r="AA61" s="792" t="s">
        <v>13</v>
      </c>
      <c r="AB61" s="792" t="s">
        <v>14</v>
      </c>
      <c r="AC61" s="794" t="s">
        <v>15</v>
      </c>
      <c r="AD61" s="796" t="s">
        <v>8</v>
      </c>
      <c r="AE61" s="1738"/>
      <c r="AF61" s="805" t="s">
        <v>12</v>
      </c>
      <c r="AG61" s="803" t="s">
        <v>13</v>
      </c>
      <c r="AH61" s="803" t="s">
        <v>14</v>
      </c>
      <c r="AI61" s="803" t="s">
        <v>15</v>
      </c>
      <c r="AJ61" s="796" t="s">
        <v>8</v>
      </c>
      <c r="AK61" s="1083"/>
      <c r="AL61" s="1075"/>
      <c r="AM61" s="805" t="s">
        <v>12</v>
      </c>
      <c r="AN61" s="803" t="s">
        <v>13</v>
      </c>
      <c r="AO61" s="803" t="s">
        <v>14</v>
      </c>
      <c r="AP61" s="803" t="s">
        <v>15</v>
      </c>
      <c r="AQ61" s="806" t="s">
        <v>8</v>
      </c>
      <c r="AR61" s="1738"/>
      <c r="AS61" s="805" t="s">
        <v>12</v>
      </c>
      <c r="AT61" s="803" t="s">
        <v>13</v>
      </c>
      <c r="AU61" s="803" t="s">
        <v>14</v>
      </c>
      <c r="AV61" s="803" t="s">
        <v>15</v>
      </c>
      <c r="AW61" s="806" t="s">
        <v>8</v>
      </c>
      <c r="AX61" s="1075"/>
      <c r="AY61" s="1075"/>
      <c r="AZ61" s="805" t="s">
        <v>12</v>
      </c>
      <c r="BA61" s="803" t="s">
        <v>13</v>
      </c>
      <c r="BB61" s="803" t="s">
        <v>14</v>
      </c>
      <c r="BC61" s="803" t="s">
        <v>15</v>
      </c>
      <c r="BD61" s="806" t="s">
        <v>8</v>
      </c>
      <c r="BE61" s="1738"/>
      <c r="BF61" s="805" t="s">
        <v>12</v>
      </c>
      <c r="BG61" s="803" t="s">
        <v>13</v>
      </c>
      <c r="BH61" s="803" t="s">
        <v>14</v>
      </c>
      <c r="BI61" s="803" t="s">
        <v>15</v>
      </c>
      <c r="BJ61" s="806" t="s">
        <v>8</v>
      </c>
      <c r="BK61" s="1075"/>
      <c r="BL61" s="1075"/>
      <c r="BM61" s="805" t="s">
        <v>12</v>
      </c>
      <c r="BN61" s="803" t="s">
        <v>13</v>
      </c>
      <c r="BO61" s="803" t="s">
        <v>14</v>
      </c>
      <c r="BP61" s="803" t="s">
        <v>15</v>
      </c>
      <c r="BQ61" s="806" t="s">
        <v>8</v>
      </c>
      <c r="BR61" s="1738"/>
      <c r="BS61" s="1084"/>
      <c r="BT61" s="1084"/>
      <c r="BU61" s="807"/>
      <c r="BV61" s="1095"/>
      <c r="BW61" s="1741"/>
      <c r="BX61" s="808" t="s">
        <v>20</v>
      </c>
      <c r="BY61" s="798" t="s">
        <v>16</v>
      </c>
      <c r="BZ61" s="809" t="s">
        <v>20</v>
      </c>
      <c r="CA61" s="798" t="s">
        <v>16</v>
      </c>
      <c r="CB61" s="809" t="s">
        <v>20</v>
      </c>
      <c r="CC61" s="798" t="s">
        <v>16</v>
      </c>
      <c r="CD61" s="809" t="s">
        <v>20</v>
      </c>
      <c r="CE61" s="798" t="s">
        <v>16</v>
      </c>
      <c r="CF61" s="809" t="s">
        <v>20</v>
      </c>
      <c r="CG61" s="810" t="s">
        <v>16</v>
      </c>
    </row>
    <row r="62" spans="1:85" s="782" customFormat="1" ht="95.25" customHeight="1" x14ac:dyDescent="0.25">
      <c r="A62" s="783"/>
      <c r="B62" s="1458" t="s">
        <v>187</v>
      </c>
      <c r="C62" s="1443" t="s">
        <v>554</v>
      </c>
      <c r="D62" s="1474" t="s">
        <v>555</v>
      </c>
      <c r="E62" s="1476">
        <v>4</v>
      </c>
      <c r="F62" s="1536" t="s">
        <v>193</v>
      </c>
      <c r="G62" s="1214">
        <v>1</v>
      </c>
      <c r="H62" s="1096">
        <v>3</v>
      </c>
      <c r="I62" s="1096">
        <v>4</v>
      </c>
      <c r="J62" s="1239">
        <v>4</v>
      </c>
      <c r="K62" s="1548">
        <f>SUM(M62:M109)</f>
        <v>472840</v>
      </c>
      <c r="L62" s="1545" t="s">
        <v>556</v>
      </c>
      <c r="M62" s="1281">
        <v>137600</v>
      </c>
      <c r="N62" s="1718">
        <v>19081.66</v>
      </c>
      <c r="O62" s="1478">
        <v>21689</v>
      </c>
      <c r="P62" s="1478">
        <v>59785</v>
      </c>
      <c r="Q62" s="1531">
        <f>25000+20000+6800+3500+3871</f>
        <v>59171</v>
      </c>
      <c r="R62" s="1729"/>
      <c r="S62" s="1179"/>
      <c r="T62" s="1182"/>
      <c r="U62" s="1182"/>
      <c r="V62" s="1440">
        <v>1</v>
      </c>
      <c r="W62" s="1188">
        <f>IFERROR(SUM(S62:V73),0)</f>
        <v>1</v>
      </c>
      <c r="X62" s="995" t="s">
        <v>195</v>
      </c>
      <c r="Y62" s="1313" t="s">
        <v>557</v>
      </c>
      <c r="Z62" s="1484"/>
      <c r="AA62" s="1484"/>
      <c r="AB62" s="1484"/>
      <c r="AC62" s="1484">
        <v>19081.66</v>
      </c>
      <c r="AD62" s="1028">
        <f>SUM(Z62:AC85)</f>
        <v>19081.66</v>
      </c>
      <c r="AE62" s="1738"/>
      <c r="AF62" s="1671"/>
      <c r="AG62" s="1182"/>
      <c r="AH62" s="1182">
        <v>1</v>
      </c>
      <c r="AI62" s="1440"/>
      <c r="AJ62" s="1188">
        <f>IFERROR(SUM(AF62:AI73),0)</f>
        <v>1</v>
      </c>
      <c r="AK62" s="995" t="s">
        <v>195</v>
      </c>
      <c r="AL62" s="1313" t="s">
        <v>558</v>
      </c>
      <c r="AM62" s="1415"/>
      <c r="AN62" s="1415"/>
      <c r="AO62" s="1415"/>
      <c r="AP62" s="1415">
        <v>21689</v>
      </c>
      <c r="AQ62" s="1289">
        <f>SUM(AM62:AP85)</f>
        <v>21689</v>
      </c>
      <c r="AR62" s="1738"/>
      <c r="AS62" s="1180"/>
      <c r="AT62" s="1183"/>
      <c r="AU62" s="1183"/>
      <c r="AV62" s="1441">
        <v>1</v>
      </c>
      <c r="AW62" s="1189">
        <f>SUM(AS62:AV73)</f>
        <v>1</v>
      </c>
      <c r="AX62" s="995" t="s">
        <v>195</v>
      </c>
      <c r="AY62" s="1558" t="s">
        <v>559</v>
      </c>
      <c r="AZ62" s="1415"/>
      <c r="BA62" s="1415"/>
      <c r="BB62" s="1415"/>
      <c r="BC62" s="1415">
        <v>59785</v>
      </c>
      <c r="BD62" s="1289">
        <f>SUM(AZ62:BC85)</f>
        <v>59785</v>
      </c>
      <c r="BE62" s="1738"/>
      <c r="BF62" s="1452">
        <v>1</v>
      </c>
      <c r="BG62" s="1421"/>
      <c r="BH62" s="1421"/>
      <c r="BI62" s="1714"/>
      <c r="BJ62" s="1189">
        <f>SUM(BF62:BI73)</f>
        <v>1</v>
      </c>
      <c r="BK62" s="995" t="s">
        <v>195</v>
      </c>
      <c r="BL62" s="1630" t="s">
        <v>662</v>
      </c>
      <c r="BM62" s="1706">
        <v>4000</v>
      </c>
      <c r="BN62" s="1706">
        <v>1000</v>
      </c>
      <c r="BO62" s="1706">
        <v>29150</v>
      </c>
      <c r="BP62" s="1706">
        <v>2894.34</v>
      </c>
      <c r="BQ62" s="1289">
        <f>SUM(BM62:BP85)</f>
        <v>37044.339999999997</v>
      </c>
      <c r="BR62" s="1738"/>
      <c r="BS62" s="1171" t="s">
        <v>484</v>
      </c>
      <c r="BT62" s="1022">
        <f>SUM(AJ62,AW62,BJ62)</f>
        <v>3</v>
      </c>
      <c r="BU62" s="1289">
        <f>SUM(AD62,AQ62,BD62,BQ62)</f>
        <v>137600</v>
      </c>
      <c r="BV62" s="1288">
        <f>SUM(AD62:AD109,AQ62:AQ109,BD62:BD109,BQ62:BQ109)</f>
        <v>515840.00000000006</v>
      </c>
      <c r="BW62" s="1741"/>
      <c r="BX62" s="1125">
        <f>IFERROR(W62/G62,0)</f>
        <v>1</v>
      </c>
      <c r="BY62" s="1702">
        <f>IFERROR(AD62/N62,0)</f>
        <v>1</v>
      </c>
      <c r="BZ62" s="1125">
        <f>IFERROR(AJ62/H62,0)</f>
        <v>0.33333333333333331</v>
      </c>
      <c r="CA62" s="1702">
        <f>IFERROR(AQ62/O62,0)</f>
        <v>1</v>
      </c>
      <c r="CB62" s="1125">
        <f>IFERROR(AW62/I62,0)</f>
        <v>0.25</v>
      </c>
      <c r="CC62" s="1702">
        <f>IFERROR(BD62/P62,0)</f>
        <v>1</v>
      </c>
      <c r="CD62" s="1125">
        <f>IFERROR(BJ62/J62,0)</f>
        <v>0.25</v>
      </c>
      <c r="CE62" s="1711">
        <f>IFERROR(BQ62/Q62,0)</f>
        <v>0.62605566916225852</v>
      </c>
      <c r="CF62" s="1262">
        <f>IFERROR(BT62/E62,0)</f>
        <v>0.75</v>
      </c>
      <c r="CG62" s="1423">
        <f>IFERROR(BV62/K62,0)</f>
        <v>1.0909398528043315</v>
      </c>
    </row>
    <row r="63" spans="1:85" s="782" customFormat="1" ht="95.25" customHeight="1" x14ac:dyDescent="0.25">
      <c r="A63" s="783"/>
      <c r="B63" s="1459"/>
      <c r="C63" s="1398"/>
      <c r="D63" s="1475"/>
      <c r="E63" s="1477"/>
      <c r="F63" s="1537"/>
      <c r="G63" s="1215"/>
      <c r="H63" s="1097"/>
      <c r="I63" s="1097"/>
      <c r="J63" s="1240"/>
      <c r="K63" s="1549"/>
      <c r="L63" s="1494"/>
      <c r="M63" s="1282"/>
      <c r="N63" s="1719"/>
      <c r="O63" s="1479"/>
      <c r="P63" s="1479"/>
      <c r="Q63" s="1532"/>
      <c r="R63" s="1729"/>
      <c r="S63" s="1180"/>
      <c r="T63" s="1183"/>
      <c r="U63" s="1183"/>
      <c r="V63" s="1441"/>
      <c r="W63" s="1189"/>
      <c r="X63" s="996"/>
      <c r="Y63" s="1295"/>
      <c r="Z63" s="1415"/>
      <c r="AA63" s="1415"/>
      <c r="AB63" s="1415"/>
      <c r="AC63" s="1415"/>
      <c r="AD63" s="1304"/>
      <c r="AE63" s="1738"/>
      <c r="AF63" s="1672"/>
      <c r="AG63" s="1183"/>
      <c r="AH63" s="1183"/>
      <c r="AI63" s="1441"/>
      <c r="AJ63" s="1189"/>
      <c r="AK63" s="996"/>
      <c r="AL63" s="1295"/>
      <c r="AM63" s="1415"/>
      <c r="AN63" s="1415"/>
      <c r="AO63" s="1415"/>
      <c r="AP63" s="1415"/>
      <c r="AQ63" s="1289"/>
      <c r="AR63" s="1738"/>
      <c r="AS63" s="1180"/>
      <c r="AT63" s="1183"/>
      <c r="AU63" s="1183"/>
      <c r="AV63" s="1441"/>
      <c r="AW63" s="1189"/>
      <c r="AX63" s="996"/>
      <c r="AY63" s="1295"/>
      <c r="AZ63" s="1415"/>
      <c r="BA63" s="1415"/>
      <c r="BB63" s="1415"/>
      <c r="BC63" s="1415"/>
      <c r="BD63" s="1289"/>
      <c r="BE63" s="1738"/>
      <c r="BF63" s="1452"/>
      <c r="BG63" s="1421"/>
      <c r="BH63" s="1421"/>
      <c r="BI63" s="1714"/>
      <c r="BJ63" s="1189"/>
      <c r="BK63" s="996"/>
      <c r="BL63" s="1339"/>
      <c r="BM63" s="1706"/>
      <c r="BN63" s="1706"/>
      <c r="BO63" s="1706"/>
      <c r="BP63" s="1706"/>
      <c r="BQ63" s="1289"/>
      <c r="BR63" s="1738"/>
      <c r="BS63" s="1687"/>
      <c r="BT63" s="1023"/>
      <c r="BU63" s="1289"/>
      <c r="BV63" s="1289"/>
      <c r="BW63" s="1741"/>
      <c r="BX63" s="1126"/>
      <c r="BY63" s="1703"/>
      <c r="BZ63" s="1126"/>
      <c r="CA63" s="1703"/>
      <c r="CB63" s="1126"/>
      <c r="CC63" s="1703"/>
      <c r="CD63" s="1126"/>
      <c r="CE63" s="1712"/>
      <c r="CF63" s="1263"/>
      <c r="CG63" s="1424"/>
    </row>
    <row r="64" spans="1:85" s="782" customFormat="1" ht="95.25" customHeight="1" x14ac:dyDescent="0.25">
      <c r="A64" s="783"/>
      <c r="B64" s="1459"/>
      <c r="C64" s="1398"/>
      <c r="D64" s="1475"/>
      <c r="E64" s="1477"/>
      <c r="F64" s="1537"/>
      <c r="G64" s="1215"/>
      <c r="H64" s="1097"/>
      <c r="I64" s="1097"/>
      <c r="J64" s="1240"/>
      <c r="K64" s="1549"/>
      <c r="L64" s="1494"/>
      <c r="M64" s="1282"/>
      <c r="N64" s="1719"/>
      <c r="O64" s="1479"/>
      <c r="P64" s="1479"/>
      <c r="Q64" s="1532"/>
      <c r="R64" s="1729"/>
      <c r="S64" s="1180"/>
      <c r="T64" s="1183"/>
      <c r="U64" s="1183"/>
      <c r="V64" s="1441"/>
      <c r="W64" s="1189"/>
      <c r="X64" s="996"/>
      <c r="Y64" s="1295"/>
      <c r="Z64" s="1415"/>
      <c r="AA64" s="1415"/>
      <c r="AB64" s="1415"/>
      <c r="AC64" s="1415"/>
      <c r="AD64" s="1304"/>
      <c r="AE64" s="1738"/>
      <c r="AF64" s="1672"/>
      <c r="AG64" s="1183"/>
      <c r="AH64" s="1183"/>
      <c r="AI64" s="1441"/>
      <c r="AJ64" s="1189"/>
      <c r="AK64" s="996"/>
      <c r="AL64" s="1295"/>
      <c r="AM64" s="1415"/>
      <c r="AN64" s="1415"/>
      <c r="AO64" s="1415"/>
      <c r="AP64" s="1415"/>
      <c r="AQ64" s="1289"/>
      <c r="AR64" s="1738"/>
      <c r="AS64" s="1180"/>
      <c r="AT64" s="1183"/>
      <c r="AU64" s="1183"/>
      <c r="AV64" s="1441"/>
      <c r="AW64" s="1189"/>
      <c r="AX64" s="996"/>
      <c r="AY64" s="1295"/>
      <c r="AZ64" s="1415"/>
      <c r="BA64" s="1415"/>
      <c r="BB64" s="1415"/>
      <c r="BC64" s="1415"/>
      <c r="BD64" s="1289"/>
      <c r="BE64" s="1738"/>
      <c r="BF64" s="1452"/>
      <c r="BG64" s="1421"/>
      <c r="BH64" s="1421"/>
      <c r="BI64" s="1714"/>
      <c r="BJ64" s="1189"/>
      <c r="BK64" s="996"/>
      <c r="BL64" s="1339"/>
      <c r="BM64" s="1706"/>
      <c r="BN64" s="1706"/>
      <c r="BO64" s="1706"/>
      <c r="BP64" s="1706"/>
      <c r="BQ64" s="1289"/>
      <c r="BR64" s="1738"/>
      <c r="BS64" s="1687"/>
      <c r="BT64" s="1023"/>
      <c r="BU64" s="1289"/>
      <c r="BV64" s="1289"/>
      <c r="BW64" s="1741"/>
      <c r="BX64" s="1126"/>
      <c r="BY64" s="1703"/>
      <c r="BZ64" s="1126"/>
      <c r="CA64" s="1703"/>
      <c r="CB64" s="1126"/>
      <c r="CC64" s="1703"/>
      <c r="CD64" s="1126"/>
      <c r="CE64" s="1712"/>
      <c r="CF64" s="1263"/>
      <c r="CG64" s="1424"/>
    </row>
    <row r="65" spans="1:85" s="782" customFormat="1" ht="409.15" customHeight="1" x14ac:dyDescent="0.25">
      <c r="A65" s="783"/>
      <c r="B65" s="1459"/>
      <c r="C65" s="1398"/>
      <c r="D65" s="1475"/>
      <c r="E65" s="1477"/>
      <c r="F65" s="1537"/>
      <c r="G65" s="1215"/>
      <c r="H65" s="1097"/>
      <c r="I65" s="1097"/>
      <c r="J65" s="1240"/>
      <c r="K65" s="1549"/>
      <c r="L65" s="1494"/>
      <c r="M65" s="1282"/>
      <c r="N65" s="1719"/>
      <c r="O65" s="1479"/>
      <c r="P65" s="1479"/>
      <c r="Q65" s="1532"/>
      <c r="R65" s="1729"/>
      <c r="S65" s="1180"/>
      <c r="T65" s="1183"/>
      <c r="U65" s="1183"/>
      <c r="V65" s="1441"/>
      <c r="W65" s="1189"/>
      <c r="X65" s="996"/>
      <c r="Y65" s="1295"/>
      <c r="Z65" s="1415"/>
      <c r="AA65" s="1415"/>
      <c r="AB65" s="1415"/>
      <c r="AC65" s="1415"/>
      <c r="AD65" s="1304"/>
      <c r="AE65" s="1738"/>
      <c r="AF65" s="1672"/>
      <c r="AG65" s="1183"/>
      <c r="AH65" s="1183"/>
      <c r="AI65" s="1441"/>
      <c r="AJ65" s="1189"/>
      <c r="AK65" s="996"/>
      <c r="AL65" s="1295"/>
      <c r="AM65" s="1415"/>
      <c r="AN65" s="1415"/>
      <c r="AO65" s="1415"/>
      <c r="AP65" s="1415"/>
      <c r="AQ65" s="1289"/>
      <c r="AR65" s="1738"/>
      <c r="AS65" s="1180"/>
      <c r="AT65" s="1183"/>
      <c r="AU65" s="1183"/>
      <c r="AV65" s="1441"/>
      <c r="AW65" s="1189"/>
      <c r="AX65" s="996"/>
      <c r="AY65" s="1295"/>
      <c r="AZ65" s="1415"/>
      <c r="BA65" s="1415"/>
      <c r="BB65" s="1415"/>
      <c r="BC65" s="1415"/>
      <c r="BD65" s="1289"/>
      <c r="BE65" s="1738"/>
      <c r="BF65" s="1452"/>
      <c r="BG65" s="1421"/>
      <c r="BH65" s="1421"/>
      <c r="BI65" s="1714"/>
      <c r="BJ65" s="1189"/>
      <c r="BK65" s="996"/>
      <c r="BL65" s="1339"/>
      <c r="BM65" s="1706"/>
      <c r="BN65" s="1706"/>
      <c r="BO65" s="1706"/>
      <c r="BP65" s="1706"/>
      <c r="BQ65" s="1289"/>
      <c r="BR65" s="1738"/>
      <c r="BS65" s="1687"/>
      <c r="BT65" s="1023"/>
      <c r="BU65" s="1289"/>
      <c r="BV65" s="1289"/>
      <c r="BW65" s="1741"/>
      <c r="BX65" s="1126"/>
      <c r="BY65" s="1703"/>
      <c r="BZ65" s="1126"/>
      <c r="CA65" s="1703"/>
      <c r="CB65" s="1126"/>
      <c r="CC65" s="1703"/>
      <c r="CD65" s="1126"/>
      <c r="CE65" s="1712"/>
      <c r="CF65" s="1263"/>
      <c r="CG65" s="1424"/>
    </row>
    <row r="66" spans="1:85" s="782" customFormat="1" ht="78.75" customHeight="1" x14ac:dyDescent="0.25">
      <c r="A66" s="783"/>
      <c r="B66" s="1459"/>
      <c r="C66" s="1398"/>
      <c r="D66" s="1475"/>
      <c r="E66" s="1477"/>
      <c r="F66" s="1537"/>
      <c r="G66" s="1215"/>
      <c r="H66" s="1097"/>
      <c r="I66" s="1097"/>
      <c r="J66" s="1240"/>
      <c r="K66" s="1549"/>
      <c r="L66" s="1494"/>
      <c r="M66" s="1282"/>
      <c r="N66" s="1719"/>
      <c r="O66" s="1479"/>
      <c r="P66" s="1479"/>
      <c r="Q66" s="1532"/>
      <c r="R66" s="1729"/>
      <c r="S66" s="1180"/>
      <c r="T66" s="1183"/>
      <c r="U66" s="1183"/>
      <c r="V66" s="1441"/>
      <c r="W66" s="1189"/>
      <c r="X66" s="996" t="s">
        <v>196</v>
      </c>
      <c r="Y66" s="1295" t="s">
        <v>560</v>
      </c>
      <c r="Z66" s="1415"/>
      <c r="AA66" s="1415"/>
      <c r="AB66" s="1415"/>
      <c r="AC66" s="1415"/>
      <c r="AD66" s="1304"/>
      <c r="AE66" s="1738"/>
      <c r="AF66" s="1672"/>
      <c r="AG66" s="1183"/>
      <c r="AH66" s="1183"/>
      <c r="AI66" s="1441"/>
      <c r="AJ66" s="1189"/>
      <c r="AK66" s="996" t="s">
        <v>196</v>
      </c>
      <c r="AL66" s="1295" t="s">
        <v>561</v>
      </c>
      <c r="AM66" s="1415"/>
      <c r="AN66" s="1415"/>
      <c r="AO66" s="1415"/>
      <c r="AP66" s="1415"/>
      <c r="AQ66" s="1289"/>
      <c r="AR66" s="1738"/>
      <c r="AS66" s="1180"/>
      <c r="AT66" s="1183"/>
      <c r="AU66" s="1183"/>
      <c r="AV66" s="1441"/>
      <c r="AW66" s="1189"/>
      <c r="AX66" s="996" t="s">
        <v>196</v>
      </c>
      <c r="AY66" s="1295" t="s">
        <v>562</v>
      </c>
      <c r="AZ66" s="1415"/>
      <c r="BA66" s="1415"/>
      <c r="BB66" s="1415"/>
      <c r="BC66" s="1415"/>
      <c r="BD66" s="1289"/>
      <c r="BE66" s="1738"/>
      <c r="BF66" s="1452"/>
      <c r="BG66" s="1421"/>
      <c r="BH66" s="1421"/>
      <c r="BI66" s="1714"/>
      <c r="BJ66" s="1189"/>
      <c r="BK66" s="996" t="s">
        <v>196</v>
      </c>
      <c r="BL66" s="1339" t="s">
        <v>663</v>
      </c>
      <c r="BM66" s="1706"/>
      <c r="BN66" s="1706"/>
      <c r="BO66" s="1706"/>
      <c r="BP66" s="1706"/>
      <c r="BQ66" s="1289"/>
      <c r="BR66" s="1738"/>
      <c r="BS66" s="1687"/>
      <c r="BT66" s="1023"/>
      <c r="BU66" s="1289"/>
      <c r="BV66" s="1289"/>
      <c r="BW66" s="1741"/>
      <c r="BX66" s="1126"/>
      <c r="BY66" s="1703"/>
      <c r="BZ66" s="1126"/>
      <c r="CA66" s="1703"/>
      <c r="CB66" s="1126"/>
      <c r="CC66" s="1703"/>
      <c r="CD66" s="1126"/>
      <c r="CE66" s="1712"/>
      <c r="CF66" s="1263"/>
      <c r="CG66" s="1424"/>
    </row>
    <row r="67" spans="1:85" s="782" customFormat="1" ht="78.75" customHeight="1" x14ac:dyDescent="0.25">
      <c r="A67" s="783"/>
      <c r="B67" s="1459"/>
      <c r="C67" s="1398"/>
      <c r="D67" s="1475"/>
      <c r="E67" s="1477"/>
      <c r="F67" s="1537"/>
      <c r="G67" s="1215"/>
      <c r="H67" s="1097"/>
      <c r="I67" s="1097"/>
      <c r="J67" s="1240"/>
      <c r="K67" s="1549"/>
      <c r="L67" s="1494"/>
      <c r="M67" s="1282"/>
      <c r="N67" s="1719"/>
      <c r="O67" s="1479"/>
      <c r="P67" s="1479"/>
      <c r="Q67" s="1532"/>
      <c r="R67" s="1729"/>
      <c r="S67" s="1180"/>
      <c r="T67" s="1183"/>
      <c r="U67" s="1183"/>
      <c r="V67" s="1441"/>
      <c r="W67" s="1189"/>
      <c r="X67" s="996"/>
      <c r="Y67" s="1295"/>
      <c r="Z67" s="1415"/>
      <c r="AA67" s="1415"/>
      <c r="AB67" s="1415"/>
      <c r="AC67" s="1415"/>
      <c r="AD67" s="1304"/>
      <c r="AE67" s="1738"/>
      <c r="AF67" s="1672"/>
      <c r="AG67" s="1183"/>
      <c r="AH67" s="1183"/>
      <c r="AI67" s="1441"/>
      <c r="AJ67" s="1189"/>
      <c r="AK67" s="996"/>
      <c r="AL67" s="1295"/>
      <c r="AM67" s="1415"/>
      <c r="AN67" s="1415"/>
      <c r="AO67" s="1415"/>
      <c r="AP67" s="1415"/>
      <c r="AQ67" s="1289"/>
      <c r="AR67" s="1738"/>
      <c r="AS67" s="1180"/>
      <c r="AT67" s="1183"/>
      <c r="AU67" s="1183"/>
      <c r="AV67" s="1441"/>
      <c r="AW67" s="1189"/>
      <c r="AX67" s="996"/>
      <c r="AY67" s="1295"/>
      <c r="AZ67" s="1415"/>
      <c r="BA67" s="1415"/>
      <c r="BB67" s="1415"/>
      <c r="BC67" s="1415"/>
      <c r="BD67" s="1289"/>
      <c r="BE67" s="1738"/>
      <c r="BF67" s="1452"/>
      <c r="BG67" s="1421"/>
      <c r="BH67" s="1421"/>
      <c r="BI67" s="1714"/>
      <c r="BJ67" s="1189"/>
      <c r="BK67" s="996"/>
      <c r="BL67" s="1339"/>
      <c r="BM67" s="1706"/>
      <c r="BN67" s="1706"/>
      <c r="BO67" s="1706"/>
      <c r="BP67" s="1706"/>
      <c r="BQ67" s="1289"/>
      <c r="BR67" s="1738"/>
      <c r="BS67" s="1687"/>
      <c r="BT67" s="1023"/>
      <c r="BU67" s="1289"/>
      <c r="BV67" s="1289"/>
      <c r="BW67" s="1741"/>
      <c r="BX67" s="1126"/>
      <c r="BY67" s="1703"/>
      <c r="BZ67" s="1126"/>
      <c r="CA67" s="1703"/>
      <c r="CB67" s="1126"/>
      <c r="CC67" s="1703"/>
      <c r="CD67" s="1126"/>
      <c r="CE67" s="1712"/>
      <c r="CF67" s="1263"/>
      <c r="CG67" s="1424"/>
    </row>
    <row r="68" spans="1:85" s="782" customFormat="1" ht="78.75" customHeight="1" x14ac:dyDescent="0.25">
      <c r="A68" s="783"/>
      <c r="B68" s="1459"/>
      <c r="C68" s="1398"/>
      <c r="D68" s="1475"/>
      <c r="E68" s="1477"/>
      <c r="F68" s="1537"/>
      <c r="G68" s="1215"/>
      <c r="H68" s="1097"/>
      <c r="I68" s="1097"/>
      <c r="J68" s="1240"/>
      <c r="K68" s="1549"/>
      <c r="L68" s="1494"/>
      <c r="M68" s="1282"/>
      <c r="N68" s="1719"/>
      <c r="O68" s="1479"/>
      <c r="P68" s="1479"/>
      <c r="Q68" s="1532"/>
      <c r="R68" s="1729"/>
      <c r="S68" s="1180"/>
      <c r="T68" s="1183"/>
      <c r="U68" s="1183"/>
      <c r="V68" s="1441"/>
      <c r="W68" s="1189"/>
      <c r="X68" s="996"/>
      <c r="Y68" s="1295"/>
      <c r="Z68" s="1415"/>
      <c r="AA68" s="1415"/>
      <c r="AB68" s="1415"/>
      <c r="AC68" s="1415"/>
      <c r="AD68" s="1304"/>
      <c r="AE68" s="1738"/>
      <c r="AF68" s="1672"/>
      <c r="AG68" s="1183"/>
      <c r="AH68" s="1183"/>
      <c r="AI68" s="1441"/>
      <c r="AJ68" s="1189"/>
      <c r="AK68" s="996"/>
      <c r="AL68" s="1295"/>
      <c r="AM68" s="1415"/>
      <c r="AN68" s="1415"/>
      <c r="AO68" s="1415"/>
      <c r="AP68" s="1415"/>
      <c r="AQ68" s="1289"/>
      <c r="AR68" s="1738"/>
      <c r="AS68" s="1180"/>
      <c r="AT68" s="1183"/>
      <c r="AU68" s="1183"/>
      <c r="AV68" s="1441"/>
      <c r="AW68" s="1189"/>
      <c r="AX68" s="996"/>
      <c r="AY68" s="1295"/>
      <c r="AZ68" s="1415"/>
      <c r="BA68" s="1415"/>
      <c r="BB68" s="1415"/>
      <c r="BC68" s="1415"/>
      <c r="BD68" s="1289"/>
      <c r="BE68" s="1738"/>
      <c r="BF68" s="1452"/>
      <c r="BG68" s="1421"/>
      <c r="BH68" s="1421"/>
      <c r="BI68" s="1714"/>
      <c r="BJ68" s="1189"/>
      <c r="BK68" s="996"/>
      <c r="BL68" s="1339"/>
      <c r="BM68" s="1706"/>
      <c r="BN68" s="1706"/>
      <c r="BO68" s="1706"/>
      <c r="BP68" s="1706"/>
      <c r="BQ68" s="1289"/>
      <c r="BR68" s="1738"/>
      <c r="BS68" s="1687"/>
      <c r="BT68" s="1023"/>
      <c r="BU68" s="1289"/>
      <c r="BV68" s="1289"/>
      <c r="BW68" s="1741"/>
      <c r="BX68" s="1126"/>
      <c r="BY68" s="1703"/>
      <c r="BZ68" s="1126"/>
      <c r="CA68" s="1703"/>
      <c r="CB68" s="1126"/>
      <c r="CC68" s="1703"/>
      <c r="CD68" s="1126"/>
      <c r="CE68" s="1712"/>
      <c r="CF68" s="1263"/>
      <c r="CG68" s="1424"/>
    </row>
    <row r="69" spans="1:85" s="782" customFormat="1" ht="78.75" customHeight="1" x14ac:dyDescent="0.25">
      <c r="A69" s="783"/>
      <c r="B69" s="1459"/>
      <c r="C69" s="1398"/>
      <c r="D69" s="1475"/>
      <c r="E69" s="1477"/>
      <c r="F69" s="1537"/>
      <c r="G69" s="1215"/>
      <c r="H69" s="1097"/>
      <c r="I69" s="1097"/>
      <c r="J69" s="1240"/>
      <c r="K69" s="1549"/>
      <c r="L69" s="1494"/>
      <c r="M69" s="1282"/>
      <c r="N69" s="1719"/>
      <c r="O69" s="1479"/>
      <c r="P69" s="1479"/>
      <c r="Q69" s="1532"/>
      <c r="R69" s="1729"/>
      <c r="S69" s="1180"/>
      <c r="T69" s="1183"/>
      <c r="U69" s="1183"/>
      <c r="V69" s="1441"/>
      <c r="W69" s="1189"/>
      <c r="X69" s="996"/>
      <c r="Y69" s="1295"/>
      <c r="Z69" s="1415"/>
      <c r="AA69" s="1415"/>
      <c r="AB69" s="1415"/>
      <c r="AC69" s="1415"/>
      <c r="AD69" s="1304"/>
      <c r="AE69" s="1738"/>
      <c r="AF69" s="1672"/>
      <c r="AG69" s="1183"/>
      <c r="AH69" s="1183"/>
      <c r="AI69" s="1441"/>
      <c r="AJ69" s="1189"/>
      <c r="AK69" s="996"/>
      <c r="AL69" s="1295"/>
      <c r="AM69" s="1415"/>
      <c r="AN69" s="1415"/>
      <c r="AO69" s="1415"/>
      <c r="AP69" s="1415"/>
      <c r="AQ69" s="1289"/>
      <c r="AR69" s="1738"/>
      <c r="AS69" s="1180"/>
      <c r="AT69" s="1183"/>
      <c r="AU69" s="1183"/>
      <c r="AV69" s="1441"/>
      <c r="AW69" s="1189"/>
      <c r="AX69" s="996"/>
      <c r="AY69" s="1295"/>
      <c r="AZ69" s="1415"/>
      <c r="BA69" s="1415"/>
      <c r="BB69" s="1415"/>
      <c r="BC69" s="1415"/>
      <c r="BD69" s="1289"/>
      <c r="BE69" s="1738"/>
      <c r="BF69" s="1452"/>
      <c r="BG69" s="1421"/>
      <c r="BH69" s="1421"/>
      <c r="BI69" s="1714"/>
      <c r="BJ69" s="1189"/>
      <c r="BK69" s="996"/>
      <c r="BL69" s="1339"/>
      <c r="BM69" s="1706"/>
      <c r="BN69" s="1706"/>
      <c r="BO69" s="1706"/>
      <c r="BP69" s="1706"/>
      <c r="BQ69" s="1289"/>
      <c r="BR69" s="1738"/>
      <c r="BS69" s="1687"/>
      <c r="BT69" s="1023"/>
      <c r="BU69" s="1289"/>
      <c r="BV69" s="1289"/>
      <c r="BW69" s="1741"/>
      <c r="BX69" s="1126"/>
      <c r="BY69" s="1703"/>
      <c r="BZ69" s="1126"/>
      <c r="CA69" s="1703"/>
      <c r="CB69" s="1126"/>
      <c r="CC69" s="1703"/>
      <c r="CD69" s="1126"/>
      <c r="CE69" s="1712"/>
      <c r="CF69" s="1263"/>
      <c r="CG69" s="1424"/>
    </row>
    <row r="70" spans="1:85" s="782" customFormat="1" ht="135.75" customHeight="1" x14ac:dyDescent="0.25">
      <c r="A70" s="783"/>
      <c r="B70" s="1460"/>
      <c r="C70" s="1398"/>
      <c r="D70" s="1464"/>
      <c r="E70" s="1468"/>
      <c r="F70" s="1467"/>
      <c r="G70" s="1215"/>
      <c r="H70" s="1097"/>
      <c r="I70" s="1097"/>
      <c r="J70" s="1240"/>
      <c r="K70" s="1549"/>
      <c r="L70" s="1546"/>
      <c r="M70" s="1282"/>
      <c r="N70" s="1719"/>
      <c r="O70" s="1479"/>
      <c r="P70" s="1479"/>
      <c r="Q70" s="1532"/>
      <c r="R70" s="1729"/>
      <c r="S70" s="1181"/>
      <c r="T70" s="1184"/>
      <c r="U70" s="1184"/>
      <c r="V70" s="1442"/>
      <c r="W70" s="993"/>
      <c r="X70" s="996" t="s">
        <v>197</v>
      </c>
      <c r="Y70" s="1295" t="s">
        <v>563</v>
      </c>
      <c r="Z70" s="1415"/>
      <c r="AA70" s="1415"/>
      <c r="AB70" s="1415"/>
      <c r="AC70" s="1415"/>
      <c r="AD70" s="1304"/>
      <c r="AE70" s="1738"/>
      <c r="AF70" s="1541"/>
      <c r="AG70" s="1184"/>
      <c r="AH70" s="1184"/>
      <c r="AI70" s="1442"/>
      <c r="AJ70" s="993"/>
      <c r="AK70" s="996" t="s">
        <v>197</v>
      </c>
      <c r="AL70" s="1295" t="s">
        <v>564</v>
      </c>
      <c r="AM70" s="1415"/>
      <c r="AN70" s="1415"/>
      <c r="AO70" s="1415"/>
      <c r="AP70" s="1415"/>
      <c r="AQ70" s="1289"/>
      <c r="AR70" s="1738"/>
      <c r="AS70" s="1181"/>
      <c r="AT70" s="1184"/>
      <c r="AU70" s="1184"/>
      <c r="AV70" s="1442"/>
      <c r="AW70" s="993"/>
      <c r="AX70" s="996" t="s">
        <v>197</v>
      </c>
      <c r="AY70" s="1295" t="s">
        <v>565</v>
      </c>
      <c r="AZ70" s="1415"/>
      <c r="BA70" s="1415"/>
      <c r="BB70" s="1415"/>
      <c r="BC70" s="1415"/>
      <c r="BD70" s="1289"/>
      <c r="BE70" s="1738"/>
      <c r="BF70" s="1453"/>
      <c r="BG70" s="1422"/>
      <c r="BH70" s="1422"/>
      <c r="BI70" s="1715"/>
      <c r="BJ70" s="993"/>
      <c r="BK70" s="996" t="s">
        <v>197</v>
      </c>
      <c r="BL70" s="1339" t="s">
        <v>661</v>
      </c>
      <c r="BM70" s="1706"/>
      <c r="BN70" s="1706"/>
      <c r="BO70" s="1706"/>
      <c r="BP70" s="1706"/>
      <c r="BQ70" s="1289"/>
      <c r="BR70" s="1738"/>
      <c r="BS70" s="1687"/>
      <c r="BT70" s="1023"/>
      <c r="BU70" s="1289"/>
      <c r="BV70" s="1289"/>
      <c r="BW70" s="1741"/>
      <c r="BX70" s="1127"/>
      <c r="BY70" s="1703"/>
      <c r="BZ70" s="1127"/>
      <c r="CA70" s="1703"/>
      <c r="CB70" s="1127"/>
      <c r="CC70" s="1703"/>
      <c r="CD70" s="1127"/>
      <c r="CE70" s="1712"/>
      <c r="CF70" s="1263"/>
      <c r="CG70" s="1424"/>
    </row>
    <row r="71" spans="1:85" s="782" customFormat="1" ht="135.75" customHeight="1" x14ac:dyDescent="0.25">
      <c r="A71" s="783"/>
      <c r="B71" s="1460"/>
      <c r="C71" s="1398"/>
      <c r="D71" s="1464"/>
      <c r="E71" s="1468"/>
      <c r="F71" s="1467"/>
      <c r="G71" s="1215"/>
      <c r="H71" s="1097"/>
      <c r="I71" s="1097"/>
      <c r="J71" s="1240"/>
      <c r="K71" s="1549"/>
      <c r="L71" s="1546"/>
      <c r="M71" s="1282"/>
      <c r="N71" s="1719"/>
      <c r="O71" s="1479"/>
      <c r="P71" s="1479"/>
      <c r="Q71" s="1532"/>
      <c r="R71" s="1729"/>
      <c r="S71" s="1181"/>
      <c r="T71" s="1184"/>
      <c r="U71" s="1184"/>
      <c r="V71" s="1442"/>
      <c r="W71" s="993"/>
      <c r="X71" s="996"/>
      <c r="Y71" s="1295"/>
      <c r="Z71" s="1415"/>
      <c r="AA71" s="1415"/>
      <c r="AB71" s="1415"/>
      <c r="AC71" s="1415"/>
      <c r="AD71" s="1304"/>
      <c r="AE71" s="1738"/>
      <c r="AF71" s="1541"/>
      <c r="AG71" s="1184"/>
      <c r="AH71" s="1184"/>
      <c r="AI71" s="1442"/>
      <c r="AJ71" s="993"/>
      <c r="AK71" s="996"/>
      <c r="AL71" s="1295"/>
      <c r="AM71" s="1415"/>
      <c r="AN71" s="1415"/>
      <c r="AO71" s="1415"/>
      <c r="AP71" s="1415"/>
      <c r="AQ71" s="1289"/>
      <c r="AR71" s="1738"/>
      <c r="AS71" s="1181"/>
      <c r="AT71" s="1184"/>
      <c r="AU71" s="1184"/>
      <c r="AV71" s="1442"/>
      <c r="AW71" s="993"/>
      <c r="AX71" s="996"/>
      <c r="AY71" s="1295"/>
      <c r="AZ71" s="1415"/>
      <c r="BA71" s="1415"/>
      <c r="BB71" s="1415"/>
      <c r="BC71" s="1415"/>
      <c r="BD71" s="1289"/>
      <c r="BE71" s="1738"/>
      <c r="BF71" s="1453"/>
      <c r="BG71" s="1422"/>
      <c r="BH71" s="1422"/>
      <c r="BI71" s="1715"/>
      <c r="BJ71" s="993"/>
      <c r="BK71" s="996"/>
      <c r="BL71" s="1339"/>
      <c r="BM71" s="1706"/>
      <c r="BN71" s="1706"/>
      <c r="BO71" s="1706"/>
      <c r="BP71" s="1706"/>
      <c r="BQ71" s="1289"/>
      <c r="BR71" s="1738"/>
      <c r="BS71" s="1687"/>
      <c r="BT71" s="1023"/>
      <c r="BU71" s="1289"/>
      <c r="BV71" s="1289"/>
      <c r="BW71" s="1741"/>
      <c r="BX71" s="1127"/>
      <c r="BY71" s="1703"/>
      <c r="BZ71" s="1127"/>
      <c r="CA71" s="1703">
        <f>IFERROR(BT71/M71,0)</f>
        <v>0</v>
      </c>
      <c r="CB71" s="1127"/>
      <c r="CC71" s="1703">
        <f>IFERROR(#REF!/M71,0)</f>
        <v>0</v>
      </c>
      <c r="CD71" s="1127"/>
      <c r="CE71" s="1712"/>
      <c r="CF71" s="1263"/>
      <c r="CG71" s="1424"/>
    </row>
    <row r="72" spans="1:85" s="782" customFormat="1" ht="135.75" customHeight="1" x14ac:dyDescent="0.25">
      <c r="A72" s="783"/>
      <c r="B72" s="1460"/>
      <c r="C72" s="1398"/>
      <c r="D72" s="1464"/>
      <c r="E72" s="1468"/>
      <c r="F72" s="1467"/>
      <c r="G72" s="1215"/>
      <c r="H72" s="1097"/>
      <c r="I72" s="1097"/>
      <c r="J72" s="1240"/>
      <c r="K72" s="1549"/>
      <c r="L72" s="1546"/>
      <c r="M72" s="1282"/>
      <c r="N72" s="1719"/>
      <c r="O72" s="1479"/>
      <c r="P72" s="1479"/>
      <c r="Q72" s="1532"/>
      <c r="R72" s="1729"/>
      <c r="S72" s="1181"/>
      <c r="T72" s="1184"/>
      <c r="U72" s="1184"/>
      <c r="V72" s="1442"/>
      <c r="W72" s="993"/>
      <c r="X72" s="996"/>
      <c r="Y72" s="1295"/>
      <c r="Z72" s="1415"/>
      <c r="AA72" s="1415"/>
      <c r="AB72" s="1415"/>
      <c r="AC72" s="1415"/>
      <c r="AD72" s="1304"/>
      <c r="AE72" s="1738"/>
      <c r="AF72" s="1541"/>
      <c r="AG72" s="1184"/>
      <c r="AH72" s="1184"/>
      <c r="AI72" s="1442"/>
      <c r="AJ72" s="993"/>
      <c r="AK72" s="996"/>
      <c r="AL72" s="1295"/>
      <c r="AM72" s="1415"/>
      <c r="AN72" s="1415"/>
      <c r="AO72" s="1415"/>
      <c r="AP72" s="1415"/>
      <c r="AQ72" s="1289"/>
      <c r="AR72" s="1738"/>
      <c r="AS72" s="1181"/>
      <c r="AT72" s="1184"/>
      <c r="AU72" s="1184"/>
      <c r="AV72" s="1442"/>
      <c r="AW72" s="993"/>
      <c r="AX72" s="996"/>
      <c r="AY72" s="1295"/>
      <c r="AZ72" s="1415"/>
      <c r="BA72" s="1415"/>
      <c r="BB72" s="1415"/>
      <c r="BC72" s="1415"/>
      <c r="BD72" s="1289"/>
      <c r="BE72" s="1738"/>
      <c r="BF72" s="1453"/>
      <c r="BG72" s="1422"/>
      <c r="BH72" s="1422"/>
      <c r="BI72" s="1715"/>
      <c r="BJ72" s="993"/>
      <c r="BK72" s="996"/>
      <c r="BL72" s="1339"/>
      <c r="BM72" s="1706"/>
      <c r="BN72" s="1706"/>
      <c r="BO72" s="1706"/>
      <c r="BP72" s="1706"/>
      <c r="BQ72" s="1289"/>
      <c r="BR72" s="1738"/>
      <c r="BS72" s="1687"/>
      <c r="BT72" s="1023"/>
      <c r="BU72" s="1289"/>
      <c r="BV72" s="1289"/>
      <c r="BW72" s="1741"/>
      <c r="BX72" s="1127"/>
      <c r="BY72" s="1703"/>
      <c r="BZ72" s="1127"/>
      <c r="CA72" s="1703"/>
      <c r="CB72" s="1127"/>
      <c r="CC72" s="1703"/>
      <c r="CD72" s="1127"/>
      <c r="CE72" s="1712"/>
      <c r="CF72" s="1263"/>
      <c r="CG72" s="1424"/>
    </row>
    <row r="73" spans="1:85" s="782" customFormat="1" ht="135.75" customHeight="1" thickBot="1" x14ac:dyDescent="0.3">
      <c r="A73" s="783"/>
      <c r="B73" s="1460"/>
      <c r="C73" s="1470"/>
      <c r="D73" s="1464"/>
      <c r="E73" s="1468"/>
      <c r="F73" s="1467"/>
      <c r="G73" s="1215"/>
      <c r="H73" s="1097"/>
      <c r="I73" s="1097"/>
      <c r="J73" s="1240"/>
      <c r="K73" s="1549"/>
      <c r="L73" s="1546"/>
      <c r="M73" s="1282"/>
      <c r="N73" s="1719"/>
      <c r="O73" s="1479"/>
      <c r="P73" s="1479"/>
      <c r="Q73" s="1532"/>
      <c r="R73" s="1729"/>
      <c r="S73" s="1181"/>
      <c r="T73" s="1184"/>
      <c r="U73" s="1184"/>
      <c r="V73" s="1442"/>
      <c r="W73" s="993"/>
      <c r="X73" s="1068"/>
      <c r="Y73" s="1296"/>
      <c r="Z73" s="1415"/>
      <c r="AA73" s="1415"/>
      <c r="AB73" s="1415"/>
      <c r="AC73" s="1415"/>
      <c r="AD73" s="1304"/>
      <c r="AE73" s="1738"/>
      <c r="AF73" s="1541"/>
      <c r="AG73" s="1184"/>
      <c r="AH73" s="1184"/>
      <c r="AI73" s="1442"/>
      <c r="AJ73" s="993"/>
      <c r="AK73" s="1068"/>
      <c r="AL73" s="1296"/>
      <c r="AM73" s="1415"/>
      <c r="AN73" s="1415"/>
      <c r="AO73" s="1415"/>
      <c r="AP73" s="1415"/>
      <c r="AQ73" s="1289"/>
      <c r="AR73" s="1738"/>
      <c r="AS73" s="1181"/>
      <c r="AT73" s="1184"/>
      <c r="AU73" s="1184"/>
      <c r="AV73" s="1442"/>
      <c r="AW73" s="993"/>
      <c r="AX73" s="1068"/>
      <c r="AY73" s="1296"/>
      <c r="AZ73" s="1415"/>
      <c r="BA73" s="1415"/>
      <c r="BB73" s="1415"/>
      <c r="BC73" s="1415"/>
      <c r="BD73" s="1289"/>
      <c r="BE73" s="1738"/>
      <c r="BF73" s="1454"/>
      <c r="BG73" s="1451"/>
      <c r="BH73" s="1451"/>
      <c r="BI73" s="1716"/>
      <c r="BJ73" s="993"/>
      <c r="BK73" s="1068"/>
      <c r="BL73" s="1340"/>
      <c r="BM73" s="1706"/>
      <c r="BN73" s="1706"/>
      <c r="BO73" s="1706"/>
      <c r="BP73" s="1706"/>
      <c r="BQ73" s="1289"/>
      <c r="BR73" s="1738"/>
      <c r="BS73" s="1688"/>
      <c r="BT73" s="1024"/>
      <c r="BU73" s="1289"/>
      <c r="BV73" s="1289"/>
      <c r="BW73" s="1741"/>
      <c r="BX73" s="1127"/>
      <c r="BY73" s="1703"/>
      <c r="BZ73" s="1127"/>
      <c r="CA73" s="1703">
        <f>IFERROR(BT73/M73,0)</f>
        <v>0</v>
      </c>
      <c r="CB73" s="1127"/>
      <c r="CC73" s="1703">
        <f>IFERROR(#REF!/M73,0)</f>
        <v>0</v>
      </c>
      <c r="CD73" s="1127"/>
      <c r="CE73" s="1712"/>
      <c r="CF73" s="1264"/>
      <c r="CG73" s="1424"/>
    </row>
    <row r="74" spans="1:85" s="782" customFormat="1" ht="38.25" customHeight="1" x14ac:dyDescent="0.25">
      <c r="A74" s="783"/>
      <c r="B74" s="1460"/>
      <c r="C74" s="1397" t="s">
        <v>566</v>
      </c>
      <c r="D74" s="1496" t="s">
        <v>192</v>
      </c>
      <c r="E74" s="1468">
        <v>3</v>
      </c>
      <c r="F74" s="1467" t="s">
        <v>25</v>
      </c>
      <c r="G74" s="1215">
        <v>1</v>
      </c>
      <c r="H74" s="1097">
        <v>2</v>
      </c>
      <c r="I74" s="1097">
        <v>3</v>
      </c>
      <c r="J74" s="1240">
        <v>3</v>
      </c>
      <c r="K74" s="1549"/>
      <c r="L74" s="1546"/>
      <c r="M74" s="1282"/>
      <c r="N74" s="1719"/>
      <c r="O74" s="1479"/>
      <c r="P74" s="1479"/>
      <c r="Q74" s="1532"/>
      <c r="R74" s="1729"/>
      <c r="S74" s="1181"/>
      <c r="T74" s="1184"/>
      <c r="U74" s="1184"/>
      <c r="V74" s="1442">
        <v>1</v>
      </c>
      <c r="W74" s="993">
        <f>IFERROR(SUM(S74:V85),0)</f>
        <v>1</v>
      </c>
      <c r="X74" s="995" t="s">
        <v>195</v>
      </c>
      <c r="Y74" s="1698" t="s">
        <v>459</v>
      </c>
      <c r="Z74" s="1415"/>
      <c r="AA74" s="1415"/>
      <c r="AB74" s="1415"/>
      <c r="AC74" s="1415"/>
      <c r="AD74" s="1304"/>
      <c r="AE74" s="1738"/>
      <c r="AF74" s="1541"/>
      <c r="AG74" s="1184">
        <v>1</v>
      </c>
      <c r="AH74" s="1184"/>
      <c r="AI74" s="1442">
        <v>1</v>
      </c>
      <c r="AJ74" s="993">
        <f>IFERROR(SUM(AF74:AI85),0)</f>
        <v>2</v>
      </c>
      <c r="AK74" s="995" t="s">
        <v>195</v>
      </c>
      <c r="AL74" s="1313" t="s">
        <v>567</v>
      </c>
      <c r="AM74" s="1415"/>
      <c r="AN74" s="1415"/>
      <c r="AO74" s="1415"/>
      <c r="AP74" s="1415"/>
      <c r="AQ74" s="1289"/>
      <c r="AR74" s="1738"/>
      <c r="AS74" s="1181"/>
      <c r="AT74" s="1184"/>
      <c r="AU74" s="1184"/>
      <c r="AV74" s="1442">
        <v>3</v>
      </c>
      <c r="AW74" s="1188">
        <f>SUM(AS74:AV85)</f>
        <v>3</v>
      </c>
      <c r="AX74" s="995" t="s">
        <v>195</v>
      </c>
      <c r="AY74" s="1313" t="s">
        <v>568</v>
      </c>
      <c r="AZ74" s="1415"/>
      <c r="BA74" s="1415"/>
      <c r="BB74" s="1415"/>
      <c r="BC74" s="1415"/>
      <c r="BD74" s="1289"/>
      <c r="BE74" s="1738"/>
      <c r="BF74" s="1669"/>
      <c r="BG74" s="1420"/>
      <c r="BH74" s="1420"/>
      <c r="BI74" s="1717"/>
      <c r="BJ74" s="1188">
        <f>SUM(BF74:BI85)</f>
        <v>0</v>
      </c>
      <c r="BK74" s="995" t="s">
        <v>195</v>
      </c>
      <c r="BL74" s="1630" t="s">
        <v>664</v>
      </c>
      <c r="BM74" s="1706"/>
      <c r="BN74" s="1706"/>
      <c r="BO74" s="1706"/>
      <c r="BP74" s="1706"/>
      <c r="BQ74" s="1289"/>
      <c r="BR74" s="1738"/>
      <c r="BS74" s="1171" t="s">
        <v>485</v>
      </c>
      <c r="BT74" s="1022">
        <f>SUM(AW74,BJ74)</f>
        <v>3</v>
      </c>
      <c r="BU74" s="1289"/>
      <c r="BV74" s="1289"/>
      <c r="BW74" s="1741"/>
      <c r="BX74" s="1125">
        <f>IFERROR(W74/G74,0)</f>
        <v>1</v>
      </c>
      <c r="BY74" s="1703"/>
      <c r="BZ74" s="1125">
        <f>IFERROR(AJ74/H74,0)</f>
        <v>1</v>
      </c>
      <c r="CA74" s="1703"/>
      <c r="CB74" s="1125">
        <f>IFERROR(AW74/I74,0)</f>
        <v>1</v>
      </c>
      <c r="CC74" s="1703"/>
      <c r="CD74" s="1125">
        <f>IFERROR(BJ74/J74,0)</f>
        <v>0</v>
      </c>
      <c r="CE74" s="1712"/>
      <c r="CF74" s="1262">
        <f>IFERROR(BT74/E74,0)</f>
        <v>1</v>
      </c>
      <c r="CG74" s="1424"/>
    </row>
    <row r="75" spans="1:85" s="782" customFormat="1" ht="38.25" customHeight="1" x14ac:dyDescent="0.25">
      <c r="A75" s="783"/>
      <c r="B75" s="1460"/>
      <c r="C75" s="1397"/>
      <c r="D75" s="1496"/>
      <c r="E75" s="1468"/>
      <c r="F75" s="1467"/>
      <c r="G75" s="1215"/>
      <c r="H75" s="1097"/>
      <c r="I75" s="1097"/>
      <c r="J75" s="1240"/>
      <c r="K75" s="1549"/>
      <c r="L75" s="1546"/>
      <c r="M75" s="1282"/>
      <c r="N75" s="1719"/>
      <c r="O75" s="1479"/>
      <c r="P75" s="1479"/>
      <c r="Q75" s="1532"/>
      <c r="R75" s="1729"/>
      <c r="S75" s="1181"/>
      <c r="T75" s="1184"/>
      <c r="U75" s="1184"/>
      <c r="V75" s="1442"/>
      <c r="W75" s="993"/>
      <c r="X75" s="996"/>
      <c r="Y75" s="1295"/>
      <c r="Z75" s="1415"/>
      <c r="AA75" s="1415"/>
      <c r="AB75" s="1415"/>
      <c r="AC75" s="1415"/>
      <c r="AD75" s="1304"/>
      <c r="AE75" s="1738"/>
      <c r="AF75" s="1541"/>
      <c r="AG75" s="1184"/>
      <c r="AH75" s="1184"/>
      <c r="AI75" s="1442"/>
      <c r="AJ75" s="993"/>
      <c r="AK75" s="996"/>
      <c r="AL75" s="1295"/>
      <c r="AM75" s="1415"/>
      <c r="AN75" s="1415"/>
      <c r="AO75" s="1415"/>
      <c r="AP75" s="1415"/>
      <c r="AQ75" s="1289"/>
      <c r="AR75" s="1738"/>
      <c r="AS75" s="1181"/>
      <c r="AT75" s="1184"/>
      <c r="AU75" s="1184"/>
      <c r="AV75" s="1442"/>
      <c r="AW75" s="1189"/>
      <c r="AX75" s="996"/>
      <c r="AY75" s="1295"/>
      <c r="AZ75" s="1415"/>
      <c r="BA75" s="1415"/>
      <c r="BB75" s="1415"/>
      <c r="BC75" s="1415"/>
      <c r="BD75" s="1289"/>
      <c r="BE75" s="1738"/>
      <c r="BF75" s="1453"/>
      <c r="BG75" s="1422"/>
      <c r="BH75" s="1422"/>
      <c r="BI75" s="1715"/>
      <c r="BJ75" s="1189"/>
      <c r="BK75" s="996"/>
      <c r="BL75" s="1686"/>
      <c r="BM75" s="1706"/>
      <c r="BN75" s="1706"/>
      <c r="BO75" s="1706"/>
      <c r="BP75" s="1706"/>
      <c r="BQ75" s="1289"/>
      <c r="BR75" s="1738"/>
      <c r="BS75" s="1172"/>
      <c r="BT75" s="1023"/>
      <c r="BU75" s="1289"/>
      <c r="BV75" s="1289"/>
      <c r="BW75" s="1741"/>
      <c r="BX75" s="1126"/>
      <c r="BY75" s="1703"/>
      <c r="BZ75" s="1126"/>
      <c r="CA75" s="1703"/>
      <c r="CB75" s="1126"/>
      <c r="CC75" s="1703"/>
      <c r="CD75" s="1126"/>
      <c r="CE75" s="1712"/>
      <c r="CF75" s="1263"/>
      <c r="CG75" s="1424"/>
    </row>
    <row r="76" spans="1:85" s="782" customFormat="1" ht="38.25" customHeight="1" x14ac:dyDescent="0.25">
      <c r="A76" s="783"/>
      <c r="B76" s="1460"/>
      <c r="C76" s="1397"/>
      <c r="D76" s="1496"/>
      <c r="E76" s="1468"/>
      <c r="F76" s="1467"/>
      <c r="G76" s="1215"/>
      <c r="H76" s="1097"/>
      <c r="I76" s="1097"/>
      <c r="J76" s="1240"/>
      <c r="K76" s="1549"/>
      <c r="L76" s="1546"/>
      <c r="M76" s="1282"/>
      <c r="N76" s="1719"/>
      <c r="O76" s="1479"/>
      <c r="P76" s="1479"/>
      <c r="Q76" s="1532"/>
      <c r="R76" s="1729"/>
      <c r="S76" s="1181"/>
      <c r="T76" s="1184"/>
      <c r="U76" s="1184"/>
      <c r="V76" s="1442"/>
      <c r="W76" s="993"/>
      <c r="X76" s="996"/>
      <c r="Y76" s="1295"/>
      <c r="Z76" s="1415"/>
      <c r="AA76" s="1415"/>
      <c r="AB76" s="1415"/>
      <c r="AC76" s="1415"/>
      <c r="AD76" s="1304"/>
      <c r="AE76" s="1738"/>
      <c r="AF76" s="1541"/>
      <c r="AG76" s="1184"/>
      <c r="AH76" s="1184"/>
      <c r="AI76" s="1442"/>
      <c r="AJ76" s="993"/>
      <c r="AK76" s="996"/>
      <c r="AL76" s="1295"/>
      <c r="AM76" s="1415"/>
      <c r="AN76" s="1415"/>
      <c r="AO76" s="1415"/>
      <c r="AP76" s="1415"/>
      <c r="AQ76" s="1289"/>
      <c r="AR76" s="1738"/>
      <c r="AS76" s="1181"/>
      <c r="AT76" s="1184"/>
      <c r="AU76" s="1184"/>
      <c r="AV76" s="1442"/>
      <c r="AW76" s="1189"/>
      <c r="AX76" s="996"/>
      <c r="AY76" s="1295"/>
      <c r="AZ76" s="1415"/>
      <c r="BA76" s="1415"/>
      <c r="BB76" s="1415"/>
      <c r="BC76" s="1415"/>
      <c r="BD76" s="1289"/>
      <c r="BE76" s="1738"/>
      <c r="BF76" s="1453"/>
      <c r="BG76" s="1422"/>
      <c r="BH76" s="1422"/>
      <c r="BI76" s="1715"/>
      <c r="BJ76" s="1189"/>
      <c r="BK76" s="996"/>
      <c r="BL76" s="1686"/>
      <c r="BM76" s="1706"/>
      <c r="BN76" s="1706"/>
      <c r="BO76" s="1706"/>
      <c r="BP76" s="1706"/>
      <c r="BQ76" s="1289"/>
      <c r="BR76" s="1738"/>
      <c r="BS76" s="1172"/>
      <c r="BT76" s="1023"/>
      <c r="BU76" s="1289"/>
      <c r="BV76" s="1289"/>
      <c r="BW76" s="1741"/>
      <c r="BX76" s="1126"/>
      <c r="BY76" s="1703"/>
      <c r="BZ76" s="1126"/>
      <c r="CA76" s="1703"/>
      <c r="CB76" s="1126"/>
      <c r="CC76" s="1703"/>
      <c r="CD76" s="1126"/>
      <c r="CE76" s="1712"/>
      <c r="CF76" s="1263"/>
      <c r="CG76" s="1424"/>
    </row>
    <row r="77" spans="1:85" s="782" customFormat="1" ht="99" customHeight="1" x14ac:dyDescent="0.25">
      <c r="A77" s="783"/>
      <c r="B77" s="1460"/>
      <c r="C77" s="1397"/>
      <c r="D77" s="1496"/>
      <c r="E77" s="1468"/>
      <c r="F77" s="1467"/>
      <c r="G77" s="1215"/>
      <c r="H77" s="1097"/>
      <c r="I77" s="1097"/>
      <c r="J77" s="1240"/>
      <c r="K77" s="1549"/>
      <c r="L77" s="1546"/>
      <c r="M77" s="1282"/>
      <c r="N77" s="1719"/>
      <c r="O77" s="1479"/>
      <c r="P77" s="1479"/>
      <c r="Q77" s="1532"/>
      <c r="R77" s="1729"/>
      <c r="S77" s="1181"/>
      <c r="T77" s="1184"/>
      <c r="U77" s="1184"/>
      <c r="V77" s="1442"/>
      <c r="W77" s="993"/>
      <c r="X77" s="996"/>
      <c r="Y77" s="1295"/>
      <c r="Z77" s="1415"/>
      <c r="AA77" s="1415"/>
      <c r="AB77" s="1415"/>
      <c r="AC77" s="1415"/>
      <c r="AD77" s="1304"/>
      <c r="AE77" s="1738"/>
      <c r="AF77" s="1541"/>
      <c r="AG77" s="1184"/>
      <c r="AH77" s="1184"/>
      <c r="AI77" s="1442"/>
      <c r="AJ77" s="993"/>
      <c r="AK77" s="996"/>
      <c r="AL77" s="1295"/>
      <c r="AM77" s="1415"/>
      <c r="AN77" s="1415"/>
      <c r="AO77" s="1415"/>
      <c r="AP77" s="1415"/>
      <c r="AQ77" s="1289"/>
      <c r="AR77" s="1738"/>
      <c r="AS77" s="1181"/>
      <c r="AT77" s="1184"/>
      <c r="AU77" s="1184"/>
      <c r="AV77" s="1442"/>
      <c r="AW77" s="1189"/>
      <c r="AX77" s="996"/>
      <c r="AY77" s="1295"/>
      <c r="AZ77" s="1415"/>
      <c r="BA77" s="1415"/>
      <c r="BB77" s="1415"/>
      <c r="BC77" s="1415"/>
      <c r="BD77" s="1289"/>
      <c r="BE77" s="1738"/>
      <c r="BF77" s="1453"/>
      <c r="BG77" s="1422"/>
      <c r="BH77" s="1422"/>
      <c r="BI77" s="1715"/>
      <c r="BJ77" s="1189"/>
      <c r="BK77" s="996"/>
      <c r="BL77" s="1686"/>
      <c r="BM77" s="1706"/>
      <c r="BN77" s="1706"/>
      <c r="BO77" s="1706"/>
      <c r="BP77" s="1706"/>
      <c r="BQ77" s="1289"/>
      <c r="BR77" s="1738"/>
      <c r="BS77" s="1172"/>
      <c r="BT77" s="1023"/>
      <c r="BU77" s="1289"/>
      <c r="BV77" s="1289"/>
      <c r="BW77" s="1741"/>
      <c r="BX77" s="1126"/>
      <c r="BY77" s="1703"/>
      <c r="BZ77" s="1126"/>
      <c r="CA77" s="1703"/>
      <c r="CB77" s="1126"/>
      <c r="CC77" s="1703"/>
      <c r="CD77" s="1126"/>
      <c r="CE77" s="1712"/>
      <c r="CF77" s="1263"/>
      <c r="CG77" s="1424"/>
    </row>
    <row r="78" spans="1:85" s="782" customFormat="1" ht="46.5" customHeight="1" x14ac:dyDescent="0.25">
      <c r="A78" s="783"/>
      <c r="B78" s="1460"/>
      <c r="C78" s="1397"/>
      <c r="D78" s="1496"/>
      <c r="E78" s="1468"/>
      <c r="F78" s="1467"/>
      <c r="G78" s="1215"/>
      <c r="H78" s="1097"/>
      <c r="I78" s="1097"/>
      <c r="J78" s="1240"/>
      <c r="K78" s="1549"/>
      <c r="L78" s="1546"/>
      <c r="M78" s="1282"/>
      <c r="N78" s="1719"/>
      <c r="O78" s="1479"/>
      <c r="P78" s="1479"/>
      <c r="Q78" s="1532"/>
      <c r="R78" s="1729"/>
      <c r="S78" s="1181"/>
      <c r="T78" s="1184"/>
      <c r="U78" s="1184"/>
      <c r="V78" s="1442"/>
      <c r="W78" s="993"/>
      <c r="X78" s="996" t="s">
        <v>196</v>
      </c>
      <c r="Y78" s="1295" t="s">
        <v>569</v>
      </c>
      <c r="Z78" s="1415"/>
      <c r="AA78" s="1415"/>
      <c r="AB78" s="1415"/>
      <c r="AC78" s="1415"/>
      <c r="AD78" s="1304"/>
      <c r="AE78" s="1738"/>
      <c r="AF78" s="1541"/>
      <c r="AG78" s="1184"/>
      <c r="AH78" s="1184"/>
      <c r="AI78" s="1442"/>
      <c r="AJ78" s="993"/>
      <c r="AK78" s="996" t="s">
        <v>196</v>
      </c>
      <c r="AL78" s="1295" t="s">
        <v>570</v>
      </c>
      <c r="AM78" s="1415"/>
      <c r="AN78" s="1415"/>
      <c r="AO78" s="1415"/>
      <c r="AP78" s="1415"/>
      <c r="AQ78" s="1289"/>
      <c r="AR78" s="1738"/>
      <c r="AS78" s="1181"/>
      <c r="AT78" s="1184"/>
      <c r="AU78" s="1184"/>
      <c r="AV78" s="1442"/>
      <c r="AW78" s="1189"/>
      <c r="AX78" s="996" t="s">
        <v>196</v>
      </c>
      <c r="AY78" s="1295" t="s">
        <v>571</v>
      </c>
      <c r="AZ78" s="1415"/>
      <c r="BA78" s="1415"/>
      <c r="BB78" s="1415"/>
      <c r="BC78" s="1415"/>
      <c r="BD78" s="1289"/>
      <c r="BE78" s="1738"/>
      <c r="BF78" s="1453"/>
      <c r="BG78" s="1422"/>
      <c r="BH78" s="1422"/>
      <c r="BI78" s="1715"/>
      <c r="BJ78" s="1189"/>
      <c r="BK78" s="996" t="s">
        <v>196</v>
      </c>
      <c r="BL78" s="1339" t="s">
        <v>665</v>
      </c>
      <c r="BM78" s="1706"/>
      <c r="BN78" s="1706"/>
      <c r="BO78" s="1706"/>
      <c r="BP78" s="1706"/>
      <c r="BQ78" s="1289"/>
      <c r="BR78" s="1738"/>
      <c r="BS78" s="1172"/>
      <c r="BT78" s="1023"/>
      <c r="BU78" s="1289"/>
      <c r="BV78" s="1289"/>
      <c r="BW78" s="1741"/>
      <c r="BX78" s="1126"/>
      <c r="BY78" s="1703"/>
      <c r="BZ78" s="1126"/>
      <c r="CA78" s="1703"/>
      <c r="CB78" s="1126"/>
      <c r="CC78" s="1703"/>
      <c r="CD78" s="1126"/>
      <c r="CE78" s="1712"/>
      <c r="CF78" s="1263"/>
      <c r="CG78" s="1424"/>
    </row>
    <row r="79" spans="1:85" s="782" customFormat="1" ht="46.5" customHeight="1" x14ac:dyDescent="0.25">
      <c r="A79" s="783"/>
      <c r="B79" s="1460"/>
      <c r="C79" s="1397"/>
      <c r="D79" s="1496"/>
      <c r="E79" s="1468"/>
      <c r="F79" s="1467"/>
      <c r="G79" s="1215"/>
      <c r="H79" s="1097"/>
      <c r="I79" s="1097"/>
      <c r="J79" s="1240"/>
      <c r="K79" s="1549"/>
      <c r="L79" s="1546"/>
      <c r="M79" s="1282"/>
      <c r="N79" s="1719"/>
      <c r="O79" s="1479"/>
      <c r="P79" s="1479"/>
      <c r="Q79" s="1532"/>
      <c r="R79" s="1729"/>
      <c r="S79" s="1181"/>
      <c r="T79" s="1184"/>
      <c r="U79" s="1184"/>
      <c r="V79" s="1442"/>
      <c r="W79" s="993"/>
      <c r="X79" s="996"/>
      <c r="Y79" s="1295"/>
      <c r="Z79" s="1415"/>
      <c r="AA79" s="1415"/>
      <c r="AB79" s="1415"/>
      <c r="AC79" s="1415"/>
      <c r="AD79" s="1304"/>
      <c r="AE79" s="1738"/>
      <c r="AF79" s="1541"/>
      <c r="AG79" s="1184"/>
      <c r="AH79" s="1184"/>
      <c r="AI79" s="1442"/>
      <c r="AJ79" s="993"/>
      <c r="AK79" s="996"/>
      <c r="AL79" s="1295"/>
      <c r="AM79" s="1415"/>
      <c r="AN79" s="1415"/>
      <c r="AO79" s="1415"/>
      <c r="AP79" s="1415"/>
      <c r="AQ79" s="1289"/>
      <c r="AR79" s="1738"/>
      <c r="AS79" s="1181"/>
      <c r="AT79" s="1184"/>
      <c r="AU79" s="1184"/>
      <c r="AV79" s="1442"/>
      <c r="AW79" s="1189"/>
      <c r="AX79" s="996"/>
      <c r="AY79" s="1295"/>
      <c r="AZ79" s="1415"/>
      <c r="BA79" s="1415"/>
      <c r="BB79" s="1415"/>
      <c r="BC79" s="1415"/>
      <c r="BD79" s="1289"/>
      <c r="BE79" s="1738"/>
      <c r="BF79" s="1453"/>
      <c r="BG79" s="1422"/>
      <c r="BH79" s="1422"/>
      <c r="BI79" s="1715"/>
      <c r="BJ79" s="1189"/>
      <c r="BK79" s="996"/>
      <c r="BL79" s="1339"/>
      <c r="BM79" s="1706"/>
      <c r="BN79" s="1706"/>
      <c r="BO79" s="1706"/>
      <c r="BP79" s="1706"/>
      <c r="BQ79" s="1289"/>
      <c r="BR79" s="1738"/>
      <c r="BS79" s="1172"/>
      <c r="BT79" s="1023"/>
      <c r="BU79" s="1289"/>
      <c r="BV79" s="1289"/>
      <c r="BW79" s="1741"/>
      <c r="BX79" s="1126"/>
      <c r="BY79" s="1703"/>
      <c r="BZ79" s="1126"/>
      <c r="CA79" s="1703"/>
      <c r="CB79" s="1126"/>
      <c r="CC79" s="1703"/>
      <c r="CD79" s="1126"/>
      <c r="CE79" s="1712"/>
      <c r="CF79" s="1263"/>
      <c r="CG79" s="1424"/>
    </row>
    <row r="80" spans="1:85" s="782" customFormat="1" ht="46.5" customHeight="1" x14ac:dyDescent="0.25">
      <c r="A80" s="783"/>
      <c r="B80" s="1460"/>
      <c r="C80" s="1397"/>
      <c r="D80" s="1496"/>
      <c r="E80" s="1468"/>
      <c r="F80" s="1467"/>
      <c r="G80" s="1215"/>
      <c r="H80" s="1097"/>
      <c r="I80" s="1097"/>
      <c r="J80" s="1240"/>
      <c r="K80" s="1549"/>
      <c r="L80" s="1546"/>
      <c r="M80" s="1282"/>
      <c r="N80" s="1719"/>
      <c r="O80" s="1479"/>
      <c r="P80" s="1479"/>
      <c r="Q80" s="1532"/>
      <c r="R80" s="1729"/>
      <c r="S80" s="1181"/>
      <c r="T80" s="1184"/>
      <c r="U80" s="1184"/>
      <c r="V80" s="1442"/>
      <c r="W80" s="993"/>
      <c r="X80" s="996"/>
      <c r="Y80" s="1295"/>
      <c r="Z80" s="1415"/>
      <c r="AA80" s="1415"/>
      <c r="AB80" s="1415"/>
      <c r="AC80" s="1415"/>
      <c r="AD80" s="1304"/>
      <c r="AE80" s="1738"/>
      <c r="AF80" s="1541"/>
      <c r="AG80" s="1184"/>
      <c r="AH80" s="1184"/>
      <c r="AI80" s="1442"/>
      <c r="AJ80" s="993"/>
      <c r="AK80" s="996"/>
      <c r="AL80" s="1295"/>
      <c r="AM80" s="1415"/>
      <c r="AN80" s="1415"/>
      <c r="AO80" s="1415"/>
      <c r="AP80" s="1415"/>
      <c r="AQ80" s="1289"/>
      <c r="AR80" s="1738"/>
      <c r="AS80" s="1181"/>
      <c r="AT80" s="1184"/>
      <c r="AU80" s="1184"/>
      <c r="AV80" s="1442"/>
      <c r="AW80" s="1189"/>
      <c r="AX80" s="996"/>
      <c r="AY80" s="1295"/>
      <c r="AZ80" s="1415"/>
      <c r="BA80" s="1415"/>
      <c r="BB80" s="1415"/>
      <c r="BC80" s="1415"/>
      <c r="BD80" s="1289"/>
      <c r="BE80" s="1738"/>
      <c r="BF80" s="1453"/>
      <c r="BG80" s="1422"/>
      <c r="BH80" s="1422"/>
      <c r="BI80" s="1715"/>
      <c r="BJ80" s="1189"/>
      <c r="BK80" s="996"/>
      <c r="BL80" s="1339"/>
      <c r="BM80" s="1706"/>
      <c r="BN80" s="1706"/>
      <c r="BO80" s="1706"/>
      <c r="BP80" s="1706"/>
      <c r="BQ80" s="1289"/>
      <c r="BR80" s="1738"/>
      <c r="BS80" s="1172"/>
      <c r="BT80" s="1023"/>
      <c r="BU80" s="1289"/>
      <c r="BV80" s="1289"/>
      <c r="BW80" s="1741"/>
      <c r="BX80" s="1126"/>
      <c r="BY80" s="1703"/>
      <c r="BZ80" s="1126"/>
      <c r="CA80" s="1703"/>
      <c r="CB80" s="1126"/>
      <c r="CC80" s="1703"/>
      <c r="CD80" s="1126"/>
      <c r="CE80" s="1712"/>
      <c r="CF80" s="1263"/>
      <c r="CG80" s="1424"/>
    </row>
    <row r="81" spans="1:85" s="782" customFormat="1" ht="46.5" customHeight="1" x14ac:dyDescent="0.25">
      <c r="A81" s="783"/>
      <c r="B81" s="1460"/>
      <c r="C81" s="1397"/>
      <c r="D81" s="1496"/>
      <c r="E81" s="1468"/>
      <c r="F81" s="1467"/>
      <c r="G81" s="1215"/>
      <c r="H81" s="1097"/>
      <c r="I81" s="1097"/>
      <c r="J81" s="1240"/>
      <c r="K81" s="1549"/>
      <c r="L81" s="1546"/>
      <c r="M81" s="1282"/>
      <c r="N81" s="1719"/>
      <c r="O81" s="1479"/>
      <c r="P81" s="1479"/>
      <c r="Q81" s="1532"/>
      <c r="R81" s="1729"/>
      <c r="S81" s="1181"/>
      <c r="T81" s="1184"/>
      <c r="U81" s="1184"/>
      <c r="V81" s="1442"/>
      <c r="W81" s="993"/>
      <c r="X81" s="996"/>
      <c r="Y81" s="1295"/>
      <c r="Z81" s="1415"/>
      <c r="AA81" s="1415"/>
      <c r="AB81" s="1415"/>
      <c r="AC81" s="1415"/>
      <c r="AD81" s="1304"/>
      <c r="AE81" s="1738"/>
      <c r="AF81" s="1541"/>
      <c r="AG81" s="1184"/>
      <c r="AH81" s="1184"/>
      <c r="AI81" s="1442"/>
      <c r="AJ81" s="993"/>
      <c r="AK81" s="996"/>
      <c r="AL81" s="1295"/>
      <c r="AM81" s="1415"/>
      <c r="AN81" s="1415"/>
      <c r="AO81" s="1415"/>
      <c r="AP81" s="1415"/>
      <c r="AQ81" s="1289"/>
      <c r="AR81" s="1738"/>
      <c r="AS81" s="1181"/>
      <c r="AT81" s="1184"/>
      <c r="AU81" s="1184"/>
      <c r="AV81" s="1442"/>
      <c r="AW81" s="1189"/>
      <c r="AX81" s="996"/>
      <c r="AY81" s="1295"/>
      <c r="AZ81" s="1415"/>
      <c r="BA81" s="1415"/>
      <c r="BB81" s="1415"/>
      <c r="BC81" s="1415"/>
      <c r="BD81" s="1289"/>
      <c r="BE81" s="1738"/>
      <c r="BF81" s="1453"/>
      <c r="BG81" s="1422"/>
      <c r="BH81" s="1422"/>
      <c r="BI81" s="1715"/>
      <c r="BJ81" s="1189"/>
      <c r="BK81" s="996"/>
      <c r="BL81" s="1339"/>
      <c r="BM81" s="1706"/>
      <c r="BN81" s="1706"/>
      <c r="BO81" s="1706"/>
      <c r="BP81" s="1706"/>
      <c r="BQ81" s="1289"/>
      <c r="BR81" s="1738"/>
      <c r="BS81" s="1172"/>
      <c r="BT81" s="1023"/>
      <c r="BU81" s="1289"/>
      <c r="BV81" s="1289"/>
      <c r="BW81" s="1741"/>
      <c r="BX81" s="1126"/>
      <c r="BY81" s="1703"/>
      <c r="BZ81" s="1126"/>
      <c r="CA81" s="1703"/>
      <c r="CB81" s="1126"/>
      <c r="CC81" s="1703"/>
      <c r="CD81" s="1126"/>
      <c r="CE81" s="1712"/>
      <c r="CF81" s="1263"/>
      <c r="CG81" s="1424"/>
    </row>
    <row r="82" spans="1:85" s="782" customFormat="1" ht="71.25" customHeight="1" x14ac:dyDescent="0.25">
      <c r="A82" s="783"/>
      <c r="B82" s="1460"/>
      <c r="C82" s="1462"/>
      <c r="D82" s="1496"/>
      <c r="E82" s="1468"/>
      <c r="F82" s="1467"/>
      <c r="G82" s="1215"/>
      <c r="H82" s="1097"/>
      <c r="I82" s="1097"/>
      <c r="J82" s="1240"/>
      <c r="K82" s="1549"/>
      <c r="L82" s="1546"/>
      <c r="M82" s="1282"/>
      <c r="N82" s="1719"/>
      <c r="O82" s="1479"/>
      <c r="P82" s="1479"/>
      <c r="Q82" s="1532"/>
      <c r="R82" s="1729"/>
      <c r="S82" s="1181"/>
      <c r="T82" s="1184"/>
      <c r="U82" s="1184"/>
      <c r="V82" s="1442"/>
      <c r="W82" s="993"/>
      <c r="X82" s="996" t="s">
        <v>197</v>
      </c>
      <c r="Y82" s="1295" t="s">
        <v>572</v>
      </c>
      <c r="Z82" s="1415"/>
      <c r="AA82" s="1415"/>
      <c r="AB82" s="1415"/>
      <c r="AC82" s="1415"/>
      <c r="AD82" s="1304"/>
      <c r="AE82" s="1738"/>
      <c r="AF82" s="1541"/>
      <c r="AG82" s="1184"/>
      <c r="AH82" s="1184"/>
      <c r="AI82" s="1442"/>
      <c r="AJ82" s="993"/>
      <c r="AK82" s="996" t="s">
        <v>197</v>
      </c>
      <c r="AL82" s="1295" t="s">
        <v>573</v>
      </c>
      <c r="AM82" s="1415"/>
      <c r="AN82" s="1415"/>
      <c r="AO82" s="1415"/>
      <c r="AP82" s="1415"/>
      <c r="AQ82" s="1289"/>
      <c r="AR82" s="1738"/>
      <c r="AS82" s="1181"/>
      <c r="AT82" s="1184"/>
      <c r="AU82" s="1184"/>
      <c r="AV82" s="1442"/>
      <c r="AW82" s="993"/>
      <c r="AX82" s="996" t="s">
        <v>197</v>
      </c>
      <c r="AY82" s="1295" t="s">
        <v>660</v>
      </c>
      <c r="AZ82" s="1415"/>
      <c r="BA82" s="1415"/>
      <c r="BB82" s="1415"/>
      <c r="BC82" s="1415"/>
      <c r="BD82" s="1289"/>
      <c r="BE82" s="1738"/>
      <c r="BF82" s="1453"/>
      <c r="BG82" s="1422"/>
      <c r="BH82" s="1422"/>
      <c r="BI82" s="1715"/>
      <c r="BJ82" s="993"/>
      <c r="BK82" s="996" t="s">
        <v>197</v>
      </c>
      <c r="BL82" s="1339" t="s">
        <v>668</v>
      </c>
      <c r="BM82" s="1706"/>
      <c r="BN82" s="1706"/>
      <c r="BO82" s="1706"/>
      <c r="BP82" s="1706"/>
      <c r="BQ82" s="1289"/>
      <c r="BR82" s="1738"/>
      <c r="BS82" s="1172"/>
      <c r="BT82" s="1023"/>
      <c r="BU82" s="1289"/>
      <c r="BV82" s="1289"/>
      <c r="BW82" s="1741"/>
      <c r="BX82" s="1127"/>
      <c r="BY82" s="1703"/>
      <c r="BZ82" s="1127"/>
      <c r="CA82" s="1703">
        <f>IFERROR(BT82/M82,0)</f>
        <v>0</v>
      </c>
      <c r="CB82" s="1127"/>
      <c r="CC82" s="1703">
        <f>IFERROR(#REF!/M82,0)</f>
        <v>0</v>
      </c>
      <c r="CD82" s="1127"/>
      <c r="CE82" s="1712"/>
      <c r="CF82" s="1263"/>
      <c r="CG82" s="1424"/>
    </row>
    <row r="83" spans="1:85" s="782" customFormat="1" ht="71.25" customHeight="1" x14ac:dyDescent="0.25">
      <c r="A83" s="783"/>
      <c r="B83" s="1460"/>
      <c r="C83" s="1462"/>
      <c r="D83" s="1496"/>
      <c r="E83" s="1468"/>
      <c r="F83" s="1467"/>
      <c r="G83" s="1215"/>
      <c r="H83" s="1097"/>
      <c r="I83" s="1097"/>
      <c r="J83" s="1240"/>
      <c r="K83" s="1549"/>
      <c r="L83" s="1546"/>
      <c r="M83" s="1282"/>
      <c r="N83" s="1719"/>
      <c r="O83" s="1479"/>
      <c r="P83" s="1479"/>
      <c r="Q83" s="1532"/>
      <c r="R83" s="1729"/>
      <c r="S83" s="1181"/>
      <c r="T83" s="1184"/>
      <c r="U83" s="1184"/>
      <c r="V83" s="1442"/>
      <c r="W83" s="993"/>
      <c r="X83" s="996"/>
      <c r="Y83" s="1295"/>
      <c r="Z83" s="1415"/>
      <c r="AA83" s="1415"/>
      <c r="AB83" s="1415"/>
      <c r="AC83" s="1415"/>
      <c r="AD83" s="1304"/>
      <c r="AE83" s="1738"/>
      <c r="AF83" s="1541"/>
      <c r="AG83" s="1184"/>
      <c r="AH83" s="1184"/>
      <c r="AI83" s="1442"/>
      <c r="AJ83" s="993"/>
      <c r="AK83" s="996"/>
      <c r="AL83" s="1295"/>
      <c r="AM83" s="1415"/>
      <c r="AN83" s="1415"/>
      <c r="AO83" s="1415"/>
      <c r="AP83" s="1415"/>
      <c r="AQ83" s="1289"/>
      <c r="AR83" s="1738"/>
      <c r="AS83" s="1181"/>
      <c r="AT83" s="1184"/>
      <c r="AU83" s="1184"/>
      <c r="AV83" s="1442"/>
      <c r="AW83" s="993"/>
      <c r="AX83" s="996"/>
      <c r="AY83" s="1295"/>
      <c r="AZ83" s="1415"/>
      <c r="BA83" s="1415"/>
      <c r="BB83" s="1415"/>
      <c r="BC83" s="1415"/>
      <c r="BD83" s="1289"/>
      <c r="BE83" s="1738"/>
      <c r="BF83" s="1453"/>
      <c r="BG83" s="1422"/>
      <c r="BH83" s="1422"/>
      <c r="BI83" s="1715"/>
      <c r="BJ83" s="993"/>
      <c r="BK83" s="996"/>
      <c r="BL83" s="1339"/>
      <c r="BM83" s="1706"/>
      <c r="BN83" s="1706"/>
      <c r="BO83" s="1706"/>
      <c r="BP83" s="1706"/>
      <c r="BQ83" s="1289"/>
      <c r="BR83" s="1738"/>
      <c r="BS83" s="1172"/>
      <c r="BT83" s="1023"/>
      <c r="BU83" s="1289"/>
      <c r="BV83" s="1289"/>
      <c r="BW83" s="1741"/>
      <c r="BX83" s="1127"/>
      <c r="BY83" s="1703"/>
      <c r="BZ83" s="1127"/>
      <c r="CA83" s="1703"/>
      <c r="CB83" s="1127"/>
      <c r="CC83" s="1703"/>
      <c r="CD83" s="1127"/>
      <c r="CE83" s="1712"/>
      <c r="CF83" s="1263"/>
      <c r="CG83" s="1424"/>
    </row>
    <row r="84" spans="1:85" s="782" customFormat="1" ht="71.25" customHeight="1" x14ac:dyDescent="0.25">
      <c r="A84" s="783"/>
      <c r="B84" s="1460"/>
      <c r="C84" s="1462"/>
      <c r="D84" s="1496"/>
      <c r="E84" s="1468"/>
      <c r="F84" s="1467"/>
      <c r="G84" s="1215"/>
      <c r="H84" s="1097"/>
      <c r="I84" s="1097"/>
      <c r="J84" s="1240"/>
      <c r="K84" s="1549"/>
      <c r="L84" s="1546"/>
      <c r="M84" s="1282"/>
      <c r="N84" s="1719"/>
      <c r="O84" s="1479"/>
      <c r="P84" s="1479"/>
      <c r="Q84" s="1532"/>
      <c r="R84" s="1729"/>
      <c r="S84" s="1181"/>
      <c r="T84" s="1184"/>
      <c r="U84" s="1184"/>
      <c r="V84" s="1442"/>
      <c r="W84" s="993"/>
      <c r="X84" s="996"/>
      <c r="Y84" s="1295"/>
      <c r="Z84" s="1415"/>
      <c r="AA84" s="1415"/>
      <c r="AB84" s="1415"/>
      <c r="AC84" s="1415"/>
      <c r="AD84" s="1304"/>
      <c r="AE84" s="1738"/>
      <c r="AF84" s="1541"/>
      <c r="AG84" s="1184"/>
      <c r="AH84" s="1184"/>
      <c r="AI84" s="1442"/>
      <c r="AJ84" s="993"/>
      <c r="AK84" s="996"/>
      <c r="AL84" s="1295"/>
      <c r="AM84" s="1415"/>
      <c r="AN84" s="1415"/>
      <c r="AO84" s="1415"/>
      <c r="AP84" s="1415"/>
      <c r="AQ84" s="1289"/>
      <c r="AR84" s="1738"/>
      <c r="AS84" s="1181"/>
      <c r="AT84" s="1184"/>
      <c r="AU84" s="1184"/>
      <c r="AV84" s="1442"/>
      <c r="AW84" s="993"/>
      <c r="AX84" s="996"/>
      <c r="AY84" s="1295"/>
      <c r="AZ84" s="1415"/>
      <c r="BA84" s="1415"/>
      <c r="BB84" s="1415"/>
      <c r="BC84" s="1415"/>
      <c r="BD84" s="1289"/>
      <c r="BE84" s="1738"/>
      <c r="BF84" s="1453"/>
      <c r="BG84" s="1422"/>
      <c r="BH84" s="1422"/>
      <c r="BI84" s="1715"/>
      <c r="BJ84" s="993"/>
      <c r="BK84" s="996"/>
      <c r="BL84" s="1339"/>
      <c r="BM84" s="1706"/>
      <c r="BN84" s="1706"/>
      <c r="BO84" s="1706"/>
      <c r="BP84" s="1706"/>
      <c r="BQ84" s="1289"/>
      <c r="BR84" s="1738"/>
      <c r="BS84" s="1172"/>
      <c r="BT84" s="1023"/>
      <c r="BU84" s="1289"/>
      <c r="BV84" s="1289"/>
      <c r="BW84" s="1741"/>
      <c r="BX84" s="1127"/>
      <c r="BY84" s="1703"/>
      <c r="BZ84" s="1127"/>
      <c r="CA84" s="1703">
        <f>IFERROR(BT84/M84,0)</f>
        <v>0</v>
      </c>
      <c r="CB84" s="1127"/>
      <c r="CC84" s="1703">
        <f>IFERROR(#REF!/M84,0)</f>
        <v>0</v>
      </c>
      <c r="CD84" s="1127"/>
      <c r="CE84" s="1712"/>
      <c r="CF84" s="1263"/>
      <c r="CG84" s="1424"/>
    </row>
    <row r="85" spans="1:85" s="782" customFormat="1" ht="93" customHeight="1" thickBot="1" x14ac:dyDescent="0.3">
      <c r="A85" s="783"/>
      <c r="B85" s="1460"/>
      <c r="C85" s="1462"/>
      <c r="D85" s="1496"/>
      <c r="E85" s="1468"/>
      <c r="F85" s="1467"/>
      <c r="G85" s="1215"/>
      <c r="H85" s="1097"/>
      <c r="I85" s="1097"/>
      <c r="J85" s="1240"/>
      <c r="K85" s="1549"/>
      <c r="L85" s="1547"/>
      <c r="M85" s="1696"/>
      <c r="N85" s="1720"/>
      <c r="O85" s="1480"/>
      <c r="P85" s="1480"/>
      <c r="Q85" s="1533"/>
      <c r="R85" s="1729"/>
      <c r="S85" s="1181"/>
      <c r="T85" s="1184"/>
      <c r="U85" s="1184"/>
      <c r="V85" s="1442"/>
      <c r="W85" s="993"/>
      <c r="X85" s="1068"/>
      <c r="Y85" s="1296"/>
      <c r="Z85" s="1416"/>
      <c r="AA85" s="1416"/>
      <c r="AB85" s="1416"/>
      <c r="AC85" s="1416"/>
      <c r="AD85" s="1305"/>
      <c r="AE85" s="1738"/>
      <c r="AF85" s="1541"/>
      <c r="AG85" s="1184"/>
      <c r="AH85" s="1184"/>
      <c r="AI85" s="1442"/>
      <c r="AJ85" s="993"/>
      <c r="AK85" s="1068"/>
      <c r="AL85" s="1296"/>
      <c r="AM85" s="1416"/>
      <c r="AN85" s="1416"/>
      <c r="AO85" s="1416"/>
      <c r="AP85" s="1416"/>
      <c r="AQ85" s="1290"/>
      <c r="AR85" s="1738"/>
      <c r="AS85" s="1181"/>
      <c r="AT85" s="1184"/>
      <c r="AU85" s="1184"/>
      <c r="AV85" s="1442"/>
      <c r="AW85" s="993"/>
      <c r="AX85" s="1068"/>
      <c r="AY85" s="1296"/>
      <c r="AZ85" s="1416"/>
      <c r="BA85" s="1416"/>
      <c r="BB85" s="1416"/>
      <c r="BC85" s="1416"/>
      <c r="BD85" s="1290"/>
      <c r="BE85" s="1738"/>
      <c r="BF85" s="1454"/>
      <c r="BG85" s="1451"/>
      <c r="BH85" s="1451"/>
      <c r="BI85" s="1716"/>
      <c r="BJ85" s="993"/>
      <c r="BK85" s="1068"/>
      <c r="BL85" s="1340"/>
      <c r="BM85" s="1707"/>
      <c r="BN85" s="1707"/>
      <c r="BO85" s="1707"/>
      <c r="BP85" s="1707"/>
      <c r="BQ85" s="1290"/>
      <c r="BR85" s="1738"/>
      <c r="BS85" s="1173"/>
      <c r="BT85" s="1024"/>
      <c r="BU85" s="1290"/>
      <c r="BV85" s="1289"/>
      <c r="BW85" s="1741"/>
      <c r="BX85" s="1127"/>
      <c r="BY85" s="1705"/>
      <c r="BZ85" s="1127"/>
      <c r="CA85" s="1705"/>
      <c r="CB85" s="1127"/>
      <c r="CC85" s="1705"/>
      <c r="CD85" s="1127"/>
      <c r="CE85" s="1713"/>
      <c r="CF85" s="1264"/>
      <c r="CG85" s="1424"/>
    </row>
    <row r="86" spans="1:85" s="782" customFormat="1" ht="40.5" customHeight="1" x14ac:dyDescent="0.25">
      <c r="A86" s="783"/>
      <c r="B86" s="1460"/>
      <c r="C86" s="1397" t="s">
        <v>630</v>
      </c>
      <c r="D86" s="1464" t="s">
        <v>574</v>
      </c>
      <c r="E86" s="1468">
        <v>50</v>
      </c>
      <c r="F86" s="1467" t="s">
        <v>26</v>
      </c>
      <c r="G86" s="1215"/>
      <c r="H86" s="1469">
        <v>50</v>
      </c>
      <c r="I86" s="1097">
        <v>50</v>
      </c>
      <c r="J86" s="1240">
        <v>50</v>
      </c>
      <c r="K86" s="1549"/>
      <c r="L86" s="1471" t="s">
        <v>575</v>
      </c>
      <c r="M86" s="1551">
        <v>163000</v>
      </c>
      <c r="N86" s="1675">
        <v>18903.330000000002</v>
      </c>
      <c r="O86" s="1539">
        <v>34832.910000000003</v>
      </c>
      <c r="P86" s="1539">
        <v>59773.760000000002</v>
      </c>
      <c r="Q86" s="1538">
        <f>26000+30000+10000+4500+4935</f>
        <v>75435</v>
      </c>
      <c r="R86" s="1729"/>
      <c r="S86" s="1181"/>
      <c r="T86" s="1184"/>
      <c r="U86" s="1184"/>
      <c r="V86" s="1466"/>
      <c r="W86" s="993">
        <f>SUM(S86:V97)</f>
        <v>0</v>
      </c>
      <c r="X86" s="995" t="s">
        <v>195</v>
      </c>
      <c r="Y86" s="1313" t="s">
        <v>460</v>
      </c>
      <c r="Z86" s="1291"/>
      <c r="AA86" s="1291"/>
      <c r="AB86" s="1291"/>
      <c r="AC86" s="1291">
        <v>18903.330000000002</v>
      </c>
      <c r="AD86" s="1028">
        <f>SUM(Z86:AC97)</f>
        <v>18903.330000000002</v>
      </c>
      <c r="AE86" s="1738"/>
      <c r="AF86" s="1541"/>
      <c r="AG86" s="1184"/>
      <c r="AH86" s="1184">
        <v>0</v>
      </c>
      <c r="AI86" s="1442"/>
      <c r="AJ86" s="993">
        <f>SUM(AF86:AI97)</f>
        <v>0</v>
      </c>
      <c r="AK86" s="995" t="s">
        <v>195</v>
      </c>
      <c r="AL86" s="1313" t="s">
        <v>460</v>
      </c>
      <c r="AM86" s="1291"/>
      <c r="AN86" s="1291"/>
      <c r="AO86" s="1291"/>
      <c r="AP86" s="1291">
        <v>34832.910000000003</v>
      </c>
      <c r="AQ86" s="1288">
        <f>SUM(AM86:AP97)</f>
        <v>34832.910000000003</v>
      </c>
      <c r="AR86" s="1738"/>
      <c r="AS86" s="1181"/>
      <c r="AT86" s="1184"/>
      <c r="AU86" s="1184"/>
      <c r="AV86" s="1442">
        <v>25</v>
      </c>
      <c r="AW86" s="1188">
        <f>SUM(AS86:AV97)</f>
        <v>25</v>
      </c>
      <c r="AX86" s="995" t="s">
        <v>195</v>
      </c>
      <c r="AY86" s="1558" t="s">
        <v>576</v>
      </c>
      <c r="AZ86" s="1291"/>
      <c r="BA86" s="1291"/>
      <c r="BB86" s="1291"/>
      <c r="BC86" s="1291">
        <v>59773.760000000002</v>
      </c>
      <c r="BD86" s="1288">
        <f>SUM(AZ86:BC97)</f>
        <v>59773.760000000002</v>
      </c>
      <c r="BE86" s="1738"/>
      <c r="BF86" s="1669"/>
      <c r="BG86" s="1420">
        <v>15</v>
      </c>
      <c r="BH86" s="1420"/>
      <c r="BI86" s="1717"/>
      <c r="BJ86" s="1188">
        <f>SUM(BF86:BI97)</f>
        <v>15</v>
      </c>
      <c r="BK86" s="995" t="s">
        <v>195</v>
      </c>
      <c r="BL86" s="1341" t="s">
        <v>669</v>
      </c>
      <c r="BM86" s="1708">
        <v>8000</v>
      </c>
      <c r="BN86" s="1708">
        <v>3000</v>
      </c>
      <c r="BO86" s="1708">
        <v>38000</v>
      </c>
      <c r="BP86" s="1708">
        <v>43490</v>
      </c>
      <c r="BQ86" s="1288">
        <f>SUM(BM86:BP97)</f>
        <v>92490</v>
      </c>
      <c r="BR86" s="1738"/>
      <c r="BS86" s="1721"/>
      <c r="BT86" s="1022">
        <f>SUM(W86,AJ86,AW86,BJ86)</f>
        <v>40</v>
      </c>
      <c r="BU86" s="1288">
        <f>SUM(AD86,AQ86,BD86,BQ86)</f>
        <v>206000</v>
      </c>
      <c r="BV86" s="1289"/>
      <c r="BW86" s="1741"/>
      <c r="BX86" s="1125">
        <f>IFERROR(W86/G86,0)</f>
        <v>0</v>
      </c>
      <c r="BY86" s="1702">
        <f>IFERROR(AD86/N86,0)</f>
        <v>1</v>
      </c>
      <c r="BZ86" s="1125">
        <f>IFERROR(AJ86/H86,0)</f>
        <v>0</v>
      </c>
      <c r="CA86" s="1702">
        <f>IFERROR(AQ86/O86,0)</f>
        <v>1</v>
      </c>
      <c r="CB86" s="1125">
        <f>IFERROR(AW86/I86,0)</f>
        <v>0.5</v>
      </c>
      <c r="CC86" s="1702">
        <f>IFERROR(BD86/P86,0)</f>
        <v>1</v>
      </c>
      <c r="CD86" s="1125">
        <f>IFERROR(BJ86/J86,0)</f>
        <v>0.3</v>
      </c>
      <c r="CE86" s="1711">
        <f>IFERROR(BQ86/Q86,0)</f>
        <v>1.2260886856233844</v>
      </c>
      <c r="CF86" s="1262">
        <f>IFERROR(BT86/E86,0)</f>
        <v>0.8</v>
      </c>
      <c r="CG86" s="1424"/>
    </row>
    <row r="87" spans="1:85" s="782" customFormat="1" ht="40.5" customHeight="1" x14ac:dyDescent="0.25">
      <c r="A87" s="783"/>
      <c r="B87" s="1460"/>
      <c r="C87" s="1397"/>
      <c r="D87" s="1464"/>
      <c r="E87" s="1468"/>
      <c r="F87" s="1467"/>
      <c r="G87" s="1215"/>
      <c r="H87" s="1469"/>
      <c r="I87" s="1097"/>
      <c r="J87" s="1240"/>
      <c r="K87" s="1549"/>
      <c r="L87" s="1472"/>
      <c r="M87" s="1282"/>
      <c r="N87" s="1675"/>
      <c r="O87" s="1539"/>
      <c r="P87" s="1539"/>
      <c r="Q87" s="1538"/>
      <c r="R87" s="1729"/>
      <c r="S87" s="1181"/>
      <c r="T87" s="1184"/>
      <c r="U87" s="1184"/>
      <c r="V87" s="1466"/>
      <c r="W87" s="993"/>
      <c r="X87" s="996"/>
      <c r="Y87" s="1295"/>
      <c r="Z87" s="1292"/>
      <c r="AA87" s="1292"/>
      <c r="AB87" s="1292"/>
      <c r="AC87" s="1292"/>
      <c r="AD87" s="1304"/>
      <c r="AE87" s="1738"/>
      <c r="AF87" s="1541"/>
      <c r="AG87" s="1184"/>
      <c r="AH87" s="1184"/>
      <c r="AI87" s="1442"/>
      <c r="AJ87" s="993"/>
      <c r="AK87" s="996"/>
      <c r="AL87" s="1295"/>
      <c r="AM87" s="1292"/>
      <c r="AN87" s="1292"/>
      <c r="AO87" s="1292"/>
      <c r="AP87" s="1292"/>
      <c r="AQ87" s="1289"/>
      <c r="AR87" s="1738"/>
      <c r="AS87" s="1181"/>
      <c r="AT87" s="1184"/>
      <c r="AU87" s="1184"/>
      <c r="AV87" s="1442"/>
      <c r="AW87" s="1189"/>
      <c r="AX87" s="996"/>
      <c r="AY87" s="1295"/>
      <c r="AZ87" s="1292"/>
      <c r="BA87" s="1292"/>
      <c r="BB87" s="1292"/>
      <c r="BC87" s="1292"/>
      <c r="BD87" s="1289"/>
      <c r="BE87" s="1738"/>
      <c r="BF87" s="1453"/>
      <c r="BG87" s="1422"/>
      <c r="BH87" s="1422"/>
      <c r="BI87" s="1715"/>
      <c r="BJ87" s="1189"/>
      <c r="BK87" s="996"/>
      <c r="BL87" s="1342"/>
      <c r="BM87" s="1709"/>
      <c r="BN87" s="1709"/>
      <c r="BO87" s="1709"/>
      <c r="BP87" s="1709"/>
      <c r="BQ87" s="1289"/>
      <c r="BR87" s="1738"/>
      <c r="BS87" s="1687"/>
      <c r="BT87" s="1023"/>
      <c r="BU87" s="1289"/>
      <c r="BV87" s="1289"/>
      <c r="BW87" s="1741"/>
      <c r="BX87" s="1126"/>
      <c r="BY87" s="1703"/>
      <c r="BZ87" s="1126"/>
      <c r="CA87" s="1703"/>
      <c r="CB87" s="1126"/>
      <c r="CC87" s="1703"/>
      <c r="CD87" s="1126"/>
      <c r="CE87" s="1712"/>
      <c r="CF87" s="1263"/>
      <c r="CG87" s="1424"/>
    </row>
    <row r="88" spans="1:85" s="782" customFormat="1" ht="51" customHeight="1" x14ac:dyDescent="0.25">
      <c r="A88" s="783"/>
      <c r="B88" s="1460"/>
      <c r="C88" s="1397"/>
      <c r="D88" s="1464"/>
      <c r="E88" s="1468"/>
      <c r="F88" s="1467"/>
      <c r="G88" s="1215"/>
      <c r="H88" s="1469"/>
      <c r="I88" s="1097"/>
      <c r="J88" s="1240"/>
      <c r="K88" s="1549"/>
      <c r="L88" s="1472"/>
      <c r="M88" s="1282"/>
      <c r="N88" s="1675"/>
      <c r="O88" s="1539"/>
      <c r="P88" s="1539"/>
      <c r="Q88" s="1538"/>
      <c r="R88" s="1729"/>
      <c r="S88" s="1181"/>
      <c r="T88" s="1184"/>
      <c r="U88" s="1184"/>
      <c r="V88" s="1466"/>
      <c r="W88" s="993"/>
      <c r="X88" s="996"/>
      <c r="Y88" s="1295"/>
      <c r="Z88" s="1292"/>
      <c r="AA88" s="1292"/>
      <c r="AB88" s="1292"/>
      <c r="AC88" s="1292"/>
      <c r="AD88" s="1304"/>
      <c r="AE88" s="1738"/>
      <c r="AF88" s="1541"/>
      <c r="AG88" s="1184"/>
      <c r="AH88" s="1184"/>
      <c r="AI88" s="1442"/>
      <c r="AJ88" s="993"/>
      <c r="AK88" s="996"/>
      <c r="AL88" s="1295"/>
      <c r="AM88" s="1292"/>
      <c r="AN88" s="1292"/>
      <c r="AO88" s="1292"/>
      <c r="AP88" s="1292"/>
      <c r="AQ88" s="1289"/>
      <c r="AR88" s="1738"/>
      <c r="AS88" s="1181"/>
      <c r="AT88" s="1184"/>
      <c r="AU88" s="1184"/>
      <c r="AV88" s="1442"/>
      <c r="AW88" s="1189"/>
      <c r="AX88" s="996"/>
      <c r="AY88" s="1295"/>
      <c r="AZ88" s="1292"/>
      <c r="BA88" s="1292"/>
      <c r="BB88" s="1292"/>
      <c r="BC88" s="1292"/>
      <c r="BD88" s="1289"/>
      <c r="BE88" s="1738"/>
      <c r="BF88" s="1453"/>
      <c r="BG88" s="1422"/>
      <c r="BH88" s="1422"/>
      <c r="BI88" s="1715"/>
      <c r="BJ88" s="1189"/>
      <c r="BK88" s="996"/>
      <c r="BL88" s="1342"/>
      <c r="BM88" s="1709"/>
      <c r="BN88" s="1709"/>
      <c r="BO88" s="1709"/>
      <c r="BP88" s="1709"/>
      <c r="BQ88" s="1289"/>
      <c r="BR88" s="1738"/>
      <c r="BS88" s="1687"/>
      <c r="BT88" s="1023"/>
      <c r="BU88" s="1289"/>
      <c r="BV88" s="1289"/>
      <c r="BW88" s="1741"/>
      <c r="BX88" s="1126"/>
      <c r="BY88" s="1703"/>
      <c r="BZ88" s="1126"/>
      <c r="CA88" s="1703"/>
      <c r="CB88" s="1126"/>
      <c r="CC88" s="1703"/>
      <c r="CD88" s="1126"/>
      <c r="CE88" s="1712"/>
      <c r="CF88" s="1263"/>
      <c r="CG88" s="1424"/>
    </row>
    <row r="89" spans="1:85" s="782" customFormat="1" ht="302.45" customHeight="1" x14ac:dyDescent="0.25">
      <c r="A89" s="783"/>
      <c r="B89" s="1460"/>
      <c r="C89" s="1397"/>
      <c r="D89" s="1464"/>
      <c r="E89" s="1468"/>
      <c r="F89" s="1467"/>
      <c r="G89" s="1215"/>
      <c r="H89" s="1469"/>
      <c r="I89" s="1097"/>
      <c r="J89" s="1240"/>
      <c r="K89" s="1549"/>
      <c r="L89" s="1472"/>
      <c r="M89" s="1282"/>
      <c r="N89" s="1675"/>
      <c r="O89" s="1539"/>
      <c r="P89" s="1539"/>
      <c r="Q89" s="1538"/>
      <c r="R89" s="1729"/>
      <c r="S89" s="1181"/>
      <c r="T89" s="1184"/>
      <c r="U89" s="1184"/>
      <c r="V89" s="1466"/>
      <c r="W89" s="993"/>
      <c r="X89" s="996"/>
      <c r="Y89" s="1295"/>
      <c r="Z89" s="1292"/>
      <c r="AA89" s="1292"/>
      <c r="AB89" s="1292"/>
      <c r="AC89" s="1292"/>
      <c r="AD89" s="1304"/>
      <c r="AE89" s="1738"/>
      <c r="AF89" s="1541"/>
      <c r="AG89" s="1184"/>
      <c r="AH89" s="1184"/>
      <c r="AI89" s="1442"/>
      <c r="AJ89" s="993"/>
      <c r="AK89" s="996"/>
      <c r="AL89" s="1295"/>
      <c r="AM89" s="1292"/>
      <c r="AN89" s="1292"/>
      <c r="AO89" s="1292"/>
      <c r="AP89" s="1292"/>
      <c r="AQ89" s="1289"/>
      <c r="AR89" s="1738"/>
      <c r="AS89" s="1181"/>
      <c r="AT89" s="1184"/>
      <c r="AU89" s="1184"/>
      <c r="AV89" s="1442"/>
      <c r="AW89" s="1189"/>
      <c r="AX89" s="996"/>
      <c r="AY89" s="1295"/>
      <c r="AZ89" s="1292"/>
      <c r="BA89" s="1292"/>
      <c r="BB89" s="1292"/>
      <c r="BC89" s="1292"/>
      <c r="BD89" s="1289"/>
      <c r="BE89" s="1738"/>
      <c r="BF89" s="1453"/>
      <c r="BG89" s="1422"/>
      <c r="BH89" s="1422"/>
      <c r="BI89" s="1715"/>
      <c r="BJ89" s="1189"/>
      <c r="BK89" s="996"/>
      <c r="BL89" s="1731"/>
      <c r="BM89" s="1709"/>
      <c r="BN89" s="1709"/>
      <c r="BO89" s="1709"/>
      <c r="BP89" s="1709"/>
      <c r="BQ89" s="1289"/>
      <c r="BR89" s="1738"/>
      <c r="BS89" s="1687"/>
      <c r="BT89" s="1023"/>
      <c r="BU89" s="1289"/>
      <c r="BV89" s="1289"/>
      <c r="BW89" s="1741"/>
      <c r="BX89" s="1126"/>
      <c r="BY89" s="1703"/>
      <c r="BZ89" s="1126"/>
      <c r="CA89" s="1703"/>
      <c r="CB89" s="1126"/>
      <c r="CC89" s="1703"/>
      <c r="CD89" s="1126"/>
      <c r="CE89" s="1712"/>
      <c r="CF89" s="1263"/>
      <c r="CG89" s="1424"/>
    </row>
    <row r="90" spans="1:85" s="782" customFormat="1" ht="21.75" customHeight="1" x14ac:dyDescent="0.25">
      <c r="A90" s="783"/>
      <c r="B90" s="1460"/>
      <c r="C90" s="1397"/>
      <c r="D90" s="1464"/>
      <c r="E90" s="1468"/>
      <c r="F90" s="1467"/>
      <c r="G90" s="1215"/>
      <c r="H90" s="1469"/>
      <c r="I90" s="1097"/>
      <c r="J90" s="1240"/>
      <c r="K90" s="1549"/>
      <c r="L90" s="1472"/>
      <c r="M90" s="1282"/>
      <c r="N90" s="1675"/>
      <c r="O90" s="1539"/>
      <c r="P90" s="1539"/>
      <c r="Q90" s="1538"/>
      <c r="R90" s="1729"/>
      <c r="S90" s="1181"/>
      <c r="T90" s="1184"/>
      <c r="U90" s="1184"/>
      <c r="V90" s="1466"/>
      <c r="W90" s="993"/>
      <c r="X90" s="996" t="s">
        <v>196</v>
      </c>
      <c r="Y90" s="1295"/>
      <c r="Z90" s="1292"/>
      <c r="AA90" s="1292"/>
      <c r="AB90" s="1292"/>
      <c r="AC90" s="1292"/>
      <c r="AD90" s="1304"/>
      <c r="AE90" s="1738"/>
      <c r="AF90" s="1541"/>
      <c r="AG90" s="1184"/>
      <c r="AH90" s="1184"/>
      <c r="AI90" s="1442"/>
      <c r="AJ90" s="993"/>
      <c r="AK90" s="996" t="s">
        <v>196</v>
      </c>
      <c r="AL90" s="1295"/>
      <c r="AM90" s="1292"/>
      <c r="AN90" s="1292"/>
      <c r="AO90" s="1292"/>
      <c r="AP90" s="1292"/>
      <c r="AQ90" s="1289"/>
      <c r="AR90" s="1738"/>
      <c r="AS90" s="1181"/>
      <c r="AT90" s="1184"/>
      <c r="AU90" s="1184"/>
      <c r="AV90" s="1442"/>
      <c r="AW90" s="1189"/>
      <c r="AX90" s="996" t="s">
        <v>196</v>
      </c>
      <c r="AY90" s="1295" t="s">
        <v>639</v>
      </c>
      <c r="AZ90" s="1292"/>
      <c r="BA90" s="1292"/>
      <c r="BB90" s="1292"/>
      <c r="BC90" s="1292"/>
      <c r="BD90" s="1289"/>
      <c r="BE90" s="1738"/>
      <c r="BF90" s="1453"/>
      <c r="BG90" s="1422"/>
      <c r="BH90" s="1422"/>
      <c r="BI90" s="1715"/>
      <c r="BJ90" s="1189"/>
      <c r="BK90" s="996" t="s">
        <v>196</v>
      </c>
      <c r="BL90" s="1339" t="s">
        <v>666</v>
      </c>
      <c r="BM90" s="1709"/>
      <c r="BN90" s="1709"/>
      <c r="BO90" s="1709"/>
      <c r="BP90" s="1709"/>
      <c r="BQ90" s="1289"/>
      <c r="BR90" s="1738"/>
      <c r="BS90" s="1687"/>
      <c r="BT90" s="1023"/>
      <c r="BU90" s="1289"/>
      <c r="BV90" s="1289"/>
      <c r="BW90" s="1741"/>
      <c r="BX90" s="1126"/>
      <c r="BY90" s="1703"/>
      <c r="BZ90" s="1126"/>
      <c r="CA90" s="1703"/>
      <c r="CB90" s="1126"/>
      <c r="CC90" s="1703"/>
      <c r="CD90" s="1126"/>
      <c r="CE90" s="1712"/>
      <c r="CF90" s="1263"/>
      <c r="CG90" s="1424"/>
    </row>
    <row r="91" spans="1:85" s="782" customFormat="1" ht="21.75" customHeight="1" x14ac:dyDescent="0.25">
      <c r="A91" s="783"/>
      <c r="B91" s="1460"/>
      <c r="C91" s="1397"/>
      <c r="D91" s="1464"/>
      <c r="E91" s="1468"/>
      <c r="F91" s="1467"/>
      <c r="G91" s="1215"/>
      <c r="H91" s="1469"/>
      <c r="I91" s="1097"/>
      <c r="J91" s="1240"/>
      <c r="K91" s="1549"/>
      <c r="L91" s="1472"/>
      <c r="M91" s="1282"/>
      <c r="N91" s="1675"/>
      <c r="O91" s="1539"/>
      <c r="P91" s="1539"/>
      <c r="Q91" s="1538"/>
      <c r="R91" s="1729"/>
      <c r="S91" s="1181"/>
      <c r="T91" s="1184"/>
      <c r="U91" s="1184"/>
      <c r="V91" s="1466"/>
      <c r="W91" s="993"/>
      <c r="X91" s="996"/>
      <c r="Y91" s="1295"/>
      <c r="Z91" s="1292"/>
      <c r="AA91" s="1292"/>
      <c r="AB91" s="1292"/>
      <c r="AC91" s="1292"/>
      <c r="AD91" s="1304"/>
      <c r="AE91" s="1738"/>
      <c r="AF91" s="1541"/>
      <c r="AG91" s="1184"/>
      <c r="AH91" s="1184"/>
      <c r="AI91" s="1442"/>
      <c r="AJ91" s="993"/>
      <c r="AK91" s="996"/>
      <c r="AL91" s="1295"/>
      <c r="AM91" s="1292"/>
      <c r="AN91" s="1292"/>
      <c r="AO91" s="1292"/>
      <c r="AP91" s="1292"/>
      <c r="AQ91" s="1289"/>
      <c r="AR91" s="1738"/>
      <c r="AS91" s="1181"/>
      <c r="AT91" s="1184"/>
      <c r="AU91" s="1184"/>
      <c r="AV91" s="1442"/>
      <c r="AW91" s="1189"/>
      <c r="AX91" s="996"/>
      <c r="AY91" s="1295"/>
      <c r="AZ91" s="1292"/>
      <c r="BA91" s="1292"/>
      <c r="BB91" s="1292"/>
      <c r="BC91" s="1292"/>
      <c r="BD91" s="1289"/>
      <c r="BE91" s="1738"/>
      <c r="BF91" s="1453"/>
      <c r="BG91" s="1422"/>
      <c r="BH91" s="1422"/>
      <c r="BI91" s="1715"/>
      <c r="BJ91" s="1189"/>
      <c r="BK91" s="996"/>
      <c r="BL91" s="1339"/>
      <c r="BM91" s="1709"/>
      <c r="BN91" s="1709"/>
      <c r="BO91" s="1709"/>
      <c r="BP91" s="1709"/>
      <c r="BQ91" s="1289"/>
      <c r="BR91" s="1738"/>
      <c r="BS91" s="1687"/>
      <c r="BT91" s="1023"/>
      <c r="BU91" s="1289"/>
      <c r="BV91" s="1289"/>
      <c r="BW91" s="1741"/>
      <c r="BX91" s="1126"/>
      <c r="BY91" s="1703"/>
      <c r="BZ91" s="1126"/>
      <c r="CA91" s="1703"/>
      <c r="CB91" s="1126"/>
      <c r="CC91" s="1703"/>
      <c r="CD91" s="1126"/>
      <c r="CE91" s="1712"/>
      <c r="CF91" s="1263"/>
      <c r="CG91" s="1424"/>
    </row>
    <row r="92" spans="1:85" s="782" customFormat="1" ht="21.75" customHeight="1" x14ac:dyDescent="0.25">
      <c r="A92" s="783"/>
      <c r="B92" s="1460"/>
      <c r="C92" s="1397"/>
      <c r="D92" s="1464"/>
      <c r="E92" s="1468"/>
      <c r="F92" s="1467"/>
      <c r="G92" s="1215"/>
      <c r="H92" s="1469"/>
      <c r="I92" s="1097"/>
      <c r="J92" s="1240"/>
      <c r="K92" s="1549"/>
      <c r="L92" s="1472"/>
      <c r="M92" s="1282"/>
      <c r="N92" s="1675"/>
      <c r="O92" s="1539"/>
      <c r="P92" s="1539"/>
      <c r="Q92" s="1538"/>
      <c r="R92" s="1729"/>
      <c r="S92" s="1181"/>
      <c r="T92" s="1184"/>
      <c r="U92" s="1184"/>
      <c r="V92" s="1466"/>
      <c r="W92" s="993"/>
      <c r="X92" s="996"/>
      <c r="Y92" s="1295"/>
      <c r="Z92" s="1292"/>
      <c r="AA92" s="1292"/>
      <c r="AB92" s="1292"/>
      <c r="AC92" s="1292"/>
      <c r="AD92" s="1304"/>
      <c r="AE92" s="1738"/>
      <c r="AF92" s="1541"/>
      <c r="AG92" s="1184"/>
      <c r="AH92" s="1184"/>
      <c r="AI92" s="1442"/>
      <c r="AJ92" s="993"/>
      <c r="AK92" s="996"/>
      <c r="AL92" s="1295"/>
      <c r="AM92" s="1292"/>
      <c r="AN92" s="1292"/>
      <c r="AO92" s="1292"/>
      <c r="AP92" s="1292"/>
      <c r="AQ92" s="1289"/>
      <c r="AR92" s="1738"/>
      <c r="AS92" s="1181"/>
      <c r="AT92" s="1184"/>
      <c r="AU92" s="1184"/>
      <c r="AV92" s="1442"/>
      <c r="AW92" s="1189"/>
      <c r="AX92" s="996"/>
      <c r="AY92" s="1295"/>
      <c r="AZ92" s="1292"/>
      <c r="BA92" s="1292"/>
      <c r="BB92" s="1292"/>
      <c r="BC92" s="1292"/>
      <c r="BD92" s="1289"/>
      <c r="BE92" s="1738"/>
      <c r="BF92" s="1453"/>
      <c r="BG92" s="1422"/>
      <c r="BH92" s="1422"/>
      <c r="BI92" s="1715"/>
      <c r="BJ92" s="1189"/>
      <c r="BK92" s="996"/>
      <c r="BL92" s="1339"/>
      <c r="BM92" s="1709"/>
      <c r="BN92" s="1709"/>
      <c r="BO92" s="1709"/>
      <c r="BP92" s="1709"/>
      <c r="BQ92" s="1289"/>
      <c r="BR92" s="1738"/>
      <c r="BS92" s="1687"/>
      <c r="BT92" s="1023"/>
      <c r="BU92" s="1289"/>
      <c r="BV92" s="1289"/>
      <c r="BW92" s="1741"/>
      <c r="BX92" s="1126"/>
      <c r="BY92" s="1703"/>
      <c r="BZ92" s="1126"/>
      <c r="CA92" s="1703"/>
      <c r="CB92" s="1126"/>
      <c r="CC92" s="1703"/>
      <c r="CD92" s="1126"/>
      <c r="CE92" s="1712"/>
      <c r="CF92" s="1263"/>
      <c r="CG92" s="1424"/>
    </row>
    <row r="93" spans="1:85" s="782" customFormat="1" ht="21.75" customHeight="1" x14ac:dyDescent="0.25">
      <c r="A93" s="783"/>
      <c r="B93" s="1460"/>
      <c r="C93" s="1462"/>
      <c r="D93" s="1464"/>
      <c r="E93" s="1468"/>
      <c r="F93" s="1467"/>
      <c r="G93" s="1215"/>
      <c r="H93" s="1469"/>
      <c r="I93" s="1097"/>
      <c r="J93" s="1240"/>
      <c r="K93" s="1549"/>
      <c r="L93" s="1472"/>
      <c r="M93" s="1282"/>
      <c r="N93" s="1675"/>
      <c r="O93" s="1539"/>
      <c r="P93" s="1539"/>
      <c r="Q93" s="1538"/>
      <c r="R93" s="1729"/>
      <c r="S93" s="1181"/>
      <c r="T93" s="1184"/>
      <c r="U93" s="1184"/>
      <c r="V93" s="1442"/>
      <c r="W93" s="993"/>
      <c r="X93" s="996"/>
      <c r="Y93" s="1295"/>
      <c r="Z93" s="1292"/>
      <c r="AA93" s="1292"/>
      <c r="AB93" s="1292"/>
      <c r="AC93" s="1292"/>
      <c r="AD93" s="1304"/>
      <c r="AE93" s="1738"/>
      <c r="AF93" s="1541"/>
      <c r="AG93" s="1184"/>
      <c r="AH93" s="1184"/>
      <c r="AI93" s="1442"/>
      <c r="AJ93" s="993"/>
      <c r="AK93" s="996"/>
      <c r="AL93" s="1295"/>
      <c r="AM93" s="1292"/>
      <c r="AN93" s="1292"/>
      <c r="AO93" s="1292"/>
      <c r="AP93" s="1292"/>
      <c r="AQ93" s="1289"/>
      <c r="AR93" s="1738"/>
      <c r="AS93" s="1181"/>
      <c r="AT93" s="1184"/>
      <c r="AU93" s="1184"/>
      <c r="AV93" s="1442"/>
      <c r="AW93" s="1189"/>
      <c r="AX93" s="996"/>
      <c r="AY93" s="1295"/>
      <c r="AZ93" s="1292"/>
      <c r="BA93" s="1292"/>
      <c r="BB93" s="1292"/>
      <c r="BC93" s="1292"/>
      <c r="BD93" s="1289"/>
      <c r="BE93" s="1738"/>
      <c r="BF93" s="1453"/>
      <c r="BG93" s="1422"/>
      <c r="BH93" s="1422"/>
      <c r="BI93" s="1715"/>
      <c r="BJ93" s="1189"/>
      <c r="BK93" s="996"/>
      <c r="BL93" s="1339"/>
      <c r="BM93" s="1709"/>
      <c r="BN93" s="1709"/>
      <c r="BO93" s="1709"/>
      <c r="BP93" s="1709"/>
      <c r="BQ93" s="1289"/>
      <c r="BR93" s="1738"/>
      <c r="BS93" s="1687"/>
      <c r="BT93" s="1023"/>
      <c r="BU93" s="1289"/>
      <c r="BV93" s="1289"/>
      <c r="BW93" s="1741"/>
      <c r="BX93" s="1126"/>
      <c r="BY93" s="1703">
        <f>IFERROR(BM93/M93,0)</f>
        <v>0</v>
      </c>
      <c r="BZ93" s="1126"/>
      <c r="CA93" s="1703">
        <f>IFERROR(BT93/M93,0)</f>
        <v>0</v>
      </c>
      <c r="CB93" s="1126"/>
      <c r="CC93" s="1703">
        <f>IFERROR(#REF!/M93,0)</f>
        <v>0</v>
      </c>
      <c r="CD93" s="1126"/>
      <c r="CE93" s="1712"/>
      <c r="CF93" s="1263"/>
      <c r="CG93" s="1424"/>
    </row>
    <row r="94" spans="1:85" s="782" customFormat="1" ht="21.75" customHeight="1" x14ac:dyDescent="0.25">
      <c r="A94" s="783"/>
      <c r="B94" s="1460"/>
      <c r="C94" s="1462"/>
      <c r="D94" s="1464"/>
      <c r="E94" s="1468"/>
      <c r="F94" s="1467"/>
      <c r="G94" s="1215"/>
      <c r="H94" s="1469"/>
      <c r="I94" s="1097"/>
      <c r="J94" s="1240"/>
      <c r="K94" s="1549"/>
      <c r="L94" s="1472"/>
      <c r="M94" s="1282"/>
      <c r="N94" s="1675"/>
      <c r="O94" s="1539"/>
      <c r="P94" s="1539"/>
      <c r="Q94" s="1538"/>
      <c r="R94" s="1729"/>
      <c r="S94" s="1181"/>
      <c r="T94" s="1184"/>
      <c r="U94" s="1184"/>
      <c r="V94" s="1442"/>
      <c r="W94" s="993"/>
      <c r="X94" s="996" t="s">
        <v>197</v>
      </c>
      <c r="Y94" s="1295"/>
      <c r="Z94" s="1292"/>
      <c r="AA94" s="1292"/>
      <c r="AB94" s="1292"/>
      <c r="AC94" s="1292"/>
      <c r="AD94" s="1304"/>
      <c r="AE94" s="1738"/>
      <c r="AF94" s="1541"/>
      <c r="AG94" s="1184"/>
      <c r="AH94" s="1184"/>
      <c r="AI94" s="1442"/>
      <c r="AJ94" s="993"/>
      <c r="AK94" s="996" t="s">
        <v>197</v>
      </c>
      <c r="AL94" s="1295"/>
      <c r="AM94" s="1292"/>
      <c r="AN94" s="1292"/>
      <c r="AO94" s="1292"/>
      <c r="AP94" s="1292"/>
      <c r="AQ94" s="1289"/>
      <c r="AR94" s="1738"/>
      <c r="AS94" s="1181"/>
      <c r="AT94" s="1184"/>
      <c r="AU94" s="1184"/>
      <c r="AV94" s="1442"/>
      <c r="AW94" s="993"/>
      <c r="AX94" s="996" t="s">
        <v>197</v>
      </c>
      <c r="AY94" s="1295"/>
      <c r="AZ94" s="1292"/>
      <c r="BA94" s="1292"/>
      <c r="BB94" s="1292"/>
      <c r="BC94" s="1292"/>
      <c r="BD94" s="1289"/>
      <c r="BE94" s="1738"/>
      <c r="BF94" s="1453"/>
      <c r="BG94" s="1422"/>
      <c r="BH94" s="1422"/>
      <c r="BI94" s="1715"/>
      <c r="BJ94" s="993"/>
      <c r="BK94" s="996" t="s">
        <v>197</v>
      </c>
      <c r="BL94" s="1339" t="s">
        <v>667</v>
      </c>
      <c r="BM94" s="1709"/>
      <c r="BN94" s="1709"/>
      <c r="BO94" s="1709"/>
      <c r="BP94" s="1709"/>
      <c r="BQ94" s="1289"/>
      <c r="BR94" s="1738"/>
      <c r="BS94" s="1687"/>
      <c r="BT94" s="1023"/>
      <c r="BU94" s="1289"/>
      <c r="BV94" s="1289"/>
      <c r="BW94" s="1741"/>
      <c r="BX94" s="1127"/>
      <c r="BY94" s="1703">
        <f>IFERROR(BM94/M94,0)</f>
        <v>0</v>
      </c>
      <c r="BZ94" s="1127"/>
      <c r="CA94" s="1703">
        <f>IFERROR(BT94/M94,0)</f>
        <v>0</v>
      </c>
      <c r="CB94" s="1127"/>
      <c r="CC94" s="1703">
        <f>IFERROR(#REF!/M94,0)</f>
        <v>0</v>
      </c>
      <c r="CD94" s="1127"/>
      <c r="CE94" s="1712"/>
      <c r="CF94" s="1263"/>
      <c r="CG94" s="1424"/>
    </row>
    <row r="95" spans="1:85" s="782" customFormat="1" ht="21.75" customHeight="1" x14ac:dyDescent="0.25">
      <c r="A95" s="783"/>
      <c r="B95" s="1460"/>
      <c r="C95" s="1462"/>
      <c r="D95" s="1464"/>
      <c r="E95" s="1468"/>
      <c r="F95" s="1467"/>
      <c r="G95" s="1215"/>
      <c r="H95" s="1469"/>
      <c r="I95" s="1097"/>
      <c r="J95" s="1240"/>
      <c r="K95" s="1549"/>
      <c r="L95" s="1472"/>
      <c r="M95" s="1282"/>
      <c r="N95" s="1675"/>
      <c r="O95" s="1539"/>
      <c r="P95" s="1539"/>
      <c r="Q95" s="1538"/>
      <c r="R95" s="1729"/>
      <c r="S95" s="1181"/>
      <c r="T95" s="1184"/>
      <c r="U95" s="1184"/>
      <c r="V95" s="1442"/>
      <c r="W95" s="993"/>
      <c r="X95" s="996"/>
      <c r="Y95" s="1295"/>
      <c r="Z95" s="1292"/>
      <c r="AA95" s="1292"/>
      <c r="AB95" s="1292"/>
      <c r="AC95" s="1292"/>
      <c r="AD95" s="1304"/>
      <c r="AE95" s="1738"/>
      <c r="AF95" s="1541"/>
      <c r="AG95" s="1184"/>
      <c r="AH95" s="1184"/>
      <c r="AI95" s="1442"/>
      <c r="AJ95" s="993"/>
      <c r="AK95" s="996"/>
      <c r="AL95" s="1295"/>
      <c r="AM95" s="1292"/>
      <c r="AN95" s="1292"/>
      <c r="AO95" s="1292"/>
      <c r="AP95" s="1292"/>
      <c r="AQ95" s="1289"/>
      <c r="AR95" s="1738"/>
      <c r="AS95" s="1181"/>
      <c r="AT95" s="1184"/>
      <c r="AU95" s="1184"/>
      <c r="AV95" s="1442"/>
      <c r="AW95" s="993"/>
      <c r="AX95" s="996"/>
      <c r="AY95" s="1295"/>
      <c r="AZ95" s="1292"/>
      <c r="BA95" s="1292"/>
      <c r="BB95" s="1292"/>
      <c r="BC95" s="1292"/>
      <c r="BD95" s="1289"/>
      <c r="BE95" s="1738"/>
      <c r="BF95" s="1453"/>
      <c r="BG95" s="1422"/>
      <c r="BH95" s="1422"/>
      <c r="BI95" s="1715"/>
      <c r="BJ95" s="993"/>
      <c r="BK95" s="996"/>
      <c r="BL95" s="1339"/>
      <c r="BM95" s="1709"/>
      <c r="BN95" s="1709"/>
      <c r="BO95" s="1709"/>
      <c r="BP95" s="1709"/>
      <c r="BQ95" s="1289"/>
      <c r="BR95" s="1738"/>
      <c r="BS95" s="1687"/>
      <c r="BT95" s="1023"/>
      <c r="BU95" s="1289"/>
      <c r="BV95" s="1289"/>
      <c r="BW95" s="1741"/>
      <c r="BX95" s="1127"/>
      <c r="BY95" s="1703">
        <f>IFERROR(BM95/M95,0)</f>
        <v>0</v>
      </c>
      <c r="BZ95" s="1127"/>
      <c r="CA95" s="1703">
        <f>IFERROR(BT95/M95,0)</f>
        <v>0</v>
      </c>
      <c r="CB95" s="1127"/>
      <c r="CC95" s="1703">
        <f>IFERROR(#REF!/M95,0)</f>
        <v>0</v>
      </c>
      <c r="CD95" s="1127"/>
      <c r="CE95" s="1712"/>
      <c r="CF95" s="1263"/>
      <c r="CG95" s="1424"/>
    </row>
    <row r="96" spans="1:85" s="782" customFormat="1" ht="15.75" customHeight="1" x14ac:dyDescent="0.25">
      <c r="A96" s="783"/>
      <c r="B96" s="1460"/>
      <c r="C96" s="1462"/>
      <c r="D96" s="1464"/>
      <c r="E96" s="1468"/>
      <c r="F96" s="1467"/>
      <c r="G96" s="1215"/>
      <c r="H96" s="1469"/>
      <c r="I96" s="1097"/>
      <c r="J96" s="1240"/>
      <c r="K96" s="1549"/>
      <c r="L96" s="1472"/>
      <c r="M96" s="1282"/>
      <c r="N96" s="1675"/>
      <c r="O96" s="1539"/>
      <c r="P96" s="1539"/>
      <c r="Q96" s="1538"/>
      <c r="R96" s="1729"/>
      <c r="S96" s="1254"/>
      <c r="T96" s="1232"/>
      <c r="U96" s="1232"/>
      <c r="V96" s="1450"/>
      <c r="W96" s="1163"/>
      <c r="X96" s="996"/>
      <c r="Y96" s="1295"/>
      <c r="Z96" s="1292"/>
      <c r="AA96" s="1292"/>
      <c r="AB96" s="1292"/>
      <c r="AC96" s="1292"/>
      <c r="AD96" s="1304"/>
      <c r="AE96" s="1738"/>
      <c r="AF96" s="1542"/>
      <c r="AG96" s="1232"/>
      <c r="AH96" s="1232"/>
      <c r="AI96" s="1450"/>
      <c r="AJ96" s="1163"/>
      <c r="AK96" s="996"/>
      <c r="AL96" s="1295"/>
      <c r="AM96" s="1292"/>
      <c r="AN96" s="1292"/>
      <c r="AO96" s="1292"/>
      <c r="AP96" s="1292"/>
      <c r="AQ96" s="1289"/>
      <c r="AR96" s="1738"/>
      <c r="AS96" s="1181"/>
      <c r="AT96" s="1184"/>
      <c r="AU96" s="1184"/>
      <c r="AV96" s="1442"/>
      <c r="AW96" s="993"/>
      <c r="AX96" s="996"/>
      <c r="AY96" s="1295"/>
      <c r="AZ96" s="1292"/>
      <c r="BA96" s="1292"/>
      <c r="BB96" s="1292"/>
      <c r="BC96" s="1292"/>
      <c r="BD96" s="1289"/>
      <c r="BE96" s="1738"/>
      <c r="BF96" s="1453"/>
      <c r="BG96" s="1422"/>
      <c r="BH96" s="1422"/>
      <c r="BI96" s="1715"/>
      <c r="BJ96" s="993"/>
      <c r="BK96" s="996"/>
      <c r="BL96" s="1339"/>
      <c r="BM96" s="1709"/>
      <c r="BN96" s="1709"/>
      <c r="BO96" s="1709"/>
      <c r="BP96" s="1709"/>
      <c r="BQ96" s="1289"/>
      <c r="BR96" s="1738"/>
      <c r="BS96" s="1687"/>
      <c r="BT96" s="1023"/>
      <c r="BU96" s="1289"/>
      <c r="BV96" s="1289"/>
      <c r="BW96" s="1741"/>
      <c r="BX96" s="1127"/>
      <c r="BY96" s="1703"/>
      <c r="BZ96" s="1127"/>
      <c r="CA96" s="1703"/>
      <c r="CB96" s="1127"/>
      <c r="CC96" s="1703"/>
      <c r="CD96" s="1127"/>
      <c r="CE96" s="1712"/>
      <c r="CF96" s="1263"/>
      <c r="CG96" s="1424"/>
    </row>
    <row r="97" spans="1:85" s="782" customFormat="1" ht="43.15" customHeight="1" thickBot="1" x14ac:dyDescent="0.3">
      <c r="A97" s="783"/>
      <c r="B97" s="1460"/>
      <c r="C97" s="1462"/>
      <c r="D97" s="1464"/>
      <c r="E97" s="1468"/>
      <c r="F97" s="1467"/>
      <c r="G97" s="1215"/>
      <c r="H97" s="1469"/>
      <c r="I97" s="1097"/>
      <c r="J97" s="1240"/>
      <c r="K97" s="1549"/>
      <c r="L97" s="1473"/>
      <c r="M97" s="1696"/>
      <c r="N97" s="1675"/>
      <c r="O97" s="1539"/>
      <c r="P97" s="1539"/>
      <c r="Q97" s="1538"/>
      <c r="R97" s="1729"/>
      <c r="S97" s="1254"/>
      <c r="T97" s="1232"/>
      <c r="U97" s="1232"/>
      <c r="V97" s="1450"/>
      <c r="W97" s="1163"/>
      <c r="X97" s="1068"/>
      <c r="Y97" s="1296"/>
      <c r="Z97" s="1293"/>
      <c r="AA97" s="1293"/>
      <c r="AB97" s="1293"/>
      <c r="AC97" s="1293"/>
      <c r="AD97" s="1305"/>
      <c r="AE97" s="1738"/>
      <c r="AF97" s="1542"/>
      <c r="AG97" s="1232"/>
      <c r="AH97" s="1232"/>
      <c r="AI97" s="1450"/>
      <c r="AJ97" s="1163"/>
      <c r="AK97" s="1068"/>
      <c r="AL97" s="1296"/>
      <c r="AM97" s="1293"/>
      <c r="AN97" s="1293"/>
      <c r="AO97" s="1293"/>
      <c r="AP97" s="1293"/>
      <c r="AQ97" s="1290"/>
      <c r="AR97" s="1738"/>
      <c r="AS97" s="1181"/>
      <c r="AT97" s="1184"/>
      <c r="AU97" s="1184"/>
      <c r="AV97" s="1442"/>
      <c r="AW97" s="993"/>
      <c r="AX97" s="1068"/>
      <c r="AY97" s="1296"/>
      <c r="AZ97" s="1293"/>
      <c r="BA97" s="1293"/>
      <c r="BB97" s="1293"/>
      <c r="BC97" s="1293"/>
      <c r="BD97" s="1290"/>
      <c r="BE97" s="1738"/>
      <c r="BF97" s="1454"/>
      <c r="BG97" s="1451"/>
      <c r="BH97" s="1451"/>
      <c r="BI97" s="1716"/>
      <c r="BJ97" s="993"/>
      <c r="BK97" s="1068"/>
      <c r="BL97" s="1340"/>
      <c r="BM97" s="1710"/>
      <c r="BN97" s="1710"/>
      <c r="BO97" s="1710"/>
      <c r="BP97" s="1710"/>
      <c r="BQ97" s="1290"/>
      <c r="BR97" s="1738"/>
      <c r="BS97" s="1688"/>
      <c r="BT97" s="1024"/>
      <c r="BU97" s="1290"/>
      <c r="BV97" s="1289"/>
      <c r="BW97" s="1741"/>
      <c r="BX97" s="1127"/>
      <c r="BY97" s="1704">
        <f>IFERROR(BM97/M97,0)</f>
        <v>0</v>
      </c>
      <c r="BZ97" s="1127"/>
      <c r="CA97" s="1704">
        <f t="shared" ref="CA97:CA109" si="0">IFERROR(BT97/M97,0)</f>
        <v>0</v>
      </c>
      <c r="CB97" s="1127"/>
      <c r="CC97" s="1704">
        <f>IFERROR(#REF!/M97,0)</f>
        <v>0</v>
      </c>
      <c r="CD97" s="1127"/>
      <c r="CE97" s="1732"/>
      <c r="CF97" s="1264"/>
      <c r="CG97" s="1424"/>
    </row>
    <row r="98" spans="1:85" s="782" customFormat="1" ht="70.5" customHeight="1" x14ac:dyDescent="0.25">
      <c r="A98" s="783"/>
      <c r="B98" s="1460"/>
      <c r="C98" s="1462" t="s">
        <v>577</v>
      </c>
      <c r="D98" s="1464" t="s">
        <v>545</v>
      </c>
      <c r="E98" s="1468">
        <v>2</v>
      </c>
      <c r="F98" s="1467" t="s">
        <v>27</v>
      </c>
      <c r="G98" s="1215"/>
      <c r="H98" s="1097">
        <v>2</v>
      </c>
      <c r="I98" s="1097">
        <v>2</v>
      </c>
      <c r="J98" s="1240">
        <v>2</v>
      </c>
      <c r="K98" s="1549"/>
      <c r="L98" s="1543" t="s">
        <v>578</v>
      </c>
      <c r="M98" s="1551">
        <v>172240</v>
      </c>
      <c r="N98" s="1675">
        <v>0</v>
      </c>
      <c r="O98" s="1539">
        <v>0</v>
      </c>
      <c r="P98" s="1539">
        <v>101606.83</v>
      </c>
      <c r="Q98" s="1538">
        <f>12357.8+7445.22+6946.03+10554.78+6554.78+1840.6+23313.77+1620.19+4944.32</f>
        <v>75577.489999999991</v>
      </c>
      <c r="R98" s="1729"/>
      <c r="S98" s="1181"/>
      <c r="T98" s="1184"/>
      <c r="U98" s="1184"/>
      <c r="V98" s="1442"/>
      <c r="W98" s="993">
        <f>SUM(S98:V109)</f>
        <v>0</v>
      </c>
      <c r="X98" s="995" t="s">
        <v>195</v>
      </c>
      <c r="Y98" s="1313" t="s">
        <v>461</v>
      </c>
      <c r="Z98" s="1291"/>
      <c r="AA98" s="1291"/>
      <c r="AB98" s="1291"/>
      <c r="AC98" s="1291">
        <v>0</v>
      </c>
      <c r="AD98" s="1028">
        <f>SUM(Z98:AC109)</f>
        <v>0</v>
      </c>
      <c r="AE98" s="1738"/>
      <c r="AF98" s="1541"/>
      <c r="AG98" s="1184"/>
      <c r="AH98" s="1184">
        <v>1</v>
      </c>
      <c r="AI98" s="1442"/>
      <c r="AJ98" s="993">
        <f>SUM(AF98:AI109)</f>
        <v>1</v>
      </c>
      <c r="AK98" s="995" t="s">
        <v>195</v>
      </c>
      <c r="AL98" s="1313" t="s">
        <v>461</v>
      </c>
      <c r="AM98" s="1291"/>
      <c r="AN98" s="1291"/>
      <c r="AO98" s="1291"/>
      <c r="AP98" s="1291">
        <v>0</v>
      </c>
      <c r="AQ98" s="1288">
        <f>SUM(AM98:AP109)</f>
        <v>0</v>
      </c>
      <c r="AR98" s="1738"/>
      <c r="AS98" s="1181"/>
      <c r="AT98" s="1184"/>
      <c r="AU98" s="1184"/>
      <c r="AV98" s="1442">
        <v>1</v>
      </c>
      <c r="AW98" s="1188">
        <f>SUM(AS98:AV109)</f>
        <v>1</v>
      </c>
      <c r="AX98" s="995" t="s">
        <v>195</v>
      </c>
      <c r="AY98" s="1558" t="s">
        <v>579</v>
      </c>
      <c r="AZ98" s="1291"/>
      <c r="BA98" s="1291"/>
      <c r="BB98" s="1291"/>
      <c r="BC98" s="1291">
        <v>101606.83</v>
      </c>
      <c r="BD98" s="1288">
        <f>SUM(AZ98:BC109)</f>
        <v>101606.83</v>
      </c>
      <c r="BE98" s="1738"/>
      <c r="BF98" s="1452"/>
      <c r="BG98" s="1421"/>
      <c r="BH98" s="1421"/>
      <c r="BI98" s="1714"/>
      <c r="BJ98" s="1188">
        <f>SUM(BF98:BI109)</f>
        <v>0</v>
      </c>
      <c r="BK98" s="995" t="s">
        <v>195</v>
      </c>
      <c r="BL98" s="1457" t="s">
        <v>521</v>
      </c>
      <c r="BM98" s="1708">
        <v>4018.49</v>
      </c>
      <c r="BN98" s="1708">
        <v>20000</v>
      </c>
      <c r="BO98" s="1708">
        <v>20000</v>
      </c>
      <c r="BP98" s="1708">
        <v>26614.68</v>
      </c>
      <c r="BQ98" s="1288">
        <f>SUM(BM98:BP109)</f>
        <v>70633.17</v>
      </c>
      <c r="BR98" s="1738"/>
      <c r="BS98" s="1721"/>
      <c r="BT98" s="1022">
        <f>SUM(W98,AJ98,AW98,BJ98)</f>
        <v>2</v>
      </c>
      <c r="BU98" s="1288">
        <f>SUM(AD98,AQ98,BD98,BQ98)</f>
        <v>172240</v>
      </c>
      <c r="BV98" s="1289"/>
      <c r="BW98" s="1741"/>
      <c r="BX98" s="1125">
        <f>IFERROR(W98/G98,0)</f>
        <v>0</v>
      </c>
      <c r="BY98" s="1702">
        <f>IFERROR(AD98/N98,0)</f>
        <v>0</v>
      </c>
      <c r="BZ98" s="1125">
        <f>IFERROR(AJ98/H98,0)</f>
        <v>0.5</v>
      </c>
      <c r="CA98" s="1702">
        <f>IFERROR(AQ98/O98,0)</f>
        <v>0</v>
      </c>
      <c r="CB98" s="1125">
        <f>IFERROR(AW98/I98,0)</f>
        <v>0.5</v>
      </c>
      <c r="CC98" s="1702">
        <f>IFERROR(BD98/P98,0)</f>
        <v>1</v>
      </c>
      <c r="CD98" s="1125">
        <f>IFERROR(BJ98/J98,0)</f>
        <v>0</v>
      </c>
      <c r="CE98" s="1711">
        <f>IFERROR(BQ98/Q98,0)</f>
        <v>0.93457946274743986</v>
      </c>
      <c r="CF98" s="1262">
        <f>IFERROR(BT98/E98,0)</f>
        <v>1</v>
      </c>
      <c r="CG98" s="1424"/>
    </row>
    <row r="99" spans="1:85" s="782" customFormat="1" ht="70.5" customHeight="1" x14ac:dyDescent="0.25">
      <c r="A99" s="783"/>
      <c r="B99" s="1460"/>
      <c r="C99" s="1462"/>
      <c r="D99" s="1464"/>
      <c r="E99" s="1468"/>
      <c r="F99" s="1467"/>
      <c r="G99" s="1215"/>
      <c r="H99" s="1097"/>
      <c r="I99" s="1097"/>
      <c r="J99" s="1240"/>
      <c r="K99" s="1549"/>
      <c r="L99" s="1543"/>
      <c r="M99" s="1282"/>
      <c r="N99" s="1675"/>
      <c r="O99" s="1539"/>
      <c r="P99" s="1539"/>
      <c r="Q99" s="1538"/>
      <c r="R99" s="1729"/>
      <c r="S99" s="1181"/>
      <c r="T99" s="1184"/>
      <c r="U99" s="1184"/>
      <c r="V99" s="1442"/>
      <c r="W99" s="993"/>
      <c r="X99" s="996"/>
      <c r="Y99" s="1295"/>
      <c r="Z99" s="1292"/>
      <c r="AA99" s="1292"/>
      <c r="AB99" s="1292"/>
      <c r="AC99" s="1292"/>
      <c r="AD99" s="1304"/>
      <c r="AE99" s="1738"/>
      <c r="AF99" s="1541"/>
      <c r="AG99" s="1184"/>
      <c r="AH99" s="1184"/>
      <c r="AI99" s="1442"/>
      <c r="AJ99" s="993"/>
      <c r="AK99" s="996"/>
      <c r="AL99" s="1295"/>
      <c r="AM99" s="1292"/>
      <c r="AN99" s="1292"/>
      <c r="AO99" s="1292"/>
      <c r="AP99" s="1292"/>
      <c r="AQ99" s="1289"/>
      <c r="AR99" s="1738"/>
      <c r="AS99" s="1181"/>
      <c r="AT99" s="1184"/>
      <c r="AU99" s="1184"/>
      <c r="AV99" s="1442"/>
      <c r="AW99" s="1189"/>
      <c r="AX99" s="996"/>
      <c r="AY99" s="1295"/>
      <c r="AZ99" s="1292"/>
      <c r="BA99" s="1292"/>
      <c r="BB99" s="1292"/>
      <c r="BC99" s="1292"/>
      <c r="BD99" s="1289"/>
      <c r="BE99" s="1738"/>
      <c r="BF99" s="1453"/>
      <c r="BG99" s="1422"/>
      <c r="BH99" s="1422"/>
      <c r="BI99" s="1715"/>
      <c r="BJ99" s="1189"/>
      <c r="BK99" s="996"/>
      <c r="BL99" s="1686"/>
      <c r="BM99" s="1709"/>
      <c r="BN99" s="1709"/>
      <c r="BO99" s="1709"/>
      <c r="BP99" s="1709"/>
      <c r="BQ99" s="1289"/>
      <c r="BR99" s="1738"/>
      <c r="BS99" s="1687"/>
      <c r="BT99" s="1023"/>
      <c r="BU99" s="1289"/>
      <c r="BV99" s="1289"/>
      <c r="BW99" s="1741"/>
      <c r="BX99" s="1126"/>
      <c r="BY99" s="1703"/>
      <c r="BZ99" s="1126"/>
      <c r="CA99" s="1703">
        <f t="shared" si="0"/>
        <v>0</v>
      </c>
      <c r="CB99" s="1126"/>
      <c r="CC99" s="1703"/>
      <c r="CD99" s="1126"/>
      <c r="CE99" s="1712"/>
      <c r="CF99" s="1263"/>
      <c r="CG99" s="1424"/>
    </row>
    <row r="100" spans="1:85" s="782" customFormat="1" ht="70.5" customHeight="1" x14ac:dyDescent="0.25">
      <c r="A100" s="783"/>
      <c r="B100" s="1460"/>
      <c r="C100" s="1462"/>
      <c r="D100" s="1464"/>
      <c r="E100" s="1468"/>
      <c r="F100" s="1467"/>
      <c r="G100" s="1215"/>
      <c r="H100" s="1097"/>
      <c r="I100" s="1097"/>
      <c r="J100" s="1240"/>
      <c r="K100" s="1549"/>
      <c r="L100" s="1543"/>
      <c r="M100" s="1282"/>
      <c r="N100" s="1675"/>
      <c r="O100" s="1539"/>
      <c r="P100" s="1539"/>
      <c r="Q100" s="1538"/>
      <c r="R100" s="1729"/>
      <c r="S100" s="1181"/>
      <c r="T100" s="1184"/>
      <c r="U100" s="1184"/>
      <c r="V100" s="1442"/>
      <c r="W100" s="993"/>
      <c r="X100" s="996"/>
      <c r="Y100" s="1295"/>
      <c r="Z100" s="1292"/>
      <c r="AA100" s="1292"/>
      <c r="AB100" s="1292"/>
      <c r="AC100" s="1292"/>
      <c r="AD100" s="1304"/>
      <c r="AE100" s="1738"/>
      <c r="AF100" s="1541"/>
      <c r="AG100" s="1184"/>
      <c r="AH100" s="1184"/>
      <c r="AI100" s="1442"/>
      <c r="AJ100" s="993"/>
      <c r="AK100" s="996"/>
      <c r="AL100" s="1295"/>
      <c r="AM100" s="1292"/>
      <c r="AN100" s="1292"/>
      <c r="AO100" s="1292"/>
      <c r="AP100" s="1292"/>
      <c r="AQ100" s="1289"/>
      <c r="AR100" s="1738"/>
      <c r="AS100" s="1181"/>
      <c r="AT100" s="1184"/>
      <c r="AU100" s="1184"/>
      <c r="AV100" s="1442"/>
      <c r="AW100" s="1189"/>
      <c r="AX100" s="996"/>
      <c r="AY100" s="1295"/>
      <c r="AZ100" s="1292"/>
      <c r="BA100" s="1292"/>
      <c r="BB100" s="1292"/>
      <c r="BC100" s="1292"/>
      <c r="BD100" s="1289"/>
      <c r="BE100" s="1738"/>
      <c r="BF100" s="1453"/>
      <c r="BG100" s="1422"/>
      <c r="BH100" s="1422"/>
      <c r="BI100" s="1715"/>
      <c r="BJ100" s="1189"/>
      <c r="BK100" s="996"/>
      <c r="BL100" s="1686"/>
      <c r="BM100" s="1709"/>
      <c r="BN100" s="1709"/>
      <c r="BO100" s="1709"/>
      <c r="BP100" s="1709"/>
      <c r="BQ100" s="1289"/>
      <c r="BR100" s="1738"/>
      <c r="BS100" s="1687"/>
      <c r="BT100" s="1023"/>
      <c r="BU100" s="1289"/>
      <c r="BV100" s="1289"/>
      <c r="BW100" s="1741"/>
      <c r="BX100" s="1126"/>
      <c r="BY100" s="1703"/>
      <c r="BZ100" s="1126"/>
      <c r="CA100" s="1703">
        <f t="shared" si="0"/>
        <v>0</v>
      </c>
      <c r="CB100" s="1126"/>
      <c r="CC100" s="1703"/>
      <c r="CD100" s="1126"/>
      <c r="CE100" s="1712"/>
      <c r="CF100" s="1263"/>
      <c r="CG100" s="1424"/>
    </row>
    <row r="101" spans="1:85" s="782" customFormat="1" ht="70.5" customHeight="1" x14ac:dyDescent="0.25">
      <c r="A101" s="783"/>
      <c r="B101" s="1460"/>
      <c r="C101" s="1462"/>
      <c r="D101" s="1464"/>
      <c r="E101" s="1468"/>
      <c r="F101" s="1467"/>
      <c r="G101" s="1215"/>
      <c r="H101" s="1097"/>
      <c r="I101" s="1097"/>
      <c r="J101" s="1240"/>
      <c r="K101" s="1549"/>
      <c r="L101" s="1543"/>
      <c r="M101" s="1282"/>
      <c r="N101" s="1675"/>
      <c r="O101" s="1539"/>
      <c r="P101" s="1539"/>
      <c r="Q101" s="1538"/>
      <c r="R101" s="1729"/>
      <c r="S101" s="1181"/>
      <c r="T101" s="1184"/>
      <c r="U101" s="1184"/>
      <c r="V101" s="1442"/>
      <c r="W101" s="993"/>
      <c r="X101" s="996"/>
      <c r="Y101" s="1295"/>
      <c r="Z101" s="1292"/>
      <c r="AA101" s="1292"/>
      <c r="AB101" s="1292"/>
      <c r="AC101" s="1292"/>
      <c r="AD101" s="1304"/>
      <c r="AE101" s="1738"/>
      <c r="AF101" s="1541"/>
      <c r="AG101" s="1184"/>
      <c r="AH101" s="1184"/>
      <c r="AI101" s="1442"/>
      <c r="AJ101" s="993"/>
      <c r="AK101" s="996"/>
      <c r="AL101" s="1295"/>
      <c r="AM101" s="1292"/>
      <c r="AN101" s="1292"/>
      <c r="AO101" s="1292"/>
      <c r="AP101" s="1292"/>
      <c r="AQ101" s="1289"/>
      <c r="AR101" s="1738"/>
      <c r="AS101" s="1181"/>
      <c r="AT101" s="1184"/>
      <c r="AU101" s="1184"/>
      <c r="AV101" s="1442"/>
      <c r="AW101" s="1189"/>
      <c r="AX101" s="996"/>
      <c r="AY101" s="1295"/>
      <c r="AZ101" s="1292"/>
      <c r="BA101" s="1292"/>
      <c r="BB101" s="1292"/>
      <c r="BC101" s="1292"/>
      <c r="BD101" s="1289"/>
      <c r="BE101" s="1738"/>
      <c r="BF101" s="1453"/>
      <c r="BG101" s="1422"/>
      <c r="BH101" s="1422"/>
      <c r="BI101" s="1715"/>
      <c r="BJ101" s="1189"/>
      <c r="BK101" s="996"/>
      <c r="BL101" s="1686"/>
      <c r="BM101" s="1709"/>
      <c r="BN101" s="1709"/>
      <c r="BO101" s="1709"/>
      <c r="BP101" s="1709"/>
      <c r="BQ101" s="1289"/>
      <c r="BR101" s="1738"/>
      <c r="BS101" s="1687"/>
      <c r="BT101" s="1023"/>
      <c r="BU101" s="1289"/>
      <c r="BV101" s="1289"/>
      <c r="BW101" s="1741"/>
      <c r="BX101" s="1126"/>
      <c r="BY101" s="1703"/>
      <c r="BZ101" s="1126"/>
      <c r="CA101" s="1703">
        <f t="shared" si="0"/>
        <v>0</v>
      </c>
      <c r="CB101" s="1126"/>
      <c r="CC101" s="1703"/>
      <c r="CD101" s="1126"/>
      <c r="CE101" s="1712"/>
      <c r="CF101" s="1263"/>
      <c r="CG101" s="1424"/>
    </row>
    <row r="102" spans="1:85" s="782" customFormat="1" ht="21.75" customHeight="1" x14ac:dyDescent="0.25">
      <c r="A102" s="783"/>
      <c r="B102" s="1460"/>
      <c r="C102" s="1462"/>
      <c r="D102" s="1464"/>
      <c r="E102" s="1468"/>
      <c r="F102" s="1467"/>
      <c r="G102" s="1215"/>
      <c r="H102" s="1097"/>
      <c r="I102" s="1097"/>
      <c r="J102" s="1240"/>
      <c r="K102" s="1549"/>
      <c r="L102" s="1543"/>
      <c r="M102" s="1282"/>
      <c r="N102" s="1675"/>
      <c r="O102" s="1539"/>
      <c r="P102" s="1539"/>
      <c r="Q102" s="1538"/>
      <c r="R102" s="1729"/>
      <c r="S102" s="1181"/>
      <c r="T102" s="1184"/>
      <c r="U102" s="1184"/>
      <c r="V102" s="1442"/>
      <c r="W102" s="993"/>
      <c r="X102" s="996" t="s">
        <v>196</v>
      </c>
      <c r="Y102" s="1295"/>
      <c r="Z102" s="1292"/>
      <c r="AA102" s="1292"/>
      <c r="AB102" s="1292"/>
      <c r="AC102" s="1292"/>
      <c r="AD102" s="1304"/>
      <c r="AE102" s="1738"/>
      <c r="AF102" s="1541"/>
      <c r="AG102" s="1184"/>
      <c r="AH102" s="1184"/>
      <c r="AI102" s="1442"/>
      <c r="AJ102" s="993"/>
      <c r="AK102" s="996" t="s">
        <v>196</v>
      </c>
      <c r="AL102" s="1295"/>
      <c r="AM102" s="1292"/>
      <c r="AN102" s="1292"/>
      <c r="AO102" s="1292"/>
      <c r="AP102" s="1292"/>
      <c r="AQ102" s="1289"/>
      <c r="AR102" s="1738"/>
      <c r="AS102" s="1181"/>
      <c r="AT102" s="1184"/>
      <c r="AU102" s="1184"/>
      <c r="AV102" s="1442"/>
      <c r="AW102" s="1189"/>
      <c r="AX102" s="996" t="s">
        <v>196</v>
      </c>
      <c r="AY102" s="1295" t="s">
        <v>580</v>
      </c>
      <c r="AZ102" s="1292"/>
      <c r="BA102" s="1292"/>
      <c r="BB102" s="1292"/>
      <c r="BC102" s="1292"/>
      <c r="BD102" s="1289"/>
      <c r="BE102" s="1738"/>
      <c r="BF102" s="1453"/>
      <c r="BG102" s="1422"/>
      <c r="BH102" s="1422"/>
      <c r="BI102" s="1715"/>
      <c r="BJ102" s="1189"/>
      <c r="BK102" s="996" t="s">
        <v>196</v>
      </c>
      <c r="BL102" s="1339"/>
      <c r="BM102" s="1709"/>
      <c r="BN102" s="1709"/>
      <c r="BO102" s="1709"/>
      <c r="BP102" s="1709"/>
      <c r="BQ102" s="1289"/>
      <c r="BR102" s="1738"/>
      <c r="BS102" s="1687"/>
      <c r="BT102" s="1023"/>
      <c r="BU102" s="1289"/>
      <c r="BV102" s="1289"/>
      <c r="BW102" s="1741"/>
      <c r="BX102" s="1126"/>
      <c r="BY102" s="1703"/>
      <c r="BZ102" s="1126"/>
      <c r="CA102" s="1703"/>
      <c r="CB102" s="1126"/>
      <c r="CC102" s="1703"/>
      <c r="CD102" s="1126"/>
      <c r="CE102" s="1712"/>
      <c r="CF102" s="1263"/>
      <c r="CG102" s="1424"/>
    </row>
    <row r="103" spans="1:85" s="782" customFormat="1" ht="21.75" customHeight="1" x14ac:dyDescent="0.25">
      <c r="A103" s="783"/>
      <c r="B103" s="1460"/>
      <c r="C103" s="1462"/>
      <c r="D103" s="1464"/>
      <c r="E103" s="1468"/>
      <c r="F103" s="1467"/>
      <c r="G103" s="1215"/>
      <c r="H103" s="1097"/>
      <c r="I103" s="1097"/>
      <c r="J103" s="1240"/>
      <c r="K103" s="1549"/>
      <c r="L103" s="1543"/>
      <c r="M103" s="1282"/>
      <c r="N103" s="1675"/>
      <c r="O103" s="1539"/>
      <c r="P103" s="1539"/>
      <c r="Q103" s="1538"/>
      <c r="R103" s="1729"/>
      <c r="S103" s="1181"/>
      <c r="T103" s="1184"/>
      <c r="U103" s="1184"/>
      <c r="V103" s="1442"/>
      <c r="W103" s="993"/>
      <c r="X103" s="996"/>
      <c r="Y103" s="1295"/>
      <c r="Z103" s="1292"/>
      <c r="AA103" s="1292"/>
      <c r="AB103" s="1292"/>
      <c r="AC103" s="1292"/>
      <c r="AD103" s="1304"/>
      <c r="AE103" s="1738"/>
      <c r="AF103" s="1541"/>
      <c r="AG103" s="1184"/>
      <c r="AH103" s="1184"/>
      <c r="AI103" s="1442"/>
      <c r="AJ103" s="993"/>
      <c r="AK103" s="996"/>
      <c r="AL103" s="1295"/>
      <c r="AM103" s="1292"/>
      <c r="AN103" s="1292"/>
      <c r="AO103" s="1292"/>
      <c r="AP103" s="1292"/>
      <c r="AQ103" s="1289"/>
      <c r="AR103" s="1738"/>
      <c r="AS103" s="1181"/>
      <c r="AT103" s="1184"/>
      <c r="AU103" s="1184"/>
      <c r="AV103" s="1442"/>
      <c r="AW103" s="1189"/>
      <c r="AX103" s="996"/>
      <c r="AY103" s="1295"/>
      <c r="AZ103" s="1292"/>
      <c r="BA103" s="1292"/>
      <c r="BB103" s="1292"/>
      <c r="BC103" s="1292"/>
      <c r="BD103" s="1289"/>
      <c r="BE103" s="1738"/>
      <c r="BF103" s="1453"/>
      <c r="BG103" s="1422"/>
      <c r="BH103" s="1422"/>
      <c r="BI103" s="1715"/>
      <c r="BJ103" s="1189"/>
      <c r="BK103" s="996"/>
      <c r="BL103" s="1339"/>
      <c r="BM103" s="1709"/>
      <c r="BN103" s="1709"/>
      <c r="BO103" s="1709"/>
      <c r="BP103" s="1709"/>
      <c r="BQ103" s="1289"/>
      <c r="BR103" s="1738"/>
      <c r="BS103" s="1687"/>
      <c r="BT103" s="1023"/>
      <c r="BU103" s="1289"/>
      <c r="BV103" s="1289"/>
      <c r="BW103" s="1741"/>
      <c r="BX103" s="1126"/>
      <c r="BY103" s="1703"/>
      <c r="BZ103" s="1126"/>
      <c r="CA103" s="1703"/>
      <c r="CB103" s="1126"/>
      <c r="CC103" s="1703"/>
      <c r="CD103" s="1126"/>
      <c r="CE103" s="1712"/>
      <c r="CF103" s="1263"/>
      <c r="CG103" s="1424"/>
    </row>
    <row r="104" spans="1:85" s="782" customFormat="1" ht="21.75" customHeight="1" x14ac:dyDescent="0.25">
      <c r="A104" s="783"/>
      <c r="B104" s="1460"/>
      <c r="C104" s="1462"/>
      <c r="D104" s="1464"/>
      <c r="E104" s="1468"/>
      <c r="F104" s="1467"/>
      <c r="G104" s="1215"/>
      <c r="H104" s="1097"/>
      <c r="I104" s="1097"/>
      <c r="J104" s="1240"/>
      <c r="K104" s="1549"/>
      <c r="L104" s="1543"/>
      <c r="M104" s="1282"/>
      <c r="N104" s="1675"/>
      <c r="O104" s="1539"/>
      <c r="P104" s="1539"/>
      <c r="Q104" s="1538"/>
      <c r="R104" s="1729"/>
      <c r="S104" s="1181"/>
      <c r="T104" s="1184"/>
      <c r="U104" s="1184"/>
      <c r="V104" s="1442"/>
      <c r="W104" s="993"/>
      <c r="X104" s="996"/>
      <c r="Y104" s="1295"/>
      <c r="Z104" s="1292"/>
      <c r="AA104" s="1292"/>
      <c r="AB104" s="1292"/>
      <c r="AC104" s="1292"/>
      <c r="AD104" s="1304"/>
      <c r="AE104" s="1738"/>
      <c r="AF104" s="1541"/>
      <c r="AG104" s="1184"/>
      <c r="AH104" s="1184"/>
      <c r="AI104" s="1442"/>
      <c r="AJ104" s="993"/>
      <c r="AK104" s="996"/>
      <c r="AL104" s="1295"/>
      <c r="AM104" s="1292"/>
      <c r="AN104" s="1292"/>
      <c r="AO104" s="1292"/>
      <c r="AP104" s="1292"/>
      <c r="AQ104" s="1289"/>
      <c r="AR104" s="1738"/>
      <c r="AS104" s="1181"/>
      <c r="AT104" s="1184"/>
      <c r="AU104" s="1184"/>
      <c r="AV104" s="1442"/>
      <c r="AW104" s="1189"/>
      <c r="AX104" s="996"/>
      <c r="AY104" s="1295"/>
      <c r="AZ104" s="1292"/>
      <c r="BA104" s="1292"/>
      <c r="BB104" s="1292"/>
      <c r="BC104" s="1292"/>
      <c r="BD104" s="1289"/>
      <c r="BE104" s="1738"/>
      <c r="BF104" s="1453"/>
      <c r="BG104" s="1422"/>
      <c r="BH104" s="1422"/>
      <c r="BI104" s="1715"/>
      <c r="BJ104" s="1189"/>
      <c r="BK104" s="996"/>
      <c r="BL104" s="1339"/>
      <c r="BM104" s="1709"/>
      <c r="BN104" s="1709"/>
      <c r="BO104" s="1709"/>
      <c r="BP104" s="1709"/>
      <c r="BQ104" s="1289"/>
      <c r="BR104" s="1738"/>
      <c r="BS104" s="1687"/>
      <c r="BT104" s="1023"/>
      <c r="BU104" s="1289"/>
      <c r="BV104" s="1289"/>
      <c r="BW104" s="1741"/>
      <c r="BX104" s="1126"/>
      <c r="BY104" s="1703"/>
      <c r="BZ104" s="1126"/>
      <c r="CA104" s="1703"/>
      <c r="CB104" s="1126"/>
      <c r="CC104" s="1703"/>
      <c r="CD104" s="1126"/>
      <c r="CE104" s="1712"/>
      <c r="CF104" s="1263"/>
      <c r="CG104" s="1424"/>
    </row>
    <row r="105" spans="1:85" s="782" customFormat="1" ht="21.75" customHeight="1" x14ac:dyDescent="0.25">
      <c r="A105" s="783"/>
      <c r="B105" s="1460"/>
      <c r="C105" s="1462"/>
      <c r="D105" s="1464"/>
      <c r="E105" s="1468"/>
      <c r="F105" s="1467"/>
      <c r="G105" s="1215"/>
      <c r="H105" s="1097"/>
      <c r="I105" s="1097"/>
      <c r="J105" s="1240"/>
      <c r="K105" s="1549"/>
      <c r="L105" s="1543"/>
      <c r="M105" s="1282"/>
      <c r="N105" s="1675"/>
      <c r="O105" s="1539"/>
      <c r="P105" s="1539"/>
      <c r="Q105" s="1538"/>
      <c r="R105" s="1729"/>
      <c r="S105" s="1181"/>
      <c r="T105" s="1184"/>
      <c r="U105" s="1184"/>
      <c r="V105" s="1442"/>
      <c r="W105" s="993"/>
      <c r="X105" s="996"/>
      <c r="Y105" s="1295"/>
      <c r="Z105" s="1292"/>
      <c r="AA105" s="1292"/>
      <c r="AB105" s="1292"/>
      <c r="AC105" s="1292"/>
      <c r="AD105" s="1304"/>
      <c r="AE105" s="1738"/>
      <c r="AF105" s="1541"/>
      <c r="AG105" s="1184"/>
      <c r="AH105" s="1184"/>
      <c r="AI105" s="1442"/>
      <c r="AJ105" s="993"/>
      <c r="AK105" s="996"/>
      <c r="AL105" s="1295"/>
      <c r="AM105" s="1292"/>
      <c r="AN105" s="1292"/>
      <c r="AO105" s="1292"/>
      <c r="AP105" s="1292"/>
      <c r="AQ105" s="1289"/>
      <c r="AR105" s="1738"/>
      <c r="AS105" s="1181"/>
      <c r="AT105" s="1184"/>
      <c r="AU105" s="1184"/>
      <c r="AV105" s="1442"/>
      <c r="AW105" s="1189"/>
      <c r="AX105" s="996"/>
      <c r="AY105" s="1295"/>
      <c r="AZ105" s="1292"/>
      <c r="BA105" s="1292"/>
      <c r="BB105" s="1292"/>
      <c r="BC105" s="1292"/>
      <c r="BD105" s="1289"/>
      <c r="BE105" s="1738"/>
      <c r="BF105" s="1453"/>
      <c r="BG105" s="1422"/>
      <c r="BH105" s="1422"/>
      <c r="BI105" s="1715"/>
      <c r="BJ105" s="1189"/>
      <c r="BK105" s="996"/>
      <c r="BL105" s="1339"/>
      <c r="BM105" s="1709"/>
      <c r="BN105" s="1709"/>
      <c r="BO105" s="1709"/>
      <c r="BP105" s="1709"/>
      <c r="BQ105" s="1289"/>
      <c r="BR105" s="1738"/>
      <c r="BS105" s="1687"/>
      <c r="BT105" s="1023"/>
      <c r="BU105" s="1289"/>
      <c r="BV105" s="1289"/>
      <c r="BW105" s="1741"/>
      <c r="BX105" s="1126"/>
      <c r="BY105" s="1703">
        <f>IFERROR(BM105/M105,0)</f>
        <v>0</v>
      </c>
      <c r="BZ105" s="1126"/>
      <c r="CA105" s="1703"/>
      <c r="CB105" s="1126"/>
      <c r="CC105" s="1703">
        <f>IFERROR(#REF!/M105,0)</f>
        <v>0</v>
      </c>
      <c r="CD105" s="1126"/>
      <c r="CE105" s="1712"/>
      <c r="CF105" s="1263"/>
      <c r="CG105" s="1424"/>
    </row>
    <row r="106" spans="1:85" s="782" customFormat="1" ht="21.75" customHeight="1" x14ac:dyDescent="0.25">
      <c r="A106" s="783"/>
      <c r="B106" s="1460"/>
      <c r="C106" s="1462"/>
      <c r="D106" s="1464"/>
      <c r="E106" s="1468"/>
      <c r="F106" s="1467"/>
      <c r="G106" s="1215"/>
      <c r="H106" s="1097"/>
      <c r="I106" s="1097"/>
      <c r="J106" s="1240"/>
      <c r="K106" s="1549"/>
      <c r="L106" s="1543"/>
      <c r="M106" s="1282"/>
      <c r="N106" s="1675"/>
      <c r="O106" s="1539"/>
      <c r="P106" s="1539"/>
      <c r="Q106" s="1538"/>
      <c r="R106" s="1729"/>
      <c r="S106" s="1181"/>
      <c r="T106" s="1184"/>
      <c r="U106" s="1184"/>
      <c r="V106" s="1442"/>
      <c r="W106" s="993"/>
      <c r="X106" s="996" t="s">
        <v>197</v>
      </c>
      <c r="Y106" s="1295"/>
      <c r="Z106" s="1292"/>
      <c r="AA106" s="1292"/>
      <c r="AB106" s="1292"/>
      <c r="AC106" s="1292"/>
      <c r="AD106" s="1304"/>
      <c r="AE106" s="1738"/>
      <c r="AF106" s="1541"/>
      <c r="AG106" s="1184"/>
      <c r="AH106" s="1184"/>
      <c r="AI106" s="1442"/>
      <c r="AJ106" s="993"/>
      <c r="AK106" s="996" t="s">
        <v>197</v>
      </c>
      <c r="AL106" s="1295"/>
      <c r="AM106" s="1292"/>
      <c r="AN106" s="1292"/>
      <c r="AO106" s="1292"/>
      <c r="AP106" s="1292"/>
      <c r="AQ106" s="1289"/>
      <c r="AR106" s="1738"/>
      <c r="AS106" s="1181"/>
      <c r="AT106" s="1184"/>
      <c r="AU106" s="1184"/>
      <c r="AV106" s="1442"/>
      <c r="AW106" s="993"/>
      <c r="AX106" s="996" t="s">
        <v>197</v>
      </c>
      <c r="AY106" s="1295" t="s">
        <v>581</v>
      </c>
      <c r="AZ106" s="1292"/>
      <c r="BA106" s="1292"/>
      <c r="BB106" s="1292"/>
      <c r="BC106" s="1292"/>
      <c r="BD106" s="1289"/>
      <c r="BE106" s="1738"/>
      <c r="BF106" s="1453"/>
      <c r="BG106" s="1422"/>
      <c r="BH106" s="1422"/>
      <c r="BI106" s="1715"/>
      <c r="BJ106" s="993"/>
      <c r="BK106" s="996" t="s">
        <v>197</v>
      </c>
      <c r="BL106" s="1339"/>
      <c r="BM106" s="1709"/>
      <c r="BN106" s="1709"/>
      <c r="BO106" s="1709"/>
      <c r="BP106" s="1709"/>
      <c r="BQ106" s="1289"/>
      <c r="BR106" s="1738"/>
      <c r="BS106" s="1687"/>
      <c r="BT106" s="1023"/>
      <c r="BU106" s="1289"/>
      <c r="BV106" s="1289"/>
      <c r="BW106" s="1741"/>
      <c r="BX106" s="1127"/>
      <c r="BY106" s="1703">
        <f>IFERROR(BM106/M106,0)</f>
        <v>0</v>
      </c>
      <c r="BZ106" s="1127"/>
      <c r="CA106" s="1703">
        <f t="shared" si="0"/>
        <v>0</v>
      </c>
      <c r="CB106" s="1127"/>
      <c r="CC106" s="1703">
        <f>IFERROR(#REF!/M106,0)</f>
        <v>0</v>
      </c>
      <c r="CD106" s="1127"/>
      <c r="CE106" s="1712"/>
      <c r="CF106" s="1263"/>
      <c r="CG106" s="1424"/>
    </row>
    <row r="107" spans="1:85" s="782" customFormat="1" ht="21.75" customHeight="1" x14ac:dyDescent="0.25">
      <c r="A107" s="783"/>
      <c r="B107" s="1460"/>
      <c r="C107" s="1462"/>
      <c r="D107" s="1464"/>
      <c r="E107" s="1468"/>
      <c r="F107" s="1467"/>
      <c r="G107" s="1215"/>
      <c r="H107" s="1097"/>
      <c r="I107" s="1097"/>
      <c r="J107" s="1240"/>
      <c r="K107" s="1549"/>
      <c r="L107" s="1543"/>
      <c r="M107" s="1282"/>
      <c r="N107" s="1675"/>
      <c r="O107" s="1539"/>
      <c r="P107" s="1539"/>
      <c r="Q107" s="1538"/>
      <c r="R107" s="1729"/>
      <c r="S107" s="1181"/>
      <c r="T107" s="1184"/>
      <c r="U107" s="1184"/>
      <c r="V107" s="1442"/>
      <c r="W107" s="993"/>
      <c r="X107" s="996"/>
      <c r="Y107" s="1295"/>
      <c r="Z107" s="1292"/>
      <c r="AA107" s="1292"/>
      <c r="AB107" s="1292"/>
      <c r="AC107" s="1292"/>
      <c r="AD107" s="1304"/>
      <c r="AE107" s="1738"/>
      <c r="AF107" s="1541"/>
      <c r="AG107" s="1184"/>
      <c r="AH107" s="1184"/>
      <c r="AI107" s="1442"/>
      <c r="AJ107" s="993"/>
      <c r="AK107" s="996"/>
      <c r="AL107" s="1295"/>
      <c r="AM107" s="1292"/>
      <c r="AN107" s="1292"/>
      <c r="AO107" s="1292"/>
      <c r="AP107" s="1292"/>
      <c r="AQ107" s="1289"/>
      <c r="AR107" s="1738"/>
      <c r="AS107" s="1181"/>
      <c r="AT107" s="1184"/>
      <c r="AU107" s="1184"/>
      <c r="AV107" s="1442"/>
      <c r="AW107" s="993"/>
      <c r="AX107" s="996"/>
      <c r="AY107" s="1295"/>
      <c r="AZ107" s="1292"/>
      <c r="BA107" s="1292"/>
      <c r="BB107" s="1292"/>
      <c r="BC107" s="1292"/>
      <c r="BD107" s="1289"/>
      <c r="BE107" s="1738"/>
      <c r="BF107" s="1453"/>
      <c r="BG107" s="1422"/>
      <c r="BH107" s="1422"/>
      <c r="BI107" s="1715"/>
      <c r="BJ107" s="993"/>
      <c r="BK107" s="996"/>
      <c r="BL107" s="1339"/>
      <c r="BM107" s="1709"/>
      <c r="BN107" s="1709"/>
      <c r="BO107" s="1709"/>
      <c r="BP107" s="1709"/>
      <c r="BQ107" s="1289"/>
      <c r="BR107" s="1738"/>
      <c r="BS107" s="1687"/>
      <c r="BT107" s="1023"/>
      <c r="BU107" s="1289"/>
      <c r="BV107" s="1289"/>
      <c r="BW107" s="1741"/>
      <c r="BX107" s="1127"/>
      <c r="BY107" s="1703">
        <f>IFERROR(BM107/M107,0)</f>
        <v>0</v>
      </c>
      <c r="BZ107" s="1127"/>
      <c r="CA107" s="1703">
        <f t="shared" si="0"/>
        <v>0</v>
      </c>
      <c r="CB107" s="1127"/>
      <c r="CC107" s="1703">
        <f>IFERROR(#REF!/M107,0)</f>
        <v>0</v>
      </c>
      <c r="CD107" s="1127"/>
      <c r="CE107" s="1712"/>
      <c r="CF107" s="1263"/>
      <c r="CG107" s="1424"/>
    </row>
    <row r="108" spans="1:85" s="782" customFormat="1" ht="15.75" customHeight="1" x14ac:dyDescent="0.25">
      <c r="A108" s="783"/>
      <c r="B108" s="1460"/>
      <c r="C108" s="1462"/>
      <c r="D108" s="1464"/>
      <c r="E108" s="1468"/>
      <c r="F108" s="1467"/>
      <c r="G108" s="1215"/>
      <c r="H108" s="1097"/>
      <c r="I108" s="1097"/>
      <c r="J108" s="1240"/>
      <c r="K108" s="1549"/>
      <c r="L108" s="1543"/>
      <c r="M108" s="1282"/>
      <c r="N108" s="1675"/>
      <c r="O108" s="1539"/>
      <c r="P108" s="1539"/>
      <c r="Q108" s="1538"/>
      <c r="R108" s="1729"/>
      <c r="S108" s="1181"/>
      <c r="T108" s="1184"/>
      <c r="U108" s="1184"/>
      <c r="V108" s="1442"/>
      <c r="W108" s="993"/>
      <c r="X108" s="996"/>
      <c r="Y108" s="1295"/>
      <c r="Z108" s="1292"/>
      <c r="AA108" s="1292"/>
      <c r="AB108" s="1292"/>
      <c r="AC108" s="1292"/>
      <c r="AD108" s="1304"/>
      <c r="AE108" s="1738"/>
      <c r="AF108" s="1541"/>
      <c r="AG108" s="1184"/>
      <c r="AH108" s="1184"/>
      <c r="AI108" s="1442"/>
      <c r="AJ108" s="993"/>
      <c r="AK108" s="996"/>
      <c r="AL108" s="1295"/>
      <c r="AM108" s="1292"/>
      <c r="AN108" s="1292"/>
      <c r="AO108" s="1292"/>
      <c r="AP108" s="1292"/>
      <c r="AQ108" s="1289"/>
      <c r="AR108" s="1738"/>
      <c r="AS108" s="1181"/>
      <c r="AT108" s="1184"/>
      <c r="AU108" s="1184"/>
      <c r="AV108" s="1442"/>
      <c r="AW108" s="993"/>
      <c r="AX108" s="996"/>
      <c r="AY108" s="1295"/>
      <c r="AZ108" s="1292"/>
      <c r="BA108" s="1292"/>
      <c r="BB108" s="1292"/>
      <c r="BC108" s="1292"/>
      <c r="BD108" s="1289"/>
      <c r="BE108" s="1738"/>
      <c r="BF108" s="1453"/>
      <c r="BG108" s="1422"/>
      <c r="BH108" s="1422"/>
      <c r="BI108" s="1715"/>
      <c r="BJ108" s="993"/>
      <c r="BK108" s="996"/>
      <c r="BL108" s="1339"/>
      <c r="BM108" s="1709"/>
      <c r="BN108" s="1709"/>
      <c r="BO108" s="1709"/>
      <c r="BP108" s="1709"/>
      <c r="BQ108" s="1289"/>
      <c r="BR108" s="1738"/>
      <c r="BS108" s="1687"/>
      <c r="BT108" s="1023"/>
      <c r="BU108" s="1289"/>
      <c r="BV108" s="1289"/>
      <c r="BW108" s="1741"/>
      <c r="BX108" s="1127"/>
      <c r="BY108" s="1703"/>
      <c r="BZ108" s="1127"/>
      <c r="CA108" s="1703">
        <f t="shared" si="0"/>
        <v>0</v>
      </c>
      <c r="CB108" s="1127"/>
      <c r="CC108" s="1703"/>
      <c r="CD108" s="1127"/>
      <c r="CE108" s="1712"/>
      <c r="CF108" s="1263"/>
      <c r="CG108" s="1424"/>
    </row>
    <row r="109" spans="1:85" s="782" customFormat="1" ht="16.5" customHeight="1" thickBot="1" x14ac:dyDescent="0.3">
      <c r="A109" s="783"/>
      <c r="B109" s="1461"/>
      <c r="C109" s="1463"/>
      <c r="D109" s="1465"/>
      <c r="E109" s="1563"/>
      <c r="F109" s="1562"/>
      <c r="G109" s="1216"/>
      <c r="H109" s="1098"/>
      <c r="I109" s="1098"/>
      <c r="J109" s="1241"/>
      <c r="K109" s="1550"/>
      <c r="L109" s="1544"/>
      <c r="M109" s="1283"/>
      <c r="N109" s="1676"/>
      <c r="O109" s="1540"/>
      <c r="P109" s="1540"/>
      <c r="Q109" s="1670"/>
      <c r="R109" s="1730"/>
      <c r="S109" s="1277"/>
      <c r="T109" s="1278"/>
      <c r="U109" s="1278"/>
      <c r="V109" s="1485"/>
      <c r="W109" s="994"/>
      <c r="X109" s="1068"/>
      <c r="Y109" s="1296"/>
      <c r="Z109" s="1293"/>
      <c r="AA109" s="1293"/>
      <c r="AB109" s="1293"/>
      <c r="AC109" s="1293"/>
      <c r="AD109" s="1305"/>
      <c r="AE109" s="1739"/>
      <c r="AF109" s="1673"/>
      <c r="AG109" s="1278"/>
      <c r="AH109" s="1278"/>
      <c r="AI109" s="1485"/>
      <c r="AJ109" s="994"/>
      <c r="AK109" s="1068"/>
      <c r="AL109" s="1296"/>
      <c r="AM109" s="1293"/>
      <c r="AN109" s="1293"/>
      <c r="AO109" s="1293"/>
      <c r="AP109" s="1293"/>
      <c r="AQ109" s="1290"/>
      <c r="AR109" s="1739"/>
      <c r="AS109" s="1277"/>
      <c r="AT109" s="1278"/>
      <c r="AU109" s="1278"/>
      <c r="AV109" s="1485"/>
      <c r="AW109" s="994"/>
      <c r="AX109" s="1068"/>
      <c r="AY109" s="1296"/>
      <c r="AZ109" s="1293"/>
      <c r="BA109" s="1293"/>
      <c r="BB109" s="1293"/>
      <c r="BC109" s="1293"/>
      <c r="BD109" s="1290"/>
      <c r="BE109" s="1739"/>
      <c r="BF109" s="1454"/>
      <c r="BG109" s="1451"/>
      <c r="BH109" s="1451"/>
      <c r="BI109" s="1716"/>
      <c r="BJ109" s="993"/>
      <c r="BK109" s="1068"/>
      <c r="BL109" s="1340"/>
      <c r="BM109" s="1710"/>
      <c r="BN109" s="1710"/>
      <c r="BO109" s="1710"/>
      <c r="BP109" s="1710"/>
      <c r="BQ109" s="1290"/>
      <c r="BR109" s="1739"/>
      <c r="BS109" s="1722"/>
      <c r="BT109" s="1024"/>
      <c r="BU109" s="1290"/>
      <c r="BV109" s="1290"/>
      <c r="BW109" s="1742"/>
      <c r="BX109" s="1128"/>
      <c r="BY109" s="1705">
        <f>IFERROR(BM109/M109,0)</f>
        <v>0</v>
      </c>
      <c r="BZ109" s="1128"/>
      <c r="CA109" s="1705">
        <f t="shared" si="0"/>
        <v>0</v>
      </c>
      <c r="CB109" s="1128"/>
      <c r="CC109" s="1705">
        <f>IFERROR(#REF!/M109,0)</f>
        <v>0</v>
      </c>
      <c r="CD109" s="1128"/>
      <c r="CE109" s="1713"/>
      <c r="CF109" s="1264"/>
      <c r="CG109" s="1425"/>
    </row>
    <row r="110" spans="1:85" s="778" customFormat="1" ht="24" customHeight="1" thickBot="1" x14ac:dyDescent="0.35">
      <c r="A110" s="777"/>
      <c r="B110" s="1684"/>
      <c r="C110" s="1684"/>
      <c r="D110" s="1684"/>
      <c r="E110" s="1684"/>
      <c r="F110" s="1684"/>
      <c r="G110" s="1684"/>
      <c r="H110" s="1684"/>
      <c r="I110" s="1684"/>
      <c r="J110" s="1684"/>
      <c r="K110" s="1684"/>
      <c r="L110" s="1684"/>
      <c r="M110" s="1684"/>
      <c r="N110" s="1684"/>
      <c r="O110" s="1684"/>
      <c r="P110" s="1684"/>
      <c r="Q110" s="1684"/>
      <c r="R110" s="1684"/>
      <c r="S110" s="1684"/>
      <c r="T110" s="1684"/>
      <c r="U110" s="1684"/>
      <c r="V110" s="1684"/>
      <c r="W110" s="1684"/>
      <c r="X110" s="1684"/>
      <c r="Y110" s="1684"/>
      <c r="Z110" s="1684"/>
      <c r="AA110" s="1684"/>
      <c r="AB110" s="1684"/>
      <c r="AC110" s="1684"/>
      <c r="AD110" s="1684"/>
      <c r="AE110" s="1684"/>
      <c r="AF110" s="1684"/>
      <c r="AG110" s="1684"/>
      <c r="AH110" s="1684"/>
      <c r="AI110" s="1684"/>
      <c r="AJ110" s="1684"/>
      <c r="AK110" s="1684"/>
      <c r="AL110" s="1684"/>
      <c r="AM110" s="1684"/>
      <c r="AN110" s="1684"/>
      <c r="AO110" s="1684"/>
      <c r="AP110" s="1684"/>
      <c r="AQ110" s="1684"/>
      <c r="AR110" s="1684"/>
      <c r="AS110" s="1684"/>
      <c r="AT110" s="1684"/>
      <c r="AU110" s="1684"/>
      <c r="AV110" s="1684"/>
      <c r="AW110" s="1684"/>
      <c r="AX110" s="1684"/>
      <c r="AY110" s="1684"/>
      <c r="AZ110" s="1684"/>
      <c r="BA110" s="1684"/>
      <c r="BB110" s="1684"/>
      <c r="BC110" s="1684"/>
      <c r="BD110" s="1684"/>
      <c r="BE110" s="1684"/>
      <c r="BF110" s="1684"/>
      <c r="BG110" s="1684"/>
      <c r="BH110" s="1684"/>
      <c r="BI110" s="1684"/>
      <c r="BJ110" s="1684"/>
      <c r="BK110" s="1684"/>
      <c r="BL110" s="1684"/>
      <c r="BM110" s="1684"/>
      <c r="BN110" s="1684"/>
      <c r="BO110" s="1684"/>
      <c r="BP110" s="1684"/>
      <c r="BQ110" s="1684"/>
      <c r="BR110" s="1684"/>
      <c r="BS110" s="1684"/>
      <c r="BT110" s="1684"/>
      <c r="BU110" s="1684"/>
      <c r="BV110" s="1684"/>
      <c r="BW110" s="1684"/>
      <c r="BX110" s="1684"/>
      <c r="BY110" s="1684"/>
      <c r="BZ110" s="1684"/>
      <c r="CA110" s="1684"/>
      <c r="CB110" s="1684"/>
      <c r="CC110" s="1684"/>
      <c r="CD110" s="1684"/>
      <c r="CE110" s="1684"/>
      <c r="CF110" s="1684"/>
      <c r="CG110" s="1684"/>
    </row>
    <row r="111" spans="1:85" s="204" customFormat="1" ht="57" customHeight="1" thickBot="1" x14ac:dyDescent="0.35">
      <c r="A111" s="203"/>
      <c r="B111" s="1105" t="s">
        <v>178</v>
      </c>
      <c r="C111" s="1106"/>
      <c r="D111" s="1106"/>
      <c r="E111" s="1106"/>
      <c r="F111" s="1106"/>
      <c r="G111" s="1106"/>
      <c r="H111" s="1106"/>
      <c r="I111" s="1106"/>
      <c r="J111" s="1106"/>
      <c r="K111" s="1106"/>
      <c r="L111" s="1106"/>
      <c r="M111" s="1106"/>
      <c r="N111" s="1106"/>
      <c r="O111" s="1106"/>
      <c r="P111" s="1106"/>
      <c r="Q111" s="1725"/>
      <c r="R111" s="1728"/>
      <c r="S111" s="1726" t="s">
        <v>207</v>
      </c>
      <c r="T111" s="1086"/>
      <c r="U111" s="1086"/>
      <c r="V111" s="1086"/>
      <c r="W111" s="1086"/>
      <c r="X111" s="1086"/>
      <c r="Y111" s="1086"/>
      <c r="Z111" s="1086"/>
      <c r="AA111" s="1086"/>
      <c r="AB111" s="1086"/>
      <c r="AC111" s="1086"/>
      <c r="AD111" s="1086"/>
      <c r="AE111" s="1086"/>
      <c r="AF111" s="1086"/>
      <c r="AG111" s="1086"/>
      <c r="AH111" s="1086"/>
      <c r="AI111" s="1086"/>
      <c r="AJ111" s="1086"/>
      <c r="AK111" s="1086"/>
      <c r="AL111" s="1086"/>
      <c r="AM111" s="1086"/>
      <c r="AN111" s="1086"/>
      <c r="AO111" s="1086"/>
      <c r="AP111" s="1086"/>
      <c r="AQ111" s="1086"/>
      <c r="AR111" s="1086"/>
      <c r="AS111" s="1086"/>
      <c r="AT111" s="1086"/>
      <c r="AU111" s="1086"/>
      <c r="AV111" s="1086"/>
      <c r="AW111" s="1086"/>
      <c r="AX111" s="1086"/>
      <c r="AY111" s="1086"/>
      <c r="AZ111" s="1086"/>
      <c r="BA111" s="1086"/>
      <c r="BB111" s="1086"/>
      <c r="BC111" s="1086"/>
      <c r="BD111" s="1086"/>
      <c r="BE111" s="1086"/>
      <c r="BF111" s="1086"/>
      <c r="BG111" s="1086"/>
      <c r="BH111" s="1086"/>
      <c r="BI111" s="1086"/>
      <c r="BJ111" s="1086"/>
      <c r="BK111" s="1086"/>
      <c r="BL111" s="1086"/>
      <c r="BM111" s="1086"/>
      <c r="BN111" s="1086"/>
      <c r="BO111" s="1086"/>
      <c r="BP111" s="1086"/>
      <c r="BQ111" s="1086"/>
      <c r="BR111" s="1086"/>
      <c r="BS111" s="1086"/>
      <c r="BT111" s="1086"/>
      <c r="BU111" s="1086"/>
      <c r="BV111" s="1727"/>
      <c r="BW111" s="1740"/>
      <c r="BX111" s="1733" t="s">
        <v>179</v>
      </c>
      <c r="BY111" s="1734"/>
      <c r="BZ111" s="1734"/>
      <c r="CA111" s="1734"/>
      <c r="CB111" s="1734"/>
      <c r="CC111" s="1734"/>
      <c r="CD111" s="1734"/>
      <c r="CE111" s="1734"/>
      <c r="CF111" s="1734"/>
      <c r="CG111" s="1735"/>
    </row>
    <row r="112" spans="1:85" s="801" customFormat="1" ht="29.25" customHeight="1" thickBot="1" x14ac:dyDescent="0.35">
      <c r="A112" s="800"/>
      <c r="B112" s="1115" t="s">
        <v>28</v>
      </c>
      <c r="C112" s="1117" t="s">
        <v>1</v>
      </c>
      <c r="D112" s="1119" t="s">
        <v>2</v>
      </c>
      <c r="E112" s="1085" t="s">
        <v>3</v>
      </c>
      <c r="F112" s="1082"/>
      <c r="G112" s="1085" t="s">
        <v>4</v>
      </c>
      <c r="H112" s="1070"/>
      <c r="I112" s="1070"/>
      <c r="J112" s="1082"/>
      <c r="K112" s="1085" t="s">
        <v>201</v>
      </c>
      <c r="L112" s="1070"/>
      <c r="M112" s="1070"/>
      <c r="N112" s="1070"/>
      <c r="O112" s="1070"/>
      <c r="P112" s="1070"/>
      <c r="Q112" s="1082"/>
      <c r="R112" s="1729"/>
      <c r="S112" s="1087" t="s">
        <v>5</v>
      </c>
      <c r="T112" s="1087"/>
      <c r="U112" s="1087"/>
      <c r="V112" s="1087"/>
      <c r="W112" s="1087"/>
      <c r="X112" s="1087"/>
      <c r="Y112" s="1087"/>
      <c r="Z112" s="1087"/>
      <c r="AA112" s="1087"/>
      <c r="AB112" s="1087"/>
      <c r="AC112" s="1087"/>
      <c r="AD112" s="1087"/>
      <c r="AE112" s="1087"/>
      <c r="AF112" s="1087"/>
      <c r="AG112" s="1087"/>
      <c r="AH112" s="1087"/>
      <c r="AI112" s="1087"/>
      <c r="AJ112" s="1087"/>
      <c r="AK112" s="1087"/>
      <c r="AL112" s="1087"/>
      <c r="AM112" s="1087"/>
      <c r="AN112" s="1087"/>
      <c r="AO112" s="1087"/>
      <c r="AP112" s="1087"/>
      <c r="AQ112" s="1087"/>
      <c r="AR112" s="1087"/>
      <c r="AS112" s="1087"/>
      <c r="AT112" s="1087"/>
      <c r="AU112" s="1087"/>
      <c r="AV112" s="1087"/>
      <c r="AW112" s="1087"/>
      <c r="AX112" s="1087"/>
      <c r="AY112" s="1087"/>
      <c r="AZ112" s="1087"/>
      <c r="BA112" s="1087"/>
      <c r="BB112" s="1087"/>
      <c r="BC112" s="1087"/>
      <c r="BD112" s="1087"/>
      <c r="BE112" s="1087"/>
      <c r="BF112" s="1087"/>
      <c r="BG112" s="1087"/>
      <c r="BH112" s="1087"/>
      <c r="BI112" s="1087"/>
      <c r="BJ112" s="1087"/>
      <c r="BK112" s="1087"/>
      <c r="BL112" s="1087"/>
      <c r="BM112" s="1087"/>
      <c r="BN112" s="1087"/>
      <c r="BO112" s="1087"/>
      <c r="BP112" s="1087"/>
      <c r="BQ112" s="1087"/>
      <c r="BR112" s="1087"/>
      <c r="BS112" s="1087"/>
      <c r="BT112" s="1087"/>
      <c r="BU112" s="1087"/>
      <c r="BV112" s="1087"/>
      <c r="BW112" s="1741"/>
      <c r="BX112" s="1036" t="s">
        <v>7</v>
      </c>
      <c r="BY112" s="1036"/>
      <c r="BZ112" s="1036"/>
      <c r="CA112" s="1036"/>
      <c r="CB112" s="1036"/>
      <c r="CC112" s="1036"/>
      <c r="CD112" s="1036"/>
      <c r="CE112" s="1036"/>
      <c r="CF112" s="1036"/>
      <c r="CG112" s="1037"/>
    </row>
    <row r="113" spans="1:85" s="801" customFormat="1" ht="39" customHeight="1" thickBot="1" x14ac:dyDescent="0.3">
      <c r="A113" s="800"/>
      <c r="B113" s="1116"/>
      <c r="C113" s="1118"/>
      <c r="D113" s="1120"/>
      <c r="E113" s="1123"/>
      <c r="F113" s="1094"/>
      <c r="G113" s="1095"/>
      <c r="H113" s="1075"/>
      <c r="I113" s="1075"/>
      <c r="J113" s="1084"/>
      <c r="K113" s="1095"/>
      <c r="L113" s="1075"/>
      <c r="M113" s="1075"/>
      <c r="N113" s="1075"/>
      <c r="O113" s="1075"/>
      <c r="P113" s="1075"/>
      <c r="Q113" s="1084"/>
      <c r="R113" s="1729"/>
      <c r="S113" s="1071">
        <v>2017</v>
      </c>
      <c r="T113" s="1071"/>
      <c r="U113" s="1071"/>
      <c r="V113" s="1071"/>
      <c r="W113" s="1071"/>
      <c r="X113" s="1071"/>
      <c r="Y113" s="1071"/>
      <c r="Z113" s="1071"/>
      <c r="AA113" s="1071"/>
      <c r="AB113" s="1071"/>
      <c r="AC113" s="1071"/>
      <c r="AD113" s="1071"/>
      <c r="AE113" s="1756"/>
      <c r="AF113" s="1071">
        <v>2018</v>
      </c>
      <c r="AG113" s="1071"/>
      <c r="AH113" s="1071"/>
      <c r="AI113" s="1071"/>
      <c r="AJ113" s="1071"/>
      <c r="AK113" s="1071"/>
      <c r="AL113" s="1071"/>
      <c r="AM113" s="1070"/>
      <c r="AN113" s="1070"/>
      <c r="AO113" s="1070"/>
      <c r="AP113" s="1070"/>
      <c r="AQ113" s="1070"/>
      <c r="AR113" s="1756"/>
      <c r="AS113" s="1070">
        <v>2019</v>
      </c>
      <c r="AT113" s="1070"/>
      <c r="AU113" s="1070"/>
      <c r="AV113" s="1070"/>
      <c r="AW113" s="1070"/>
      <c r="AX113" s="1071"/>
      <c r="AY113" s="1071"/>
      <c r="AZ113" s="1070"/>
      <c r="BA113" s="1070"/>
      <c r="BB113" s="1070"/>
      <c r="BC113" s="1070"/>
      <c r="BD113" s="1070"/>
      <c r="BE113" s="1756"/>
      <c r="BF113" s="1070">
        <v>2020</v>
      </c>
      <c r="BG113" s="1070"/>
      <c r="BH113" s="1070"/>
      <c r="BI113" s="1070"/>
      <c r="BJ113" s="1070"/>
      <c r="BK113" s="1071"/>
      <c r="BL113" s="1071"/>
      <c r="BM113" s="1070"/>
      <c r="BN113" s="1070"/>
      <c r="BO113" s="1070"/>
      <c r="BP113" s="1070"/>
      <c r="BQ113" s="1070"/>
      <c r="BR113" s="1756"/>
      <c r="BS113" s="1082" t="s">
        <v>6</v>
      </c>
      <c r="BT113" s="1071" t="s">
        <v>206</v>
      </c>
      <c r="BU113" s="1071"/>
      <c r="BV113" s="1071"/>
      <c r="BW113" s="1741"/>
      <c r="BX113" s="773" t="s">
        <v>9</v>
      </c>
      <c r="BY113" s="773"/>
      <c r="BZ113" s="773"/>
      <c r="CA113" s="773"/>
      <c r="CB113" s="773"/>
      <c r="CC113" s="774"/>
      <c r="CD113" s="773"/>
      <c r="CE113" s="773"/>
      <c r="CF113" s="775" t="s">
        <v>10</v>
      </c>
      <c r="CG113" s="776"/>
    </row>
    <row r="114" spans="1:85" s="801" customFormat="1" ht="33" customHeight="1" thickBot="1" x14ac:dyDescent="0.3">
      <c r="A114" s="800"/>
      <c r="B114" s="1116"/>
      <c r="C114" s="1118"/>
      <c r="D114" s="1120"/>
      <c r="E114" s="1123"/>
      <c r="F114" s="1094"/>
      <c r="G114" s="1115">
        <v>2017</v>
      </c>
      <c r="H114" s="1117">
        <v>2018</v>
      </c>
      <c r="I114" s="1119">
        <v>2019</v>
      </c>
      <c r="J114" s="1121">
        <v>2020</v>
      </c>
      <c r="K114" s="787" t="s">
        <v>19</v>
      </c>
      <c r="L114" s="1115" t="s">
        <v>199</v>
      </c>
      <c r="M114" s="1119" t="s">
        <v>198</v>
      </c>
      <c r="N114" s="1629" t="s">
        <v>9</v>
      </c>
      <c r="O114" s="1080"/>
      <c r="P114" s="1080"/>
      <c r="Q114" s="1724"/>
      <c r="R114" s="1729"/>
      <c r="S114" s="1080" t="s">
        <v>202</v>
      </c>
      <c r="T114" s="1080"/>
      <c r="U114" s="1080"/>
      <c r="V114" s="1080"/>
      <c r="W114" s="1072"/>
      <c r="X114" s="1081" t="s">
        <v>200</v>
      </c>
      <c r="Y114" s="1082"/>
      <c r="Z114" s="1085" t="s">
        <v>203</v>
      </c>
      <c r="AA114" s="1070"/>
      <c r="AB114" s="1070"/>
      <c r="AC114" s="1070"/>
      <c r="AD114" s="1070"/>
      <c r="AE114" s="1757"/>
      <c r="AF114" s="1080" t="s">
        <v>202</v>
      </c>
      <c r="AG114" s="1080"/>
      <c r="AH114" s="1080"/>
      <c r="AI114" s="1080"/>
      <c r="AJ114" s="1072"/>
      <c r="AK114" s="1081" t="s">
        <v>200</v>
      </c>
      <c r="AL114" s="1070"/>
      <c r="AM114" s="1076" t="s">
        <v>203</v>
      </c>
      <c r="AN114" s="1073"/>
      <c r="AO114" s="1073"/>
      <c r="AP114" s="1073"/>
      <c r="AQ114" s="1074"/>
      <c r="AR114" s="1757"/>
      <c r="AS114" s="1076" t="s">
        <v>202</v>
      </c>
      <c r="AT114" s="1073"/>
      <c r="AU114" s="1073"/>
      <c r="AV114" s="1073"/>
      <c r="AW114" s="1074"/>
      <c r="AX114" s="1070" t="s">
        <v>200</v>
      </c>
      <c r="AY114" s="1070"/>
      <c r="AZ114" s="1076" t="s">
        <v>203</v>
      </c>
      <c r="BA114" s="1073"/>
      <c r="BB114" s="1073"/>
      <c r="BC114" s="1073"/>
      <c r="BD114" s="1074"/>
      <c r="BE114" s="1757"/>
      <c r="BF114" s="1076"/>
      <c r="BG114" s="1073"/>
      <c r="BH114" s="1073"/>
      <c r="BI114" s="1073"/>
      <c r="BJ114" s="1074"/>
      <c r="BK114" s="1070" t="s">
        <v>200</v>
      </c>
      <c r="BL114" s="1070"/>
      <c r="BM114" s="1076" t="s">
        <v>203</v>
      </c>
      <c r="BN114" s="1073"/>
      <c r="BO114" s="1073"/>
      <c r="BP114" s="1073"/>
      <c r="BQ114" s="1077"/>
      <c r="BR114" s="1757"/>
      <c r="BS114" s="1094"/>
      <c r="BT114" s="1082" t="s">
        <v>204</v>
      </c>
      <c r="BU114" s="781"/>
      <c r="BV114" s="1085" t="s">
        <v>205</v>
      </c>
      <c r="BW114" s="1741"/>
      <c r="BX114" s="1038">
        <v>2017</v>
      </c>
      <c r="BY114" s="1039"/>
      <c r="BZ114" s="1040">
        <v>2018</v>
      </c>
      <c r="CA114" s="1039"/>
      <c r="CB114" s="1040">
        <v>2019</v>
      </c>
      <c r="CC114" s="1039"/>
      <c r="CD114" s="1040">
        <v>2020</v>
      </c>
      <c r="CE114" s="1039"/>
      <c r="CF114" s="788"/>
      <c r="CG114" s="789"/>
    </row>
    <row r="115" spans="1:85" s="801" customFormat="1" ht="45.75" customHeight="1" thickBot="1" x14ac:dyDescent="0.3">
      <c r="A115" s="800"/>
      <c r="B115" s="1559"/>
      <c r="C115" s="1560"/>
      <c r="D115" s="1561"/>
      <c r="E115" s="1095"/>
      <c r="F115" s="1084"/>
      <c r="G115" s="1559"/>
      <c r="H115" s="1560"/>
      <c r="I115" s="1561"/>
      <c r="J115" s="1723"/>
      <c r="K115" s="790"/>
      <c r="L115" s="1559"/>
      <c r="M115" s="1561"/>
      <c r="N115" s="791">
        <v>2017</v>
      </c>
      <c r="O115" s="792">
        <v>2018</v>
      </c>
      <c r="P115" s="792">
        <v>2019</v>
      </c>
      <c r="Q115" s="793">
        <v>2020</v>
      </c>
      <c r="R115" s="1729"/>
      <c r="S115" s="791" t="s">
        <v>12</v>
      </c>
      <c r="T115" s="792" t="s">
        <v>13</v>
      </c>
      <c r="U115" s="792" t="s">
        <v>14</v>
      </c>
      <c r="V115" s="792" t="s">
        <v>15</v>
      </c>
      <c r="W115" s="792" t="s">
        <v>11</v>
      </c>
      <c r="X115" s="1628"/>
      <c r="Y115" s="1094"/>
      <c r="Z115" s="791" t="s">
        <v>12</v>
      </c>
      <c r="AA115" s="792" t="s">
        <v>13</v>
      </c>
      <c r="AB115" s="792" t="s">
        <v>14</v>
      </c>
      <c r="AC115" s="794" t="s">
        <v>15</v>
      </c>
      <c r="AD115" s="795" t="s">
        <v>8</v>
      </c>
      <c r="AE115" s="1757"/>
      <c r="AF115" s="791" t="s">
        <v>12</v>
      </c>
      <c r="AG115" s="792" t="s">
        <v>13</v>
      </c>
      <c r="AH115" s="792" t="s">
        <v>14</v>
      </c>
      <c r="AI115" s="792" t="s">
        <v>15</v>
      </c>
      <c r="AJ115" s="796" t="s">
        <v>8</v>
      </c>
      <c r="AK115" s="1628"/>
      <c r="AL115" s="1087"/>
      <c r="AM115" s="780" t="s">
        <v>12</v>
      </c>
      <c r="AN115" s="792" t="s">
        <v>13</v>
      </c>
      <c r="AO115" s="792" t="s">
        <v>14</v>
      </c>
      <c r="AP115" s="792" t="s">
        <v>15</v>
      </c>
      <c r="AQ115" s="794" t="s">
        <v>8</v>
      </c>
      <c r="AR115" s="1757"/>
      <c r="AS115" s="780" t="s">
        <v>12</v>
      </c>
      <c r="AT115" s="792" t="s">
        <v>13</v>
      </c>
      <c r="AU115" s="792" t="s">
        <v>14</v>
      </c>
      <c r="AV115" s="792" t="s">
        <v>15</v>
      </c>
      <c r="AW115" s="794" t="s">
        <v>8</v>
      </c>
      <c r="AX115" s="1087"/>
      <c r="AY115" s="1087"/>
      <c r="AZ115" s="780" t="s">
        <v>12</v>
      </c>
      <c r="BA115" s="792" t="s">
        <v>13</v>
      </c>
      <c r="BB115" s="792" t="s">
        <v>14</v>
      </c>
      <c r="BC115" s="792" t="s">
        <v>15</v>
      </c>
      <c r="BD115" s="794" t="s">
        <v>8</v>
      </c>
      <c r="BE115" s="1757"/>
      <c r="BF115" s="780" t="s">
        <v>12</v>
      </c>
      <c r="BG115" s="792" t="s">
        <v>13</v>
      </c>
      <c r="BH115" s="792" t="s">
        <v>14</v>
      </c>
      <c r="BI115" s="792" t="s">
        <v>15</v>
      </c>
      <c r="BJ115" s="794" t="s">
        <v>8</v>
      </c>
      <c r="BK115" s="1087"/>
      <c r="BL115" s="1087"/>
      <c r="BM115" s="780" t="s">
        <v>12</v>
      </c>
      <c r="BN115" s="792" t="s">
        <v>13</v>
      </c>
      <c r="BO115" s="792" t="s">
        <v>14</v>
      </c>
      <c r="BP115" s="792" t="s">
        <v>15</v>
      </c>
      <c r="BQ115" s="793" t="s">
        <v>8</v>
      </c>
      <c r="BR115" s="1757"/>
      <c r="BS115" s="1094"/>
      <c r="BT115" s="1094"/>
      <c r="BU115" s="779"/>
      <c r="BV115" s="1123"/>
      <c r="BW115" s="1741"/>
      <c r="BX115" s="797" t="s">
        <v>20</v>
      </c>
      <c r="BY115" s="798" t="s">
        <v>16</v>
      </c>
      <c r="BZ115" s="799" t="s">
        <v>20</v>
      </c>
      <c r="CA115" s="798" t="s">
        <v>16</v>
      </c>
      <c r="CB115" s="799" t="s">
        <v>20</v>
      </c>
      <c r="CC115" s="798" t="s">
        <v>16</v>
      </c>
      <c r="CD115" s="799" t="s">
        <v>20</v>
      </c>
      <c r="CE115" s="798" t="s">
        <v>16</v>
      </c>
      <c r="CF115" s="799" t="s">
        <v>20</v>
      </c>
      <c r="CG115" s="798" t="s">
        <v>16</v>
      </c>
    </row>
    <row r="116" spans="1:85" s="782" customFormat="1" ht="38.25" customHeight="1" x14ac:dyDescent="0.25">
      <c r="A116" s="783"/>
      <c r="B116" s="1394" t="s">
        <v>188</v>
      </c>
      <c r="C116" s="1433" t="s">
        <v>582</v>
      </c>
      <c r="D116" s="1436" t="s">
        <v>574</v>
      </c>
      <c r="E116" s="1447">
        <v>4</v>
      </c>
      <c r="F116" s="1599" t="s">
        <v>519</v>
      </c>
      <c r="G116" s="1602">
        <v>1</v>
      </c>
      <c r="H116" s="1417">
        <v>3</v>
      </c>
      <c r="I116" s="1417">
        <v>2</v>
      </c>
      <c r="J116" s="1579">
        <v>4</v>
      </c>
      <c r="K116" s="1590">
        <f>SUM(M116:M163)</f>
        <v>281883</v>
      </c>
      <c r="L116" s="1573" t="s">
        <v>583</v>
      </c>
      <c r="M116" s="1677">
        <v>57630</v>
      </c>
      <c r="N116" s="1567">
        <v>2126.39</v>
      </c>
      <c r="O116" s="1610">
        <v>3001.58</v>
      </c>
      <c r="P116" s="1610">
        <v>48460</v>
      </c>
      <c r="Q116" s="1681">
        <f>20000+5000+3000+1960</f>
        <v>29960</v>
      </c>
      <c r="R116" s="1729"/>
      <c r="S116" s="1671"/>
      <c r="T116" s="1182"/>
      <c r="U116" s="1182"/>
      <c r="V116" s="1185">
        <v>1</v>
      </c>
      <c r="W116" s="1188">
        <f>IFERROR(SUM(S116:V127),0)</f>
        <v>1</v>
      </c>
      <c r="X116" s="995" t="s">
        <v>195</v>
      </c>
      <c r="Y116" s="997" t="s">
        <v>584</v>
      </c>
      <c r="Z116" s="1207"/>
      <c r="AA116" s="1210"/>
      <c r="AB116" s="1210"/>
      <c r="AC116" s="1223">
        <v>2126.39</v>
      </c>
      <c r="AD116" s="1235">
        <f>SUM(Z116:AC127)</f>
        <v>2126.39</v>
      </c>
      <c r="AE116" s="1757"/>
      <c r="AF116" s="1179"/>
      <c r="AG116" s="1182"/>
      <c r="AH116" s="1182"/>
      <c r="AI116" s="1185">
        <v>1</v>
      </c>
      <c r="AJ116" s="1455">
        <f>IFERROR(SUM(AF116:AI127),0)</f>
        <v>1</v>
      </c>
      <c r="AK116" s="995" t="s">
        <v>195</v>
      </c>
      <c r="AL116" s="997" t="s">
        <v>469</v>
      </c>
      <c r="AM116" s="1207"/>
      <c r="AN116" s="1210"/>
      <c r="AO116" s="1210"/>
      <c r="AP116" s="1223">
        <v>3001.58</v>
      </c>
      <c r="AQ116" s="1235">
        <f>SUM(AM116:AP127)</f>
        <v>3001.58</v>
      </c>
      <c r="AR116" s="1757"/>
      <c r="AS116" s="1179"/>
      <c r="AT116" s="1182"/>
      <c r="AU116" s="1182"/>
      <c r="AV116" s="1185"/>
      <c r="AW116" s="1455">
        <f>IFERROR(SUM(AS116:AV127),0)</f>
        <v>0</v>
      </c>
      <c r="AX116" s="995" t="s">
        <v>195</v>
      </c>
      <c r="AY116" s="997" t="s">
        <v>585</v>
      </c>
      <c r="AZ116" s="1207"/>
      <c r="BA116" s="1210"/>
      <c r="BB116" s="1210"/>
      <c r="BC116" s="1223">
        <v>48460</v>
      </c>
      <c r="BD116" s="1235">
        <f>SUM(AZ116:BC127)</f>
        <v>48460</v>
      </c>
      <c r="BE116" s="1757"/>
      <c r="BF116" s="1669"/>
      <c r="BG116" s="1420"/>
      <c r="BH116" s="1420"/>
      <c r="BI116" s="1198">
        <v>2</v>
      </c>
      <c r="BJ116" s="1455">
        <f>IFERROR(SUM(BF116:BI127),0)</f>
        <v>2</v>
      </c>
      <c r="BK116" s="995" t="s">
        <v>195</v>
      </c>
      <c r="BL116" s="1055" t="s">
        <v>673</v>
      </c>
      <c r="BM116" s="1166">
        <v>4042.03</v>
      </c>
      <c r="BN116" s="1147">
        <v>0</v>
      </c>
      <c r="BO116" s="1147">
        <v>0</v>
      </c>
      <c r="BP116" s="1150">
        <v>0</v>
      </c>
      <c r="BQ116" s="1011">
        <f>SUM(BM116:BP127)</f>
        <v>4042.03</v>
      </c>
      <c r="BR116" s="1757"/>
      <c r="BS116" s="1171" t="s">
        <v>486</v>
      </c>
      <c r="BT116" s="1455">
        <f>SUM(W116,AJ116,AW116,BJ116)</f>
        <v>4</v>
      </c>
      <c r="BU116" s="1028">
        <f>SUM(AD116,AQ116,BD116,BQ116)</f>
        <v>57630</v>
      </c>
      <c r="BV116" s="1288">
        <f>SUM(AD116:AD163,AQ116:AQ163,BD116:BD163,BQ116:BQ163)</f>
        <v>281883</v>
      </c>
      <c r="BW116" s="1741"/>
      <c r="BX116" s="1125">
        <f>IFERROR(W116/G116,0)</f>
        <v>1</v>
      </c>
      <c r="BY116" s="1041">
        <f>IFERROR(AD116/N116,0)</f>
        <v>1</v>
      </c>
      <c r="BZ116" s="1125">
        <f>IFERROR(AJ116/H116,0)</f>
        <v>0.33333333333333331</v>
      </c>
      <c r="CA116" s="1041">
        <f>IFERROR(AQ116/O116,0)</f>
        <v>1</v>
      </c>
      <c r="CB116" s="1125">
        <f>IFERROR(AW116/I116,0)</f>
        <v>0</v>
      </c>
      <c r="CC116" s="1041">
        <f>IFERROR(BD116/P116,0)</f>
        <v>1</v>
      </c>
      <c r="CD116" s="1125">
        <f>IFERROR(BJ116/J116,0)</f>
        <v>0.5</v>
      </c>
      <c r="CE116" s="1041">
        <f>IFERROR(BQ116/Q116,0)</f>
        <v>0.1349142189586115</v>
      </c>
      <c r="CF116" s="1125">
        <f>IFERROR(BT116/E116,0)</f>
        <v>1</v>
      </c>
      <c r="CG116" s="1262">
        <f>IFERROR(BV116/K116,0)</f>
        <v>1</v>
      </c>
    </row>
    <row r="117" spans="1:85" s="782" customFormat="1" ht="38.25" customHeight="1" x14ac:dyDescent="0.25">
      <c r="A117" s="783"/>
      <c r="B117" s="1395"/>
      <c r="C117" s="1434"/>
      <c r="D117" s="1437"/>
      <c r="E117" s="1448"/>
      <c r="F117" s="1600"/>
      <c r="G117" s="1603"/>
      <c r="H117" s="1418"/>
      <c r="I117" s="1418"/>
      <c r="J117" s="1580"/>
      <c r="K117" s="1591"/>
      <c r="L117" s="1574"/>
      <c r="M117" s="1678"/>
      <c r="N117" s="1568"/>
      <c r="O117" s="1611"/>
      <c r="P117" s="1611"/>
      <c r="Q117" s="1682"/>
      <c r="R117" s="1729"/>
      <c r="S117" s="1672"/>
      <c r="T117" s="1183"/>
      <c r="U117" s="1183"/>
      <c r="V117" s="1186"/>
      <c r="W117" s="993"/>
      <c r="X117" s="996"/>
      <c r="Y117" s="998"/>
      <c r="Z117" s="1208"/>
      <c r="AA117" s="1211"/>
      <c r="AB117" s="1211"/>
      <c r="AC117" s="1224"/>
      <c r="AD117" s="1236"/>
      <c r="AE117" s="1757"/>
      <c r="AF117" s="1180"/>
      <c r="AG117" s="1183"/>
      <c r="AH117" s="1183"/>
      <c r="AI117" s="1186"/>
      <c r="AJ117" s="1456"/>
      <c r="AK117" s="996"/>
      <c r="AL117" s="998"/>
      <c r="AM117" s="1208"/>
      <c r="AN117" s="1211"/>
      <c r="AO117" s="1211"/>
      <c r="AP117" s="1224"/>
      <c r="AQ117" s="1236"/>
      <c r="AR117" s="1757"/>
      <c r="AS117" s="1180"/>
      <c r="AT117" s="1183"/>
      <c r="AU117" s="1183"/>
      <c r="AV117" s="1186"/>
      <c r="AW117" s="1456"/>
      <c r="AX117" s="996"/>
      <c r="AY117" s="998"/>
      <c r="AZ117" s="1208"/>
      <c r="BA117" s="1211"/>
      <c r="BB117" s="1211"/>
      <c r="BC117" s="1224"/>
      <c r="BD117" s="1236"/>
      <c r="BE117" s="1757"/>
      <c r="BF117" s="1452"/>
      <c r="BG117" s="1421"/>
      <c r="BH117" s="1421"/>
      <c r="BI117" s="1199"/>
      <c r="BJ117" s="1456"/>
      <c r="BK117" s="996"/>
      <c r="BL117" s="1053"/>
      <c r="BM117" s="1167"/>
      <c r="BN117" s="1148"/>
      <c r="BO117" s="1148"/>
      <c r="BP117" s="1151"/>
      <c r="BQ117" s="1012"/>
      <c r="BR117" s="1757"/>
      <c r="BS117" s="1172"/>
      <c r="BT117" s="1456"/>
      <c r="BU117" s="1304"/>
      <c r="BV117" s="1289"/>
      <c r="BW117" s="1741"/>
      <c r="BX117" s="1126"/>
      <c r="BY117" s="1042"/>
      <c r="BZ117" s="1126"/>
      <c r="CA117" s="1042"/>
      <c r="CB117" s="1126"/>
      <c r="CC117" s="1042"/>
      <c r="CD117" s="1126"/>
      <c r="CE117" s="1042"/>
      <c r="CF117" s="1126"/>
      <c r="CG117" s="1169"/>
    </row>
    <row r="118" spans="1:85" s="782" customFormat="1" ht="38.25" customHeight="1" x14ac:dyDescent="0.25">
      <c r="A118" s="783"/>
      <c r="B118" s="1395"/>
      <c r="C118" s="1434"/>
      <c r="D118" s="1437"/>
      <c r="E118" s="1448"/>
      <c r="F118" s="1600"/>
      <c r="G118" s="1603"/>
      <c r="H118" s="1418"/>
      <c r="I118" s="1418"/>
      <c r="J118" s="1580"/>
      <c r="K118" s="1591"/>
      <c r="L118" s="1574"/>
      <c r="M118" s="1678"/>
      <c r="N118" s="1568"/>
      <c r="O118" s="1611"/>
      <c r="P118" s="1611"/>
      <c r="Q118" s="1682"/>
      <c r="R118" s="1729"/>
      <c r="S118" s="1672"/>
      <c r="T118" s="1183"/>
      <c r="U118" s="1183"/>
      <c r="V118" s="1186"/>
      <c r="W118" s="993"/>
      <c r="X118" s="996"/>
      <c r="Y118" s="998"/>
      <c r="Z118" s="1208"/>
      <c r="AA118" s="1211"/>
      <c r="AB118" s="1211"/>
      <c r="AC118" s="1224"/>
      <c r="AD118" s="1236"/>
      <c r="AE118" s="1757"/>
      <c r="AF118" s="1180"/>
      <c r="AG118" s="1183"/>
      <c r="AH118" s="1183"/>
      <c r="AI118" s="1186"/>
      <c r="AJ118" s="1456"/>
      <c r="AK118" s="996"/>
      <c r="AL118" s="998"/>
      <c r="AM118" s="1208"/>
      <c r="AN118" s="1211"/>
      <c r="AO118" s="1211"/>
      <c r="AP118" s="1224"/>
      <c r="AQ118" s="1236"/>
      <c r="AR118" s="1757"/>
      <c r="AS118" s="1180"/>
      <c r="AT118" s="1183"/>
      <c r="AU118" s="1183"/>
      <c r="AV118" s="1186"/>
      <c r="AW118" s="1456"/>
      <c r="AX118" s="996"/>
      <c r="AY118" s="998"/>
      <c r="AZ118" s="1208"/>
      <c r="BA118" s="1211"/>
      <c r="BB118" s="1211"/>
      <c r="BC118" s="1224"/>
      <c r="BD118" s="1236"/>
      <c r="BE118" s="1757"/>
      <c r="BF118" s="1452"/>
      <c r="BG118" s="1421"/>
      <c r="BH118" s="1421"/>
      <c r="BI118" s="1199"/>
      <c r="BJ118" s="1456"/>
      <c r="BK118" s="996"/>
      <c r="BL118" s="1053"/>
      <c r="BM118" s="1167"/>
      <c r="BN118" s="1148"/>
      <c r="BO118" s="1148"/>
      <c r="BP118" s="1151"/>
      <c r="BQ118" s="1012"/>
      <c r="BR118" s="1757"/>
      <c r="BS118" s="1172"/>
      <c r="BT118" s="1456"/>
      <c r="BU118" s="1304"/>
      <c r="BV118" s="1289"/>
      <c r="BW118" s="1741"/>
      <c r="BX118" s="1126"/>
      <c r="BY118" s="1042"/>
      <c r="BZ118" s="1126"/>
      <c r="CA118" s="1042"/>
      <c r="CB118" s="1126"/>
      <c r="CC118" s="1042"/>
      <c r="CD118" s="1126"/>
      <c r="CE118" s="1042"/>
      <c r="CF118" s="1126"/>
      <c r="CG118" s="1169"/>
    </row>
    <row r="119" spans="1:85" s="782" customFormat="1" ht="174" customHeight="1" x14ac:dyDescent="0.25">
      <c r="A119" s="783"/>
      <c r="B119" s="1395"/>
      <c r="C119" s="1434"/>
      <c r="D119" s="1437"/>
      <c r="E119" s="1448"/>
      <c r="F119" s="1600"/>
      <c r="G119" s="1603"/>
      <c r="H119" s="1418"/>
      <c r="I119" s="1418"/>
      <c r="J119" s="1580"/>
      <c r="K119" s="1591"/>
      <c r="L119" s="1574"/>
      <c r="M119" s="1678"/>
      <c r="N119" s="1568"/>
      <c r="O119" s="1611"/>
      <c r="P119" s="1611"/>
      <c r="Q119" s="1682"/>
      <c r="R119" s="1729"/>
      <c r="S119" s="1672"/>
      <c r="T119" s="1183"/>
      <c r="U119" s="1183"/>
      <c r="V119" s="1186"/>
      <c r="W119" s="993"/>
      <c r="X119" s="996"/>
      <c r="Y119" s="998"/>
      <c r="Z119" s="1208"/>
      <c r="AA119" s="1211"/>
      <c r="AB119" s="1211"/>
      <c r="AC119" s="1224"/>
      <c r="AD119" s="1236"/>
      <c r="AE119" s="1757"/>
      <c r="AF119" s="1180"/>
      <c r="AG119" s="1183"/>
      <c r="AH119" s="1183"/>
      <c r="AI119" s="1186"/>
      <c r="AJ119" s="1456"/>
      <c r="AK119" s="996"/>
      <c r="AL119" s="998"/>
      <c r="AM119" s="1208"/>
      <c r="AN119" s="1211"/>
      <c r="AO119" s="1211"/>
      <c r="AP119" s="1224"/>
      <c r="AQ119" s="1236"/>
      <c r="AR119" s="1757"/>
      <c r="AS119" s="1180"/>
      <c r="AT119" s="1183"/>
      <c r="AU119" s="1183"/>
      <c r="AV119" s="1186"/>
      <c r="AW119" s="1456"/>
      <c r="AX119" s="996"/>
      <c r="AY119" s="998"/>
      <c r="AZ119" s="1208"/>
      <c r="BA119" s="1211"/>
      <c r="BB119" s="1211"/>
      <c r="BC119" s="1224"/>
      <c r="BD119" s="1236"/>
      <c r="BE119" s="1757"/>
      <c r="BF119" s="1452"/>
      <c r="BG119" s="1421"/>
      <c r="BH119" s="1421"/>
      <c r="BI119" s="1199"/>
      <c r="BJ119" s="1456"/>
      <c r="BK119" s="996"/>
      <c r="BL119" s="1053"/>
      <c r="BM119" s="1167"/>
      <c r="BN119" s="1148"/>
      <c r="BO119" s="1148"/>
      <c r="BP119" s="1151"/>
      <c r="BQ119" s="1012"/>
      <c r="BR119" s="1757"/>
      <c r="BS119" s="1172"/>
      <c r="BT119" s="1456"/>
      <c r="BU119" s="1304"/>
      <c r="BV119" s="1289"/>
      <c r="BW119" s="1741"/>
      <c r="BX119" s="1126"/>
      <c r="BY119" s="1042"/>
      <c r="BZ119" s="1126"/>
      <c r="CA119" s="1042"/>
      <c r="CB119" s="1126"/>
      <c r="CC119" s="1042"/>
      <c r="CD119" s="1126"/>
      <c r="CE119" s="1042"/>
      <c r="CF119" s="1126"/>
      <c r="CG119" s="1169"/>
    </row>
    <row r="120" spans="1:85" s="782" customFormat="1" ht="15.75" customHeight="1" x14ac:dyDescent="0.25">
      <c r="A120" s="783"/>
      <c r="B120" s="1395"/>
      <c r="C120" s="1434"/>
      <c r="D120" s="1437"/>
      <c r="E120" s="1448"/>
      <c r="F120" s="1600"/>
      <c r="G120" s="1603"/>
      <c r="H120" s="1418"/>
      <c r="I120" s="1418"/>
      <c r="J120" s="1580"/>
      <c r="K120" s="1591"/>
      <c r="L120" s="1574"/>
      <c r="M120" s="1678"/>
      <c r="N120" s="1568"/>
      <c r="O120" s="1611"/>
      <c r="P120" s="1611"/>
      <c r="Q120" s="1682"/>
      <c r="R120" s="1729"/>
      <c r="S120" s="1672"/>
      <c r="T120" s="1183"/>
      <c r="U120" s="1183"/>
      <c r="V120" s="1186"/>
      <c r="W120" s="993"/>
      <c r="X120" s="996" t="s">
        <v>196</v>
      </c>
      <c r="Y120" s="998" t="s">
        <v>586</v>
      </c>
      <c r="Z120" s="1208"/>
      <c r="AA120" s="1211"/>
      <c r="AB120" s="1211"/>
      <c r="AC120" s="1224"/>
      <c r="AD120" s="1236"/>
      <c r="AE120" s="1757"/>
      <c r="AF120" s="1180"/>
      <c r="AG120" s="1183"/>
      <c r="AH120" s="1183"/>
      <c r="AI120" s="1186"/>
      <c r="AJ120" s="1456"/>
      <c r="AK120" s="996" t="s">
        <v>196</v>
      </c>
      <c r="AL120" s="998" t="s">
        <v>471</v>
      </c>
      <c r="AM120" s="1208"/>
      <c r="AN120" s="1211"/>
      <c r="AO120" s="1211"/>
      <c r="AP120" s="1224"/>
      <c r="AQ120" s="1236"/>
      <c r="AR120" s="1757"/>
      <c r="AS120" s="1180"/>
      <c r="AT120" s="1183"/>
      <c r="AU120" s="1183"/>
      <c r="AV120" s="1186"/>
      <c r="AW120" s="1456"/>
      <c r="AX120" s="996" t="s">
        <v>196</v>
      </c>
      <c r="AY120" s="998" t="s">
        <v>640</v>
      </c>
      <c r="AZ120" s="1208"/>
      <c r="BA120" s="1211"/>
      <c r="BB120" s="1211"/>
      <c r="BC120" s="1224"/>
      <c r="BD120" s="1236"/>
      <c r="BE120" s="1757"/>
      <c r="BF120" s="1452"/>
      <c r="BG120" s="1421"/>
      <c r="BH120" s="1421"/>
      <c r="BI120" s="1199"/>
      <c r="BJ120" s="1456"/>
      <c r="BK120" s="996" t="s">
        <v>196</v>
      </c>
      <c r="BL120" s="1053" t="s">
        <v>674</v>
      </c>
      <c r="BM120" s="1167"/>
      <c r="BN120" s="1148"/>
      <c r="BO120" s="1148"/>
      <c r="BP120" s="1151"/>
      <c r="BQ120" s="1012"/>
      <c r="BR120" s="1757"/>
      <c r="BS120" s="1172"/>
      <c r="BT120" s="1456"/>
      <c r="BU120" s="1304"/>
      <c r="BV120" s="1289"/>
      <c r="BW120" s="1741"/>
      <c r="BX120" s="1126"/>
      <c r="BY120" s="1042"/>
      <c r="BZ120" s="1126"/>
      <c r="CA120" s="1042"/>
      <c r="CB120" s="1126"/>
      <c r="CC120" s="1042"/>
      <c r="CD120" s="1126"/>
      <c r="CE120" s="1042"/>
      <c r="CF120" s="1126"/>
      <c r="CG120" s="1169"/>
    </row>
    <row r="121" spans="1:85" s="782" customFormat="1" ht="15.75" customHeight="1" x14ac:dyDescent="0.25">
      <c r="A121" s="783"/>
      <c r="B121" s="1395"/>
      <c r="C121" s="1434"/>
      <c r="D121" s="1437"/>
      <c r="E121" s="1448"/>
      <c r="F121" s="1600"/>
      <c r="G121" s="1603"/>
      <c r="H121" s="1418"/>
      <c r="I121" s="1418"/>
      <c r="J121" s="1580"/>
      <c r="K121" s="1591"/>
      <c r="L121" s="1574"/>
      <c r="M121" s="1678"/>
      <c r="N121" s="1568"/>
      <c r="O121" s="1611"/>
      <c r="P121" s="1611"/>
      <c r="Q121" s="1682"/>
      <c r="R121" s="1729"/>
      <c r="S121" s="1541"/>
      <c r="T121" s="1184"/>
      <c r="U121" s="1184"/>
      <c r="V121" s="1187"/>
      <c r="W121" s="993"/>
      <c r="X121" s="996"/>
      <c r="Y121" s="998"/>
      <c r="Z121" s="1208"/>
      <c r="AA121" s="1211"/>
      <c r="AB121" s="1211"/>
      <c r="AC121" s="1224"/>
      <c r="AD121" s="1236"/>
      <c r="AE121" s="1757"/>
      <c r="AF121" s="1181"/>
      <c r="AG121" s="1184"/>
      <c r="AH121" s="1184"/>
      <c r="AI121" s="1187"/>
      <c r="AJ121" s="1456"/>
      <c r="AK121" s="996"/>
      <c r="AL121" s="998"/>
      <c r="AM121" s="1208"/>
      <c r="AN121" s="1211"/>
      <c r="AO121" s="1211"/>
      <c r="AP121" s="1224"/>
      <c r="AQ121" s="1236"/>
      <c r="AR121" s="1757"/>
      <c r="AS121" s="1181"/>
      <c r="AT121" s="1184"/>
      <c r="AU121" s="1184"/>
      <c r="AV121" s="1187"/>
      <c r="AW121" s="1456"/>
      <c r="AX121" s="996"/>
      <c r="AY121" s="998"/>
      <c r="AZ121" s="1208"/>
      <c r="BA121" s="1211"/>
      <c r="BB121" s="1211"/>
      <c r="BC121" s="1224"/>
      <c r="BD121" s="1236"/>
      <c r="BE121" s="1757"/>
      <c r="BF121" s="1453"/>
      <c r="BG121" s="1422"/>
      <c r="BH121" s="1422"/>
      <c r="BI121" s="1200"/>
      <c r="BJ121" s="1456"/>
      <c r="BK121" s="996"/>
      <c r="BL121" s="1053"/>
      <c r="BM121" s="1167"/>
      <c r="BN121" s="1148"/>
      <c r="BO121" s="1148"/>
      <c r="BP121" s="1151"/>
      <c r="BQ121" s="1012"/>
      <c r="BR121" s="1757"/>
      <c r="BS121" s="1172"/>
      <c r="BT121" s="1456"/>
      <c r="BU121" s="1304"/>
      <c r="BV121" s="1289"/>
      <c r="BW121" s="1741"/>
      <c r="BX121" s="1127"/>
      <c r="BY121" s="1042"/>
      <c r="BZ121" s="1127"/>
      <c r="CA121" s="1042">
        <f>IFERROR(BT121/M121,0)</f>
        <v>0</v>
      </c>
      <c r="CB121" s="1127"/>
      <c r="CC121" s="1042">
        <f>IFERROR(#REF!/M121,0)</f>
        <v>0</v>
      </c>
      <c r="CD121" s="1127"/>
      <c r="CE121" s="1042"/>
      <c r="CF121" s="1127"/>
      <c r="CG121" s="1263"/>
    </row>
    <row r="122" spans="1:85" s="782" customFormat="1" ht="15.75" customHeight="1" x14ac:dyDescent="0.25">
      <c r="A122" s="783"/>
      <c r="B122" s="1395"/>
      <c r="C122" s="1434"/>
      <c r="D122" s="1437"/>
      <c r="E122" s="1448"/>
      <c r="F122" s="1600"/>
      <c r="G122" s="1603"/>
      <c r="H122" s="1418"/>
      <c r="I122" s="1418"/>
      <c r="J122" s="1580"/>
      <c r="K122" s="1591"/>
      <c r="L122" s="1574"/>
      <c r="M122" s="1678"/>
      <c r="N122" s="1568"/>
      <c r="O122" s="1611"/>
      <c r="P122" s="1611"/>
      <c r="Q122" s="1682"/>
      <c r="R122" s="1729"/>
      <c r="S122" s="1541"/>
      <c r="T122" s="1184"/>
      <c r="U122" s="1184"/>
      <c r="V122" s="1187"/>
      <c r="W122" s="993"/>
      <c r="X122" s="996"/>
      <c r="Y122" s="998"/>
      <c r="Z122" s="1208"/>
      <c r="AA122" s="1211"/>
      <c r="AB122" s="1211"/>
      <c r="AC122" s="1224"/>
      <c r="AD122" s="1236"/>
      <c r="AE122" s="1757"/>
      <c r="AF122" s="1181"/>
      <c r="AG122" s="1184"/>
      <c r="AH122" s="1184"/>
      <c r="AI122" s="1187"/>
      <c r="AJ122" s="1456"/>
      <c r="AK122" s="996"/>
      <c r="AL122" s="998"/>
      <c r="AM122" s="1208"/>
      <c r="AN122" s="1211"/>
      <c r="AO122" s="1211"/>
      <c r="AP122" s="1224"/>
      <c r="AQ122" s="1236"/>
      <c r="AR122" s="1757"/>
      <c r="AS122" s="1181"/>
      <c r="AT122" s="1184"/>
      <c r="AU122" s="1184"/>
      <c r="AV122" s="1187"/>
      <c r="AW122" s="1456"/>
      <c r="AX122" s="996"/>
      <c r="AY122" s="998"/>
      <c r="AZ122" s="1208"/>
      <c r="BA122" s="1211"/>
      <c r="BB122" s="1211"/>
      <c r="BC122" s="1224"/>
      <c r="BD122" s="1236"/>
      <c r="BE122" s="1757"/>
      <c r="BF122" s="1453"/>
      <c r="BG122" s="1422"/>
      <c r="BH122" s="1422"/>
      <c r="BI122" s="1200"/>
      <c r="BJ122" s="1456"/>
      <c r="BK122" s="996"/>
      <c r="BL122" s="1053"/>
      <c r="BM122" s="1167"/>
      <c r="BN122" s="1148"/>
      <c r="BO122" s="1148"/>
      <c r="BP122" s="1151"/>
      <c r="BQ122" s="1012"/>
      <c r="BR122" s="1757"/>
      <c r="BS122" s="1172"/>
      <c r="BT122" s="1456"/>
      <c r="BU122" s="1304"/>
      <c r="BV122" s="1289"/>
      <c r="BW122" s="1741"/>
      <c r="BX122" s="1127"/>
      <c r="BY122" s="1042"/>
      <c r="BZ122" s="1127"/>
      <c r="CA122" s="1042"/>
      <c r="CB122" s="1127"/>
      <c r="CC122" s="1042"/>
      <c r="CD122" s="1127"/>
      <c r="CE122" s="1042"/>
      <c r="CF122" s="1127"/>
      <c r="CG122" s="1263"/>
    </row>
    <row r="123" spans="1:85" s="782" customFormat="1" ht="130.15" customHeight="1" x14ac:dyDescent="0.25">
      <c r="A123" s="783"/>
      <c r="B123" s="1395"/>
      <c r="C123" s="1434"/>
      <c r="D123" s="1437"/>
      <c r="E123" s="1448"/>
      <c r="F123" s="1600"/>
      <c r="G123" s="1603"/>
      <c r="H123" s="1418"/>
      <c r="I123" s="1418"/>
      <c r="J123" s="1580"/>
      <c r="K123" s="1591"/>
      <c r="L123" s="1574"/>
      <c r="M123" s="1678"/>
      <c r="N123" s="1568"/>
      <c r="O123" s="1611"/>
      <c r="P123" s="1611"/>
      <c r="Q123" s="1682"/>
      <c r="R123" s="1729"/>
      <c r="S123" s="1541"/>
      <c r="T123" s="1184"/>
      <c r="U123" s="1184"/>
      <c r="V123" s="1187"/>
      <c r="W123" s="993"/>
      <c r="X123" s="996"/>
      <c r="Y123" s="998"/>
      <c r="Z123" s="1208"/>
      <c r="AA123" s="1211"/>
      <c r="AB123" s="1211"/>
      <c r="AC123" s="1224"/>
      <c r="AD123" s="1236"/>
      <c r="AE123" s="1757"/>
      <c r="AF123" s="1181"/>
      <c r="AG123" s="1184"/>
      <c r="AH123" s="1184"/>
      <c r="AI123" s="1187"/>
      <c r="AJ123" s="1456"/>
      <c r="AK123" s="996"/>
      <c r="AL123" s="998"/>
      <c r="AM123" s="1208"/>
      <c r="AN123" s="1211"/>
      <c r="AO123" s="1211"/>
      <c r="AP123" s="1224"/>
      <c r="AQ123" s="1236"/>
      <c r="AR123" s="1757"/>
      <c r="AS123" s="1181"/>
      <c r="AT123" s="1184"/>
      <c r="AU123" s="1184"/>
      <c r="AV123" s="1187"/>
      <c r="AW123" s="1456"/>
      <c r="AX123" s="996"/>
      <c r="AY123" s="998"/>
      <c r="AZ123" s="1208"/>
      <c r="BA123" s="1211"/>
      <c r="BB123" s="1211"/>
      <c r="BC123" s="1224"/>
      <c r="BD123" s="1236"/>
      <c r="BE123" s="1757"/>
      <c r="BF123" s="1453"/>
      <c r="BG123" s="1422"/>
      <c r="BH123" s="1422"/>
      <c r="BI123" s="1200"/>
      <c r="BJ123" s="1456"/>
      <c r="BK123" s="996"/>
      <c r="BL123" s="1053"/>
      <c r="BM123" s="1167"/>
      <c r="BN123" s="1148"/>
      <c r="BO123" s="1148"/>
      <c r="BP123" s="1151"/>
      <c r="BQ123" s="1012"/>
      <c r="BR123" s="1757"/>
      <c r="BS123" s="1172"/>
      <c r="BT123" s="1456"/>
      <c r="BU123" s="1304"/>
      <c r="BV123" s="1289"/>
      <c r="BW123" s="1741"/>
      <c r="BX123" s="1127"/>
      <c r="BY123" s="1042"/>
      <c r="BZ123" s="1127"/>
      <c r="CA123" s="1042"/>
      <c r="CB123" s="1127"/>
      <c r="CC123" s="1042"/>
      <c r="CD123" s="1127"/>
      <c r="CE123" s="1042"/>
      <c r="CF123" s="1127"/>
      <c r="CG123" s="1263"/>
    </row>
    <row r="124" spans="1:85" s="782" customFormat="1" ht="31.5" customHeight="1" x14ac:dyDescent="0.25">
      <c r="A124" s="783"/>
      <c r="B124" s="1395"/>
      <c r="C124" s="1434"/>
      <c r="D124" s="1437"/>
      <c r="E124" s="1448"/>
      <c r="F124" s="1600"/>
      <c r="G124" s="1603"/>
      <c r="H124" s="1418"/>
      <c r="I124" s="1418"/>
      <c r="J124" s="1580"/>
      <c r="K124" s="1591"/>
      <c r="L124" s="1574"/>
      <c r="M124" s="1678"/>
      <c r="N124" s="1568"/>
      <c r="O124" s="1611"/>
      <c r="P124" s="1611"/>
      <c r="Q124" s="1682"/>
      <c r="R124" s="1729"/>
      <c r="S124" s="1541"/>
      <c r="T124" s="1184"/>
      <c r="U124" s="1184"/>
      <c r="V124" s="1187"/>
      <c r="W124" s="993"/>
      <c r="X124" s="996" t="s">
        <v>197</v>
      </c>
      <c r="Y124" s="1572" t="s">
        <v>587</v>
      </c>
      <c r="Z124" s="1208"/>
      <c r="AA124" s="1211"/>
      <c r="AB124" s="1211"/>
      <c r="AC124" s="1224"/>
      <c r="AD124" s="1236"/>
      <c r="AE124" s="1757"/>
      <c r="AF124" s="1181"/>
      <c r="AG124" s="1184"/>
      <c r="AH124" s="1184"/>
      <c r="AI124" s="1187"/>
      <c r="AJ124" s="1456"/>
      <c r="AK124" s="996" t="s">
        <v>197</v>
      </c>
      <c r="AL124" s="998" t="s">
        <v>470</v>
      </c>
      <c r="AM124" s="1208"/>
      <c r="AN124" s="1211"/>
      <c r="AO124" s="1211"/>
      <c r="AP124" s="1224"/>
      <c r="AQ124" s="1236"/>
      <c r="AR124" s="1757"/>
      <c r="AS124" s="1181"/>
      <c r="AT124" s="1184"/>
      <c r="AU124" s="1184"/>
      <c r="AV124" s="1187"/>
      <c r="AW124" s="1456"/>
      <c r="AX124" s="996" t="s">
        <v>197</v>
      </c>
      <c r="AY124" s="998"/>
      <c r="AZ124" s="1208"/>
      <c r="BA124" s="1211"/>
      <c r="BB124" s="1211"/>
      <c r="BC124" s="1224"/>
      <c r="BD124" s="1236"/>
      <c r="BE124" s="1757"/>
      <c r="BF124" s="1453"/>
      <c r="BG124" s="1422"/>
      <c r="BH124" s="1422"/>
      <c r="BI124" s="1200"/>
      <c r="BJ124" s="1456"/>
      <c r="BK124" s="996" t="s">
        <v>197</v>
      </c>
      <c r="BL124" s="1053" t="s">
        <v>675</v>
      </c>
      <c r="BM124" s="1167"/>
      <c r="BN124" s="1148"/>
      <c r="BO124" s="1148"/>
      <c r="BP124" s="1151"/>
      <c r="BQ124" s="1012"/>
      <c r="BR124" s="1757"/>
      <c r="BS124" s="1172"/>
      <c r="BT124" s="1456"/>
      <c r="BU124" s="1304"/>
      <c r="BV124" s="1289"/>
      <c r="BW124" s="1741"/>
      <c r="BX124" s="1127"/>
      <c r="BY124" s="1042"/>
      <c r="BZ124" s="1127"/>
      <c r="CA124" s="1042"/>
      <c r="CB124" s="1127"/>
      <c r="CC124" s="1042"/>
      <c r="CD124" s="1127"/>
      <c r="CE124" s="1042"/>
      <c r="CF124" s="1127"/>
      <c r="CG124" s="1263"/>
    </row>
    <row r="125" spans="1:85" s="782" customFormat="1" ht="31.5" customHeight="1" x14ac:dyDescent="0.25">
      <c r="A125" s="783"/>
      <c r="B125" s="1395"/>
      <c r="C125" s="1434"/>
      <c r="D125" s="1437"/>
      <c r="E125" s="1448"/>
      <c r="F125" s="1600"/>
      <c r="G125" s="1603"/>
      <c r="H125" s="1418"/>
      <c r="I125" s="1418"/>
      <c r="J125" s="1580"/>
      <c r="K125" s="1591"/>
      <c r="L125" s="1574"/>
      <c r="M125" s="1678"/>
      <c r="N125" s="1568"/>
      <c r="O125" s="1611"/>
      <c r="P125" s="1611"/>
      <c r="Q125" s="1682"/>
      <c r="R125" s="1729"/>
      <c r="S125" s="1541"/>
      <c r="T125" s="1184"/>
      <c r="U125" s="1184"/>
      <c r="V125" s="1187"/>
      <c r="W125" s="993"/>
      <c r="X125" s="996"/>
      <c r="Y125" s="998"/>
      <c r="Z125" s="1208"/>
      <c r="AA125" s="1211"/>
      <c r="AB125" s="1211"/>
      <c r="AC125" s="1224"/>
      <c r="AD125" s="1236"/>
      <c r="AE125" s="1757"/>
      <c r="AF125" s="1181"/>
      <c r="AG125" s="1184"/>
      <c r="AH125" s="1184"/>
      <c r="AI125" s="1187"/>
      <c r="AJ125" s="1456"/>
      <c r="AK125" s="996"/>
      <c r="AL125" s="998"/>
      <c r="AM125" s="1208"/>
      <c r="AN125" s="1211"/>
      <c r="AO125" s="1211"/>
      <c r="AP125" s="1224"/>
      <c r="AQ125" s="1236"/>
      <c r="AR125" s="1757"/>
      <c r="AS125" s="1181"/>
      <c r="AT125" s="1184"/>
      <c r="AU125" s="1184"/>
      <c r="AV125" s="1187"/>
      <c r="AW125" s="1456"/>
      <c r="AX125" s="996"/>
      <c r="AY125" s="998"/>
      <c r="AZ125" s="1208"/>
      <c r="BA125" s="1211"/>
      <c r="BB125" s="1211"/>
      <c r="BC125" s="1224"/>
      <c r="BD125" s="1236"/>
      <c r="BE125" s="1757"/>
      <c r="BF125" s="1453"/>
      <c r="BG125" s="1422"/>
      <c r="BH125" s="1422"/>
      <c r="BI125" s="1200"/>
      <c r="BJ125" s="1456"/>
      <c r="BK125" s="996"/>
      <c r="BL125" s="1053"/>
      <c r="BM125" s="1167"/>
      <c r="BN125" s="1148"/>
      <c r="BO125" s="1148"/>
      <c r="BP125" s="1151"/>
      <c r="BQ125" s="1012"/>
      <c r="BR125" s="1757"/>
      <c r="BS125" s="1172"/>
      <c r="BT125" s="1456"/>
      <c r="BU125" s="1304"/>
      <c r="BV125" s="1289"/>
      <c r="BW125" s="1741"/>
      <c r="BX125" s="1127"/>
      <c r="BY125" s="1042"/>
      <c r="BZ125" s="1127"/>
      <c r="CA125" s="1042">
        <f>IFERROR(BT125/M125,0)</f>
        <v>0</v>
      </c>
      <c r="CB125" s="1127"/>
      <c r="CC125" s="1042">
        <f>IFERROR(#REF!/M125,0)</f>
        <v>0</v>
      </c>
      <c r="CD125" s="1127"/>
      <c r="CE125" s="1042"/>
      <c r="CF125" s="1127"/>
      <c r="CG125" s="1263"/>
    </row>
    <row r="126" spans="1:85" s="782" customFormat="1" ht="31.5" customHeight="1" x14ac:dyDescent="0.25">
      <c r="A126" s="783"/>
      <c r="B126" s="1395"/>
      <c r="C126" s="1434"/>
      <c r="D126" s="1437"/>
      <c r="E126" s="1448"/>
      <c r="F126" s="1600"/>
      <c r="G126" s="1603"/>
      <c r="H126" s="1418"/>
      <c r="I126" s="1418"/>
      <c r="J126" s="1580"/>
      <c r="K126" s="1591"/>
      <c r="L126" s="1574"/>
      <c r="M126" s="1678"/>
      <c r="N126" s="1568"/>
      <c r="O126" s="1611"/>
      <c r="P126" s="1611"/>
      <c r="Q126" s="1682"/>
      <c r="R126" s="1729"/>
      <c r="S126" s="1541"/>
      <c r="T126" s="1184"/>
      <c r="U126" s="1184"/>
      <c r="V126" s="1187"/>
      <c r="W126" s="993"/>
      <c r="X126" s="996"/>
      <c r="Y126" s="998"/>
      <c r="Z126" s="1208"/>
      <c r="AA126" s="1211"/>
      <c r="AB126" s="1211"/>
      <c r="AC126" s="1224"/>
      <c r="AD126" s="1236"/>
      <c r="AE126" s="1757"/>
      <c r="AF126" s="1181"/>
      <c r="AG126" s="1184"/>
      <c r="AH126" s="1184"/>
      <c r="AI126" s="1187"/>
      <c r="AJ126" s="1456"/>
      <c r="AK126" s="996"/>
      <c r="AL126" s="998"/>
      <c r="AM126" s="1208"/>
      <c r="AN126" s="1211"/>
      <c r="AO126" s="1211"/>
      <c r="AP126" s="1224"/>
      <c r="AQ126" s="1236"/>
      <c r="AR126" s="1757"/>
      <c r="AS126" s="1181"/>
      <c r="AT126" s="1184"/>
      <c r="AU126" s="1184"/>
      <c r="AV126" s="1187"/>
      <c r="AW126" s="1456"/>
      <c r="AX126" s="996"/>
      <c r="AY126" s="998"/>
      <c r="AZ126" s="1208"/>
      <c r="BA126" s="1211"/>
      <c r="BB126" s="1211"/>
      <c r="BC126" s="1224"/>
      <c r="BD126" s="1236"/>
      <c r="BE126" s="1757"/>
      <c r="BF126" s="1453"/>
      <c r="BG126" s="1422"/>
      <c r="BH126" s="1422"/>
      <c r="BI126" s="1200"/>
      <c r="BJ126" s="1456"/>
      <c r="BK126" s="996"/>
      <c r="BL126" s="1053"/>
      <c r="BM126" s="1167"/>
      <c r="BN126" s="1148"/>
      <c r="BO126" s="1148"/>
      <c r="BP126" s="1151"/>
      <c r="BQ126" s="1012"/>
      <c r="BR126" s="1757"/>
      <c r="BS126" s="1172"/>
      <c r="BT126" s="1456"/>
      <c r="BU126" s="1304"/>
      <c r="BV126" s="1289"/>
      <c r="BW126" s="1741"/>
      <c r="BX126" s="1127"/>
      <c r="BY126" s="1042"/>
      <c r="BZ126" s="1127"/>
      <c r="CA126" s="1042">
        <f>IFERROR(BT126/M126,0)</f>
        <v>0</v>
      </c>
      <c r="CB126" s="1127"/>
      <c r="CC126" s="1042">
        <f>IFERROR(#REF!/M126,0)</f>
        <v>0</v>
      </c>
      <c r="CD126" s="1127"/>
      <c r="CE126" s="1042"/>
      <c r="CF126" s="1127"/>
      <c r="CG126" s="1263"/>
    </row>
    <row r="127" spans="1:85" s="782" customFormat="1" ht="204" customHeight="1" thickBot="1" x14ac:dyDescent="0.3">
      <c r="A127" s="783"/>
      <c r="B127" s="1395"/>
      <c r="C127" s="1435"/>
      <c r="D127" s="1438"/>
      <c r="E127" s="1598"/>
      <c r="F127" s="1601"/>
      <c r="G127" s="1604"/>
      <c r="H127" s="1419"/>
      <c r="I127" s="1419"/>
      <c r="J127" s="1577"/>
      <c r="K127" s="1591"/>
      <c r="L127" s="1575"/>
      <c r="M127" s="1679"/>
      <c r="N127" s="1569"/>
      <c r="O127" s="1612"/>
      <c r="P127" s="1612"/>
      <c r="Q127" s="1683"/>
      <c r="R127" s="1729"/>
      <c r="S127" s="1673"/>
      <c r="T127" s="1278"/>
      <c r="U127" s="1278"/>
      <c r="V127" s="1287"/>
      <c r="W127" s="994"/>
      <c r="X127" s="1068"/>
      <c r="Y127" s="1069"/>
      <c r="Z127" s="1221"/>
      <c r="AA127" s="1222"/>
      <c r="AB127" s="1222"/>
      <c r="AC127" s="1225"/>
      <c r="AD127" s="1237"/>
      <c r="AE127" s="1757"/>
      <c r="AF127" s="1181"/>
      <c r="AG127" s="1184"/>
      <c r="AH127" s="1184"/>
      <c r="AI127" s="1187"/>
      <c r="AJ127" s="1456"/>
      <c r="AK127" s="1068"/>
      <c r="AL127" s="1069"/>
      <c r="AM127" s="1221"/>
      <c r="AN127" s="1222"/>
      <c r="AO127" s="1222"/>
      <c r="AP127" s="1225"/>
      <c r="AQ127" s="1237"/>
      <c r="AR127" s="1757"/>
      <c r="AS127" s="1181"/>
      <c r="AT127" s="1184"/>
      <c r="AU127" s="1184"/>
      <c r="AV127" s="1187"/>
      <c r="AW127" s="1456"/>
      <c r="AX127" s="1068"/>
      <c r="AY127" s="1069"/>
      <c r="AZ127" s="1221"/>
      <c r="BA127" s="1222"/>
      <c r="BB127" s="1222"/>
      <c r="BC127" s="1225"/>
      <c r="BD127" s="1237"/>
      <c r="BE127" s="1757"/>
      <c r="BF127" s="1453"/>
      <c r="BG127" s="1422"/>
      <c r="BH127" s="1422"/>
      <c r="BI127" s="1200"/>
      <c r="BJ127" s="1456"/>
      <c r="BK127" s="1068"/>
      <c r="BL127" s="1054"/>
      <c r="BM127" s="1206"/>
      <c r="BN127" s="1149"/>
      <c r="BO127" s="1149"/>
      <c r="BP127" s="1152"/>
      <c r="BQ127" s="1013"/>
      <c r="BR127" s="1757"/>
      <c r="BS127" s="1172"/>
      <c r="BT127" s="1456"/>
      <c r="BU127" s="1305"/>
      <c r="BV127" s="1289"/>
      <c r="BW127" s="1741"/>
      <c r="BX127" s="1280"/>
      <c r="BY127" s="1042"/>
      <c r="BZ127" s="1280"/>
      <c r="CA127" s="1042"/>
      <c r="CB127" s="1280"/>
      <c r="CC127" s="1042"/>
      <c r="CD127" s="1280"/>
      <c r="CE127" s="1042"/>
      <c r="CF127" s="1280"/>
      <c r="CG127" s="1263"/>
    </row>
    <row r="128" spans="1:85" s="782" customFormat="1" ht="117" customHeight="1" x14ac:dyDescent="0.25">
      <c r="A128" s="783"/>
      <c r="B128" s="1395"/>
      <c r="C128" s="1588" t="s">
        <v>588</v>
      </c>
      <c r="D128" s="1593" t="s">
        <v>589</v>
      </c>
      <c r="E128" s="1609">
        <v>3</v>
      </c>
      <c r="F128" s="1626" t="s">
        <v>29</v>
      </c>
      <c r="G128" s="1524">
        <v>1</v>
      </c>
      <c r="H128" s="1523">
        <v>2</v>
      </c>
      <c r="I128" s="1523">
        <v>3</v>
      </c>
      <c r="J128" s="1370">
        <v>3</v>
      </c>
      <c r="K128" s="1591"/>
      <c r="L128" s="1576" t="s">
        <v>590</v>
      </c>
      <c r="M128" s="1583">
        <v>98653</v>
      </c>
      <c r="N128" s="1556">
        <v>1162.73</v>
      </c>
      <c r="O128" s="1502">
        <v>27552.639999999999</v>
      </c>
      <c r="P128" s="1502">
        <v>31490</v>
      </c>
      <c r="Q128" s="1552">
        <f>22000+3000+20000+3230.04</f>
        <v>48230.04</v>
      </c>
      <c r="R128" s="1729"/>
      <c r="S128" s="1564"/>
      <c r="T128" s="1267"/>
      <c r="U128" s="1267">
        <v>2</v>
      </c>
      <c r="V128" s="1674"/>
      <c r="W128" s="1188">
        <f>IFERROR(SUM(S128:V139),0)</f>
        <v>2</v>
      </c>
      <c r="X128" s="995" t="s">
        <v>195</v>
      </c>
      <c r="Y128" s="1558" t="s">
        <v>591</v>
      </c>
      <c r="Z128" s="1284"/>
      <c r="AA128" s="1298"/>
      <c r="AB128" s="1298"/>
      <c r="AC128" s="1301">
        <v>1162.73</v>
      </c>
      <c r="AD128" s="1028">
        <f>SUM(Z128:AC151)</f>
        <v>1162.73</v>
      </c>
      <c r="AE128" s="1757"/>
      <c r="AF128" s="1254"/>
      <c r="AG128" s="1232"/>
      <c r="AH128" s="1232">
        <v>2</v>
      </c>
      <c r="AI128" s="1233"/>
      <c r="AJ128" s="993">
        <f>IFERROR(SUM(AF128:AI139),0)</f>
        <v>2</v>
      </c>
      <c r="AK128" s="995" t="s">
        <v>195</v>
      </c>
      <c r="AL128" s="1313" t="s">
        <v>473</v>
      </c>
      <c r="AM128" s="1284"/>
      <c r="AN128" s="1298"/>
      <c r="AO128" s="1298"/>
      <c r="AP128" s="1301">
        <v>27552.639999999999</v>
      </c>
      <c r="AQ128" s="1028">
        <f>SUM(AM128:AP151)</f>
        <v>27552.639999999999</v>
      </c>
      <c r="AR128" s="1757"/>
      <c r="AS128" s="1254"/>
      <c r="AT128" s="1232"/>
      <c r="AU128" s="1232"/>
      <c r="AV128" s="1233">
        <v>2</v>
      </c>
      <c r="AW128" s="993">
        <f>IFERROR(SUM(AS128:AV139),0)</f>
        <v>2</v>
      </c>
      <c r="AX128" s="995" t="s">
        <v>195</v>
      </c>
      <c r="AY128" s="1558" t="s">
        <v>592</v>
      </c>
      <c r="AZ128" s="1284"/>
      <c r="BA128" s="1298"/>
      <c r="BB128" s="1298"/>
      <c r="BC128" s="1301">
        <v>31490</v>
      </c>
      <c r="BD128" s="1028">
        <f>SUM(AZ128:BC151)</f>
        <v>31490</v>
      </c>
      <c r="BE128" s="1757"/>
      <c r="BF128" s="1439"/>
      <c r="BG128" s="1297"/>
      <c r="BH128" s="1297"/>
      <c r="BI128" s="1153">
        <v>0</v>
      </c>
      <c r="BJ128" s="993">
        <f>IFERROR(SUM(BF128:BI139),0)</f>
        <v>0</v>
      </c>
      <c r="BK128" s="995" t="s">
        <v>195</v>
      </c>
      <c r="BL128" s="1630" t="s">
        <v>672</v>
      </c>
      <c r="BM128" s="1631">
        <v>8750</v>
      </c>
      <c r="BN128" s="1634">
        <v>217.59</v>
      </c>
      <c r="BO128" s="1634">
        <v>3000</v>
      </c>
      <c r="BP128" s="1637">
        <v>26480.04</v>
      </c>
      <c r="BQ128" s="1288">
        <f>SUM(BM128:BP151)</f>
        <v>38447.630000000005</v>
      </c>
      <c r="BR128" s="1757"/>
      <c r="BS128" s="1260" t="s">
        <v>487</v>
      </c>
      <c r="BT128" s="1022">
        <f>SUM(W128)</f>
        <v>2</v>
      </c>
      <c r="BU128" s="1288">
        <f>SUM(AD128,AQ128,BD128,BQ128)</f>
        <v>98653</v>
      </c>
      <c r="BV128" s="1289"/>
      <c r="BW128" s="1741"/>
      <c r="BX128" s="1125">
        <f>IFERROR(W128/G128,0)</f>
        <v>2</v>
      </c>
      <c r="BY128" s="1041">
        <f>IFERROR(AD128/N128,0)</f>
        <v>1</v>
      </c>
      <c r="BZ128" s="1125">
        <f>IFERROR(AJ128/H128,0)</f>
        <v>1</v>
      </c>
      <c r="CA128" s="1041">
        <f>IFERROR(AQ128/O128,0)</f>
        <v>1</v>
      </c>
      <c r="CB128" s="1125">
        <f>IFERROR(AW128/I128,0)</f>
        <v>0.66666666666666663</v>
      </c>
      <c r="CC128" s="1041">
        <f>IFERROR(BD128/P128,0)</f>
        <v>1</v>
      </c>
      <c r="CD128" s="1125">
        <f>IFERROR(BJ128/J128,0)</f>
        <v>0</v>
      </c>
      <c r="CE128" s="1041">
        <f>IFERROR(BQ128/Q128,0)</f>
        <v>0.79717184559664478</v>
      </c>
      <c r="CF128" s="1125">
        <f>IFERROR(BT128/E128,0)</f>
        <v>0.66666666666666663</v>
      </c>
      <c r="CG128" s="1263"/>
    </row>
    <row r="129" spans="1:85" s="782" customFormat="1" ht="117" customHeight="1" x14ac:dyDescent="0.25">
      <c r="A129" s="783"/>
      <c r="B129" s="1395"/>
      <c r="C129" s="1434"/>
      <c r="D129" s="1437"/>
      <c r="E129" s="1448"/>
      <c r="F129" s="1600"/>
      <c r="G129" s="1603"/>
      <c r="H129" s="1418"/>
      <c r="I129" s="1418"/>
      <c r="J129" s="1580"/>
      <c r="K129" s="1591"/>
      <c r="L129" s="1574"/>
      <c r="M129" s="1584"/>
      <c r="N129" s="1285"/>
      <c r="O129" s="1299"/>
      <c r="P129" s="1299"/>
      <c r="Q129" s="1553"/>
      <c r="R129" s="1729"/>
      <c r="S129" s="1565"/>
      <c r="T129" s="1016"/>
      <c r="U129" s="1016"/>
      <c r="V129" s="1078"/>
      <c r="W129" s="993"/>
      <c r="X129" s="996"/>
      <c r="Y129" s="1295"/>
      <c r="Z129" s="1285"/>
      <c r="AA129" s="1299"/>
      <c r="AB129" s="1299"/>
      <c r="AC129" s="1302"/>
      <c r="AD129" s="1304"/>
      <c r="AE129" s="1757"/>
      <c r="AF129" s="1014"/>
      <c r="AG129" s="1016"/>
      <c r="AH129" s="1016"/>
      <c r="AI129" s="1078"/>
      <c r="AJ129" s="993"/>
      <c r="AK129" s="996"/>
      <c r="AL129" s="1295"/>
      <c r="AM129" s="1285"/>
      <c r="AN129" s="1299"/>
      <c r="AO129" s="1299"/>
      <c r="AP129" s="1302"/>
      <c r="AQ129" s="1304"/>
      <c r="AR129" s="1757"/>
      <c r="AS129" s="1014"/>
      <c r="AT129" s="1016"/>
      <c r="AU129" s="1016"/>
      <c r="AV129" s="1078"/>
      <c r="AW129" s="993"/>
      <c r="AX129" s="996"/>
      <c r="AY129" s="1295"/>
      <c r="AZ129" s="1285"/>
      <c r="BA129" s="1299"/>
      <c r="BB129" s="1299"/>
      <c r="BC129" s="1302"/>
      <c r="BD129" s="1304"/>
      <c r="BE129" s="1757"/>
      <c r="BF129" s="987"/>
      <c r="BG129" s="989"/>
      <c r="BH129" s="989"/>
      <c r="BI129" s="991"/>
      <c r="BJ129" s="993"/>
      <c r="BK129" s="996"/>
      <c r="BL129" s="1339"/>
      <c r="BM129" s="1632"/>
      <c r="BN129" s="1635"/>
      <c r="BO129" s="1635"/>
      <c r="BP129" s="1638"/>
      <c r="BQ129" s="1289"/>
      <c r="BR129" s="1757"/>
      <c r="BS129" s="1258"/>
      <c r="BT129" s="1023"/>
      <c r="BU129" s="1289"/>
      <c r="BV129" s="1289"/>
      <c r="BW129" s="1741"/>
      <c r="BX129" s="1126"/>
      <c r="BY129" s="1042"/>
      <c r="BZ129" s="1126"/>
      <c r="CA129" s="1042"/>
      <c r="CB129" s="1126"/>
      <c r="CC129" s="1042"/>
      <c r="CD129" s="1126"/>
      <c r="CE129" s="1042"/>
      <c r="CF129" s="1126"/>
      <c r="CG129" s="1263"/>
    </row>
    <row r="130" spans="1:85" s="782" customFormat="1" ht="117" customHeight="1" x14ac:dyDescent="0.25">
      <c r="A130" s="783"/>
      <c r="B130" s="1395"/>
      <c r="C130" s="1434"/>
      <c r="D130" s="1437"/>
      <c r="E130" s="1448"/>
      <c r="F130" s="1600"/>
      <c r="G130" s="1603"/>
      <c r="H130" s="1418"/>
      <c r="I130" s="1418"/>
      <c r="J130" s="1580"/>
      <c r="K130" s="1591"/>
      <c r="L130" s="1574"/>
      <c r="M130" s="1584"/>
      <c r="N130" s="1285"/>
      <c r="O130" s="1299"/>
      <c r="P130" s="1299"/>
      <c r="Q130" s="1553"/>
      <c r="R130" s="1729"/>
      <c r="S130" s="1565"/>
      <c r="T130" s="1016"/>
      <c r="U130" s="1016"/>
      <c r="V130" s="1078"/>
      <c r="W130" s="993"/>
      <c r="X130" s="996"/>
      <c r="Y130" s="1295"/>
      <c r="Z130" s="1285"/>
      <c r="AA130" s="1299"/>
      <c r="AB130" s="1299"/>
      <c r="AC130" s="1302"/>
      <c r="AD130" s="1304"/>
      <c r="AE130" s="1757"/>
      <c r="AF130" s="1014"/>
      <c r="AG130" s="1016"/>
      <c r="AH130" s="1016"/>
      <c r="AI130" s="1078"/>
      <c r="AJ130" s="993"/>
      <c r="AK130" s="996"/>
      <c r="AL130" s="1295"/>
      <c r="AM130" s="1285"/>
      <c r="AN130" s="1299"/>
      <c r="AO130" s="1299"/>
      <c r="AP130" s="1302"/>
      <c r="AQ130" s="1304"/>
      <c r="AR130" s="1757"/>
      <c r="AS130" s="1014"/>
      <c r="AT130" s="1016"/>
      <c r="AU130" s="1016"/>
      <c r="AV130" s="1078"/>
      <c r="AW130" s="993"/>
      <c r="AX130" s="996"/>
      <c r="AY130" s="1295"/>
      <c r="AZ130" s="1285"/>
      <c r="BA130" s="1299"/>
      <c r="BB130" s="1299"/>
      <c r="BC130" s="1302"/>
      <c r="BD130" s="1304"/>
      <c r="BE130" s="1757"/>
      <c r="BF130" s="987"/>
      <c r="BG130" s="989"/>
      <c r="BH130" s="989"/>
      <c r="BI130" s="991"/>
      <c r="BJ130" s="993"/>
      <c r="BK130" s="996"/>
      <c r="BL130" s="1339"/>
      <c r="BM130" s="1632"/>
      <c r="BN130" s="1635"/>
      <c r="BO130" s="1635"/>
      <c r="BP130" s="1638"/>
      <c r="BQ130" s="1289"/>
      <c r="BR130" s="1757"/>
      <c r="BS130" s="1258"/>
      <c r="BT130" s="1023"/>
      <c r="BU130" s="1289"/>
      <c r="BV130" s="1289"/>
      <c r="BW130" s="1741"/>
      <c r="BX130" s="1126"/>
      <c r="BY130" s="1042"/>
      <c r="BZ130" s="1126"/>
      <c r="CA130" s="1042"/>
      <c r="CB130" s="1126"/>
      <c r="CC130" s="1042"/>
      <c r="CD130" s="1126"/>
      <c r="CE130" s="1042"/>
      <c r="CF130" s="1126"/>
      <c r="CG130" s="1263"/>
    </row>
    <row r="131" spans="1:85" s="782" customFormat="1" ht="117" customHeight="1" x14ac:dyDescent="0.25">
      <c r="A131" s="783"/>
      <c r="B131" s="1395"/>
      <c r="C131" s="1434"/>
      <c r="D131" s="1437"/>
      <c r="E131" s="1448"/>
      <c r="F131" s="1600"/>
      <c r="G131" s="1603"/>
      <c r="H131" s="1418"/>
      <c r="I131" s="1418"/>
      <c r="J131" s="1580"/>
      <c r="K131" s="1591"/>
      <c r="L131" s="1574"/>
      <c r="M131" s="1584"/>
      <c r="N131" s="1285"/>
      <c r="O131" s="1299"/>
      <c r="P131" s="1299"/>
      <c r="Q131" s="1553"/>
      <c r="R131" s="1729"/>
      <c r="S131" s="1565"/>
      <c r="T131" s="1016"/>
      <c r="U131" s="1016"/>
      <c r="V131" s="1078"/>
      <c r="W131" s="993"/>
      <c r="X131" s="996"/>
      <c r="Y131" s="1295"/>
      <c r="Z131" s="1285"/>
      <c r="AA131" s="1299"/>
      <c r="AB131" s="1299"/>
      <c r="AC131" s="1302"/>
      <c r="AD131" s="1304"/>
      <c r="AE131" s="1757"/>
      <c r="AF131" s="1014"/>
      <c r="AG131" s="1016"/>
      <c r="AH131" s="1016"/>
      <c r="AI131" s="1078"/>
      <c r="AJ131" s="993"/>
      <c r="AK131" s="996"/>
      <c r="AL131" s="1295"/>
      <c r="AM131" s="1285"/>
      <c r="AN131" s="1299"/>
      <c r="AO131" s="1299"/>
      <c r="AP131" s="1302"/>
      <c r="AQ131" s="1304"/>
      <c r="AR131" s="1757"/>
      <c r="AS131" s="1014"/>
      <c r="AT131" s="1016"/>
      <c r="AU131" s="1016"/>
      <c r="AV131" s="1078"/>
      <c r="AW131" s="993"/>
      <c r="AX131" s="996"/>
      <c r="AY131" s="1295"/>
      <c r="AZ131" s="1285"/>
      <c r="BA131" s="1299"/>
      <c r="BB131" s="1299"/>
      <c r="BC131" s="1302"/>
      <c r="BD131" s="1304"/>
      <c r="BE131" s="1757"/>
      <c r="BF131" s="987"/>
      <c r="BG131" s="989"/>
      <c r="BH131" s="989"/>
      <c r="BI131" s="991"/>
      <c r="BJ131" s="993"/>
      <c r="BK131" s="996"/>
      <c r="BL131" s="1339"/>
      <c r="BM131" s="1632"/>
      <c r="BN131" s="1635"/>
      <c r="BO131" s="1635"/>
      <c r="BP131" s="1638"/>
      <c r="BQ131" s="1289"/>
      <c r="BR131" s="1757"/>
      <c r="BS131" s="1258"/>
      <c r="BT131" s="1023"/>
      <c r="BU131" s="1289"/>
      <c r="BV131" s="1289"/>
      <c r="BW131" s="1741"/>
      <c r="BX131" s="1126"/>
      <c r="BY131" s="1042"/>
      <c r="BZ131" s="1126"/>
      <c r="CA131" s="1042"/>
      <c r="CB131" s="1126"/>
      <c r="CC131" s="1042"/>
      <c r="CD131" s="1126"/>
      <c r="CE131" s="1042"/>
      <c r="CF131" s="1126"/>
      <c r="CG131" s="1263"/>
    </row>
    <row r="132" spans="1:85" s="782" customFormat="1" ht="15.75" customHeight="1" x14ac:dyDescent="0.25">
      <c r="A132" s="783"/>
      <c r="B132" s="1395"/>
      <c r="C132" s="1434"/>
      <c r="D132" s="1437"/>
      <c r="E132" s="1448"/>
      <c r="F132" s="1600"/>
      <c r="G132" s="1603"/>
      <c r="H132" s="1418"/>
      <c r="I132" s="1418"/>
      <c r="J132" s="1580"/>
      <c r="K132" s="1591"/>
      <c r="L132" s="1574"/>
      <c r="M132" s="1584"/>
      <c r="N132" s="1285"/>
      <c r="O132" s="1299"/>
      <c r="P132" s="1299"/>
      <c r="Q132" s="1553"/>
      <c r="R132" s="1729"/>
      <c r="S132" s="1565"/>
      <c r="T132" s="1016"/>
      <c r="U132" s="1016"/>
      <c r="V132" s="1078"/>
      <c r="W132" s="993"/>
      <c r="X132" s="996" t="s">
        <v>196</v>
      </c>
      <c r="Y132" s="1295"/>
      <c r="Z132" s="1285"/>
      <c r="AA132" s="1299"/>
      <c r="AB132" s="1299"/>
      <c r="AC132" s="1302"/>
      <c r="AD132" s="1304"/>
      <c r="AE132" s="1757"/>
      <c r="AF132" s="1014"/>
      <c r="AG132" s="1016"/>
      <c r="AH132" s="1016"/>
      <c r="AI132" s="1078"/>
      <c r="AJ132" s="993"/>
      <c r="AK132" s="996" t="s">
        <v>196</v>
      </c>
      <c r="AL132" s="1295" t="s">
        <v>474</v>
      </c>
      <c r="AM132" s="1285"/>
      <c r="AN132" s="1299"/>
      <c r="AO132" s="1299"/>
      <c r="AP132" s="1302"/>
      <c r="AQ132" s="1304"/>
      <c r="AR132" s="1757"/>
      <c r="AS132" s="1014"/>
      <c r="AT132" s="1016"/>
      <c r="AU132" s="1016"/>
      <c r="AV132" s="1078"/>
      <c r="AW132" s="993"/>
      <c r="AX132" s="996" t="s">
        <v>196</v>
      </c>
      <c r="AY132" s="1295"/>
      <c r="AZ132" s="1285"/>
      <c r="BA132" s="1299"/>
      <c r="BB132" s="1299"/>
      <c r="BC132" s="1302"/>
      <c r="BD132" s="1304"/>
      <c r="BE132" s="1757"/>
      <c r="BF132" s="987"/>
      <c r="BG132" s="989"/>
      <c r="BH132" s="989"/>
      <c r="BI132" s="991"/>
      <c r="BJ132" s="993"/>
      <c r="BK132" s="996" t="s">
        <v>196</v>
      </c>
      <c r="BL132" s="1339" t="s">
        <v>670</v>
      </c>
      <c r="BM132" s="1632"/>
      <c r="BN132" s="1635"/>
      <c r="BO132" s="1635"/>
      <c r="BP132" s="1638"/>
      <c r="BQ132" s="1289"/>
      <c r="BR132" s="1757"/>
      <c r="BS132" s="1258"/>
      <c r="BT132" s="1023"/>
      <c r="BU132" s="1289"/>
      <c r="BV132" s="1289"/>
      <c r="BW132" s="1741"/>
      <c r="BX132" s="1126"/>
      <c r="BY132" s="1042"/>
      <c r="BZ132" s="1126"/>
      <c r="CA132" s="1042"/>
      <c r="CB132" s="1126"/>
      <c r="CC132" s="1042"/>
      <c r="CD132" s="1126"/>
      <c r="CE132" s="1042"/>
      <c r="CF132" s="1126"/>
      <c r="CG132" s="1263"/>
    </row>
    <row r="133" spans="1:85" s="782" customFormat="1" ht="15.75" customHeight="1" x14ac:dyDescent="0.25">
      <c r="A133" s="783"/>
      <c r="B133" s="1395"/>
      <c r="C133" s="1434"/>
      <c r="D133" s="1437"/>
      <c r="E133" s="1448"/>
      <c r="F133" s="1600"/>
      <c r="G133" s="1603"/>
      <c r="H133" s="1418"/>
      <c r="I133" s="1418"/>
      <c r="J133" s="1580"/>
      <c r="K133" s="1591"/>
      <c r="L133" s="1574"/>
      <c r="M133" s="1584"/>
      <c r="N133" s="1285"/>
      <c r="O133" s="1299"/>
      <c r="P133" s="1299"/>
      <c r="Q133" s="1553"/>
      <c r="R133" s="1729"/>
      <c r="S133" s="1565"/>
      <c r="T133" s="1016"/>
      <c r="U133" s="1016"/>
      <c r="V133" s="1078"/>
      <c r="W133" s="993"/>
      <c r="X133" s="996"/>
      <c r="Y133" s="1295"/>
      <c r="Z133" s="1285"/>
      <c r="AA133" s="1299"/>
      <c r="AB133" s="1299"/>
      <c r="AC133" s="1302"/>
      <c r="AD133" s="1304"/>
      <c r="AE133" s="1757"/>
      <c r="AF133" s="1014"/>
      <c r="AG133" s="1016"/>
      <c r="AH133" s="1016"/>
      <c r="AI133" s="1078"/>
      <c r="AJ133" s="993"/>
      <c r="AK133" s="996"/>
      <c r="AL133" s="1295"/>
      <c r="AM133" s="1285"/>
      <c r="AN133" s="1299"/>
      <c r="AO133" s="1299"/>
      <c r="AP133" s="1302"/>
      <c r="AQ133" s="1304"/>
      <c r="AR133" s="1757"/>
      <c r="AS133" s="1014"/>
      <c r="AT133" s="1016"/>
      <c r="AU133" s="1016"/>
      <c r="AV133" s="1078"/>
      <c r="AW133" s="993"/>
      <c r="AX133" s="996"/>
      <c r="AY133" s="1295"/>
      <c r="AZ133" s="1285"/>
      <c r="BA133" s="1299"/>
      <c r="BB133" s="1299"/>
      <c r="BC133" s="1302"/>
      <c r="BD133" s="1304"/>
      <c r="BE133" s="1757"/>
      <c r="BF133" s="987"/>
      <c r="BG133" s="989"/>
      <c r="BH133" s="989"/>
      <c r="BI133" s="991"/>
      <c r="BJ133" s="993"/>
      <c r="BK133" s="996"/>
      <c r="BL133" s="1339"/>
      <c r="BM133" s="1632"/>
      <c r="BN133" s="1635"/>
      <c r="BO133" s="1635"/>
      <c r="BP133" s="1638"/>
      <c r="BQ133" s="1289"/>
      <c r="BR133" s="1757"/>
      <c r="BS133" s="1258"/>
      <c r="BT133" s="1023"/>
      <c r="BU133" s="1289"/>
      <c r="BV133" s="1289"/>
      <c r="BW133" s="1741"/>
      <c r="BX133" s="1127"/>
      <c r="BY133" s="1042"/>
      <c r="BZ133" s="1127"/>
      <c r="CA133" s="1042"/>
      <c r="CB133" s="1127"/>
      <c r="CC133" s="1042"/>
      <c r="CD133" s="1127"/>
      <c r="CE133" s="1042"/>
      <c r="CF133" s="1127"/>
      <c r="CG133" s="1263"/>
    </row>
    <row r="134" spans="1:85" s="782" customFormat="1" ht="15.75" customHeight="1" x14ac:dyDescent="0.25">
      <c r="A134" s="783"/>
      <c r="B134" s="1395"/>
      <c r="C134" s="1434"/>
      <c r="D134" s="1437"/>
      <c r="E134" s="1448"/>
      <c r="F134" s="1600"/>
      <c r="G134" s="1603"/>
      <c r="H134" s="1418"/>
      <c r="I134" s="1418"/>
      <c r="J134" s="1580"/>
      <c r="K134" s="1591"/>
      <c r="L134" s="1574"/>
      <c r="M134" s="1584"/>
      <c r="N134" s="1285"/>
      <c r="O134" s="1299"/>
      <c r="P134" s="1299"/>
      <c r="Q134" s="1553"/>
      <c r="R134" s="1729"/>
      <c r="S134" s="1565"/>
      <c r="T134" s="1016"/>
      <c r="U134" s="1016"/>
      <c r="V134" s="1078"/>
      <c r="W134" s="993"/>
      <c r="X134" s="996"/>
      <c r="Y134" s="1295"/>
      <c r="Z134" s="1285"/>
      <c r="AA134" s="1299"/>
      <c r="AB134" s="1299"/>
      <c r="AC134" s="1302"/>
      <c r="AD134" s="1304"/>
      <c r="AE134" s="1757"/>
      <c r="AF134" s="1014"/>
      <c r="AG134" s="1016"/>
      <c r="AH134" s="1016"/>
      <c r="AI134" s="1078"/>
      <c r="AJ134" s="993"/>
      <c r="AK134" s="996"/>
      <c r="AL134" s="1295"/>
      <c r="AM134" s="1285"/>
      <c r="AN134" s="1299"/>
      <c r="AO134" s="1299"/>
      <c r="AP134" s="1302"/>
      <c r="AQ134" s="1304"/>
      <c r="AR134" s="1757"/>
      <c r="AS134" s="1014"/>
      <c r="AT134" s="1016"/>
      <c r="AU134" s="1016"/>
      <c r="AV134" s="1078"/>
      <c r="AW134" s="993"/>
      <c r="AX134" s="996"/>
      <c r="AY134" s="1295"/>
      <c r="AZ134" s="1285"/>
      <c r="BA134" s="1299"/>
      <c r="BB134" s="1299"/>
      <c r="BC134" s="1302"/>
      <c r="BD134" s="1304"/>
      <c r="BE134" s="1757"/>
      <c r="BF134" s="987"/>
      <c r="BG134" s="989"/>
      <c r="BH134" s="989"/>
      <c r="BI134" s="991"/>
      <c r="BJ134" s="993"/>
      <c r="BK134" s="996"/>
      <c r="BL134" s="1339"/>
      <c r="BM134" s="1632"/>
      <c r="BN134" s="1635"/>
      <c r="BO134" s="1635"/>
      <c r="BP134" s="1638"/>
      <c r="BQ134" s="1289"/>
      <c r="BR134" s="1757"/>
      <c r="BS134" s="1258"/>
      <c r="BT134" s="1023"/>
      <c r="BU134" s="1289"/>
      <c r="BV134" s="1289"/>
      <c r="BW134" s="1741"/>
      <c r="BX134" s="1127"/>
      <c r="BY134" s="1042"/>
      <c r="BZ134" s="1127"/>
      <c r="CA134" s="1042"/>
      <c r="CB134" s="1127"/>
      <c r="CC134" s="1042"/>
      <c r="CD134" s="1127"/>
      <c r="CE134" s="1042"/>
      <c r="CF134" s="1127"/>
      <c r="CG134" s="1263"/>
    </row>
    <row r="135" spans="1:85" s="782" customFormat="1" ht="15.75" customHeight="1" x14ac:dyDescent="0.25">
      <c r="A135" s="783"/>
      <c r="B135" s="1395"/>
      <c r="C135" s="1434"/>
      <c r="D135" s="1437"/>
      <c r="E135" s="1448"/>
      <c r="F135" s="1600"/>
      <c r="G135" s="1603"/>
      <c r="H135" s="1418"/>
      <c r="I135" s="1418"/>
      <c r="J135" s="1580"/>
      <c r="K135" s="1591"/>
      <c r="L135" s="1574"/>
      <c r="M135" s="1584"/>
      <c r="N135" s="1285"/>
      <c r="O135" s="1299"/>
      <c r="P135" s="1299"/>
      <c r="Q135" s="1553"/>
      <c r="R135" s="1729"/>
      <c r="S135" s="1565"/>
      <c r="T135" s="1016"/>
      <c r="U135" s="1016"/>
      <c r="V135" s="1078"/>
      <c r="W135" s="993"/>
      <c r="X135" s="996"/>
      <c r="Y135" s="1295"/>
      <c r="Z135" s="1285"/>
      <c r="AA135" s="1299"/>
      <c r="AB135" s="1299"/>
      <c r="AC135" s="1302"/>
      <c r="AD135" s="1304"/>
      <c r="AE135" s="1757"/>
      <c r="AF135" s="1014"/>
      <c r="AG135" s="1016"/>
      <c r="AH135" s="1016"/>
      <c r="AI135" s="1078"/>
      <c r="AJ135" s="993"/>
      <c r="AK135" s="996"/>
      <c r="AL135" s="1295"/>
      <c r="AM135" s="1285"/>
      <c r="AN135" s="1299"/>
      <c r="AO135" s="1299"/>
      <c r="AP135" s="1302"/>
      <c r="AQ135" s="1304"/>
      <c r="AR135" s="1757"/>
      <c r="AS135" s="1014"/>
      <c r="AT135" s="1016"/>
      <c r="AU135" s="1016"/>
      <c r="AV135" s="1078"/>
      <c r="AW135" s="993"/>
      <c r="AX135" s="996"/>
      <c r="AY135" s="1295"/>
      <c r="AZ135" s="1285"/>
      <c r="BA135" s="1299"/>
      <c r="BB135" s="1299"/>
      <c r="BC135" s="1302"/>
      <c r="BD135" s="1304"/>
      <c r="BE135" s="1757"/>
      <c r="BF135" s="987"/>
      <c r="BG135" s="989"/>
      <c r="BH135" s="989"/>
      <c r="BI135" s="991"/>
      <c r="BJ135" s="993"/>
      <c r="BK135" s="996"/>
      <c r="BL135" s="1339"/>
      <c r="BM135" s="1632"/>
      <c r="BN135" s="1635"/>
      <c r="BO135" s="1635"/>
      <c r="BP135" s="1638"/>
      <c r="BQ135" s="1289"/>
      <c r="BR135" s="1757"/>
      <c r="BS135" s="1258"/>
      <c r="BT135" s="1023"/>
      <c r="BU135" s="1289"/>
      <c r="BV135" s="1289"/>
      <c r="BW135" s="1741"/>
      <c r="BX135" s="1127"/>
      <c r="BY135" s="1042"/>
      <c r="BZ135" s="1127"/>
      <c r="CA135" s="1042"/>
      <c r="CB135" s="1127"/>
      <c r="CC135" s="1042"/>
      <c r="CD135" s="1127"/>
      <c r="CE135" s="1042"/>
      <c r="CF135" s="1127"/>
      <c r="CG135" s="1263"/>
    </row>
    <row r="136" spans="1:85" s="782" customFormat="1" ht="44.25" customHeight="1" x14ac:dyDescent="0.25">
      <c r="A136" s="783"/>
      <c r="B136" s="1395"/>
      <c r="C136" s="1434"/>
      <c r="D136" s="1437"/>
      <c r="E136" s="1448"/>
      <c r="F136" s="1600"/>
      <c r="G136" s="1603"/>
      <c r="H136" s="1418"/>
      <c r="I136" s="1418"/>
      <c r="J136" s="1580"/>
      <c r="K136" s="1591"/>
      <c r="L136" s="1574"/>
      <c r="M136" s="1584"/>
      <c r="N136" s="1285"/>
      <c r="O136" s="1299"/>
      <c r="P136" s="1299"/>
      <c r="Q136" s="1553"/>
      <c r="R136" s="1729"/>
      <c r="S136" s="1565"/>
      <c r="T136" s="1016"/>
      <c r="U136" s="1016"/>
      <c r="V136" s="1078"/>
      <c r="W136" s="993"/>
      <c r="X136" s="996" t="s">
        <v>197</v>
      </c>
      <c r="Y136" s="1294" t="s">
        <v>593</v>
      </c>
      <c r="Z136" s="1285"/>
      <c r="AA136" s="1299"/>
      <c r="AB136" s="1299"/>
      <c r="AC136" s="1302"/>
      <c r="AD136" s="1304"/>
      <c r="AE136" s="1757"/>
      <c r="AF136" s="1014"/>
      <c r="AG136" s="1016"/>
      <c r="AH136" s="1016"/>
      <c r="AI136" s="1078"/>
      <c r="AJ136" s="993"/>
      <c r="AK136" s="996" t="s">
        <v>197</v>
      </c>
      <c r="AL136" s="1295" t="s">
        <v>472</v>
      </c>
      <c r="AM136" s="1285"/>
      <c r="AN136" s="1299"/>
      <c r="AO136" s="1299"/>
      <c r="AP136" s="1302"/>
      <c r="AQ136" s="1304"/>
      <c r="AR136" s="1757"/>
      <c r="AS136" s="1014"/>
      <c r="AT136" s="1016"/>
      <c r="AU136" s="1016"/>
      <c r="AV136" s="1078"/>
      <c r="AW136" s="993"/>
      <c r="AX136" s="996" t="s">
        <v>197</v>
      </c>
      <c r="AY136" s="1295" t="s">
        <v>594</v>
      </c>
      <c r="AZ136" s="1285"/>
      <c r="BA136" s="1299"/>
      <c r="BB136" s="1299"/>
      <c r="BC136" s="1302"/>
      <c r="BD136" s="1304"/>
      <c r="BE136" s="1757"/>
      <c r="BF136" s="987"/>
      <c r="BG136" s="989"/>
      <c r="BH136" s="989"/>
      <c r="BI136" s="991"/>
      <c r="BJ136" s="993"/>
      <c r="BK136" s="996" t="s">
        <v>197</v>
      </c>
      <c r="BL136" s="1339" t="s">
        <v>671</v>
      </c>
      <c r="BM136" s="1632"/>
      <c r="BN136" s="1635"/>
      <c r="BO136" s="1635"/>
      <c r="BP136" s="1638"/>
      <c r="BQ136" s="1289"/>
      <c r="BR136" s="1757"/>
      <c r="BS136" s="1258"/>
      <c r="BT136" s="1023"/>
      <c r="BU136" s="1289"/>
      <c r="BV136" s="1289"/>
      <c r="BW136" s="1741"/>
      <c r="BX136" s="1127"/>
      <c r="BY136" s="1042"/>
      <c r="BZ136" s="1127"/>
      <c r="CA136" s="1042"/>
      <c r="CB136" s="1127"/>
      <c r="CC136" s="1042"/>
      <c r="CD136" s="1127"/>
      <c r="CE136" s="1042"/>
      <c r="CF136" s="1127"/>
      <c r="CG136" s="1263"/>
    </row>
    <row r="137" spans="1:85" s="782" customFormat="1" ht="44.25" customHeight="1" x14ac:dyDescent="0.25">
      <c r="A137" s="783"/>
      <c r="B137" s="1395"/>
      <c r="C137" s="1434"/>
      <c r="D137" s="1437"/>
      <c r="E137" s="1448"/>
      <c r="F137" s="1600"/>
      <c r="G137" s="1603"/>
      <c r="H137" s="1418"/>
      <c r="I137" s="1418"/>
      <c r="J137" s="1580"/>
      <c r="K137" s="1591"/>
      <c r="L137" s="1574"/>
      <c r="M137" s="1584"/>
      <c r="N137" s="1285"/>
      <c r="O137" s="1299"/>
      <c r="P137" s="1299"/>
      <c r="Q137" s="1553"/>
      <c r="R137" s="1729"/>
      <c r="S137" s="1565"/>
      <c r="T137" s="1016"/>
      <c r="U137" s="1016"/>
      <c r="V137" s="1078"/>
      <c r="W137" s="993"/>
      <c r="X137" s="996"/>
      <c r="Y137" s="1295"/>
      <c r="Z137" s="1285"/>
      <c r="AA137" s="1299"/>
      <c r="AB137" s="1299"/>
      <c r="AC137" s="1302"/>
      <c r="AD137" s="1304"/>
      <c r="AE137" s="1757"/>
      <c r="AF137" s="1014"/>
      <c r="AG137" s="1016"/>
      <c r="AH137" s="1016"/>
      <c r="AI137" s="1078"/>
      <c r="AJ137" s="993"/>
      <c r="AK137" s="996"/>
      <c r="AL137" s="1295"/>
      <c r="AM137" s="1285"/>
      <c r="AN137" s="1299"/>
      <c r="AO137" s="1299"/>
      <c r="AP137" s="1302"/>
      <c r="AQ137" s="1304"/>
      <c r="AR137" s="1757"/>
      <c r="AS137" s="1014"/>
      <c r="AT137" s="1016"/>
      <c r="AU137" s="1016"/>
      <c r="AV137" s="1078"/>
      <c r="AW137" s="993"/>
      <c r="AX137" s="996"/>
      <c r="AY137" s="1295"/>
      <c r="AZ137" s="1285"/>
      <c r="BA137" s="1299"/>
      <c r="BB137" s="1299"/>
      <c r="BC137" s="1302"/>
      <c r="BD137" s="1304"/>
      <c r="BE137" s="1757"/>
      <c r="BF137" s="987"/>
      <c r="BG137" s="989"/>
      <c r="BH137" s="989"/>
      <c r="BI137" s="991"/>
      <c r="BJ137" s="993"/>
      <c r="BK137" s="996"/>
      <c r="BL137" s="1339"/>
      <c r="BM137" s="1632"/>
      <c r="BN137" s="1635"/>
      <c r="BO137" s="1635"/>
      <c r="BP137" s="1638"/>
      <c r="BQ137" s="1289"/>
      <c r="BR137" s="1757"/>
      <c r="BS137" s="1258"/>
      <c r="BT137" s="1023"/>
      <c r="BU137" s="1289"/>
      <c r="BV137" s="1289"/>
      <c r="BW137" s="1741"/>
      <c r="BX137" s="1127"/>
      <c r="BY137" s="1042"/>
      <c r="BZ137" s="1127"/>
      <c r="CA137" s="1042">
        <f>IFERROR(BT137/M137,0)</f>
        <v>0</v>
      </c>
      <c r="CB137" s="1127"/>
      <c r="CC137" s="1042">
        <f>IFERROR(#REF!/M137,0)</f>
        <v>0</v>
      </c>
      <c r="CD137" s="1127"/>
      <c r="CE137" s="1042"/>
      <c r="CF137" s="1127"/>
      <c r="CG137" s="1263"/>
    </row>
    <row r="138" spans="1:85" s="782" customFormat="1" ht="44.25" customHeight="1" x14ac:dyDescent="0.25">
      <c r="A138" s="783"/>
      <c r="B138" s="1395"/>
      <c r="C138" s="1434"/>
      <c r="D138" s="1437"/>
      <c r="E138" s="1448"/>
      <c r="F138" s="1600"/>
      <c r="G138" s="1603"/>
      <c r="H138" s="1418"/>
      <c r="I138" s="1418"/>
      <c r="J138" s="1580"/>
      <c r="K138" s="1591"/>
      <c r="L138" s="1574"/>
      <c r="M138" s="1584"/>
      <c r="N138" s="1285"/>
      <c r="O138" s="1299"/>
      <c r="P138" s="1299"/>
      <c r="Q138" s="1553"/>
      <c r="R138" s="1729"/>
      <c r="S138" s="1565"/>
      <c r="T138" s="1016"/>
      <c r="U138" s="1016"/>
      <c r="V138" s="1078"/>
      <c r="W138" s="993"/>
      <c r="X138" s="996"/>
      <c r="Y138" s="1295"/>
      <c r="Z138" s="1285"/>
      <c r="AA138" s="1299"/>
      <c r="AB138" s="1299"/>
      <c r="AC138" s="1302"/>
      <c r="AD138" s="1304"/>
      <c r="AE138" s="1757"/>
      <c r="AF138" s="1014"/>
      <c r="AG138" s="1016"/>
      <c r="AH138" s="1016"/>
      <c r="AI138" s="1078"/>
      <c r="AJ138" s="993"/>
      <c r="AK138" s="996"/>
      <c r="AL138" s="1295"/>
      <c r="AM138" s="1285"/>
      <c r="AN138" s="1299"/>
      <c r="AO138" s="1299"/>
      <c r="AP138" s="1302"/>
      <c r="AQ138" s="1304"/>
      <c r="AR138" s="1757"/>
      <c r="AS138" s="1014"/>
      <c r="AT138" s="1016"/>
      <c r="AU138" s="1016"/>
      <c r="AV138" s="1078"/>
      <c r="AW138" s="993"/>
      <c r="AX138" s="996"/>
      <c r="AY138" s="1295"/>
      <c r="AZ138" s="1285"/>
      <c r="BA138" s="1299"/>
      <c r="BB138" s="1299"/>
      <c r="BC138" s="1302"/>
      <c r="BD138" s="1304"/>
      <c r="BE138" s="1757"/>
      <c r="BF138" s="987"/>
      <c r="BG138" s="989"/>
      <c r="BH138" s="989"/>
      <c r="BI138" s="991"/>
      <c r="BJ138" s="993"/>
      <c r="BK138" s="996"/>
      <c r="BL138" s="1339"/>
      <c r="BM138" s="1632"/>
      <c r="BN138" s="1635"/>
      <c r="BO138" s="1635"/>
      <c r="BP138" s="1638"/>
      <c r="BQ138" s="1289"/>
      <c r="BR138" s="1757"/>
      <c r="BS138" s="1258"/>
      <c r="BT138" s="1023"/>
      <c r="BU138" s="1289"/>
      <c r="BV138" s="1289"/>
      <c r="BW138" s="1741"/>
      <c r="BX138" s="1127"/>
      <c r="BY138" s="1042"/>
      <c r="BZ138" s="1127"/>
      <c r="CA138" s="1042"/>
      <c r="CB138" s="1127"/>
      <c r="CC138" s="1042"/>
      <c r="CD138" s="1127"/>
      <c r="CE138" s="1042"/>
      <c r="CF138" s="1127"/>
      <c r="CG138" s="1263"/>
    </row>
    <row r="139" spans="1:85" s="782" customFormat="1" ht="67.900000000000006" customHeight="1" thickBot="1" x14ac:dyDescent="0.3">
      <c r="A139" s="783"/>
      <c r="B139" s="1395"/>
      <c r="C139" s="1435"/>
      <c r="D139" s="1438"/>
      <c r="E139" s="1598"/>
      <c r="F139" s="1601"/>
      <c r="G139" s="1604"/>
      <c r="H139" s="1419"/>
      <c r="I139" s="1419"/>
      <c r="J139" s="1577"/>
      <c r="K139" s="1591"/>
      <c r="L139" s="1574"/>
      <c r="M139" s="1584"/>
      <c r="N139" s="1285"/>
      <c r="O139" s="1299"/>
      <c r="P139" s="1299"/>
      <c r="Q139" s="1553"/>
      <c r="R139" s="1729"/>
      <c r="S139" s="1566"/>
      <c r="T139" s="1017"/>
      <c r="U139" s="1017"/>
      <c r="V139" s="1079"/>
      <c r="W139" s="994"/>
      <c r="X139" s="1068"/>
      <c r="Y139" s="1296"/>
      <c r="Z139" s="1285"/>
      <c r="AA139" s="1299"/>
      <c r="AB139" s="1299"/>
      <c r="AC139" s="1302"/>
      <c r="AD139" s="1304"/>
      <c r="AE139" s="1757"/>
      <c r="AF139" s="1180"/>
      <c r="AG139" s="1183"/>
      <c r="AH139" s="1183"/>
      <c r="AI139" s="1186"/>
      <c r="AJ139" s="993"/>
      <c r="AK139" s="1068"/>
      <c r="AL139" s="1296"/>
      <c r="AM139" s="1285"/>
      <c r="AN139" s="1299"/>
      <c r="AO139" s="1299"/>
      <c r="AP139" s="1302"/>
      <c r="AQ139" s="1304"/>
      <c r="AR139" s="1757"/>
      <c r="AS139" s="1180"/>
      <c r="AT139" s="1183"/>
      <c r="AU139" s="1183"/>
      <c r="AV139" s="1186"/>
      <c r="AW139" s="993"/>
      <c r="AX139" s="1068"/>
      <c r="AY139" s="1296"/>
      <c r="AZ139" s="1285"/>
      <c r="BA139" s="1299"/>
      <c r="BB139" s="1299"/>
      <c r="BC139" s="1302"/>
      <c r="BD139" s="1304"/>
      <c r="BE139" s="1757"/>
      <c r="BF139" s="1452"/>
      <c r="BG139" s="1421"/>
      <c r="BH139" s="1421"/>
      <c r="BI139" s="1199"/>
      <c r="BJ139" s="993"/>
      <c r="BK139" s="1068"/>
      <c r="BL139" s="1340"/>
      <c r="BM139" s="1632"/>
      <c r="BN139" s="1635"/>
      <c r="BO139" s="1635"/>
      <c r="BP139" s="1638"/>
      <c r="BQ139" s="1289"/>
      <c r="BR139" s="1757"/>
      <c r="BS139" s="1261"/>
      <c r="BT139" s="1024"/>
      <c r="BU139" s="1289"/>
      <c r="BV139" s="1289"/>
      <c r="BW139" s="1741"/>
      <c r="BX139" s="1280"/>
      <c r="BY139" s="1042"/>
      <c r="BZ139" s="1280"/>
      <c r="CA139" s="1042">
        <f>IFERROR(BT139/M139,0)</f>
        <v>0</v>
      </c>
      <c r="CB139" s="1280"/>
      <c r="CC139" s="1042">
        <f>IFERROR(#REF!/M139,0)</f>
        <v>0</v>
      </c>
      <c r="CD139" s="1280"/>
      <c r="CE139" s="1042"/>
      <c r="CF139" s="1280"/>
      <c r="CG139" s="1263"/>
    </row>
    <row r="140" spans="1:85" s="782" customFormat="1" ht="15.75" customHeight="1" x14ac:dyDescent="0.25">
      <c r="A140" s="783"/>
      <c r="B140" s="1395"/>
      <c r="C140" s="1588" t="s">
        <v>595</v>
      </c>
      <c r="D140" s="1593" t="s">
        <v>574</v>
      </c>
      <c r="E140" s="1609">
        <v>10</v>
      </c>
      <c r="F140" s="1626" t="s">
        <v>30</v>
      </c>
      <c r="G140" s="1524"/>
      <c r="H140" s="1523">
        <v>10</v>
      </c>
      <c r="I140" s="1523">
        <v>10</v>
      </c>
      <c r="J140" s="1370">
        <v>10</v>
      </c>
      <c r="K140" s="1591"/>
      <c r="L140" s="1574"/>
      <c r="M140" s="1584"/>
      <c r="N140" s="1285"/>
      <c r="O140" s="1299"/>
      <c r="P140" s="1299"/>
      <c r="Q140" s="1553"/>
      <c r="R140" s="1729"/>
      <c r="S140" s="1564"/>
      <c r="T140" s="1267"/>
      <c r="U140" s="1267"/>
      <c r="V140" s="1674"/>
      <c r="W140" s="1188">
        <f>IFERROR(SUM(S140:V151),0)</f>
        <v>0</v>
      </c>
      <c r="X140" s="995" t="s">
        <v>195</v>
      </c>
      <c r="Y140" s="1313" t="s">
        <v>463</v>
      </c>
      <c r="Z140" s="1285"/>
      <c r="AA140" s="1299"/>
      <c r="AB140" s="1299"/>
      <c r="AC140" s="1302"/>
      <c r="AD140" s="1304"/>
      <c r="AE140" s="1757"/>
      <c r="AF140" s="1254"/>
      <c r="AG140" s="1232"/>
      <c r="AH140" s="1232"/>
      <c r="AI140" s="1233"/>
      <c r="AJ140" s="993">
        <f>IFERROR(SUM(AF140:AI151),0)</f>
        <v>0</v>
      </c>
      <c r="AK140" s="995" t="s">
        <v>195</v>
      </c>
      <c r="AL140" s="1313" t="s">
        <v>462</v>
      </c>
      <c r="AM140" s="1285"/>
      <c r="AN140" s="1299"/>
      <c r="AO140" s="1299"/>
      <c r="AP140" s="1302"/>
      <c r="AQ140" s="1304"/>
      <c r="AR140" s="1757"/>
      <c r="AS140" s="1254"/>
      <c r="AT140" s="1232"/>
      <c r="AU140" s="1232"/>
      <c r="AV140" s="1233">
        <v>10</v>
      </c>
      <c r="AW140" s="993">
        <f>IFERROR(SUM(AS140:AV151),0)</f>
        <v>10</v>
      </c>
      <c r="AX140" s="995" t="s">
        <v>195</v>
      </c>
      <c r="AY140" s="1313" t="s">
        <v>653</v>
      </c>
      <c r="AZ140" s="1285"/>
      <c r="BA140" s="1299"/>
      <c r="BB140" s="1299"/>
      <c r="BC140" s="1302"/>
      <c r="BD140" s="1304"/>
      <c r="BE140" s="1757"/>
      <c r="BF140" s="1439"/>
      <c r="BG140" s="1297"/>
      <c r="BH140" s="1297"/>
      <c r="BI140" s="1153"/>
      <c r="BJ140" s="993">
        <f>IFERROR(SUM(BF140:BI151),0)</f>
        <v>0</v>
      </c>
      <c r="BK140" s="995" t="s">
        <v>195</v>
      </c>
      <c r="BL140" s="1457" t="s">
        <v>521</v>
      </c>
      <c r="BM140" s="1632"/>
      <c r="BN140" s="1635"/>
      <c r="BO140" s="1635"/>
      <c r="BP140" s="1638"/>
      <c r="BQ140" s="1289"/>
      <c r="BR140" s="1757"/>
      <c r="BS140" s="1255" t="s">
        <v>654</v>
      </c>
      <c r="BT140" s="1022">
        <f>SUM(W140,AJ140,AW140,BJ140)</f>
        <v>10</v>
      </c>
      <c r="BU140" s="1289"/>
      <c r="BV140" s="1289"/>
      <c r="BW140" s="1741"/>
      <c r="BX140" s="1125">
        <f>IFERROR(W140/G140,0)</f>
        <v>0</v>
      </c>
      <c r="BY140" s="1042"/>
      <c r="BZ140" s="1125">
        <f>IFERROR(AJ140/H140,0)</f>
        <v>0</v>
      </c>
      <c r="CA140" s="1042"/>
      <c r="CB140" s="1262">
        <f>IFERROR(AW140/I140,0)</f>
        <v>1</v>
      </c>
      <c r="CC140" s="1042"/>
      <c r="CD140" s="1125">
        <f>IFERROR(BJ140/J140,0)</f>
        <v>0</v>
      </c>
      <c r="CE140" s="1042"/>
      <c r="CF140" s="1262">
        <f>IFERROR(BT140/E140,0)</f>
        <v>1</v>
      </c>
      <c r="CG140" s="1263"/>
    </row>
    <row r="141" spans="1:85" s="782" customFormat="1" ht="15.75" customHeight="1" x14ac:dyDescent="0.25">
      <c r="A141" s="783"/>
      <c r="B141" s="1395"/>
      <c r="C141" s="1434"/>
      <c r="D141" s="1437"/>
      <c r="E141" s="1448"/>
      <c r="F141" s="1600"/>
      <c r="G141" s="1603"/>
      <c r="H141" s="1418"/>
      <c r="I141" s="1418"/>
      <c r="J141" s="1580"/>
      <c r="K141" s="1591"/>
      <c r="L141" s="1574"/>
      <c r="M141" s="1584"/>
      <c r="N141" s="1285"/>
      <c r="O141" s="1299"/>
      <c r="P141" s="1299"/>
      <c r="Q141" s="1553"/>
      <c r="R141" s="1729"/>
      <c r="S141" s="1565"/>
      <c r="T141" s="1016"/>
      <c r="U141" s="1016"/>
      <c r="V141" s="1078"/>
      <c r="W141" s="993"/>
      <c r="X141" s="996"/>
      <c r="Y141" s="1295"/>
      <c r="Z141" s="1285"/>
      <c r="AA141" s="1299"/>
      <c r="AB141" s="1299"/>
      <c r="AC141" s="1302"/>
      <c r="AD141" s="1304"/>
      <c r="AE141" s="1757"/>
      <c r="AF141" s="1014"/>
      <c r="AG141" s="1016"/>
      <c r="AH141" s="1016"/>
      <c r="AI141" s="1078"/>
      <c r="AJ141" s="993"/>
      <c r="AK141" s="996"/>
      <c r="AL141" s="1295"/>
      <c r="AM141" s="1285"/>
      <c r="AN141" s="1299"/>
      <c r="AO141" s="1299"/>
      <c r="AP141" s="1302"/>
      <c r="AQ141" s="1304"/>
      <c r="AR141" s="1757"/>
      <c r="AS141" s="1014"/>
      <c r="AT141" s="1016"/>
      <c r="AU141" s="1016"/>
      <c r="AV141" s="1078"/>
      <c r="AW141" s="993"/>
      <c r="AX141" s="996"/>
      <c r="AY141" s="1295"/>
      <c r="AZ141" s="1285"/>
      <c r="BA141" s="1299"/>
      <c r="BB141" s="1299"/>
      <c r="BC141" s="1302"/>
      <c r="BD141" s="1304"/>
      <c r="BE141" s="1757"/>
      <c r="BF141" s="987"/>
      <c r="BG141" s="989"/>
      <c r="BH141" s="989"/>
      <c r="BI141" s="991"/>
      <c r="BJ141" s="993"/>
      <c r="BK141" s="996"/>
      <c r="BL141" s="1339"/>
      <c r="BM141" s="1632"/>
      <c r="BN141" s="1635"/>
      <c r="BO141" s="1635"/>
      <c r="BP141" s="1638"/>
      <c r="BQ141" s="1289"/>
      <c r="BR141" s="1757"/>
      <c r="BS141" s="1258"/>
      <c r="BT141" s="1023"/>
      <c r="BU141" s="1289"/>
      <c r="BV141" s="1289"/>
      <c r="BW141" s="1741"/>
      <c r="BX141" s="1126"/>
      <c r="BY141" s="1042"/>
      <c r="BZ141" s="1126"/>
      <c r="CA141" s="1042"/>
      <c r="CB141" s="1169"/>
      <c r="CC141" s="1042"/>
      <c r="CD141" s="1126"/>
      <c r="CE141" s="1042"/>
      <c r="CF141" s="1169"/>
      <c r="CG141" s="1263"/>
    </row>
    <row r="142" spans="1:85" s="782" customFormat="1" ht="15.75" customHeight="1" x14ac:dyDescent="0.25">
      <c r="A142" s="783"/>
      <c r="B142" s="1395"/>
      <c r="C142" s="1434"/>
      <c r="D142" s="1437"/>
      <c r="E142" s="1448"/>
      <c r="F142" s="1600"/>
      <c r="G142" s="1603"/>
      <c r="H142" s="1418"/>
      <c r="I142" s="1418"/>
      <c r="J142" s="1580"/>
      <c r="K142" s="1591"/>
      <c r="L142" s="1574"/>
      <c r="M142" s="1584"/>
      <c r="N142" s="1285"/>
      <c r="O142" s="1299"/>
      <c r="P142" s="1299"/>
      <c r="Q142" s="1553"/>
      <c r="R142" s="1729"/>
      <c r="S142" s="1565"/>
      <c r="T142" s="1016"/>
      <c r="U142" s="1016"/>
      <c r="V142" s="1078"/>
      <c r="W142" s="993"/>
      <c r="X142" s="996"/>
      <c r="Y142" s="1295"/>
      <c r="Z142" s="1285"/>
      <c r="AA142" s="1299"/>
      <c r="AB142" s="1299"/>
      <c r="AC142" s="1302"/>
      <c r="AD142" s="1304"/>
      <c r="AE142" s="1757"/>
      <c r="AF142" s="1014"/>
      <c r="AG142" s="1016"/>
      <c r="AH142" s="1016"/>
      <c r="AI142" s="1078"/>
      <c r="AJ142" s="993"/>
      <c r="AK142" s="996"/>
      <c r="AL142" s="1295"/>
      <c r="AM142" s="1285"/>
      <c r="AN142" s="1299"/>
      <c r="AO142" s="1299"/>
      <c r="AP142" s="1302"/>
      <c r="AQ142" s="1304"/>
      <c r="AR142" s="1757"/>
      <c r="AS142" s="1014"/>
      <c r="AT142" s="1016"/>
      <c r="AU142" s="1016"/>
      <c r="AV142" s="1078"/>
      <c r="AW142" s="993"/>
      <c r="AX142" s="996"/>
      <c r="AY142" s="1295"/>
      <c r="AZ142" s="1285"/>
      <c r="BA142" s="1299"/>
      <c r="BB142" s="1299"/>
      <c r="BC142" s="1302"/>
      <c r="BD142" s="1304"/>
      <c r="BE142" s="1757"/>
      <c r="BF142" s="987"/>
      <c r="BG142" s="989"/>
      <c r="BH142" s="989"/>
      <c r="BI142" s="991"/>
      <c r="BJ142" s="993"/>
      <c r="BK142" s="996"/>
      <c r="BL142" s="1339"/>
      <c r="BM142" s="1632"/>
      <c r="BN142" s="1635"/>
      <c r="BO142" s="1635"/>
      <c r="BP142" s="1638"/>
      <c r="BQ142" s="1289"/>
      <c r="BR142" s="1757"/>
      <c r="BS142" s="1258"/>
      <c r="BT142" s="1023"/>
      <c r="BU142" s="1289"/>
      <c r="BV142" s="1289"/>
      <c r="BW142" s="1741"/>
      <c r="BX142" s="1126"/>
      <c r="BY142" s="1042"/>
      <c r="BZ142" s="1126"/>
      <c r="CA142" s="1042"/>
      <c r="CB142" s="1169"/>
      <c r="CC142" s="1042"/>
      <c r="CD142" s="1126"/>
      <c r="CE142" s="1042"/>
      <c r="CF142" s="1169"/>
      <c r="CG142" s="1263"/>
    </row>
    <row r="143" spans="1:85" s="782" customFormat="1" ht="15.75" customHeight="1" x14ac:dyDescent="0.25">
      <c r="A143" s="783"/>
      <c r="B143" s="1395"/>
      <c r="C143" s="1434"/>
      <c r="D143" s="1437"/>
      <c r="E143" s="1448"/>
      <c r="F143" s="1600"/>
      <c r="G143" s="1603"/>
      <c r="H143" s="1418"/>
      <c r="I143" s="1418"/>
      <c r="J143" s="1580"/>
      <c r="K143" s="1591"/>
      <c r="L143" s="1574"/>
      <c r="M143" s="1584"/>
      <c r="N143" s="1285"/>
      <c r="O143" s="1299"/>
      <c r="P143" s="1299"/>
      <c r="Q143" s="1553"/>
      <c r="R143" s="1729"/>
      <c r="S143" s="1565"/>
      <c r="T143" s="1016"/>
      <c r="U143" s="1016"/>
      <c r="V143" s="1078"/>
      <c r="W143" s="993"/>
      <c r="X143" s="996"/>
      <c r="Y143" s="1295"/>
      <c r="Z143" s="1285"/>
      <c r="AA143" s="1299"/>
      <c r="AB143" s="1299"/>
      <c r="AC143" s="1302"/>
      <c r="AD143" s="1304"/>
      <c r="AE143" s="1757"/>
      <c r="AF143" s="1014"/>
      <c r="AG143" s="1016"/>
      <c r="AH143" s="1016"/>
      <c r="AI143" s="1078"/>
      <c r="AJ143" s="993"/>
      <c r="AK143" s="996"/>
      <c r="AL143" s="1295"/>
      <c r="AM143" s="1285"/>
      <c r="AN143" s="1299"/>
      <c r="AO143" s="1299"/>
      <c r="AP143" s="1302"/>
      <c r="AQ143" s="1304"/>
      <c r="AR143" s="1757"/>
      <c r="AS143" s="1014"/>
      <c r="AT143" s="1016"/>
      <c r="AU143" s="1016"/>
      <c r="AV143" s="1078"/>
      <c r="AW143" s="993"/>
      <c r="AX143" s="996"/>
      <c r="AY143" s="1295"/>
      <c r="AZ143" s="1285"/>
      <c r="BA143" s="1299"/>
      <c r="BB143" s="1299"/>
      <c r="BC143" s="1302"/>
      <c r="BD143" s="1304"/>
      <c r="BE143" s="1757"/>
      <c r="BF143" s="987"/>
      <c r="BG143" s="989"/>
      <c r="BH143" s="989"/>
      <c r="BI143" s="991"/>
      <c r="BJ143" s="993"/>
      <c r="BK143" s="996"/>
      <c r="BL143" s="1339"/>
      <c r="BM143" s="1632"/>
      <c r="BN143" s="1635"/>
      <c r="BO143" s="1635"/>
      <c r="BP143" s="1638"/>
      <c r="BQ143" s="1289"/>
      <c r="BR143" s="1757"/>
      <c r="BS143" s="1258"/>
      <c r="BT143" s="1023"/>
      <c r="BU143" s="1289"/>
      <c r="BV143" s="1289"/>
      <c r="BW143" s="1741"/>
      <c r="BX143" s="1126"/>
      <c r="BY143" s="1042"/>
      <c r="BZ143" s="1126"/>
      <c r="CA143" s="1042"/>
      <c r="CB143" s="1169"/>
      <c r="CC143" s="1042"/>
      <c r="CD143" s="1126"/>
      <c r="CE143" s="1042"/>
      <c r="CF143" s="1169"/>
      <c r="CG143" s="1263"/>
    </row>
    <row r="144" spans="1:85" s="782" customFormat="1" ht="15.75" customHeight="1" x14ac:dyDescent="0.25">
      <c r="A144" s="783"/>
      <c r="B144" s="1395"/>
      <c r="C144" s="1434"/>
      <c r="D144" s="1437"/>
      <c r="E144" s="1448"/>
      <c r="F144" s="1600"/>
      <c r="G144" s="1603"/>
      <c r="H144" s="1418"/>
      <c r="I144" s="1418"/>
      <c r="J144" s="1580"/>
      <c r="K144" s="1591"/>
      <c r="L144" s="1574"/>
      <c r="M144" s="1584"/>
      <c r="N144" s="1285"/>
      <c r="O144" s="1299"/>
      <c r="P144" s="1299"/>
      <c r="Q144" s="1553"/>
      <c r="R144" s="1729"/>
      <c r="S144" s="1565"/>
      <c r="T144" s="1016"/>
      <c r="U144" s="1016"/>
      <c r="V144" s="1078"/>
      <c r="W144" s="993"/>
      <c r="X144" s="996" t="s">
        <v>196</v>
      </c>
      <c r="Y144" s="1295"/>
      <c r="Z144" s="1285"/>
      <c r="AA144" s="1299"/>
      <c r="AB144" s="1299"/>
      <c r="AC144" s="1302"/>
      <c r="AD144" s="1304"/>
      <c r="AE144" s="1757"/>
      <c r="AF144" s="1014"/>
      <c r="AG144" s="1016"/>
      <c r="AH144" s="1016"/>
      <c r="AI144" s="1078"/>
      <c r="AJ144" s="993"/>
      <c r="AK144" s="996" t="s">
        <v>196</v>
      </c>
      <c r="AL144" s="1295"/>
      <c r="AM144" s="1285"/>
      <c r="AN144" s="1299"/>
      <c r="AO144" s="1299"/>
      <c r="AP144" s="1302"/>
      <c r="AQ144" s="1304"/>
      <c r="AR144" s="1757"/>
      <c r="AS144" s="1014"/>
      <c r="AT144" s="1016"/>
      <c r="AU144" s="1016"/>
      <c r="AV144" s="1078"/>
      <c r="AW144" s="993"/>
      <c r="AX144" s="996" t="s">
        <v>196</v>
      </c>
      <c r="AY144" s="1295" t="s">
        <v>637</v>
      </c>
      <c r="AZ144" s="1285"/>
      <c r="BA144" s="1299"/>
      <c r="BB144" s="1299"/>
      <c r="BC144" s="1302"/>
      <c r="BD144" s="1304"/>
      <c r="BE144" s="1757"/>
      <c r="BF144" s="987"/>
      <c r="BG144" s="989"/>
      <c r="BH144" s="989"/>
      <c r="BI144" s="991"/>
      <c r="BJ144" s="993"/>
      <c r="BK144" s="996" t="s">
        <v>196</v>
      </c>
      <c r="BL144" s="1339"/>
      <c r="BM144" s="1632"/>
      <c r="BN144" s="1635"/>
      <c r="BO144" s="1635"/>
      <c r="BP144" s="1638"/>
      <c r="BQ144" s="1289"/>
      <c r="BR144" s="1757"/>
      <c r="BS144" s="1258"/>
      <c r="BT144" s="1023"/>
      <c r="BU144" s="1289"/>
      <c r="BV144" s="1289"/>
      <c r="BW144" s="1741"/>
      <c r="BX144" s="1126"/>
      <c r="BY144" s="1042"/>
      <c r="BZ144" s="1126"/>
      <c r="CA144" s="1042"/>
      <c r="CB144" s="1169"/>
      <c r="CC144" s="1042"/>
      <c r="CD144" s="1126"/>
      <c r="CE144" s="1042"/>
      <c r="CF144" s="1169"/>
      <c r="CG144" s="1263"/>
    </row>
    <row r="145" spans="1:85" s="782" customFormat="1" ht="15.75" customHeight="1" x14ac:dyDescent="0.25">
      <c r="A145" s="783"/>
      <c r="B145" s="1395"/>
      <c r="C145" s="1434"/>
      <c r="D145" s="1437"/>
      <c r="E145" s="1448"/>
      <c r="F145" s="1600"/>
      <c r="G145" s="1603"/>
      <c r="H145" s="1418"/>
      <c r="I145" s="1418"/>
      <c r="J145" s="1580"/>
      <c r="K145" s="1591"/>
      <c r="L145" s="1574"/>
      <c r="M145" s="1584"/>
      <c r="N145" s="1285"/>
      <c r="O145" s="1299"/>
      <c r="P145" s="1299"/>
      <c r="Q145" s="1553"/>
      <c r="R145" s="1729"/>
      <c r="S145" s="1565"/>
      <c r="T145" s="1016"/>
      <c r="U145" s="1016"/>
      <c r="V145" s="1078"/>
      <c r="W145" s="993"/>
      <c r="X145" s="996"/>
      <c r="Y145" s="1295"/>
      <c r="Z145" s="1285"/>
      <c r="AA145" s="1299"/>
      <c r="AB145" s="1299"/>
      <c r="AC145" s="1302"/>
      <c r="AD145" s="1304"/>
      <c r="AE145" s="1757"/>
      <c r="AF145" s="1014"/>
      <c r="AG145" s="1016"/>
      <c r="AH145" s="1016"/>
      <c r="AI145" s="1078"/>
      <c r="AJ145" s="993"/>
      <c r="AK145" s="996"/>
      <c r="AL145" s="1295"/>
      <c r="AM145" s="1285"/>
      <c r="AN145" s="1299"/>
      <c r="AO145" s="1299"/>
      <c r="AP145" s="1302"/>
      <c r="AQ145" s="1304"/>
      <c r="AR145" s="1757"/>
      <c r="AS145" s="1014"/>
      <c r="AT145" s="1016"/>
      <c r="AU145" s="1016"/>
      <c r="AV145" s="1078"/>
      <c r="AW145" s="993"/>
      <c r="AX145" s="996"/>
      <c r="AY145" s="1295"/>
      <c r="AZ145" s="1285"/>
      <c r="BA145" s="1299"/>
      <c r="BB145" s="1299"/>
      <c r="BC145" s="1302"/>
      <c r="BD145" s="1304"/>
      <c r="BE145" s="1757"/>
      <c r="BF145" s="987"/>
      <c r="BG145" s="989"/>
      <c r="BH145" s="989"/>
      <c r="BI145" s="991"/>
      <c r="BJ145" s="993"/>
      <c r="BK145" s="996"/>
      <c r="BL145" s="1339"/>
      <c r="BM145" s="1632"/>
      <c r="BN145" s="1635"/>
      <c r="BO145" s="1635"/>
      <c r="BP145" s="1638"/>
      <c r="BQ145" s="1289"/>
      <c r="BR145" s="1757"/>
      <c r="BS145" s="1258"/>
      <c r="BT145" s="1023"/>
      <c r="BU145" s="1289"/>
      <c r="BV145" s="1289"/>
      <c r="BW145" s="1741"/>
      <c r="BX145" s="1127"/>
      <c r="BY145" s="1042"/>
      <c r="BZ145" s="1127"/>
      <c r="CA145" s="1042"/>
      <c r="CB145" s="1169"/>
      <c r="CC145" s="1042"/>
      <c r="CD145" s="1127"/>
      <c r="CE145" s="1042"/>
      <c r="CF145" s="1169"/>
      <c r="CG145" s="1263"/>
    </row>
    <row r="146" spans="1:85" s="782" customFormat="1" ht="15.75" customHeight="1" x14ac:dyDescent="0.25">
      <c r="A146" s="783"/>
      <c r="B146" s="1395"/>
      <c r="C146" s="1434"/>
      <c r="D146" s="1437"/>
      <c r="E146" s="1448"/>
      <c r="F146" s="1600"/>
      <c r="G146" s="1603"/>
      <c r="H146" s="1418"/>
      <c r="I146" s="1418"/>
      <c r="J146" s="1580"/>
      <c r="K146" s="1591"/>
      <c r="L146" s="1574"/>
      <c r="M146" s="1584"/>
      <c r="N146" s="1285"/>
      <c r="O146" s="1299"/>
      <c r="P146" s="1299"/>
      <c r="Q146" s="1553"/>
      <c r="R146" s="1729"/>
      <c r="S146" s="1565"/>
      <c r="T146" s="1016"/>
      <c r="U146" s="1016"/>
      <c r="V146" s="1078"/>
      <c r="W146" s="993"/>
      <c r="X146" s="996"/>
      <c r="Y146" s="1295"/>
      <c r="Z146" s="1285"/>
      <c r="AA146" s="1299"/>
      <c r="AB146" s="1299"/>
      <c r="AC146" s="1302"/>
      <c r="AD146" s="1304"/>
      <c r="AE146" s="1757"/>
      <c r="AF146" s="1014"/>
      <c r="AG146" s="1016"/>
      <c r="AH146" s="1016"/>
      <c r="AI146" s="1078"/>
      <c r="AJ146" s="993"/>
      <c r="AK146" s="996"/>
      <c r="AL146" s="1295"/>
      <c r="AM146" s="1285"/>
      <c r="AN146" s="1299"/>
      <c r="AO146" s="1299"/>
      <c r="AP146" s="1302"/>
      <c r="AQ146" s="1304"/>
      <c r="AR146" s="1757"/>
      <c r="AS146" s="1014"/>
      <c r="AT146" s="1016"/>
      <c r="AU146" s="1016"/>
      <c r="AV146" s="1078"/>
      <c r="AW146" s="993"/>
      <c r="AX146" s="996"/>
      <c r="AY146" s="1295"/>
      <c r="AZ146" s="1285"/>
      <c r="BA146" s="1299"/>
      <c r="BB146" s="1299"/>
      <c r="BC146" s="1302"/>
      <c r="BD146" s="1304"/>
      <c r="BE146" s="1757"/>
      <c r="BF146" s="987"/>
      <c r="BG146" s="989"/>
      <c r="BH146" s="989"/>
      <c r="BI146" s="991"/>
      <c r="BJ146" s="993"/>
      <c r="BK146" s="996"/>
      <c r="BL146" s="1339"/>
      <c r="BM146" s="1632"/>
      <c r="BN146" s="1635"/>
      <c r="BO146" s="1635"/>
      <c r="BP146" s="1638"/>
      <c r="BQ146" s="1289"/>
      <c r="BR146" s="1757"/>
      <c r="BS146" s="1258"/>
      <c r="BT146" s="1023"/>
      <c r="BU146" s="1289"/>
      <c r="BV146" s="1289"/>
      <c r="BW146" s="1741"/>
      <c r="BX146" s="1127"/>
      <c r="BY146" s="1042"/>
      <c r="BZ146" s="1127"/>
      <c r="CA146" s="1042"/>
      <c r="CB146" s="1169"/>
      <c r="CC146" s="1042"/>
      <c r="CD146" s="1127"/>
      <c r="CE146" s="1042"/>
      <c r="CF146" s="1169"/>
      <c r="CG146" s="1263"/>
    </row>
    <row r="147" spans="1:85" s="782" customFormat="1" ht="15.75" customHeight="1" x14ac:dyDescent="0.25">
      <c r="A147" s="783"/>
      <c r="B147" s="1395"/>
      <c r="C147" s="1434"/>
      <c r="D147" s="1437"/>
      <c r="E147" s="1448"/>
      <c r="F147" s="1600"/>
      <c r="G147" s="1603"/>
      <c r="H147" s="1418"/>
      <c r="I147" s="1418"/>
      <c r="J147" s="1580"/>
      <c r="K147" s="1591"/>
      <c r="L147" s="1574"/>
      <c r="M147" s="1584"/>
      <c r="N147" s="1285"/>
      <c r="O147" s="1299"/>
      <c r="P147" s="1299"/>
      <c r="Q147" s="1553"/>
      <c r="R147" s="1729"/>
      <c r="S147" s="1565"/>
      <c r="T147" s="1016"/>
      <c r="U147" s="1016"/>
      <c r="V147" s="1078"/>
      <c r="W147" s="993"/>
      <c r="X147" s="996"/>
      <c r="Y147" s="1295"/>
      <c r="Z147" s="1285"/>
      <c r="AA147" s="1299"/>
      <c r="AB147" s="1299"/>
      <c r="AC147" s="1302"/>
      <c r="AD147" s="1304"/>
      <c r="AE147" s="1757"/>
      <c r="AF147" s="1014"/>
      <c r="AG147" s="1016"/>
      <c r="AH147" s="1016"/>
      <c r="AI147" s="1078"/>
      <c r="AJ147" s="993"/>
      <c r="AK147" s="996"/>
      <c r="AL147" s="1295"/>
      <c r="AM147" s="1285"/>
      <c r="AN147" s="1299"/>
      <c r="AO147" s="1299"/>
      <c r="AP147" s="1302"/>
      <c r="AQ147" s="1304"/>
      <c r="AR147" s="1757"/>
      <c r="AS147" s="1014"/>
      <c r="AT147" s="1016"/>
      <c r="AU147" s="1016"/>
      <c r="AV147" s="1078"/>
      <c r="AW147" s="993"/>
      <c r="AX147" s="996"/>
      <c r="AY147" s="1295"/>
      <c r="AZ147" s="1285"/>
      <c r="BA147" s="1299"/>
      <c r="BB147" s="1299"/>
      <c r="BC147" s="1302"/>
      <c r="BD147" s="1304"/>
      <c r="BE147" s="1757"/>
      <c r="BF147" s="987"/>
      <c r="BG147" s="989"/>
      <c r="BH147" s="989"/>
      <c r="BI147" s="991"/>
      <c r="BJ147" s="993"/>
      <c r="BK147" s="996"/>
      <c r="BL147" s="1339"/>
      <c r="BM147" s="1632"/>
      <c r="BN147" s="1635"/>
      <c r="BO147" s="1635"/>
      <c r="BP147" s="1638"/>
      <c r="BQ147" s="1289"/>
      <c r="BR147" s="1757"/>
      <c r="BS147" s="1258"/>
      <c r="BT147" s="1023"/>
      <c r="BU147" s="1289"/>
      <c r="BV147" s="1289"/>
      <c r="BW147" s="1741"/>
      <c r="BX147" s="1127"/>
      <c r="BY147" s="1042"/>
      <c r="BZ147" s="1127"/>
      <c r="CA147" s="1042"/>
      <c r="CB147" s="1263"/>
      <c r="CC147" s="1042"/>
      <c r="CD147" s="1127"/>
      <c r="CE147" s="1042"/>
      <c r="CF147" s="1263"/>
      <c r="CG147" s="1263"/>
    </row>
    <row r="148" spans="1:85" s="782" customFormat="1" ht="41.25" customHeight="1" x14ac:dyDescent="0.25">
      <c r="A148" s="783"/>
      <c r="B148" s="1395"/>
      <c r="C148" s="1434"/>
      <c r="D148" s="1437"/>
      <c r="E148" s="1448"/>
      <c r="F148" s="1600"/>
      <c r="G148" s="1603"/>
      <c r="H148" s="1418"/>
      <c r="I148" s="1418"/>
      <c r="J148" s="1580"/>
      <c r="K148" s="1591"/>
      <c r="L148" s="1574"/>
      <c r="M148" s="1584"/>
      <c r="N148" s="1285"/>
      <c r="O148" s="1299"/>
      <c r="P148" s="1299"/>
      <c r="Q148" s="1553"/>
      <c r="R148" s="1729"/>
      <c r="S148" s="1565"/>
      <c r="T148" s="1016"/>
      <c r="U148" s="1016"/>
      <c r="V148" s="1078"/>
      <c r="W148" s="993"/>
      <c r="X148" s="996" t="s">
        <v>197</v>
      </c>
      <c r="Y148" s="1295"/>
      <c r="Z148" s="1285"/>
      <c r="AA148" s="1299"/>
      <c r="AB148" s="1299"/>
      <c r="AC148" s="1302"/>
      <c r="AD148" s="1304"/>
      <c r="AE148" s="1757"/>
      <c r="AF148" s="1014"/>
      <c r="AG148" s="1016"/>
      <c r="AH148" s="1016"/>
      <c r="AI148" s="1078"/>
      <c r="AJ148" s="993"/>
      <c r="AK148" s="996" t="s">
        <v>197</v>
      </c>
      <c r="AL148" s="1295"/>
      <c r="AM148" s="1285"/>
      <c r="AN148" s="1299"/>
      <c r="AO148" s="1299"/>
      <c r="AP148" s="1302"/>
      <c r="AQ148" s="1304"/>
      <c r="AR148" s="1757"/>
      <c r="AS148" s="1014"/>
      <c r="AT148" s="1016"/>
      <c r="AU148" s="1016"/>
      <c r="AV148" s="1078"/>
      <c r="AW148" s="993"/>
      <c r="AX148" s="996" t="s">
        <v>197</v>
      </c>
      <c r="AY148" s="1295" t="s">
        <v>652</v>
      </c>
      <c r="AZ148" s="1285"/>
      <c r="BA148" s="1299"/>
      <c r="BB148" s="1299"/>
      <c r="BC148" s="1302"/>
      <c r="BD148" s="1304"/>
      <c r="BE148" s="1757"/>
      <c r="BF148" s="987"/>
      <c r="BG148" s="989"/>
      <c r="BH148" s="989"/>
      <c r="BI148" s="991"/>
      <c r="BJ148" s="993"/>
      <c r="BK148" s="996" t="s">
        <v>197</v>
      </c>
      <c r="BL148" s="1339"/>
      <c r="BM148" s="1632"/>
      <c r="BN148" s="1635"/>
      <c r="BO148" s="1635"/>
      <c r="BP148" s="1638"/>
      <c r="BQ148" s="1289"/>
      <c r="BR148" s="1757"/>
      <c r="BS148" s="1258"/>
      <c r="BT148" s="1023"/>
      <c r="BU148" s="1289"/>
      <c r="BV148" s="1289"/>
      <c r="BW148" s="1741"/>
      <c r="BX148" s="1127"/>
      <c r="BY148" s="1042"/>
      <c r="BZ148" s="1127"/>
      <c r="CA148" s="1042">
        <f>IFERROR(BT148/M148,0)</f>
        <v>0</v>
      </c>
      <c r="CB148" s="1263"/>
      <c r="CC148" s="1042">
        <f>IFERROR(#REF!/M148,0)</f>
        <v>0</v>
      </c>
      <c r="CD148" s="1127"/>
      <c r="CE148" s="1042"/>
      <c r="CF148" s="1263"/>
      <c r="CG148" s="1263"/>
    </row>
    <row r="149" spans="1:85" s="782" customFormat="1" ht="41.25" customHeight="1" x14ac:dyDescent="0.25">
      <c r="A149" s="783"/>
      <c r="B149" s="1395"/>
      <c r="C149" s="1434"/>
      <c r="D149" s="1437"/>
      <c r="E149" s="1448"/>
      <c r="F149" s="1600"/>
      <c r="G149" s="1603"/>
      <c r="H149" s="1418"/>
      <c r="I149" s="1418"/>
      <c r="J149" s="1580"/>
      <c r="K149" s="1591"/>
      <c r="L149" s="1574"/>
      <c r="M149" s="1584"/>
      <c r="N149" s="1285"/>
      <c r="O149" s="1299"/>
      <c r="P149" s="1299"/>
      <c r="Q149" s="1553"/>
      <c r="R149" s="1729"/>
      <c r="S149" s="1565"/>
      <c r="T149" s="1016"/>
      <c r="U149" s="1016"/>
      <c r="V149" s="1078"/>
      <c r="W149" s="993"/>
      <c r="X149" s="996"/>
      <c r="Y149" s="1295"/>
      <c r="Z149" s="1285"/>
      <c r="AA149" s="1299"/>
      <c r="AB149" s="1299"/>
      <c r="AC149" s="1302"/>
      <c r="AD149" s="1304"/>
      <c r="AE149" s="1757"/>
      <c r="AF149" s="1014"/>
      <c r="AG149" s="1016"/>
      <c r="AH149" s="1016"/>
      <c r="AI149" s="1078"/>
      <c r="AJ149" s="993"/>
      <c r="AK149" s="996"/>
      <c r="AL149" s="1295"/>
      <c r="AM149" s="1285"/>
      <c r="AN149" s="1299"/>
      <c r="AO149" s="1299"/>
      <c r="AP149" s="1302"/>
      <c r="AQ149" s="1304"/>
      <c r="AR149" s="1757"/>
      <c r="AS149" s="1014"/>
      <c r="AT149" s="1016"/>
      <c r="AU149" s="1016"/>
      <c r="AV149" s="1078"/>
      <c r="AW149" s="993"/>
      <c r="AX149" s="996"/>
      <c r="AY149" s="1295"/>
      <c r="AZ149" s="1285"/>
      <c r="BA149" s="1299"/>
      <c r="BB149" s="1299"/>
      <c r="BC149" s="1302"/>
      <c r="BD149" s="1304"/>
      <c r="BE149" s="1757"/>
      <c r="BF149" s="987"/>
      <c r="BG149" s="989"/>
      <c r="BH149" s="989"/>
      <c r="BI149" s="991"/>
      <c r="BJ149" s="993"/>
      <c r="BK149" s="996"/>
      <c r="BL149" s="1339"/>
      <c r="BM149" s="1632"/>
      <c r="BN149" s="1635"/>
      <c r="BO149" s="1635"/>
      <c r="BP149" s="1638"/>
      <c r="BQ149" s="1289"/>
      <c r="BR149" s="1757"/>
      <c r="BS149" s="1258"/>
      <c r="BT149" s="1023"/>
      <c r="BU149" s="1289"/>
      <c r="BV149" s="1289"/>
      <c r="BW149" s="1741"/>
      <c r="BX149" s="1127"/>
      <c r="BY149" s="1042"/>
      <c r="BZ149" s="1127"/>
      <c r="CA149" s="1042"/>
      <c r="CB149" s="1263"/>
      <c r="CC149" s="1042"/>
      <c r="CD149" s="1127"/>
      <c r="CE149" s="1042"/>
      <c r="CF149" s="1263"/>
      <c r="CG149" s="1263"/>
    </row>
    <row r="150" spans="1:85" s="782" customFormat="1" ht="41.25" customHeight="1" x14ac:dyDescent="0.25">
      <c r="A150" s="783"/>
      <c r="B150" s="1395"/>
      <c r="C150" s="1434"/>
      <c r="D150" s="1437"/>
      <c r="E150" s="1448"/>
      <c r="F150" s="1600"/>
      <c r="G150" s="1603"/>
      <c r="H150" s="1418"/>
      <c r="I150" s="1418"/>
      <c r="J150" s="1580"/>
      <c r="K150" s="1591"/>
      <c r="L150" s="1574"/>
      <c r="M150" s="1584"/>
      <c r="N150" s="1285"/>
      <c r="O150" s="1299"/>
      <c r="P150" s="1299"/>
      <c r="Q150" s="1553"/>
      <c r="R150" s="1729"/>
      <c r="S150" s="1565"/>
      <c r="T150" s="1016"/>
      <c r="U150" s="1016"/>
      <c r="V150" s="1078"/>
      <c r="W150" s="993"/>
      <c r="X150" s="996"/>
      <c r="Y150" s="1295"/>
      <c r="Z150" s="1285"/>
      <c r="AA150" s="1299"/>
      <c r="AB150" s="1299"/>
      <c r="AC150" s="1302"/>
      <c r="AD150" s="1304"/>
      <c r="AE150" s="1757"/>
      <c r="AF150" s="1014"/>
      <c r="AG150" s="1016"/>
      <c r="AH150" s="1016"/>
      <c r="AI150" s="1078"/>
      <c r="AJ150" s="993"/>
      <c r="AK150" s="996"/>
      <c r="AL150" s="1295"/>
      <c r="AM150" s="1285"/>
      <c r="AN150" s="1299"/>
      <c r="AO150" s="1299"/>
      <c r="AP150" s="1302"/>
      <c r="AQ150" s="1304"/>
      <c r="AR150" s="1757"/>
      <c r="AS150" s="1014"/>
      <c r="AT150" s="1016"/>
      <c r="AU150" s="1016"/>
      <c r="AV150" s="1078"/>
      <c r="AW150" s="993"/>
      <c r="AX150" s="996"/>
      <c r="AY150" s="1295"/>
      <c r="AZ150" s="1285"/>
      <c r="BA150" s="1299"/>
      <c r="BB150" s="1299"/>
      <c r="BC150" s="1302"/>
      <c r="BD150" s="1304"/>
      <c r="BE150" s="1757"/>
      <c r="BF150" s="987"/>
      <c r="BG150" s="989"/>
      <c r="BH150" s="989"/>
      <c r="BI150" s="991"/>
      <c r="BJ150" s="993"/>
      <c r="BK150" s="996"/>
      <c r="BL150" s="1339"/>
      <c r="BM150" s="1632"/>
      <c r="BN150" s="1635"/>
      <c r="BO150" s="1635"/>
      <c r="BP150" s="1638"/>
      <c r="BQ150" s="1289"/>
      <c r="BR150" s="1757"/>
      <c r="BS150" s="1258"/>
      <c r="BT150" s="1023"/>
      <c r="BU150" s="1289"/>
      <c r="BV150" s="1289"/>
      <c r="BW150" s="1741"/>
      <c r="BX150" s="1127"/>
      <c r="BY150" s="1042"/>
      <c r="BZ150" s="1127"/>
      <c r="CA150" s="1042">
        <f>IFERROR(BT150/M150,0)</f>
        <v>0</v>
      </c>
      <c r="CB150" s="1263"/>
      <c r="CC150" s="1042">
        <f>IFERROR(#REF!/M150,0)</f>
        <v>0</v>
      </c>
      <c r="CD150" s="1127"/>
      <c r="CE150" s="1042"/>
      <c r="CF150" s="1263"/>
      <c r="CG150" s="1263"/>
    </row>
    <row r="151" spans="1:85" s="782" customFormat="1" ht="41.25" customHeight="1" thickBot="1" x14ac:dyDescent="0.3">
      <c r="A151" s="783"/>
      <c r="B151" s="1395"/>
      <c r="C151" s="1435"/>
      <c r="D151" s="1438"/>
      <c r="E151" s="1598"/>
      <c r="F151" s="1601"/>
      <c r="G151" s="1604"/>
      <c r="H151" s="1419"/>
      <c r="I151" s="1419"/>
      <c r="J151" s="1577"/>
      <c r="K151" s="1591"/>
      <c r="L151" s="1575"/>
      <c r="M151" s="1680"/>
      <c r="N151" s="1557"/>
      <c r="O151" s="1503"/>
      <c r="P151" s="1503"/>
      <c r="Q151" s="1555"/>
      <c r="R151" s="1729"/>
      <c r="S151" s="1566"/>
      <c r="T151" s="1017"/>
      <c r="U151" s="1017"/>
      <c r="V151" s="1079"/>
      <c r="W151" s="994"/>
      <c r="X151" s="1068"/>
      <c r="Y151" s="1296"/>
      <c r="Z151" s="1286"/>
      <c r="AA151" s="1300"/>
      <c r="AB151" s="1300"/>
      <c r="AC151" s="1303"/>
      <c r="AD151" s="1305"/>
      <c r="AE151" s="1757"/>
      <c r="AF151" s="1180"/>
      <c r="AG151" s="1183"/>
      <c r="AH151" s="1183"/>
      <c r="AI151" s="1186"/>
      <c r="AJ151" s="993"/>
      <c r="AK151" s="1068"/>
      <c r="AL151" s="1296"/>
      <c r="AM151" s="1286"/>
      <c r="AN151" s="1300"/>
      <c r="AO151" s="1300"/>
      <c r="AP151" s="1303"/>
      <c r="AQ151" s="1305"/>
      <c r="AR151" s="1757"/>
      <c r="AS151" s="1180"/>
      <c r="AT151" s="1183"/>
      <c r="AU151" s="1183"/>
      <c r="AV151" s="1186"/>
      <c r="AW151" s="993"/>
      <c r="AX151" s="1068"/>
      <c r="AY151" s="1296"/>
      <c r="AZ151" s="1286"/>
      <c r="BA151" s="1300"/>
      <c r="BB151" s="1300"/>
      <c r="BC151" s="1303"/>
      <c r="BD151" s="1305"/>
      <c r="BE151" s="1757"/>
      <c r="BF151" s="1452"/>
      <c r="BG151" s="1421"/>
      <c r="BH151" s="1421"/>
      <c r="BI151" s="1199"/>
      <c r="BJ151" s="993"/>
      <c r="BK151" s="1068"/>
      <c r="BL151" s="1340"/>
      <c r="BM151" s="1633"/>
      <c r="BN151" s="1636"/>
      <c r="BO151" s="1636"/>
      <c r="BP151" s="1639"/>
      <c r="BQ151" s="1290"/>
      <c r="BR151" s="1757"/>
      <c r="BS151" s="1261"/>
      <c r="BT151" s="1024"/>
      <c r="BU151" s="1290"/>
      <c r="BV151" s="1289"/>
      <c r="BW151" s="1741"/>
      <c r="BX151" s="1280"/>
      <c r="BY151" s="1043"/>
      <c r="BZ151" s="1280"/>
      <c r="CA151" s="1043"/>
      <c r="CB151" s="1264"/>
      <c r="CC151" s="1043"/>
      <c r="CD151" s="1280"/>
      <c r="CE151" s="1043"/>
      <c r="CF151" s="1264"/>
      <c r="CG151" s="1263"/>
    </row>
    <row r="152" spans="1:85" s="782" customFormat="1" ht="21" customHeight="1" x14ac:dyDescent="0.25">
      <c r="A152" s="783"/>
      <c r="B152" s="1395"/>
      <c r="C152" s="1588" t="s">
        <v>596</v>
      </c>
      <c r="D152" s="1623" t="s">
        <v>597</v>
      </c>
      <c r="E152" s="1609">
        <v>15</v>
      </c>
      <c r="F152" s="1626" t="s">
        <v>31</v>
      </c>
      <c r="G152" s="1524"/>
      <c r="H152" s="1523">
        <v>15</v>
      </c>
      <c r="I152" s="1523">
        <v>15</v>
      </c>
      <c r="J152" s="1370">
        <v>15</v>
      </c>
      <c r="K152" s="1591"/>
      <c r="L152" s="1576" t="s">
        <v>598</v>
      </c>
      <c r="M152" s="1583">
        <v>125600</v>
      </c>
      <c r="N152" s="1556">
        <v>0</v>
      </c>
      <c r="O152" s="1502">
        <v>0</v>
      </c>
      <c r="P152" s="1502">
        <v>50129.08</v>
      </c>
      <c r="Q152" s="1552">
        <f>18825.14+19788.2+2823.21+32699.38+1334.99+5282.96</f>
        <v>80753.88</v>
      </c>
      <c r="R152" s="1729"/>
      <c r="S152" s="1564"/>
      <c r="T152" s="1267"/>
      <c r="U152" s="1267"/>
      <c r="V152" s="1674"/>
      <c r="W152" s="1188">
        <f>IFERROR(SUM(S152:V163),0)</f>
        <v>0</v>
      </c>
      <c r="X152" s="995" t="s">
        <v>195</v>
      </c>
      <c r="Y152" s="997" t="s">
        <v>462</v>
      </c>
      <c r="Z152" s="1207"/>
      <c r="AA152" s="1210"/>
      <c r="AB152" s="1210"/>
      <c r="AC152" s="1223">
        <v>0</v>
      </c>
      <c r="AD152" s="1235">
        <f>SUM(Z152:AC163)</f>
        <v>0</v>
      </c>
      <c r="AE152" s="1757"/>
      <c r="AF152" s="1254"/>
      <c r="AG152" s="1232"/>
      <c r="AH152" s="1232"/>
      <c r="AI152" s="1233"/>
      <c r="AJ152" s="993">
        <f>IFERROR(SUM(AF152:AI163),0)</f>
        <v>0</v>
      </c>
      <c r="AK152" s="995" t="s">
        <v>195</v>
      </c>
      <c r="AL152" s="997" t="s">
        <v>462</v>
      </c>
      <c r="AM152" s="1207"/>
      <c r="AN152" s="1210"/>
      <c r="AO152" s="1210"/>
      <c r="AP152" s="1223">
        <v>0</v>
      </c>
      <c r="AQ152" s="1235">
        <f>SUM(AM152:AP163)</f>
        <v>0</v>
      </c>
      <c r="AR152" s="1757"/>
      <c r="AS152" s="1254"/>
      <c r="AT152" s="1232"/>
      <c r="AU152" s="1232"/>
      <c r="AV152" s="1233"/>
      <c r="AW152" s="993">
        <f>IFERROR(SUM(AS152:AV163),0)</f>
        <v>0</v>
      </c>
      <c r="AX152" s="995" t="s">
        <v>195</v>
      </c>
      <c r="AY152" s="997" t="s">
        <v>477</v>
      </c>
      <c r="AZ152" s="1207"/>
      <c r="BA152" s="1210"/>
      <c r="BB152" s="1210"/>
      <c r="BC152" s="1223">
        <v>50129.08</v>
      </c>
      <c r="BD152" s="1235">
        <f>SUM(AZ152:BC163)</f>
        <v>50129.08</v>
      </c>
      <c r="BE152" s="1757"/>
      <c r="BF152" s="1439"/>
      <c r="BG152" s="1297"/>
      <c r="BH152" s="1297"/>
      <c r="BI152" s="1153"/>
      <c r="BJ152" s="993">
        <f>IFERROR(SUM(BF152:BI163),0)</f>
        <v>0</v>
      </c>
      <c r="BK152" s="995" t="s">
        <v>195</v>
      </c>
      <c r="BL152" s="1164" t="s">
        <v>521</v>
      </c>
      <c r="BM152" s="1166">
        <v>2000</v>
      </c>
      <c r="BN152" s="1147">
        <v>15575.92</v>
      </c>
      <c r="BO152" s="1147">
        <v>36000</v>
      </c>
      <c r="BP152" s="1150">
        <v>21895</v>
      </c>
      <c r="BQ152" s="1011">
        <f>SUM(BM152:BP163)</f>
        <v>75470.92</v>
      </c>
      <c r="BR152" s="1757"/>
      <c r="BS152" s="1260" t="s">
        <v>488</v>
      </c>
      <c r="BT152" s="1022">
        <f>SUM(W152,AJ152,AW152,BJ152)</f>
        <v>0</v>
      </c>
      <c r="BU152" s="1011">
        <f>SUM(AD152,AQ152,BD152,BQ152)</f>
        <v>125600</v>
      </c>
      <c r="BV152" s="1289"/>
      <c r="BW152" s="1741"/>
      <c r="BX152" s="1262">
        <f>IFERROR(W152/G152,0)</f>
        <v>0</v>
      </c>
      <c r="BY152" s="1041">
        <f>IFERROR(AD152/N152,0)</f>
        <v>0</v>
      </c>
      <c r="BZ152" s="1262">
        <f>IFERROR(AJ152/H152,0)</f>
        <v>0</v>
      </c>
      <c r="CA152" s="1041">
        <f>IFERROR(AQ152/O152,0)</f>
        <v>0</v>
      </c>
      <c r="CB152" s="1262">
        <f>IFERROR(AW152/I152,0)</f>
        <v>0</v>
      </c>
      <c r="CC152" s="1041">
        <f>IFERROR(BD152/AB152,0)</f>
        <v>0</v>
      </c>
      <c r="CD152" s="1262">
        <f>IFERROR(BJ152/J152,0)</f>
        <v>0</v>
      </c>
      <c r="CE152" s="1041">
        <f>IFERROR(BQ152/Q152,0)</f>
        <v>0.93457949017434205</v>
      </c>
      <c r="CF152" s="1262">
        <f>IFERROR(BT152/E152,0)</f>
        <v>0</v>
      </c>
      <c r="CG152" s="1263"/>
    </row>
    <row r="153" spans="1:85" s="782" customFormat="1" ht="21" customHeight="1" x14ac:dyDescent="0.25">
      <c r="A153" s="783"/>
      <c r="B153" s="1395"/>
      <c r="C153" s="1434"/>
      <c r="D153" s="1624"/>
      <c r="E153" s="1448"/>
      <c r="F153" s="1600"/>
      <c r="G153" s="1603"/>
      <c r="H153" s="1418"/>
      <c r="I153" s="1418"/>
      <c r="J153" s="1580"/>
      <c r="K153" s="1591"/>
      <c r="L153" s="1574"/>
      <c r="M153" s="1584"/>
      <c r="N153" s="1285"/>
      <c r="O153" s="1299"/>
      <c r="P153" s="1299"/>
      <c r="Q153" s="1553"/>
      <c r="R153" s="1729"/>
      <c r="S153" s="1565"/>
      <c r="T153" s="1016"/>
      <c r="U153" s="1016"/>
      <c r="V153" s="1078"/>
      <c r="W153" s="993"/>
      <c r="X153" s="996"/>
      <c r="Y153" s="998"/>
      <c r="Z153" s="1208"/>
      <c r="AA153" s="1211"/>
      <c r="AB153" s="1211"/>
      <c r="AC153" s="1224"/>
      <c r="AD153" s="1236"/>
      <c r="AE153" s="1757"/>
      <c r="AF153" s="1014"/>
      <c r="AG153" s="1016"/>
      <c r="AH153" s="1016"/>
      <c r="AI153" s="1078"/>
      <c r="AJ153" s="993"/>
      <c r="AK153" s="996"/>
      <c r="AL153" s="998"/>
      <c r="AM153" s="1208"/>
      <c r="AN153" s="1211"/>
      <c r="AO153" s="1211"/>
      <c r="AP153" s="1224"/>
      <c r="AQ153" s="1236"/>
      <c r="AR153" s="1757"/>
      <c r="AS153" s="1014"/>
      <c r="AT153" s="1016"/>
      <c r="AU153" s="1016"/>
      <c r="AV153" s="1078"/>
      <c r="AW153" s="993"/>
      <c r="AX153" s="996"/>
      <c r="AY153" s="998"/>
      <c r="AZ153" s="1208"/>
      <c r="BA153" s="1211"/>
      <c r="BB153" s="1211"/>
      <c r="BC153" s="1224"/>
      <c r="BD153" s="1236"/>
      <c r="BE153" s="1757"/>
      <c r="BF153" s="987"/>
      <c r="BG153" s="989"/>
      <c r="BH153" s="989"/>
      <c r="BI153" s="991"/>
      <c r="BJ153" s="993"/>
      <c r="BK153" s="996"/>
      <c r="BL153" s="1165"/>
      <c r="BM153" s="1167"/>
      <c r="BN153" s="1148"/>
      <c r="BO153" s="1148"/>
      <c r="BP153" s="1151"/>
      <c r="BQ153" s="1012"/>
      <c r="BR153" s="1757"/>
      <c r="BS153" s="1258"/>
      <c r="BT153" s="1023"/>
      <c r="BU153" s="1012"/>
      <c r="BV153" s="1289"/>
      <c r="BW153" s="1741"/>
      <c r="BX153" s="1169"/>
      <c r="BY153" s="1042">
        <f t="shared" ref="BY153:BY163" si="1">IFERROR(BM153/M153,0)</f>
        <v>0</v>
      </c>
      <c r="BZ153" s="1169"/>
      <c r="CA153" s="1042">
        <f t="shared" ref="CA153:CA163" si="2">IFERROR(BT153/M153,0)</f>
        <v>0</v>
      </c>
      <c r="CB153" s="1169"/>
      <c r="CC153" s="1042">
        <f>IFERROR(#REF!/M153,0)</f>
        <v>0</v>
      </c>
      <c r="CD153" s="1169"/>
      <c r="CE153" s="1042"/>
      <c r="CF153" s="1169"/>
      <c r="CG153" s="1263"/>
    </row>
    <row r="154" spans="1:85" s="782" customFormat="1" ht="21" customHeight="1" x14ac:dyDescent="0.25">
      <c r="A154" s="783"/>
      <c r="B154" s="1395"/>
      <c r="C154" s="1434"/>
      <c r="D154" s="1624"/>
      <c r="E154" s="1448"/>
      <c r="F154" s="1600"/>
      <c r="G154" s="1603"/>
      <c r="H154" s="1418"/>
      <c r="I154" s="1418"/>
      <c r="J154" s="1580"/>
      <c r="K154" s="1591"/>
      <c r="L154" s="1574"/>
      <c r="M154" s="1584"/>
      <c r="N154" s="1285"/>
      <c r="O154" s="1299"/>
      <c r="P154" s="1299"/>
      <c r="Q154" s="1553"/>
      <c r="R154" s="1729"/>
      <c r="S154" s="1565"/>
      <c r="T154" s="1016"/>
      <c r="U154" s="1016"/>
      <c r="V154" s="1078"/>
      <c r="W154" s="993"/>
      <c r="X154" s="996"/>
      <c r="Y154" s="998"/>
      <c r="Z154" s="1208"/>
      <c r="AA154" s="1211"/>
      <c r="AB154" s="1211"/>
      <c r="AC154" s="1224"/>
      <c r="AD154" s="1236"/>
      <c r="AE154" s="1757"/>
      <c r="AF154" s="1014"/>
      <c r="AG154" s="1016"/>
      <c r="AH154" s="1016"/>
      <c r="AI154" s="1078"/>
      <c r="AJ154" s="993"/>
      <c r="AK154" s="996"/>
      <c r="AL154" s="998"/>
      <c r="AM154" s="1208"/>
      <c r="AN154" s="1211"/>
      <c r="AO154" s="1211"/>
      <c r="AP154" s="1224"/>
      <c r="AQ154" s="1236"/>
      <c r="AR154" s="1757"/>
      <c r="AS154" s="1014"/>
      <c r="AT154" s="1016"/>
      <c r="AU154" s="1016"/>
      <c r="AV154" s="1078"/>
      <c r="AW154" s="993"/>
      <c r="AX154" s="996"/>
      <c r="AY154" s="998"/>
      <c r="AZ154" s="1208"/>
      <c r="BA154" s="1211"/>
      <c r="BB154" s="1211"/>
      <c r="BC154" s="1224"/>
      <c r="BD154" s="1236"/>
      <c r="BE154" s="1757"/>
      <c r="BF154" s="987"/>
      <c r="BG154" s="989"/>
      <c r="BH154" s="989"/>
      <c r="BI154" s="991"/>
      <c r="BJ154" s="993"/>
      <c r="BK154" s="996"/>
      <c r="BL154" s="1165"/>
      <c r="BM154" s="1167"/>
      <c r="BN154" s="1148"/>
      <c r="BO154" s="1148"/>
      <c r="BP154" s="1151"/>
      <c r="BQ154" s="1012"/>
      <c r="BR154" s="1757"/>
      <c r="BS154" s="1258"/>
      <c r="BT154" s="1023"/>
      <c r="BU154" s="1012"/>
      <c r="BV154" s="1289"/>
      <c r="BW154" s="1741"/>
      <c r="BX154" s="1169"/>
      <c r="BY154" s="1042"/>
      <c r="BZ154" s="1169"/>
      <c r="CA154" s="1042"/>
      <c r="CB154" s="1169"/>
      <c r="CC154" s="1042"/>
      <c r="CD154" s="1169"/>
      <c r="CE154" s="1042"/>
      <c r="CF154" s="1169"/>
      <c r="CG154" s="1263"/>
    </row>
    <row r="155" spans="1:85" s="782" customFormat="1" ht="21" customHeight="1" x14ac:dyDescent="0.25">
      <c r="A155" s="783"/>
      <c r="B155" s="1395"/>
      <c r="C155" s="1434"/>
      <c r="D155" s="1624"/>
      <c r="E155" s="1448"/>
      <c r="F155" s="1600"/>
      <c r="G155" s="1603"/>
      <c r="H155" s="1418"/>
      <c r="I155" s="1418"/>
      <c r="J155" s="1580"/>
      <c r="K155" s="1591"/>
      <c r="L155" s="1574"/>
      <c r="M155" s="1584"/>
      <c r="N155" s="1285"/>
      <c r="O155" s="1299"/>
      <c r="P155" s="1299"/>
      <c r="Q155" s="1553"/>
      <c r="R155" s="1729"/>
      <c r="S155" s="1565"/>
      <c r="T155" s="1016"/>
      <c r="U155" s="1016"/>
      <c r="V155" s="1078"/>
      <c r="W155" s="993"/>
      <c r="X155" s="996"/>
      <c r="Y155" s="998"/>
      <c r="Z155" s="1208"/>
      <c r="AA155" s="1211"/>
      <c r="AB155" s="1211"/>
      <c r="AC155" s="1224"/>
      <c r="AD155" s="1236"/>
      <c r="AE155" s="1757"/>
      <c r="AF155" s="1014"/>
      <c r="AG155" s="1016"/>
      <c r="AH155" s="1016"/>
      <c r="AI155" s="1078"/>
      <c r="AJ155" s="993"/>
      <c r="AK155" s="996"/>
      <c r="AL155" s="998"/>
      <c r="AM155" s="1208"/>
      <c r="AN155" s="1211"/>
      <c r="AO155" s="1211"/>
      <c r="AP155" s="1224"/>
      <c r="AQ155" s="1236"/>
      <c r="AR155" s="1757"/>
      <c r="AS155" s="1014"/>
      <c r="AT155" s="1016"/>
      <c r="AU155" s="1016"/>
      <c r="AV155" s="1078"/>
      <c r="AW155" s="993"/>
      <c r="AX155" s="996"/>
      <c r="AY155" s="998"/>
      <c r="AZ155" s="1208"/>
      <c r="BA155" s="1211"/>
      <c r="BB155" s="1211"/>
      <c r="BC155" s="1224"/>
      <c r="BD155" s="1236"/>
      <c r="BE155" s="1757"/>
      <c r="BF155" s="987"/>
      <c r="BG155" s="989"/>
      <c r="BH155" s="989"/>
      <c r="BI155" s="991"/>
      <c r="BJ155" s="993"/>
      <c r="BK155" s="996"/>
      <c r="BL155" s="1165"/>
      <c r="BM155" s="1167"/>
      <c r="BN155" s="1148"/>
      <c r="BO155" s="1148"/>
      <c r="BP155" s="1151"/>
      <c r="BQ155" s="1012"/>
      <c r="BR155" s="1757"/>
      <c r="BS155" s="1258"/>
      <c r="BT155" s="1023"/>
      <c r="BU155" s="1012"/>
      <c r="BV155" s="1289"/>
      <c r="BW155" s="1741"/>
      <c r="BX155" s="1169"/>
      <c r="BY155" s="1042"/>
      <c r="BZ155" s="1169"/>
      <c r="CA155" s="1042"/>
      <c r="CB155" s="1169"/>
      <c r="CC155" s="1042"/>
      <c r="CD155" s="1169"/>
      <c r="CE155" s="1042"/>
      <c r="CF155" s="1169"/>
      <c r="CG155" s="1263"/>
    </row>
    <row r="156" spans="1:85" s="782" customFormat="1" ht="21" customHeight="1" x14ac:dyDescent="0.25">
      <c r="A156" s="783"/>
      <c r="B156" s="1395"/>
      <c r="C156" s="1434"/>
      <c r="D156" s="1624"/>
      <c r="E156" s="1448"/>
      <c r="F156" s="1600"/>
      <c r="G156" s="1603"/>
      <c r="H156" s="1418"/>
      <c r="I156" s="1418"/>
      <c r="J156" s="1580"/>
      <c r="K156" s="1591"/>
      <c r="L156" s="1574"/>
      <c r="M156" s="1584"/>
      <c r="N156" s="1285"/>
      <c r="O156" s="1299"/>
      <c r="P156" s="1299"/>
      <c r="Q156" s="1553"/>
      <c r="R156" s="1729"/>
      <c r="S156" s="1565"/>
      <c r="T156" s="1016"/>
      <c r="U156" s="1016"/>
      <c r="V156" s="1078"/>
      <c r="W156" s="993"/>
      <c r="X156" s="996" t="s">
        <v>196</v>
      </c>
      <c r="Y156" s="998"/>
      <c r="Z156" s="1208"/>
      <c r="AA156" s="1211"/>
      <c r="AB156" s="1211"/>
      <c r="AC156" s="1224"/>
      <c r="AD156" s="1236"/>
      <c r="AE156" s="1757"/>
      <c r="AF156" s="1014"/>
      <c r="AG156" s="1016"/>
      <c r="AH156" s="1016"/>
      <c r="AI156" s="1078"/>
      <c r="AJ156" s="993"/>
      <c r="AK156" s="996" t="s">
        <v>196</v>
      </c>
      <c r="AL156" s="998"/>
      <c r="AM156" s="1208"/>
      <c r="AN156" s="1211"/>
      <c r="AO156" s="1211"/>
      <c r="AP156" s="1224"/>
      <c r="AQ156" s="1236"/>
      <c r="AR156" s="1757"/>
      <c r="AS156" s="1014"/>
      <c r="AT156" s="1016"/>
      <c r="AU156" s="1016"/>
      <c r="AV156" s="1078"/>
      <c r="AW156" s="993"/>
      <c r="AX156" s="996" t="s">
        <v>196</v>
      </c>
      <c r="AY156" s="998"/>
      <c r="AZ156" s="1208"/>
      <c r="BA156" s="1211"/>
      <c r="BB156" s="1211"/>
      <c r="BC156" s="1224"/>
      <c r="BD156" s="1236"/>
      <c r="BE156" s="1757"/>
      <c r="BF156" s="987"/>
      <c r="BG156" s="989"/>
      <c r="BH156" s="989"/>
      <c r="BI156" s="991"/>
      <c r="BJ156" s="993"/>
      <c r="BK156" s="996" t="s">
        <v>196</v>
      </c>
      <c r="BL156" s="1053"/>
      <c r="BM156" s="1167"/>
      <c r="BN156" s="1148"/>
      <c r="BO156" s="1148"/>
      <c r="BP156" s="1151"/>
      <c r="BQ156" s="1012"/>
      <c r="BR156" s="1757"/>
      <c r="BS156" s="1258"/>
      <c r="BT156" s="1023"/>
      <c r="BU156" s="1012"/>
      <c r="BV156" s="1289"/>
      <c r="BW156" s="1741"/>
      <c r="BX156" s="1169"/>
      <c r="BY156" s="1042"/>
      <c r="BZ156" s="1169"/>
      <c r="CA156" s="1042"/>
      <c r="CB156" s="1169"/>
      <c r="CC156" s="1042"/>
      <c r="CD156" s="1169"/>
      <c r="CE156" s="1042"/>
      <c r="CF156" s="1169"/>
      <c r="CG156" s="1263"/>
    </row>
    <row r="157" spans="1:85" s="782" customFormat="1" ht="21" customHeight="1" x14ac:dyDescent="0.25">
      <c r="A157" s="783"/>
      <c r="B157" s="1395"/>
      <c r="C157" s="1434"/>
      <c r="D157" s="1624"/>
      <c r="E157" s="1448"/>
      <c r="F157" s="1600"/>
      <c r="G157" s="1603"/>
      <c r="H157" s="1418"/>
      <c r="I157" s="1418"/>
      <c r="J157" s="1580"/>
      <c r="K157" s="1591"/>
      <c r="L157" s="1574"/>
      <c r="M157" s="1584"/>
      <c r="N157" s="1285"/>
      <c r="O157" s="1299"/>
      <c r="P157" s="1299"/>
      <c r="Q157" s="1553"/>
      <c r="R157" s="1729"/>
      <c r="S157" s="1565"/>
      <c r="T157" s="1016"/>
      <c r="U157" s="1016"/>
      <c r="V157" s="1078"/>
      <c r="W157" s="993"/>
      <c r="X157" s="996"/>
      <c r="Y157" s="998"/>
      <c r="Z157" s="1208"/>
      <c r="AA157" s="1211"/>
      <c r="AB157" s="1211"/>
      <c r="AC157" s="1224"/>
      <c r="AD157" s="1236"/>
      <c r="AE157" s="1757"/>
      <c r="AF157" s="1014"/>
      <c r="AG157" s="1016"/>
      <c r="AH157" s="1016"/>
      <c r="AI157" s="1078"/>
      <c r="AJ157" s="993"/>
      <c r="AK157" s="996"/>
      <c r="AL157" s="998"/>
      <c r="AM157" s="1208"/>
      <c r="AN157" s="1211"/>
      <c r="AO157" s="1211"/>
      <c r="AP157" s="1224"/>
      <c r="AQ157" s="1236"/>
      <c r="AR157" s="1757"/>
      <c r="AS157" s="1014"/>
      <c r="AT157" s="1016"/>
      <c r="AU157" s="1016"/>
      <c r="AV157" s="1078"/>
      <c r="AW157" s="993"/>
      <c r="AX157" s="996"/>
      <c r="AY157" s="998"/>
      <c r="AZ157" s="1208"/>
      <c r="BA157" s="1211"/>
      <c r="BB157" s="1211"/>
      <c r="BC157" s="1224"/>
      <c r="BD157" s="1236"/>
      <c r="BE157" s="1757"/>
      <c r="BF157" s="987"/>
      <c r="BG157" s="989"/>
      <c r="BH157" s="989"/>
      <c r="BI157" s="991"/>
      <c r="BJ157" s="993"/>
      <c r="BK157" s="996"/>
      <c r="BL157" s="1053"/>
      <c r="BM157" s="1167"/>
      <c r="BN157" s="1148"/>
      <c r="BO157" s="1148"/>
      <c r="BP157" s="1151"/>
      <c r="BQ157" s="1012"/>
      <c r="BR157" s="1757"/>
      <c r="BS157" s="1258"/>
      <c r="BT157" s="1023"/>
      <c r="BU157" s="1012"/>
      <c r="BV157" s="1289"/>
      <c r="BW157" s="1741"/>
      <c r="BX157" s="1263"/>
      <c r="BY157" s="1042"/>
      <c r="BZ157" s="1263"/>
      <c r="CA157" s="1042"/>
      <c r="CB157" s="1263"/>
      <c r="CC157" s="1042"/>
      <c r="CD157" s="1263"/>
      <c r="CE157" s="1042"/>
      <c r="CF157" s="1263"/>
      <c r="CG157" s="1263"/>
    </row>
    <row r="158" spans="1:85" s="782" customFormat="1" ht="21" customHeight="1" x14ac:dyDescent="0.25">
      <c r="A158" s="783"/>
      <c r="B158" s="1395"/>
      <c r="C158" s="1434"/>
      <c r="D158" s="1624"/>
      <c r="E158" s="1448"/>
      <c r="F158" s="1600"/>
      <c r="G158" s="1603"/>
      <c r="H158" s="1418"/>
      <c r="I158" s="1418"/>
      <c r="J158" s="1580"/>
      <c r="K158" s="1591"/>
      <c r="L158" s="1574"/>
      <c r="M158" s="1584"/>
      <c r="N158" s="1285"/>
      <c r="O158" s="1299"/>
      <c r="P158" s="1299"/>
      <c r="Q158" s="1553"/>
      <c r="R158" s="1729"/>
      <c r="S158" s="1565"/>
      <c r="T158" s="1016"/>
      <c r="U158" s="1016"/>
      <c r="V158" s="1078"/>
      <c r="W158" s="993"/>
      <c r="X158" s="996"/>
      <c r="Y158" s="998"/>
      <c r="Z158" s="1208"/>
      <c r="AA158" s="1211"/>
      <c r="AB158" s="1211"/>
      <c r="AC158" s="1224"/>
      <c r="AD158" s="1236"/>
      <c r="AE158" s="1757"/>
      <c r="AF158" s="1014"/>
      <c r="AG158" s="1016"/>
      <c r="AH158" s="1016"/>
      <c r="AI158" s="1078"/>
      <c r="AJ158" s="993"/>
      <c r="AK158" s="996"/>
      <c r="AL158" s="998"/>
      <c r="AM158" s="1208"/>
      <c r="AN158" s="1211"/>
      <c r="AO158" s="1211"/>
      <c r="AP158" s="1224"/>
      <c r="AQ158" s="1236"/>
      <c r="AR158" s="1757"/>
      <c r="AS158" s="1014"/>
      <c r="AT158" s="1016"/>
      <c r="AU158" s="1016"/>
      <c r="AV158" s="1078"/>
      <c r="AW158" s="993"/>
      <c r="AX158" s="996"/>
      <c r="AY158" s="998"/>
      <c r="AZ158" s="1208"/>
      <c r="BA158" s="1211"/>
      <c r="BB158" s="1211"/>
      <c r="BC158" s="1224"/>
      <c r="BD158" s="1236"/>
      <c r="BE158" s="1757"/>
      <c r="BF158" s="987"/>
      <c r="BG158" s="989"/>
      <c r="BH158" s="989"/>
      <c r="BI158" s="991"/>
      <c r="BJ158" s="993"/>
      <c r="BK158" s="996"/>
      <c r="BL158" s="1053"/>
      <c r="BM158" s="1167"/>
      <c r="BN158" s="1148"/>
      <c r="BO158" s="1148"/>
      <c r="BP158" s="1151"/>
      <c r="BQ158" s="1012"/>
      <c r="BR158" s="1757"/>
      <c r="BS158" s="1258"/>
      <c r="BT158" s="1023"/>
      <c r="BU158" s="1012"/>
      <c r="BV158" s="1289"/>
      <c r="BW158" s="1741"/>
      <c r="BX158" s="1263"/>
      <c r="BY158" s="1042"/>
      <c r="BZ158" s="1263"/>
      <c r="CA158" s="1042"/>
      <c r="CB158" s="1263"/>
      <c r="CC158" s="1042"/>
      <c r="CD158" s="1263"/>
      <c r="CE158" s="1042"/>
      <c r="CF158" s="1263"/>
      <c r="CG158" s="1263"/>
    </row>
    <row r="159" spans="1:85" s="782" customFormat="1" ht="21" customHeight="1" x14ac:dyDescent="0.25">
      <c r="A159" s="783"/>
      <c r="B159" s="1395"/>
      <c r="C159" s="1434"/>
      <c r="D159" s="1624"/>
      <c r="E159" s="1448"/>
      <c r="F159" s="1600"/>
      <c r="G159" s="1603"/>
      <c r="H159" s="1418"/>
      <c r="I159" s="1418"/>
      <c r="J159" s="1580"/>
      <c r="K159" s="1591"/>
      <c r="L159" s="1574"/>
      <c r="M159" s="1584"/>
      <c r="N159" s="1285"/>
      <c r="O159" s="1299"/>
      <c r="P159" s="1299"/>
      <c r="Q159" s="1553"/>
      <c r="R159" s="1729"/>
      <c r="S159" s="1565"/>
      <c r="T159" s="1016"/>
      <c r="U159" s="1016"/>
      <c r="V159" s="1078"/>
      <c r="W159" s="993"/>
      <c r="X159" s="996"/>
      <c r="Y159" s="998"/>
      <c r="Z159" s="1208"/>
      <c r="AA159" s="1211"/>
      <c r="AB159" s="1211"/>
      <c r="AC159" s="1224"/>
      <c r="AD159" s="1236"/>
      <c r="AE159" s="1757"/>
      <c r="AF159" s="1014"/>
      <c r="AG159" s="1016"/>
      <c r="AH159" s="1016"/>
      <c r="AI159" s="1078"/>
      <c r="AJ159" s="993"/>
      <c r="AK159" s="996"/>
      <c r="AL159" s="998"/>
      <c r="AM159" s="1208"/>
      <c r="AN159" s="1211"/>
      <c r="AO159" s="1211"/>
      <c r="AP159" s="1224"/>
      <c r="AQ159" s="1236"/>
      <c r="AR159" s="1757"/>
      <c r="AS159" s="1014"/>
      <c r="AT159" s="1016"/>
      <c r="AU159" s="1016"/>
      <c r="AV159" s="1078"/>
      <c r="AW159" s="993"/>
      <c r="AX159" s="996"/>
      <c r="AY159" s="998"/>
      <c r="AZ159" s="1208"/>
      <c r="BA159" s="1211"/>
      <c r="BB159" s="1211"/>
      <c r="BC159" s="1224"/>
      <c r="BD159" s="1236"/>
      <c r="BE159" s="1757"/>
      <c r="BF159" s="987"/>
      <c r="BG159" s="989"/>
      <c r="BH159" s="989"/>
      <c r="BI159" s="991"/>
      <c r="BJ159" s="993"/>
      <c r="BK159" s="996"/>
      <c r="BL159" s="1053"/>
      <c r="BM159" s="1167"/>
      <c r="BN159" s="1148"/>
      <c r="BO159" s="1148"/>
      <c r="BP159" s="1151"/>
      <c r="BQ159" s="1012"/>
      <c r="BR159" s="1757"/>
      <c r="BS159" s="1258"/>
      <c r="BT159" s="1023"/>
      <c r="BU159" s="1012"/>
      <c r="BV159" s="1289"/>
      <c r="BW159" s="1741"/>
      <c r="BX159" s="1263"/>
      <c r="BY159" s="1042">
        <f t="shared" si="1"/>
        <v>0</v>
      </c>
      <c r="BZ159" s="1263"/>
      <c r="CA159" s="1042">
        <f t="shared" si="2"/>
        <v>0</v>
      </c>
      <c r="CB159" s="1263"/>
      <c r="CC159" s="1042">
        <f>IFERROR(#REF!/M159,0)</f>
        <v>0</v>
      </c>
      <c r="CD159" s="1263"/>
      <c r="CE159" s="1042"/>
      <c r="CF159" s="1263"/>
      <c r="CG159" s="1263"/>
    </row>
    <row r="160" spans="1:85" s="782" customFormat="1" ht="21" customHeight="1" x14ac:dyDescent="0.25">
      <c r="A160" s="783"/>
      <c r="B160" s="1395"/>
      <c r="C160" s="1434"/>
      <c r="D160" s="1624"/>
      <c r="E160" s="1448"/>
      <c r="F160" s="1600"/>
      <c r="G160" s="1603"/>
      <c r="H160" s="1418"/>
      <c r="I160" s="1418"/>
      <c r="J160" s="1580"/>
      <c r="K160" s="1591"/>
      <c r="L160" s="1574"/>
      <c r="M160" s="1584"/>
      <c r="N160" s="1285"/>
      <c r="O160" s="1299"/>
      <c r="P160" s="1299"/>
      <c r="Q160" s="1553"/>
      <c r="R160" s="1729"/>
      <c r="S160" s="1565"/>
      <c r="T160" s="1016"/>
      <c r="U160" s="1016"/>
      <c r="V160" s="1078"/>
      <c r="W160" s="993"/>
      <c r="X160" s="996" t="s">
        <v>197</v>
      </c>
      <c r="Y160" s="998"/>
      <c r="Z160" s="1208"/>
      <c r="AA160" s="1211"/>
      <c r="AB160" s="1211"/>
      <c r="AC160" s="1224"/>
      <c r="AD160" s="1236"/>
      <c r="AE160" s="1757"/>
      <c r="AF160" s="1014"/>
      <c r="AG160" s="1016"/>
      <c r="AH160" s="1016"/>
      <c r="AI160" s="1078"/>
      <c r="AJ160" s="993"/>
      <c r="AK160" s="996" t="s">
        <v>197</v>
      </c>
      <c r="AL160" s="998"/>
      <c r="AM160" s="1208"/>
      <c r="AN160" s="1211"/>
      <c r="AO160" s="1211"/>
      <c r="AP160" s="1224"/>
      <c r="AQ160" s="1236"/>
      <c r="AR160" s="1757"/>
      <c r="AS160" s="1014"/>
      <c r="AT160" s="1016"/>
      <c r="AU160" s="1016"/>
      <c r="AV160" s="1078"/>
      <c r="AW160" s="993"/>
      <c r="AX160" s="996" t="s">
        <v>197</v>
      </c>
      <c r="AY160" s="998"/>
      <c r="AZ160" s="1208"/>
      <c r="BA160" s="1211"/>
      <c r="BB160" s="1211"/>
      <c r="BC160" s="1224"/>
      <c r="BD160" s="1236"/>
      <c r="BE160" s="1757"/>
      <c r="BF160" s="987"/>
      <c r="BG160" s="989"/>
      <c r="BH160" s="989"/>
      <c r="BI160" s="991"/>
      <c r="BJ160" s="993"/>
      <c r="BK160" s="996" t="s">
        <v>197</v>
      </c>
      <c r="BL160" s="1053"/>
      <c r="BM160" s="1167"/>
      <c r="BN160" s="1148"/>
      <c r="BO160" s="1148"/>
      <c r="BP160" s="1151"/>
      <c r="BQ160" s="1012"/>
      <c r="BR160" s="1757"/>
      <c r="BS160" s="1258"/>
      <c r="BT160" s="1023"/>
      <c r="BU160" s="1012"/>
      <c r="BV160" s="1289"/>
      <c r="BW160" s="1741"/>
      <c r="BX160" s="1263"/>
      <c r="BY160" s="1042">
        <f t="shared" si="1"/>
        <v>0</v>
      </c>
      <c r="BZ160" s="1263"/>
      <c r="CA160" s="1042">
        <f t="shared" si="2"/>
        <v>0</v>
      </c>
      <c r="CB160" s="1263"/>
      <c r="CC160" s="1042">
        <f>IFERROR(#REF!/M160,0)</f>
        <v>0</v>
      </c>
      <c r="CD160" s="1263"/>
      <c r="CE160" s="1042"/>
      <c r="CF160" s="1263"/>
      <c r="CG160" s="1263"/>
    </row>
    <row r="161" spans="1:85" s="782" customFormat="1" ht="21" customHeight="1" x14ac:dyDescent="0.25">
      <c r="A161" s="783"/>
      <c r="B161" s="1395"/>
      <c r="C161" s="1434"/>
      <c r="D161" s="1624"/>
      <c r="E161" s="1448"/>
      <c r="F161" s="1600"/>
      <c r="G161" s="1603"/>
      <c r="H161" s="1418"/>
      <c r="I161" s="1418"/>
      <c r="J161" s="1580"/>
      <c r="K161" s="1591"/>
      <c r="L161" s="1574"/>
      <c r="M161" s="1584"/>
      <c r="N161" s="1285"/>
      <c r="O161" s="1299"/>
      <c r="P161" s="1299"/>
      <c r="Q161" s="1553"/>
      <c r="R161" s="1729"/>
      <c r="S161" s="1565"/>
      <c r="T161" s="1016"/>
      <c r="U161" s="1016"/>
      <c r="V161" s="1078"/>
      <c r="W161" s="993"/>
      <c r="X161" s="996"/>
      <c r="Y161" s="998"/>
      <c r="Z161" s="1208"/>
      <c r="AA161" s="1211"/>
      <c r="AB161" s="1211"/>
      <c r="AC161" s="1224"/>
      <c r="AD161" s="1236"/>
      <c r="AE161" s="1757"/>
      <c r="AF161" s="1014"/>
      <c r="AG161" s="1016"/>
      <c r="AH161" s="1016"/>
      <c r="AI161" s="1078"/>
      <c r="AJ161" s="993"/>
      <c r="AK161" s="996"/>
      <c r="AL161" s="998"/>
      <c r="AM161" s="1208"/>
      <c r="AN161" s="1211"/>
      <c r="AO161" s="1211"/>
      <c r="AP161" s="1224"/>
      <c r="AQ161" s="1236"/>
      <c r="AR161" s="1757"/>
      <c r="AS161" s="1014"/>
      <c r="AT161" s="1016"/>
      <c r="AU161" s="1016"/>
      <c r="AV161" s="1078"/>
      <c r="AW161" s="993"/>
      <c r="AX161" s="996"/>
      <c r="AY161" s="998"/>
      <c r="AZ161" s="1208"/>
      <c r="BA161" s="1211"/>
      <c r="BB161" s="1211"/>
      <c r="BC161" s="1224"/>
      <c r="BD161" s="1236"/>
      <c r="BE161" s="1757"/>
      <c r="BF161" s="987"/>
      <c r="BG161" s="989"/>
      <c r="BH161" s="989"/>
      <c r="BI161" s="991"/>
      <c r="BJ161" s="993"/>
      <c r="BK161" s="996"/>
      <c r="BL161" s="1053"/>
      <c r="BM161" s="1167"/>
      <c r="BN161" s="1148"/>
      <c r="BO161" s="1148"/>
      <c r="BP161" s="1151"/>
      <c r="BQ161" s="1012"/>
      <c r="BR161" s="1757"/>
      <c r="BS161" s="1258"/>
      <c r="BT161" s="1023"/>
      <c r="BU161" s="1012"/>
      <c r="BV161" s="1289"/>
      <c r="BW161" s="1741"/>
      <c r="BX161" s="1263"/>
      <c r="BY161" s="1042">
        <f t="shared" si="1"/>
        <v>0</v>
      </c>
      <c r="BZ161" s="1263"/>
      <c r="CA161" s="1042">
        <f t="shared" si="2"/>
        <v>0</v>
      </c>
      <c r="CB161" s="1263"/>
      <c r="CC161" s="1042">
        <f>IFERROR(#REF!/M161,0)</f>
        <v>0</v>
      </c>
      <c r="CD161" s="1263"/>
      <c r="CE161" s="1042"/>
      <c r="CF161" s="1263"/>
      <c r="CG161" s="1263"/>
    </row>
    <row r="162" spans="1:85" s="782" customFormat="1" ht="21" customHeight="1" x14ac:dyDescent="0.25">
      <c r="A162" s="783"/>
      <c r="B162" s="1395"/>
      <c r="C162" s="1434"/>
      <c r="D162" s="1624"/>
      <c r="E162" s="1448"/>
      <c r="F162" s="1600"/>
      <c r="G162" s="1603"/>
      <c r="H162" s="1418"/>
      <c r="I162" s="1418"/>
      <c r="J162" s="1580"/>
      <c r="K162" s="1591"/>
      <c r="L162" s="1574"/>
      <c r="M162" s="1584"/>
      <c r="N162" s="1285"/>
      <c r="O162" s="1299"/>
      <c r="P162" s="1299"/>
      <c r="Q162" s="1553"/>
      <c r="R162" s="1729"/>
      <c r="S162" s="1565"/>
      <c r="T162" s="1016"/>
      <c r="U162" s="1016"/>
      <c r="V162" s="1078"/>
      <c r="W162" s="993"/>
      <c r="X162" s="996"/>
      <c r="Y162" s="998"/>
      <c r="Z162" s="1208"/>
      <c r="AA162" s="1211"/>
      <c r="AB162" s="1211"/>
      <c r="AC162" s="1224"/>
      <c r="AD162" s="1236"/>
      <c r="AE162" s="1757"/>
      <c r="AF162" s="1014"/>
      <c r="AG162" s="1016"/>
      <c r="AH162" s="1016"/>
      <c r="AI162" s="1078"/>
      <c r="AJ162" s="993"/>
      <c r="AK162" s="996"/>
      <c r="AL162" s="998"/>
      <c r="AM162" s="1208"/>
      <c r="AN162" s="1211"/>
      <c r="AO162" s="1211"/>
      <c r="AP162" s="1224"/>
      <c r="AQ162" s="1236"/>
      <c r="AR162" s="1757"/>
      <c r="AS162" s="1014"/>
      <c r="AT162" s="1016"/>
      <c r="AU162" s="1016"/>
      <c r="AV162" s="1078"/>
      <c r="AW162" s="993"/>
      <c r="AX162" s="996"/>
      <c r="AY162" s="998"/>
      <c r="AZ162" s="1208"/>
      <c r="BA162" s="1211"/>
      <c r="BB162" s="1211"/>
      <c r="BC162" s="1224"/>
      <c r="BD162" s="1236"/>
      <c r="BE162" s="1757"/>
      <c r="BF162" s="987"/>
      <c r="BG162" s="989"/>
      <c r="BH162" s="989"/>
      <c r="BI162" s="991"/>
      <c r="BJ162" s="993"/>
      <c r="BK162" s="996"/>
      <c r="BL162" s="1053"/>
      <c r="BM162" s="1167"/>
      <c r="BN162" s="1148"/>
      <c r="BO162" s="1148"/>
      <c r="BP162" s="1151"/>
      <c r="BQ162" s="1012"/>
      <c r="BR162" s="1757"/>
      <c r="BS162" s="1258"/>
      <c r="BT162" s="1023"/>
      <c r="BU162" s="1012"/>
      <c r="BV162" s="1289"/>
      <c r="BW162" s="1741"/>
      <c r="BX162" s="1263"/>
      <c r="BY162" s="1042">
        <f t="shared" si="1"/>
        <v>0</v>
      </c>
      <c r="BZ162" s="1263"/>
      <c r="CA162" s="1042">
        <f t="shared" si="2"/>
        <v>0</v>
      </c>
      <c r="CB162" s="1263"/>
      <c r="CC162" s="1042">
        <f>IFERROR(#REF!/M162,0)</f>
        <v>0</v>
      </c>
      <c r="CD162" s="1263"/>
      <c r="CE162" s="1042"/>
      <c r="CF162" s="1263"/>
      <c r="CG162" s="1263"/>
    </row>
    <row r="163" spans="1:85" s="782" customFormat="1" ht="21" customHeight="1" thickBot="1" x14ac:dyDescent="0.3">
      <c r="A163" s="783"/>
      <c r="B163" s="1396"/>
      <c r="C163" s="1589"/>
      <c r="D163" s="1625"/>
      <c r="E163" s="1449"/>
      <c r="F163" s="1627"/>
      <c r="G163" s="1622"/>
      <c r="H163" s="1582"/>
      <c r="I163" s="1582"/>
      <c r="J163" s="1581"/>
      <c r="K163" s="1592"/>
      <c r="L163" s="1578"/>
      <c r="M163" s="1585"/>
      <c r="N163" s="1286"/>
      <c r="O163" s="1300"/>
      <c r="P163" s="1300"/>
      <c r="Q163" s="1554"/>
      <c r="R163" s="1730"/>
      <c r="S163" s="1566"/>
      <c r="T163" s="1017"/>
      <c r="U163" s="1017"/>
      <c r="V163" s="1079"/>
      <c r="W163" s="994"/>
      <c r="X163" s="1068"/>
      <c r="Y163" s="1069"/>
      <c r="Z163" s="1221"/>
      <c r="AA163" s="1222"/>
      <c r="AB163" s="1222"/>
      <c r="AC163" s="1225"/>
      <c r="AD163" s="1237"/>
      <c r="AE163" s="1758"/>
      <c r="AF163" s="1015"/>
      <c r="AG163" s="1017"/>
      <c r="AH163" s="1017"/>
      <c r="AI163" s="1079"/>
      <c r="AJ163" s="994"/>
      <c r="AK163" s="1068"/>
      <c r="AL163" s="1069"/>
      <c r="AM163" s="1221"/>
      <c r="AN163" s="1222"/>
      <c r="AO163" s="1222"/>
      <c r="AP163" s="1225"/>
      <c r="AQ163" s="1237"/>
      <c r="AR163" s="1758"/>
      <c r="AS163" s="1015"/>
      <c r="AT163" s="1017"/>
      <c r="AU163" s="1017"/>
      <c r="AV163" s="1079"/>
      <c r="AW163" s="994"/>
      <c r="AX163" s="1068"/>
      <c r="AY163" s="1069"/>
      <c r="AZ163" s="1221"/>
      <c r="BA163" s="1222"/>
      <c r="BB163" s="1222"/>
      <c r="BC163" s="1225"/>
      <c r="BD163" s="1237"/>
      <c r="BE163" s="1758"/>
      <c r="BF163" s="988"/>
      <c r="BG163" s="990"/>
      <c r="BH163" s="990"/>
      <c r="BI163" s="992"/>
      <c r="BJ163" s="994"/>
      <c r="BK163" s="1068"/>
      <c r="BL163" s="1054"/>
      <c r="BM163" s="1206"/>
      <c r="BN163" s="1149"/>
      <c r="BO163" s="1149"/>
      <c r="BP163" s="1152"/>
      <c r="BQ163" s="1013"/>
      <c r="BR163" s="1758"/>
      <c r="BS163" s="1261"/>
      <c r="BT163" s="1024"/>
      <c r="BU163" s="1013"/>
      <c r="BV163" s="1290"/>
      <c r="BW163" s="1742"/>
      <c r="BX163" s="1264"/>
      <c r="BY163" s="1043">
        <f t="shared" si="1"/>
        <v>0</v>
      </c>
      <c r="BZ163" s="1264"/>
      <c r="CA163" s="1043">
        <f t="shared" si="2"/>
        <v>0</v>
      </c>
      <c r="CB163" s="1264"/>
      <c r="CC163" s="1043">
        <f>IFERROR(#REF!/M163,0)</f>
        <v>0</v>
      </c>
      <c r="CD163" s="1264"/>
      <c r="CE163" s="1043"/>
      <c r="CF163" s="1264"/>
      <c r="CG163" s="1264"/>
    </row>
    <row r="164" spans="1:85" s="778" customFormat="1" ht="21" customHeight="1" thickBot="1" x14ac:dyDescent="0.35">
      <c r="A164" s="777"/>
      <c r="B164" s="1689"/>
      <c r="C164" s="1689"/>
      <c r="D164" s="1689"/>
      <c r="E164" s="1689"/>
      <c r="F164" s="1689"/>
      <c r="G164" s="1689"/>
      <c r="H164" s="1689"/>
      <c r="I164" s="1689"/>
      <c r="J164" s="1689"/>
      <c r="K164" s="1689"/>
      <c r="L164" s="1689"/>
      <c r="M164" s="1689"/>
      <c r="N164" s="1689"/>
      <c r="O164" s="1689"/>
      <c r="P164" s="1689"/>
      <c r="Q164" s="1689"/>
      <c r="R164" s="1689"/>
      <c r="S164" s="1689"/>
      <c r="T164" s="1689"/>
      <c r="U164" s="1689"/>
      <c r="V164" s="1689"/>
      <c r="W164" s="1689"/>
      <c r="X164" s="1689"/>
      <c r="Y164" s="1689"/>
      <c r="Z164" s="1689"/>
      <c r="AA164" s="1689"/>
      <c r="AB164" s="1689"/>
      <c r="AC164" s="1689"/>
      <c r="AD164" s="1689"/>
      <c r="AE164" s="1689"/>
      <c r="AF164" s="1689"/>
      <c r="AG164" s="1689"/>
      <c r="AH164" s="1689"/>
      <c r="AI164" s="1689"/>
      <c r="AJ164" s="1689"/>
      <c r="AK164" s="1689"/>
      <c r="AL164" s="1689"/>
      <c r="AM164" s="1689"/>
      <c r="AN164" s="1689"/>
      <c r="AO164" s="1689"/>
      <c r="AP164" s="1689"/>
      <c r="AQ164" s="1689"/>
      <c r="AR164" s="1689"/>
      <c r="AS164" s="1689"/>
      <c r="AT164" s="1689"/>
      <c r="AU164" s="1689"/>
      <c r="AV164" s="1689"/>
      <c r="AW164" s="1689"/>
      <c r="AX164" s="1689"/>
      <c r="AY164" s="1689"/>
      <c r="AZ164" s="1689"/>
      <c r="BA164" s="1689"/>
      <c r="BB164" s="1689"/>
      <c r="BC164" s="1689"/>
      <c r="BD164" s="1689"/>
      <c r="BE164" s="1689"/>
      <c r="BF164" s="1689"/>
      <c r="BG164" s="1689"/>
      <c r="BH164" s="1689"/>
      <c r="BI164" s="1689"/>
      <c r="BJ164" s="1689"/>
      <c r="BK164" s="1689"/>
      <c r="BL164" s="1689"/>
      <c r="BM164" s="1689"/>
      <c r="BN164" s="1689"/>
      <c r="BO164" s="1689"/>
      <c r="BP164" s="1689"/>
      <c r="BQ164" s="1689"/>
      <c r="BR164" s="1689"/>
      <c r="BS164" s="1689"/>
      <c r="BT164" s="1689"/>
      <c r="BU164" s="1689"/>
      <c r="BV164" s="1689"/>
      <c r="BW164" s="1689"/>
      <c r="BX164" s="1689"/>
      <c r="BY164" s="1689"/>
      <c r="BZ164" s="1689"/>
      <c r="CA164" s="1689"/>
      <c r="CB164" s="1689"/>
      <c r="CC164" s="1689"/>
      <c r="CD164" s="1689"/>
      <c r="CE164" s="1689"/>
      <c r="CF164" s="1689"/>
      <c r="CG164" s="1689"/>
    </row>
    <row r="165" spans="1:85" s="204" customFormat="1" ht="57.75" customHeight="1" thickBot="1" x14ac:dyDescent="0.35">
      <c r="A165" s="203"/>
      <c r="B165" s="1105" t="s">
        <v>178</v>
      </c>
      <c r="C165" s="1106"/>
      <c r="D165" s="1106"/>
      <c r="E165" s="1106"/>
      <c r="F165" s="1106"/>
      <c r="G165" s="1106"/>
      <c r="H165" s="1106"/>
      <c r="I165" s="1106"/>
      <c r="J165" s="1106"/>
      <c r="K165" s="1106"/>
      <c r="L165" s="1106"/>
      <c r="M165" s="1106"/>
      <c r="N165" s="1106"/>
      <c r="O165" s="1106"/>
      <c r="P165" s="1106"/>
      <c r="Q165" s="1725"/>
      <c r="R165" s="1728"/>
      <c r="S165" s="1726" t="s">
        <v>207</v>
      </c>
      <c r="T165" s="1086"/>
      <c r="U165" s="1086"/>
      <c r="V165" s="1086"/>
      <c r="W165" s="1086"/>
      <c r="X165" s="1086"/>
      <c r="Y165" s="1086"/>
      <c r="Z165" s="1086"/>
      <c r="AA165" s="1086"/>
      <c r="AB165" s="1086"/>
      <c r="AC165" s="1086"/>
      <c r="AD165" s="1086"/>
      <c r="AE165" s="1086"/>
      <c r="AF165" s="1086"/>
      <c r="AG165" s="1086"/>
      <c r="AH165" s="1086"/>
      <c r="AI165" s="1086"/>
      <c r="AJ165" s="1086"/>
      <c r="AK165" s="1086"/>
      <c r="AL165" s="1086"/>
      <c r="AM165" s="1086"/>
      <c r="AN165" s="1086"/>
      <c r="AO165" s="1086"/>
      <c r="AP165" s="1086"/>
      <c r="AQ165" s="1086"/>
      <c r="AR165" s="1086"/>
      <c r="AS165" s="1086"/>
      <c r="AT165" s="1086"/>
      <c r="AU165" s="1086"/>
      <c r="AV165" s="1086"/>
      <c r="AW165" s="1086"/>
      <c r="AX165" s="1086"/>
      <c r="AY165" s="1086"/>
      <c r="AZ165" s="1086"/>
      <c r="BA165" s="1086"/>
      <c r="BB165" s="1086"/>
      <c r="BC165" s="1086"/>
      <c r="BD165" s="1086"/>
      <c r="BE165" s="1086"/>
      <c r="BF165" s="1086"/>
      <c r="BG165" s="1086"/>
      <c r="BH165" s="1086"/>
      <c r="BI165" s="1086"/>
      <c r="BJ165" s="1086"/>
      <c r="BK165" s="1086"/>
      <c r="BL165" s="1086"/>
      <c r="BM165" s="1086"/>
      <c r="BN165" s="1086"/>
      <c r="BO165" s="1086"/>
      <c r="BP165" s="1086"/>
      <c r="BQ165" s="1086"/>
      <c r="BR165" s="1086"/>
      <c r="BS165" s="1086"/>
      <c r="BT165" s="1086"/>
      <c r="BU165" s="1086"/>
      <c r="BV165" s="1727"/>
      <c r="BW165" s="1740"/>
      <c r="BX165" s="1733" t="s">
        <v>179</v>
      </c>
      <c r="BY165" s="1734"/>
      <c r="BZ165" s="1734"/>
      <c r="CA165" s="1734"/>
      <c r="CB165" s="1734"/>
      <c r="CC165" s="1734"/>
      <c r="CD165" s="1734"/>
      <c r="CE165" s="1734"/>
      <c r="CF165" s="1734"/>
      <c r="CG165" s="1735"/>
    </row>
    <row r="166" spans="1:85" s="801" customFormat="1" ht="16.5" customHeight="1" thickBot="1" x14ac:dyDescent="0.35">
      <c r="A166" s="800"/>
      <c r="B166" s="1076" t="s">
        <v>32</v>
      </c>
      <c r="C166" s="1073" t="s">
        <v>1</v>
      </c>
      <c r="D166" s="1077" t="s">
        <v>2</v>
      </c>
      <c r="E166" s="1076" t="s">
        <v>3</v>
      </c>
      <c r="F166" s="1074"/>
      <c r="G166" s="1085" t="s">
        <v>4</v>
      </c>
      <c r="H166" s="1070"/>
      <c r="I166" s="1070"/>
      <c r="J166" s="1082"/>
      <c r="K166" s="1085" t="s">
        <v>201</v>
      </c>
      <c r="L166" s="1070"/>
      <c r="M166" s="1070"/>
      <c r="N166" s="1070"/>
      <c r="O166" s="1070"/>
      <c r="P166" s="1070"/>
      <c r="Q166" s="1070"/>
      <c r="R166" s="1729"/>
      <c r="S166" s="1087" t="s">
        <v>5</v>
      </c>
      <c r="T166" s="1087"/>
      <c r="U166" s="1087"/>
      <c r="V166" s="1087"/>
      <c r="W166" s="1087"/>
      <c r="X166" s="1087"/>
      <c r="Y166" s="1087"/>
      <c r="Z166" s="1087"/>
      <c r="AA166" s="1087"/>
      <c r="AB166" s="1087"/>
      <c r="AC166" s="1087"/>
      <c r="AD166" s="1087"/>
      <c r="AE166" s="1087"/>
      <c r="AF166" s="1087"/>
      <c r="AG166" s="1087"/>
      <c r="AH166" s="1087"/>
      <c r="AI166" s="1087"/>
      <c r="AJ166" s="1087"/>
      <c r="AK166" s="1087"/>
      <c r="AL166" s="1087"/>
      <c r="AM166" s="1087"/>
      <c r="AN166" s="1087"/>
      <c r="AO166" s="1087"/>
      <c r="AP166" s="1087"/>
      <c r="AQ166" s="1087"/>
      <c r="AR166" s="1087"/>
      <c r="AS166" s="1087"/>
      <c r="AT166" s="1087"/>
      <c r="AU166" s="1087"/>
      <c r="AV166" s="1087"/>
      <c r="AW166" s="1087"/>
      <c r="AX166" s="1087"/>
      <c r="AY166" s="1087"/>
      <c r="AZ166" s="1087"/>
      <c r="BA166" s="1087"/>
      <c r="BB166" s="1087"/>
      <c r="BC166" s="1087"/>
      <c r="BD166" s="1087"/>
      <c r="BE166" s="1087"/>
      <c r="BF166" s="1087"/>
      <c r="BG166" s="1087"/>
      <c r="BH166" s="1087"/>
      <c r="BI166" s="1087"/>
      <c r="BJ166" s="1087"/>
      <c r="BK166" s="1087"/>
      <c r="BL166" s="1087"/>
      <c r="BM166" s="1087"/>
      <c r="BN166" s="1087"/>
      <c r="BO166" s="1087"/>
      <c r="BP166" s="1087"/>
      <c r="BQ166" s="1087"/>
      <c r="BR166" s="1087"/>
      <c r="BS166" s="1087"/>
      <c r="BT166" s="1087"/>
      <c r="BU166" s="1087"/>
      <c r="BV166" s="1087"/>
      <c r="BW166" s="1741"/>
      <c r="BX166" s="1036" t="s">
        <v>7</v>
      </c>
      <c r="BY166" s="1036"/>
      <c r="BZ166" s="1036"/>
      <c r="CA166" s="1036"/>
      <c r="CB166" s="1036"/>
      <c r="CC166" s="1036"/>
      <c r="CD166" s="1036"/>
      <c r="CE166" s="1036"/>
      <c r="CF166" s="1036"/>
      <c r="CG166" s="1037"/>
    </row>
    <row r="167" spans="1:85" s="801" customFormat="1" ht="16.5" customHeight="1" thickBot="1" x14ac:dyDescent="0.3">
      <c r="A167" s="800"/>
      <c r="B167" s="1107"/>
      <c r="C167" s="1109"/>
      <c r="D167" s="1111"/>
      <c r="E167" s="1107"/>
      <c r="F167" s="1113"/>
      <c r="G167" s="1095"/>
      <c r="H167" s="1075"/>
      <c r="I167" s="1075"/>
      <c r="J167" s="1084"/>
      <c r="K167" s="1095"/>
      <c r="L167" s="1075"/>
      <c r="M167" s="1075"/>
      <c r="N167" s="1075"/>
      <c r="O167" s="1075"/>
      <c r="P167" s="1075"/>
      <c r="Q167" s="1075"/>
      <c r="R167" s="1729"/>
      <c r="S167" s="1071">
        <v>2017</v>
      </c>
      <c r="T167" s="1071"/>
      <c r="U167" s="1071"/>
      <c r="V167" s="1071"/>
      <c r="W167" s="1071"/>
      <c r="X167" s="1071"/>
      <c r="Y167" s="1071"/>
      <c r="Z167" s="1071"/>
      <c r="AA167" s="1071"/>
      <c r="AB167" s="1071"/>
      <c r="AC167" s="1071"/>
      <c r="AD167" s="1570"/>
      <c r="AE167" s="1737"/>
      <c r="AF167" s="1489">
        <v>2018</v>
      </c>
      <c r="AG167" s="1071"/>
      <c r="AH167" s="1071"/>
      <c r="AI167" s="1071"/>
      <c r="AJ167" s="1071"/>
      <c r="AK167" s="1071"/>
      <c r="AL167" s="1071"/>
      <c r="AM167" s="1070"/>
      <c r="AN167" s="1070"/>
      <c r="AO167" s="1070"/>
      <c r="AP167" s="1070"/>
      <c r="AQ167" s="1070"/>
      <c r="AR167" s="1737"/>
      <c r="AS167" s="1070">
        <v>2019</v>
      </c>
      <c r="AT167" s="1070"/>
      <c r="AU167" s="1070"/>
      <c r="AV167" s="1070"/>
      <c r="AW167" s="1070"/>
      <c r="AX167" s="1071"/>
      <c r="AY167" s="1071"/>
      <c r="AZ167" s="1070"/>
      <c r="BA167" s="1070"/>
      <c r="BB167" s="1070"/>
      <c r="BC167" s="1070"/>
      <c r="BD167" s="1070"/>
      <c r="BE167" s="1737"/>
      <c r="BF167" s="1070">
        <v>2020</v>
      </c>
      <c r="BG167" s="1070"/>
      <c r="BH167" s="1070"/>
      <c r="BI167" s="1070"/>
      <c r="BJ167" s="1070"/>
      <c r="BK167" s="1071"/>
      <c r="BL167" s="1071"/>
      <c r="BM167" s="1070"/>
      <c r="BN167" s="1070"/>
      <c r="BO167" s="1070"/>
      <c r="BP167" s="1070"/>
      <c r="BQ167" s="1070"/>
      <c r="BR167" s="1737"/>
      <c r="BS167" s="1082" t="s">
        <v>6</v>
      </c>
      <c r="BT167" s="1071" t="s">
        <v>206</v>
      </c>
      <c r="BU167" s="1071"/>
      <c r="BV167" s="1071"/>
      <c r="BW167" s="1741"/>
      <c r="BX167" s="773" t="s">
        <v>9</v>
      </c>
      <c r="BY167" s="773"/>
      <c r="BZ167" s="773"/>
      <c r="CA167" s="773"/>
      <c r="CB167" s="773"/>
      <c r="CC167" s="774"/>
      <c r="CD167" s="773"/>
      <c r="CE167" s="773"/>
      <c r="CF167" s="775" t="s">
        <v>10</v>
      </c>
      <c r="CG167" s="776"/>
    </row>
    <row r="168" spans="1:85" s="801" customFormat="1" ht="16.5" customHeight="1" thickBot="1" x14ac:dyDescent="0.3">
      <c r="A168" s="800"/>
      <c r="B168" s="1107"/>
      <c r="C168" s="1109"/>
      <c r="D168" s="1111"/>
      <c r="E168" s="1107"/>
      <c r="F168" s="1113"/>
      <c r="G168" s="1115">
        <v>2017</v>
      </c>
      <c r="H168" s="1117">
        <v>2018</v>
      </c>
      <c r="I168" s="1119">
        <v>2019</v>
      </c>
      <c r="J168" s="1121">
        <v>2020</v>
      </c>
      <c r="K168" s="787" t="s">
        <v>19</v>
      </c>
      <c r="L168" s="1085" t="s">
        <v>199</v>
      </c>
      <c r="M168" s="1074" t="s">
        <v>198</v>
      </c>
      <c r="N168" s="1072" t="s">
        <v>9</v>
      </c>
      <c r="O168" s="1073"/>
      <c r="P168" s="1073"/>
      <c r="Q168" s="1077"/>
      <c r="R168" s="1729"/>
      <c r="S168" s="1080" t="s">
        <v>202</v>
      </c>
      <c r="T168" s="1080"/>
      <c r="U168" s="1080"/>
      <c r="V168" s="1080"/>
      <c r="W168" s="1072"/>
      <c r="X168" s="1081" t="s">
        <v>200</v>
      </c>
      <c r="Y168" s="1082"/>
      <c r="Z168" s="1085" t="s">
        <v>203</v>
      </c>
      <c r="AA168" s="1070"/>
      <c r="AB168" s="1070"/>
      <c r="AC168" s="1070"/>
      <c r="AD168" s="1082"/>
      <c r="AE168" s="1738"/>
      <c r="AF168" s="1629" t="s">
        <v>202</v>
      </c>
      <c r="AG168" s="1080"/>
      <c r="AH168" s="1080"/>
      <c r="AI168" s="1080"/>
      <c r="AJ168" s="1072"/>
      <c r="AK168" s="1081" t="s">
        <v>200</v>
      </c>
      <c r="AL168" s="1070"/>
      <c r="AM168" s="1076" t="s">
        <v>203</v>
      </c>
      <c r="AN168" s="1073"/>
      <c r="AO168" s="1073"/>
      <c r="AP168" s="1073"/>
      <c r="AQ168" s="1074"/>
      <c r="AR168" s="1738"/>
      <c r="AS168" s="1076" t="s">
        <v>202</v>
      </c>
      <c r="AT168" s="1073"/>
      <c r="AU168" s="1073"/>
      <c r="AV168" s="1073"/>
      <c r="AW168" s="1074"/>
      <c r="AX168" s="1070" t="s">
        <v>200</v>
      </c>
      <c r="AY168" s="1070"/>
      <c r="AZ168" s="1076" t="s">
        <v>203</v>
      </c>
      <c r="BA168" s="1073"/>
      <c r="BB168" s="1073"/>
      <c r="BC168" s="1073"/>
      <c r="BD168" s="1074"/>
      <c r="BE168" s="1738"/>
      <c r="BF168" s="1076"/>
      <c r="BG168" s="1073"/>
      <c r="BH168" s="1073"/>
      <c r="BI168" s="1073"/>
      <c r="BJ168" s="1074"/>
      <c r="BK168" s="1070" t="s">
        <v>200</v>
      </c>
      <c r="BL168" s="1070"/>
      <c r="BM168" s="1076" t="s">
        <v>203</v>
      </c>
      <c r="BN168" s="1073"/>
      <c r="BO168" s="1073"/>
      <c r="BP168" s="1073"/>
      <c r="BQ168" s="1074"/>
      <c r="BR168" s="1738"/>
      <c r="BS168" s="1094"/>
      <c r="BT168" s="1082" t="s">
        <v>204</v>
      </c>
      <c r="BU168" s="781"/>
      <c r="BV168" s="1085" t="s">
        <v>205</v>
      </c>
      <c r="BW168" s="1741"/>
      <c r="BX168" s="1038">
        <v>2017</v>
      </c>
      <c r="BY168" s="1039"/>
      <c r="BZ168" s="1040">
        <v>2018</v>
      </c>
      <c r="CA168" s="1039"/>
      <c r="CB168" s="1040">
        <v>2019</v>
      </c>
      <c r="CC168" s="1039"/>
      <c r="CD168" s="1040">
        <v>2020</v>
      </c>
      <c r="CE168" s="1039"/>
      <c r="CF168" s="788"/>
      <c r="CG168" s="789"/>
    </row>
    <row r="169" spans="1:85" s="801" customFormat="1" ht="21" customHeight="1" thickBot="1" x14ac:dyDescent="0.3">
      <c r="A169" s="800"/>
      <c r="B169" s="1427"/>
      <c r="C169" s="1428"/>
      <c r="D169" s="1112"/>
      <c r="E169" s="1108"/>
      <c r="F169" s="1114"/>
      <c r="G169" s="1116"/>
      <c r="H169" s="1118"/>
      <c r="I169" s="1120"/>
      <c r="J169" s="1122"/>
      <c r="K169" s="790"/>
      <c r="L169" s="1123"/>
      <c r="M169" s="1114"/>
      <c r="N169" s="791">
        <v>2017</v>
      </c>
      <c r="O169" s="792">
        <v>2018</v>
      </c>
      <c r="P169" s="792">
        <v>2019</v>
      </c>
      <c r="Q169" s="793">
        <v>2020</v>
      </c>
      <c r="R169" s="1729"/>
      <c r="S169" s="802" t="s">
        <v>12</v>
      </c>
      <c r="T169" s="803" t="s">
        <v>13</v>
      </c>
      <c r="U169" s="803" t="s">
        <v>14</v>
      </c>
      <c r="V169" s="803" t="s">
        <v>15</v>
      </c>
      <c r="W169" s="803" t="s">
        <v>11</v>
      </c>
      <c r="X169" s="1083"/>
      <c r="Y169" s="1084"/>
      <c r="Z169" s="791" t="s">
        <v>12</v>
      </c>
      <c r="AA169" s="792" t="s">
        <v>13</v>
      </c>
      <c r="AB169" s="792" t="s">
        <v>14</v>
      </c>
      <c r="AC169" s="794" t="s">
        <v>15</v>
      </c>
      <c r="AD169" s="796" t="s">
        <v>8</v>
      </c>
      <c r="AE169" s="1738"/>
      <c r="AF169" s="805" t="s">
        <v>12</v>
      </c>
      <c r="AG169" s="803" t="s">
        <v>13</v>
      </c>
      <c r="AH169" s="803" t="s">
        <v>14</v>
      </c>
      <c r="AI169" s="803" t="s">
        <v>15</v>
      </c>
      <c r="AJ169" s="796" t="s">
        <v>8</v>
      </c>
      <c r="AK169" s="1083"/>
      <c r="AL169" s="1075"/>
      <c r="AM169" s="805" t="s">
        <v>12</v>
      </c>
      <c r="AN169" s="803" t="s">
        <v>13</v>
      </c>
      <c r="AO169" s="803" t="s">
        <v>14</v>
      </c>
      <c r="AP169" s="803" t="s">
        <v>15</v>
      </c>
      <c r="AQ169" s="806" t="s">
        <v>8</v>
      </c>
      <c r="AR169" s="1738"/>
      <c r="AS169" s="805" t="s">
        <v>12</v>
      </c>
      <c r="AT169" s="803" t="s">
        <v>13</v>
      </c>
      <c r="AU169" s="803" t="s">
        <v>14</v>
      </c>
      <c r="AV169" s="803" t="s">
        <v>15</v>
      </c>
      <c r="AW169" s="806" t="s">
        <v>8</v>
      </c>
      <c r="AX169" s="1075"/>
      <c r="AY169" s="1075"/>
      <c r="AZ169" s="805" t="s">
        <v>12</v>
      </c>
      <c r="BA169" s="803" t="s">
        <v>13</v>
      </c>
      <c r="BB169" s="803" t="s">
        <v>14</v>
      </c>
      <c r="BC169" s="803" t="s">
        <v>15</v>
      </c>
      <c r="BD169" s="806" t="s">
        <v>8</v>
      </c>
      <c r="BE169" s="1738"/>
      <c r="BF169" s="805" t="s">
        <v>12</v>
      </c>
      <c r="BG169" s="803" t="s">
        <v>13</v>
      </c>
      <c r="BH169" s="803" t="s">
        <v>14</v>
      </c>
      <c r="BI169" s="803" t="s">
        <v>15</v>
      </c>
      <c r="BJ169" s="806" t="s">
        <v>8</v>
      </c>
      <c r="BK169" s="1075"/>
      <c r="BL169" s="1075"/>
      <c r="BM169" s="805" t="s">
        <v>12</v>
      </c>
      <c r="BN169" s="803" t="s">
        <v>13</v>
      </c>
      <c r="BO169" s="803" t="s">
        <v>14</v>
      </c>
      <c r="BP169" s="803" t="s">
        <v>15</v>
      </c>
      <c r="BQ169" s="806" t="s">
        <v>8</v>
      </c>
      <c r="BR169" s="1738"/>
      <c r="BS169" s="1084"/>
      <c r="BT169" s="1084"/>
      <c r="BU169" s="807"/>
      <c r="BV169" s="1095"/>
      <c r="BW169" s="1741"/>
      <c r="BX169" s="808" t="s">
        <v>20</v>
      </c>
      <c r="BY169" s="798" t="s">
        <v>16</v>
      </c>
      <c r="BZ169" s="809" t="s">
        <v>20</v>
      </c>
      <c r="CA169" s="798" t="s">
        <v>16</v>
      </c>
      <c r="CB169" s="809" t="s">
        <v>20</v>
      </c>
      <c r="CC169" s="798" t="s">
        <v>16</v>
      </c>
      <c r="CD169" s="809" t="s">
        <v>20</v>
      </c>
      <c r="CE169" s="798" t="s">
        <v>16</v>
      </c>
      <c r="CF169" s="809" t="s">
        <v>20</v>
      </c>
      <c r="CG169" s="810" t="s">
        <v>16</v>
      </c>
    </row>
    <row r="170" spans="1:85" s="782" customFormat="1" ht="63.75" customHeight="1" x14ac:dyDescent="0.25">
      <c r="A170" s="783"/>
      <c r="B170" s="1394" t="s">
        <v>599</v>
      </c>
      <c r="C170" s="1613" t="s">
        <v>600</v>
      </c>
      <c r="D170" s="1616" t="s">
        <v>574</v>
      </c>
      <c r="E170" s="1619">
        <v>5</v>
      </c>
      <c r="F170" s="1536" t="s">
        <v>189</v>
      </c>
      <c r="G170" s="1214">
        <v>1</v>
      </c>
      <c r="H170" s="1096">
        <v>2</v>
      </c>
      <c r="I170" s="1096">
        <v>3</v>
      </c>
      <c r="J170" s="1579">
        <v>5</v>
      </c>
      <c r="K170" s="1548">
        <f>SUM(M170:M205)</f>
        <v>357501</v>
      </c>
      <c r="L170" s="1586" t="s">
        <v>601</v>
      </c>
      <c r="M170" s="1281">
        <v>217500</v>
      </c>
      <c r="N170" s="1284">
        <v>0</v>
      </c>
      <c r="O170" s="1141">
        <v>0</v>
      </c>
      <c r="P170" s="1141">
        <v>124200</v>
      </c>
      <c r="Q170" s="1144">
        <f>8152+18245.4+5770+2467.89+2424.47</f>
        <v>37059.760000000002</v>
      </c>
      <c r="R170" s="1729"/>
      <c r="S170" s="1180"/>
      <c r="T170" s="1183"/>
      <c r="U170" s="1183"/>
      <c r="V170" s="1186"/>
      <c r="W170" s="1189">
        <f>IFERROR(SUM(S170:V181),0)</f>
        <v>0</v>
      </c>
      <c r="X170" s="995" t="s">
        <v>195</v>
      </c>
      <c r="Y170" s="1571" t="s">
        <v>602</v>
      </c>
      <c r="Z170" s="1207"/>
      <c r="AA170" s="1210"/>
      <c r="AB170" s="1210"/>
      <c r="AC170" s="1223">
        <v>0</v>
      </c>
      <c r="AD170" s="1235">
        <f>SUM(Z170:AC181)</f>
        <v>0</v>
      </c>
      <c r="AE170" s="1738"/>
      <c r="AF170" s="1180"/>
      <c r="AG170" s="1183"/>
      <c r="AH170" s="1183"/>
      <c r="AI170" s="1186"/>
      <c r="AJ170" s="1189">
        <f>IFERROR(SUM(AF170:AI181),0)</f>
        <v>0</v>
      </c>
      <c r="AK170" s="995" t="s">
        <v>195</v>
      </c>
      <c r="AL170" s="997" t="s">
        <v>603</v>
      </c>
      <c r="AM170" s="1207"/>
      <c r="AN170" s="1210"/>
      <c r="AO170" s="1210"/>
      <c r="AP170" s="1223">
        <v>0</v>
      </c>
      <c r="AQ170" s="1235">
        <f>SUM(AM170:AP181)</f>
        <v>0</v>
      </c>
      <c r="AR170" s="1738"/>
      <c r="AS170" s="1180"/>
      <c r="AT170" s="1183"/>
      <c r="AU170" s="1183"/>
      <c r="AV170" s="1186">
        <v>1</v>
      </c>
      <c r="AW170" s="1189">
        <f>IFERROR(SUM(AS170:AV181),0)</f>
        <v>1</v>
      </c>
      <c r="AX170" s="995" t="s">
        <v>195</v>
      </c>
      <c r="AY170" s="997" t="s">
        <v>634</v>
      </c>
      <c r="AZ170" s="1207"/>
      <c r="BA170" s="1210"/>
      <c r="BB170" s="1210"/>
      <c r="BC170" s="1223">
        <v>124200</v>
      </c>
      <c r="BD170" s="1235">
        <f>SUM(AZ170:BC181)</f>
        <v>124200</v>
      </c>
      <c r="BE170" s="1738"/>
      <c r="BF170" s="1452"/>
      <c r="BG170" s="1421"/>
      <c r="BH170" s="1421"/>
      <c r="BI170" s="1199"/>
      <c r="BJ170" s="1189">
        <f>IFERROR(SUM(BF170:BI181),0)</f>
        <v>0</v>
      </c>
      <c r="BK170" s="995" t="s">
        <v>195</v>
      </c>
      <c r="BL170" s="1055" t="s">
        <v>679</v>
      </c>
      <c r="BM170" s="1166">
        <v>8787</v>
      </c>
      <c r="BN170" s="1147"/>
      <c r="BO170" s="1147">
        <v>50000</v>
      </c>
      <c r="BP170" s="1150">
        <v>6195.23</v>
      </c>
      <c r="BQ170" s="1235">
        <f>SUM(BM170:BP181)</f>
        <v>64982.229999999996</v>
      </c>
      <c r="BR170" s="1738"/>
      <c r="BS170" s="1255" t="s">
        <v>489</v>
      </c>
      <c r="BT170" s="1022">
        <f>SUM(W170,AJ170,AW170,BJ170)</f>
        <v>1</v>
      </c>
      <c r="BU170" s="1235">
        <f>SUM(AD170,AQ170,BD170,BQ170)</f>
        <v>189182.22999999998</v>
      </c>
      <c r="BV170" s="1176">
        <f>SUM(AD170:AD205,AQ170:AQ205,BD170:BD205,BQ170:BQ205)</f>
        <v>362373.23</v>
      </c>
      <c r="BW170" s="1741"/>
      <c r="BX170" s="1125">
        <f>IFERROR(W170/G170,0)</f>
        <v>0</v>
      </c>
      <c r="BY170" s="1041">
        <f>IFERROR(AD170/N170,0)</f>
        <v>0</v>
      </c>
      <c r="BZ170" s="1125">
        <f>IFERROR(AJ170/H170,0)</f>
        <v>0</v>
      </c>
      <c r="CA170" s="1041">
        <f>IFERROR(AQ170/O170,0)</f>
        <v>0</v>
      </c>
      <c r="CB170" s="1125">
        <f>IFERROR(AW170/I170,0)</f>
        <v>0.33333333333333331</v>
      </c>
      <c r="CC170" s="1041">
        <f>IFERROR(BD170/P170,0)</f>
        <v>1</v>
      </c>
      <c r="CD170" s="1262">
        <f>IFERROR(BJ170/J170,0)</f>
        <v>0</v>
      </c>
      <c r="CE170" s="1041">
        <f>IFERROR(BQ170/Q170,0)</f>
        <v>1.7534444367691533</v>
      </c>
      <c r="CF170" s="1125">
        <f>IFERROR(BT170/E170,0)</f>
        <v>0.2</v>
      </c>
      <c r="CG170" s="1041">
        <f>IFERROR(BV170/K170,0)</f>
        <v>1.0136285772627209</v>
      </c>
    </row>
    <row r="171" spans="1:85" s="782" customFormat="1" ht="31.5" customHeight="1" x14ac:dyDescent="0.25">
      <c r="A171" s="783"/>
      <c r="B171" s="1395"/>
      <c r="C171" s="1614"/>
      <c r="D171" s="1617"/>
      <c r="E171" s="1403"/>
      <c r="F171" s="1467"/>
      <c r="G171" s="1215"/>
      <c r="H171" s="1097"/>
      <c r="I171" s="1097"/>
      <c r="J171" s="1580"/>
      <c r="K171" s="1549"/>
      <c r="L171" s="1472"/>
      <c r="M171" s="1282"/>
      <c r="N171" s="1285"/>
      <c r="O171" s="1142"/>
      <c r="P171" s="1142"/>
      <c r="Q171" s="1145"/>
      <c r="R171" s="1729"/>
      <c r="S171" s="1181"/>
      <c r="T171" s="1184"/>
      <c r="U171" s="1184"/>
      <c r="V171" s="1187"/>
      <c r="W171" s="993"/>
      <c r="X171" s="996"/>
      <c r="Y171" s="998"/>
      <c r="Z171" s="1208"/>
      <c r="AA171" s="1211"/>
      <c r="AB171" s="1211"/>
      <c r="AC171" s="1224"/>
      <c r="AD171" s="1236"/>
      <c r="AE171" s="1738"/>
      <c r="AF171" s="1181"/>
      <c r="AG171" s="1184"/>
      <c r="AH171" s="1184"/>
      <c r="AI171" s="1187"/>
      <c r="AJ171" s="993"/>
      <c r="AK171" s="996"/>
      <c r="AL171" s="998"/>
      <c r="AM171" s="1208"/>
      <c r="AN171" s="1211"/>
      <c r="AO171" s="1211"/>
      <c r="AP171" s="1224"/>
      <c r="AQ171" s="1236"/>
      <c r="AR171" s="1738"/>
      <c r="AS171" s="1181"/>
      <c r="AT171" s="1184"/>
      <c r="AU171" s="1184"/>
      <c r="AV171" s="1187"/>
      <c r="AW171" s="993"/>
      <c r="AX171" s="996"/>
      <c r="AY171" s="998"/>
      <c r="AZ171" s="1208"/>
      <c r="BA171" s="1211"/>
      <c r="BB171" s="1211"/>
      <c r="BC171" s="1224"/>
      <c r="BD171" s="1236"/>
      <c r="BE171" s="1738"/>
      <c r="BF171" s="1453"/>
      <c r="BG171" s="1422"/>
      <c r="BH171" s="1422"/>
      <c r="BI171" s="1200"/>
      <c r="BJ171" s="993"/>
      <c r="BK171" s="996"/>
      <c r="BL171" s="1053"/>
      <c r="BM171" s="1167"/>
      <c r="BN171" s="1148"/>
      <c r="BO171" s="1148"/>
      <c r="BP171" s="1151"/>
      <c r="BQ171" s="1236"/>
      <c r="BR171" s="1738"/>
      <c r="BS171" s="1256"/>
      <c r="BT171" s="1023"/>
      <c r="BU171" s="1236"/>
      <c r="BV171" s="1177"/>
      <c r="BW171" s="1741"/>
      <c r="BX171" s="1127"/>
      <c r="BY171" s="1042"/>
      <c r="BZ171" s="1127"/>
      <c r="CA171" s="1042">
        <f t="shared" ref="CA171:CA205" si="3">IFERROR(BT171/M171,0)</f>
        <v>0</v>
      </c>
      <c r="CB171" s="1127"/>
      <c r="CC171" s="1042">
        <f>IFERROR(#REF!/M171,0)</f>
        <v>0</v>
      </c>
      <c r="CD171" s="1263"/>
      <c r="CE171" s="1042"/>
      <c r="CF171" s="1127"/>
      <c r="CG171" s="1042"/>
    </row>
    <row r="172" spans="1:85" s="782" customFormat="1" ht="42.75" customHeight="1" x14ac:dyDescent="0.25">
      <c r="A172" s="783"/>
      <c r="B172" s="1395"/>
      <c r="C172" s="1614"/>
      <c r="D172" s="1617"/>
      <c r="E172" s="1403"/>
      <c r="F172" s="1467"/>
      <c r="G172" s="1215"/>
      <c r="H172" s="1097"/>
      <c r="I172" s="1097"/>
      <c r="J172" s="1580"/>
      <c r="K172" s="1549"/>
      <c r="L172" s="1472"/>
      <c r="M172" s="1282"/>
      <c r="N172" s="1285"/>
      <c r="O172" s="1142"/>
      <c r="P172" s="1142"/>
      <c r="Q172" s="1145"/>
      <c r="R172" s="1729"/>
      <c r="S172" s="1181"/>
      <c r="T172" s="1184"/>
      <c r="U172" s="1184"/>
      <c r="V172" s="1187"/>
      <c r="W172" s="993"/>
      <c r="X172" s="996"/>
      <c r="Y172" s="998"/>
      <c r="Z172" s="1208"/>
      <c r="AA172" s="1211"/>
      <c r="AB172" s="1211"/>
      <c r="AC172" s="1224"/>
      <c r="AD172" s="1236"/>
      <c r="AE172" s="1738"/>
      <c r="AF172" s="1181"/>
      <c r="AG172" s="1184"/>
      <c r="AH172" s="1184"/>
      <c r="AI172" s="1187"/>
      <c r="AJ172" s="993"/>
      <c r="AK172" s="996"/>
      <c r="AL172" s="998"/>
      <c r="AM172" s="1208"/>
      <c r="AN172" s="1211"/>
      <c r="AO172" s="1211"/>
      <c r="AP172" s="1224"/>
      <c r="AQ172" s="1236"/>
      <c r="AR172" s="1738"/>
      <c r="AS172" s="1181"/>
      <c r="AT172" s="1184"/>
      <c r="AU172" s="1184"/>
      <c r="AV172" s="1187"/>
      <c r="AW172" s="993"/>
      <c r="AX172" s="996"/>
      <c r="AY172" s="998"/>
      <c r="AZ172" s="1208"/>
      <c r="BA172" s="1211"/>
      <c r="BB172" s="1211"/>
      <c r="BC172" s="1224"/>
      <c r="BD172" s="1236"/>
      <c r="BE172" s="1738"/>
      <c r="BF172" s="1453"/>
      <c r="BG172" s="1422"/>
      <c r="BH172" s="1422"/>
      <c r="BI172" s="1200"/>
      <c r="BJ172" s="993"/>
      <c r="BK172" s="996"/>
      <c r="BL172" s="1053"/>
      <c r="BM172" s="1167"/>
      <c r="BN172" s="1148"/>
      <c r="BO172" s="1148"/>
      <c r="BP172" s="1151"/>
      <c r="BQ172" s="1236"/>
      <c r="BR172" s="1738"/>
      <c r="BS172" s="1256"/>
      <c r="BT172" s="1023"/>
      <c r="BU172" s="1236"/>
      <c r="BV172" s="1177"/>
      <c r="BW172" s="1741"/>
      <c r="BX172" s="1127"/>
      <c r="BY172" s="1042"/>
      <c r="BZ172" s="1127"/>
      <c r="CA172" s="1042"/>
      <c r="CB172" s="1127"/>
      <c r="CC172" s="1042"/>
      <c r="CD172" s="1263"/>
      <c r="CE172" s="1042"/>
      <c r="CF172" s="1127"/>
      <c r="CG172" s="1042"/>
    </row>
    <row r="173" spans="1:85" s="782" customFormat="1" ht="235.15" customHeight="1" x14ac:dyDescent="0.25">
      <c r="A173" s="783"/>
      <c r="B173" s="1395"/>
      <c r="C173" s="1614"/>
      <c r="D173" s="1617"/>
      <c r="E173" s="1403"/>
      <c r="F173" s="1467"/>
      <c r="G173" s="1215"/>
      <c r="H173" s="1097"/>
      <c r="I173" s="1097"/>
      <c r="J173" s="1580"/>
      <c r="K173" s="1549"/>
      <c r="L173" s="1472"/>
      <c r="M173" s="1282"/>
      <c r="N173" s="1285"/>
      <c r="O173" s="1142"/>
      <c r="P173" s="1142"/>
      <c r="Q173" s="1145"/>
      <c r="R173" s="1729"/>
      <c r="S173" s="1181"/>
      <c r="T173" s="1184"/>
      <c r="U173" s="1184"/>
      <c r="V173" s="1187"/>
      <c r="W173" s="993"/>
      <c r="X173" s="996"/>
      <c r="Y173" s="998"/>
      <c r="Z173" s="1208"/>
      <c r="AA173" s="1211"/>
      <c r="AB173" s="1211"/>
      <c r="AC173" s="1224"/>
      <c r="AD173" s="1236"/>
      <c r="AE173" s="1738"/>
      <c r="AF173" s="1181"/>
      <c r="AG173" s="1184"/>
      <c r="AH173" s="1184"/>
      <c r="AI173" s="1187"/>
      <c r="AJ173" s="993"/>
      <c r="AK173" s="996"/>
      <c r="AL173" s="998"/>
      <c r="AM173" s="1208"/>
      <c r="AN173" s="1211"/>
      <c r="AO173" s="1211"/>
      <c r="AP173" s="1224"/>
      <c r="AQ173" s="1236"/>
      <c r="AR173" s="1738"/>
      <c r="AS173" s="1181"/>
      <c r="AT173" s="1184"/>
      <c r="AU173" s="1184"/>
      <c r="AV173" s="1187"/>
      <c r="AW173" s="993"/>
      <c r="AX173" s="996"/>
      <c r="AY173" s="998"/>
      <c r="AZ173" s="1208"/>
      <c r="BA173" s="1211"/>
      <c r="BB173" s="1211"/>
      <c r="BC173" s="1224"/>
      <c r="BD173" s="1236"/>
      <c r="BE173" s="1738"/>
      <c r="BF173" s="1453"/>
      <c r="BG173" s="1422"/>
      <c r="BH173" s="1422"/>
      <c r="BI173" s="1200"/>
      <c r="BJ173" s="993"/>
      <c r="BK173" s="996"/>
      <c r="BL173" s="1053"/>
      <c r="BM173" s="1167"/>
      <c r="BN173" s="1148"/>
      <c r="BO173" s="1148"/>
      <c r="BP173" s="1151"/>
      <c r="BQ173" s="1236"/>
      <c r="BR173" s="1738"/>
      <c r="BS173" s="1256"/>
      <c r="BT173" s="1023"/>
      <c r="BU173" s="1236"/>
      <c r="BV173" s="1177"/>
      <c r="BW173" s="1741"/>
      <c r="BX173" s="1127"/>
      <c r="BY173" s="1042"/>
      <c r="BZ173" s="1127"/>
      <c r="CA173" s="1042"/>
      <c r="CB173" s="1127"/>
      <c r="CC173" s="1042"/>
      <c r="CD173" s="1263"/>
      <c r="CE173" s="1042"/>
      <c r="CF173" s="1127"/>
      <c r="CG173" s="1042"/>
    </row>
    <row r="174" spans="1:85" s="782" customFormat="1" ht="45" customHeight="1" x14ac:dyDescent="0.25">
      <c r="A174" s="783"/>
      <c r="B174" s="1395"/>
      <c r="C174" s="1614"/>
      <c r="D174" s="1617"/>
      <c r="E174" s="1403"/>
      <c r="F174" s="1467"/>
      <c r="G174" s="1215"/>
      <c r="H174" s="1097"/>
      <c r="I174" s="1097"/>
      <c r="J174" s="1580"/>
      <c r="K174" s="1549"/>
      <c r="L174" s="1472"/>
      <c r="M174" s="1282"/>
      <c r="N174" s="1285"/>
      <c r="O174" s="1142"/>
      <c r="P174" s="1142"/>
      <c r="Q174" s="1145"/>
      <c r="R174" s="1729"/>
      <c r="S174" s="1181"/>
      <c r="T174" s="1184"/>
      <c r="U174" s="1184"/>
      <c r="V174" s="1187"/>
      <c r="W174" s="993"/>
      <c r="X174" s="996" t="s">
        <v>196</v>
      </c>
      <c r="Y174" s="1572" t="s">
        <v>604</v>
      </c>
      <c r="Z174" s="1208"/>
      <c r="AA174" s="1211"/>
      <c r="AB174" s="1211"/>
      <c r="AC174" s="1224"/>
      <c r="AD174" s="1236"/>
      <c r="AE174" s="1738"/>
      <c r="AF174" s="1181"/>
      <c r="AG174" s="1184"/>
      <c r="AH174" s="1184"/>
      <c r="AI174" s="1187"/>
      <c r="AJ174" s="993"/>
      <c r="AK174" s="996" t="s">
        <v>196</v>
      </c>
      <c r="AL174" s="998" t="s">
        <v>605</v>
      </c>
      <c r="AM174" s="1208"/>
      <c r="AN174" s="1211"/>
      <c r="AO174" s="1211"/>
      <c r="AP174" s="1224"/>
      <c r="AQ174" s="1236"/>
      <c r="AR174" s="1738"/>
      <c r="AS174" s="1181"/>
      <c r="AT174" s="1184"/>
      <c r="AU174" s="1184"/>
      <c r="AV174" s="1187"/>
      <c r="AW174" s="993"/>
      <c r="AX174" s="996" t="s">
        <v>196</v>
      </c>
      <c r="AY174" s="998" t="s">
        <v>635</v>
      </c>
      <c r="AZ174" s="1208"/>
      <c r="BA174" s="1211"/>
      <c r="BB174" s="1211"/>
      <c r="BC174" s="1224"/>
      <c r="BD174" s="1236"/>
      <c r="BE174" s="1738"/>
      <c r="BF174" s="1453"/>
      <c r="BG174" s="1422"/>
      <c r="BH174" s="1422"/>
      <c r="BI174" s="1200"/>
      <c r="BJ174" s="993"/>
      <c r="BK174" s="996" t="s">
        <v>196</v>
      </c>
      <c r="BL174" s="1053" t="s">
        <v>680</v>
      </c>
      <c r="BM174" s="1167"/>
      <c r="BN174" s="1148"/>
      <c r="BO174" s="1148"/>
      <c r="BP174" s="1151"/>
      <c r="BQ174" s="1236"/>
      <c r="BR174" s="1738"/>
      <c r="BS174" s="1256"/>
      <c r="BT174" s="1023"/>
      <c r="BU174" s="1236"/>
      <c r="BV174" s="1177"/>
      <c r="BW174" s="1741"/>
      <c r="BX174" s="1127"/>
      <c r="BY174" s="1042"/>
      <c r="BZ174" s="1127"/>
      <c r="CA174" s="1042"/>
      <c r="CB174" s="1127"/>
      <c r="CC174" s="1042"/>
      <c r="CD174" s="1263"/>
      <c r="CE174" s="1042"/>
      <c r="CF174" s="1127"/>
      <c r="CG174" s="1042"/>
    </row>
    <row r="175" spans="1:85" s="782" customFormat="1" ht="11.25" customHeight="1" x14ac:dyDescent="0.25">
      <c r="A175" s="783"/>
      <c r="B175" s="1395"/>
      <c r="C175" s="1614"/>
      <c r="D175" s="1617"/>
      <c r="E175" s="1403"/>
      <c r="F175" s="1467"/>
      <c r="G175" s="1215"/>
      <c r="H175" s="1097"/>
      <c r="I175" s="1097"/>
      <c r="J175" s="1580"/>
      <c r="K175" s="1549"/>
      <c r="L175" s="1472"/>
      <c r="M175" s="1282"/>
      <c r="N175" s="1285"/>
      <c r="O175" s="1142"/>
      <c r="P175" s="1142"/>
      <c r="Q175" s="1145"/>
      <c r="R175" s="1729"/>
      <c r="S175" s="1181"/>
      <c r="T175" s="1184"/>
      <c r="U175" s="1184"/>
      <c r="V175" s="1187"/>
      <c r="W175" s="993"/>
      <c r="X175" s="996"/>
      <c r="Y175" s="998"/>
      <c r="Z175" s="1208"/>
      <c r="AA175" s="1211"/>
      <c r="AB175" s="1211"/>
      <c r="AC175" s="1224"/>
      <c r="AD175" s="1236"/>
      <c r="AE175" s="1738"/>
      <c r="AF175" s="1181"/>
      <c r="AG175" s="1184"/>
      <c r="AH175" s="1184"/>
      <c r="AI175" s="1187"/>
      <c r="AJ175" s="993"/>
      <c r="AK175" s="996"/>
      <c r="AL175" s="998"/>
      <c r="AM175" s="1208"/>
      <c r="AN175" s="1211"/>
      <c r="AO175" s="1211"/>
      <c r="AP175" s="1224"/>
      <c r="AQ175" s="1236"/>
      <c r="AR175" s="1738"/>
      <c r="AS175" s="1181"/>
      <c r="AT175" s="1184"/>
      <c r="AU175" s="1184"/>
      <c r="AV175" s="1187"/>
      <c r="AW175" s="993"/>
      <c r="AX175" s="996"/>
      <c r="AY175" s="998"/>
      <c r="AZ175" s="1208"/>
      <c r="BA175" s="1211"/>
      <c r="BB175" s="1211"/>
      <c r="BC175" s="1224"/>
      <c r="BD175" s="1236"/>
      <c r="BE175" s="1738"/>
      <c r="BF175" s="1453"/>
      <c r="BG175" s="1422"/>
      <c r="BH175" s="1422"/>
      <c r="BI175" s="1200"/>
      <c r="BJ175" s="993"/>
      <c r="BK175" s="996"/>
      <c r="BL175" s="1053"/>
      <c r="BM175" s="1167"/>
      <c r="BN175" s="1148"/>
      <c r="BO175" s="1148"/>
      <c r="BP175" s="1151"/>
      <c r="BQ175" s="1236"/>
      <c r="BR175" s="1738"/>
      <c r="BS175" s="1256"/>
      <c r="BT175" s="1023"/>
      <c r="BU175" s="1236"/>
      <c r="BV175" s="1177"/>
      <c r="BW175" s="1741"/>
      <c r="BX175" s="1127"/>
      <c r="BY175" s="1042"/>
      <c r="BZ175" s="1127"/>
      <c r="CA175" s="1042"/>
      <c r="CB175" s="1127"/>
      <c r="CC175" s="1042"/>
      <c r="CD175" s="1263"/>
      <c r="CE175" s="1042"/>
      <c r="CF175" s="1127"/>
      <c r="CG175" s="1042"/>
    </row>
    <row r="176" spans="1:85" s="782" customFormat="1" ht="17.25" customHeight="1" x14ac:dyDescent="0.25">
      <c r="A176" s="783"/>
      <c r="B176" s="1395"/>
      <c r="C176" s="1614"/>
      <c r="D176" s="1617"/>
      <c r="E176" s="1403"/>
      <c r="F176" s="1467"/>
      <c r="G176" s="1215"/>
      <c r="H176" s="1097"/>
      <c r="I176" s="1097"/>
      <c r="J176" s="1580"/>
      <c r="K176" s="1549"/>
      <c r="L176" s="1472"/>
      <c r="M176" s="1282"/>
      <c r="N176" s="1285"/>
      <c r="O176" s="1142"/>
      <c r="P176" s="1142"/>
      <c r="Q176" s="1145"/>
      <c r="R176" s="1729"/>
      <c r="S176" s="1181"/>
      <c r="T176" s="1184"/>
      <c r="U176" s="1184"/>
      <c r="V176" s="1187"/>
      <c r="W176" s="993"/>
      <c r="X176" s="996"/>
      <c r="Y176" s="998"/>
      <c r="Z176" s="1208"/>
      <c r="AA176" s="1211"/>
      <c r="AB176" s="1211"/>
      <c r="AC176" s="1224"/>
      <c r="AD176" s="1236"/>
      <c r="AE176" s="1738"/>
      <c r="AF176" s="1181"/>
      <c r="AG176" s="1184"/>
      <c r="AH176" s="1184"/>
      <c r="AI176" s="1187"/>
      <c r="AJ176" s="993"/>
      <c r="AK176" s="996"/>
      <c r="AL176" s="998"/>
      <c r="AM176" s="1208"/>
      <c r="AN176" s="1211"/>
      <c r="AO176" s="1211"/>
      <c r="AP176" s="1224"/>
      <c r="AQ176" s="1236"/>
      <c r="AR176" s="1738"/>
      <c r="AS176" s="1181"/>
      <c r="AT176" s="1184"/>
      <c r="AU176" s="1184"/>
      <c r="AV176" s="1187"/>
      <c r="AW176" s="993"/>
      <c r="AX176" s="996"/>
      <c r="AY176" s="998"/>
      <c r="AZ176" s="1208"/>
      <c r="BA176" s="1211"/>
      <c r="BB176" s="1211"/>
      <c r="BC176" s="1224"/>
      <c r="BD176" s="1236"/>
      <c r="BE176" s="1738"/>
      <c r="BF176" s="1453"/>
      <c r="BG176" s="1422"/>
      <c r="BH176" s="1422"/>
      <c r="BI176" s="1200"/>
      <c r="BJ176" s="993"/>
      <c r="BK176" s="996"/>
      <c r="BL176" s="1053"/>
      <c r="BM176" s="1167"/>
      <c r="BN176" s="1148"/>
      <c r="BO176" s="1148"/>
      <c r="BP176" s="1151"/>
      <c r="BQ176" s="1236"/>
      <c r="BR176" s="1738"/>
      <c r="BS176" s="1256"/>
      <c r="BT176" s="1023"/>
      <c r="BU176" s="1236"/>
      <c r="BV176" s="1177"/>
      <c r="BW176" s="1741"/>
      <c r="BX176" s="1127"/>
      <c r="BY176" s="1042"/>
      <c r="BZ176" s="1127"/>
      <c r="CA176" s="1042"/>
      <c r="CB176" s="1127"/>
      <c r="CC176" s="1042"/>
      <c r="CD176" s="1263"/>
      <c r="CE176" s="1042"/>
      <c r="CF176" s="1127"/>
      <c r="CG176" s="1042"/>
    </row>
    <row r="177" spans="1:85" s="782" customFormat="1" ht="129" customHeight="1" x14ac:dyDescent="0.25">
      <c r="A177" s="783"/>
      <c r="B177" s="1395"/>
      <c r="C177" s="1614"/>
      <c r="D177" s="1617"/>
      <c r="E177" s="1403"/>
      <c r="F177" s="1467"/>
      <c r="G177" s="1215"/>
      <c r="H177" s="1097"/>
      <c r="I177" s="1097"/>
      <c r="J177" s="1580"/>
      <c r="K177" s="1549"/>
      <c r="L177" s="1472"/>
      <c r="M177" s="1282"/>
      <c r="N177" s="1285"/>
      <c r="O177" s="1142"/>
      <c r="P177" s="1142"/>
      <c r="Q177" s="1145"/>
      <c r="R177" s="1729"/>
      <c r="S177" s="1181"/>
      <c r="T177" s="1184"/>
      <c r="U177" s="1184"/>
      <c r="V177" s="1187"/>
      <c r="W177" s="993"/>
      <c r="X177" s="996"/>
      <c r="Y177" s="998"/>
      <c r="Z177" s="1208"/>
      <c r="AA177" s="1211"/>
      <c r="AB177" s="1211"/>
      <c r="AC177" s="1224"/>
      <c r="AD177" s="1236"/>
      <c r="AE177" s="1738"/>
      <c r="AF177" s="1181"/>
      <c r="AG177" s="1184"/>
      <c r="AH177" s="1184"/>
      <c r="AI177" s="1187"/>
      <c r="AJ177" s="993"/>
      <c r="AK177" s="996"/>
      <c r="AL177" s="998"/>
      <c r="AM177" s="1208"/>
      <c r="AN177" s="1211"/>
      <c r="AO177" s="1211"/>
      <c r="AP177" s="1224"/>
      <c r="AQ177" s="1236"/>
      <c r="AR177" s="1738"/>
      <c r="AS177" s="1181"/>
      <c r="AT177" s="1184"/>
      <c r="AU177" s="1184"/>
      <c r="AV177" s="1187"/>
      <c r="AW177" s="993"/>
      <c r="AX177" s="996"/>
      <c r="AY177" s="998"/>
      <c r="AZ177" s="1208"/>
      <c r="BA177" s="1211"/>
      <c r="BB177" s="1211"/>
      <c r="BC177" s="1224"/>
      <c r="BD177" s="1236"/>
      <c r="BE177" s="1738"/>
      <c r="BF177" s="1453"/>
      <c r="BG177" s="1422"/>
      <c r="BH177" s="1422"/>
      <c r="BI177" s="1200"/>
      <c r="BJ177" s="993"/>
      <c r="BK177" s="996"/>
      <c r="BL177" s="1053"/>
      <c r="BM177" s="1167"/>
      <c r="BN177" s="1148"/>
      <c r="BO177" s="1148"/>
      <c r="BP177" s="1151"/>
      <c r="BQ177" s="1236"/>
      <c r="BR177" s="1738"/>
      <c r="BS177" s="1256"/>
      <c r="BT177" s="1023"/>
      <c r="BU177" s="1236"/>
      <c r="BV177" s="1177"/>
      <c r="BW177" s="1741"/>
      <c r="BX177" s="1127"/>
      <c r="BY177" s="1042"/>
      <c r="BZ177" s="1127"/>
      <c r="CA177" s="1042">
        <f t="shared" si="3"/>
        <v>0</v>
      </c>
      <c r="CB177" s="1127"/>
      <c r="CC177" s="1042">
        <f>IFERROR(#REF!/M177,0)</f>
        <v>0</v>
      </c>
      <c r="CD177" s="1263"/>
      <c r="CE177" s="1042"/>
      <c r="CF177" s="1127"/>
      <c r="CG177" s="1042"/>
    </row>
    <row r="178" spans="1:85" s="782" customFormat="1" ht="45" customHeight="1" x14ac:dyDescent="0.25">
      <c r="A178" s="783"/>
      <c r="B178" s="1395"/>
      <c r="C178" s="1614"/>
      <c r="D178" s="1617"/>
      <c r="E178" s="1403"/>
      <c r="F178" s="1467"/>
      <c r="G178" s="1215"/>
      <c r="H178" s="1097"/>
      <c r="I178" s="1097"/>
      <c r="J178" s="1580"/>
      <c r="K178" s="1549"/>
      <c r="L178" s="1472"/>
      <c r="M178" s="1282"/>
      <c r="N178" s="1285"/>
      <c r="O178" s="1142"/>
      <c r="P178" s="1142"/>
      <c r="Q178" s="1145"/>
      <c r="R178" s="1729"/>
      <c r="S178" s="1181"/>
      <c r="T178" s="1184"/>
      <c r="U178" s="1184"/>
      <c r="V178" s="1187"/>
      <c r="W178" s="993"/>
      <c r="X178" s="996" t="s">
        <v>197</v>
      </c>
      <c r="Y178" s="998" t="s">
        <v>606</v>
      </c>
      <c r="Z178" s="1208"/>
      <c r="AA178" s="1211"/>
      <c r="AB178" s="1211"/>
      <c r="AC178" s="1224"/>
      <c r="AD178" s="1236"/>
      <c r="AE178" s="1738"/>
      <c r="AF178" s="1181"/>
      <c r="AG178" s="1184"/>
      <c r="AH178" s="1184"/>
      <c r="AI178" s="1187"/>
      <c r="AJ178" s="993"/>
      <c r="AK178" s="996" t="s">
        <v>197</v>
      </c>
      <c r="AL178" s="998" t="s">
        <v>607</v>
      </c>
      <c r="AM178" s="1208"/>
      <c r="AN178" s="1211"/>
      <c r="AO178" s="1211"/>
      <c r="AP178" s="1224"/>
      <c r="AQ178" s="1236"/>
      <c r="AR178" s="1738"/>
      <c r="AS178" s="1181"/>
      <c r="AT178" s="1184"/>
      <c r="AU178" s="1184"/>
      <c r="AV178" s="1187"/>
      <c r="AW178" s="993"/>
      <c r="AX178" s="996" t="s">
        <v>197</v>
      </c>
      <c r="AY178" s="998" t="s">
        <v>636</v>
      </c>
      <c r="AZ178" s="1208"/>
      <c r="BA178" s="1211"/>
      <c r="BB178" s="1211"/>
      <c r="BC178" s="1224"/>
      <c r="BD178" s="1236"/>
      <c r="BE178" s="1738"/>
      <c r="BF178" s="1453"/>
      <c r="BG178" s="1422"/>
      <c r="BH178" s="1422"/>
      <c r="BI178" s="1200"/>
      <c r="BJ178" s="993"/>
      <c r="BK178" s="996" t="s">
        <v>197</v>
      </c>
      <c r="BL178" s="1053" t="s">
        <v>681</v>
      </c>
      <c r="BM178" s="1167"/>
      <c r="BN178" s="1148"/>
      <c r="BO178" s="1148"/>
      <c r="BP178" s="1151"/>
      <c r="BQ178" s="1236"/>
      <c r="BR178" s="1738"/>
      <c r="BS178" s="1256"/>
      <c r="BT178" s="1023"/>
      <c r="BU178" s="1236"/>
      <c r="BV178" s="1177"/>
      <c r="BW178" s="1741"/>
      <c r="BX178" s="1127"/>
      <c r="BY178" s="1042"/>
      <c r="BZ178" s="1127"/>
      <c r="CA178" s="1042">
        <f t="shared" si="3"/>
        <v>0</v>
      </c>
      <c r="CB178" s="1127"/>
      <c r="CC178" s="1042">
        <f>IFERROR(#REF!/M178,0)</f>
        <v>0</v>
      </c>
      <c r="CD178" s="1263"/>
      <c r="CE178" s="1042"/>
      <c r="CF178" s="1127"/>
      <c r="CG178" s="1042"/>
    </row>
    <row r="179" spans="1:85" s="782" customFormat="1" ht="43.5" customHeight="1" x14ac:dyDescent="0.25">
      <c r="A179" s="783"/>
      <c r="B179" s="1395"/>
      <c r="C179" s="1614"/>
      <c r="D179" s="1617"/>
      <c r="E179" s="1403"/>
      <c r="F179" s="1467"/>
      <c r="G179" s="1215"/>
      <c r="H179" s="1097"/>
      <c r="I179" s="1097"/>
      <c r="J179" s="1580"/>
      <c r="K179" s="1549"/>
      <c r="L179" s="1472"/>
      <c r="M179" s="1282"/>
      <c r="N179" s="1285"/>
      <c r="O179" s="1142"/>
      <c r="P179" s="1142"/>
      <c r="Q179" s="1145"/>
      <c r="R179" s="1729"/>
      <c r="S179" s="1181"/>
      <c r="T179" s="1184"/>
      <c r="U179" s="1184"/>
      <c r="V179" s="1187"/>
      <c r="W179" s="993"/>
      <c r="X179" s="996"/>
      <c r="Y179" s="998"/>
      <c r="Z179" s="1208"/>
      <c r="AA179" s="1211"/>
      <c r="AB179" s="1211"/>
      <c r="AC179" s="1224"/>
      <c r="AD179" s="1236"/>
      <c r="AE179" s="1738"/>
      <c r="AF179" s="1181"/>
      <c r="AG179" s="1184"/>
      <c r="AH179" s="1184"/>
      <c r="AI179" s="1187"/>
      <c r="AJ179" s="993"/>
      <c r="AK179" s="996"/>
      <c r="AL179" s="998"/>
      <c r="AM179" s="1208"/>
      <c r="AN179" s="1211"/>
      <c r="AO179" s="1211"/>
      <c r="AP179" s="1224"/>
      <c r="AQ179" s="1236"/>
      <c r="AR179" s="1738"/>
      <c r="AS179" s="1181"/>
      <c r="AT179" s="1184"/>
      <c r="AU179" s="1184"/>
      <c r="AV179" s="1187"/>
      <c r="AW179" s="993"/>
      <c r="AX179" s="996"/>
      <c r="AY179" s="998"/>
      <c r="AZ179" s="1208"/>
      <c r="BA179" s="1211"/>
      <c r="BB179" s="1211"/>
      <c r="BC179" s="1224"/>
      <c r="BD179" s="1236"/>
      <c r="BE179" s="1738"/>
      <c r="BF179" s="1453"/>
      <c r="BG179" s="1422"/>
      <c r="BH179" s="1422"/>
      <c r="BI179" s="1200"/>
      <c r="BJ179" s="993"/>
      <c r="BK179" s="996"/>
      <c r="BL179" s="1165"/>
      <c r="BM179" s="1167"/>
      <c r="BN179" s="1148"/>
      <c r="BO179" s="1148"/>
      <c r="BP179" s="1151"/>
      <c r="BQ179" s="1236"/>
      <c r="BR179" s="1738"/>
      <c r="BS179" s="1256"/>
      <c r="BT179" s="1023"/>
      <c r="BU179" s="1236"/>
      <c r="BV179" s="1177"/>
      <c r="BW179" s="1741"/>
      <c r="BX179" s="1127"/>
      <c r="BY179" s="1042"/>
      <c r="BZ179" s="1127"/>
      <c r="CA179" s="1042">
        <f t="shared" si="3"/>
        <v>0</v>
      </c>
      <c r="CB179" s="1127"/>
      <c r="CC179" s="1042">
        <f>IFERROR(#REF!/M179,0)</f>
        <v>0</v>
      </c>
      <c r="CD179" s="1263"/>
      <c r="CE179" s="1042"/>
      <c r="CF179" s="1127"/>
      <c r="CG179" s="1042"/>
    </row>
    <row r="180" spans="1:85" s="782" customFormat="1" ht="39.75" customHeight="1" x14ac:dyDescent="0.25">
      <c r="A180" s="783"/>
      <c r="B180" s="1395"/>
      <c r="C180" s="1614"/>
      <c r="D180" s="1617"/>
      <c r="E180" s="1403"/>
      <c r="F180" s="1467"/>
      <c r="G180" s="1215"/>
      <c r="H180" s="1097"/>
      <c r="I180" s="1097"/>
      <c r="J180" s="1580"/>
      <c r="K180" s="1549"/>
      <c r="L180" s="1472"/>
      <c r="M180" s="1282"/>
      <c r="N180" s="1285"/>
      <c r="O180" s="1142"/>
      <c r="P180" s="1142"/>
      <c r="Q180" s="1145"/>
      <c r="R180" s="1729"/>
      <c r="S180" s="1181"/>
      <c r="T180" s="1184"/>
      <c r="U180" s="1184"/>
      <c r="V180" s="1187"/>
      <c r="W180" s="993"/>
      <c r="X180" s="996"/>
      <c r="Y180" s="998"/>
      <c r="Z180" s="1208"/>
      <c r="AA180" s="1211"/>
      <c r="AB180" s="1211"/>
      <c r="AC180" s="1224"/>
      <c r="AD180" s="1236"/>
      <c r="AE180" s="1738"/>
      <c r="AF180" s="1181"/>
      <c r="AG180" s="1184"/>
      <c r="AH180" s="1184"/>
      <c r="AI180" s="1187"/>
      <c r="AJ180" s="993"/>
      <c r="AK180" s="996"/>
      <c r="AL180" s="998"/>
      <c r="AM180" s="1208"/>
      <c r="AN180" s="1211"/>
      <c r="AO180" s="1211"/>
      <c r="AP180" s="1224"/>
      <c r="AQ180" s="1236"/>
      <c r="AR180" s="1738"/>
      <c r="AS180" s="1181"/>
      <c r="AT180" s="1184"/>
      <c r="AU180" s="1184"/>
      <c r="AV180" s="1187"/>
      <c r="AW180" s="993"/>
      <c r="AX180" s="996"/>
      <c r="AY180" s="998"/>
      <c r="AZ180" s="1208"/>
      <c r="BA180" s="1211"/>
      <c r="BB180" s="1211"/>
      <c r="BC180" s="1224"/>
      <c r="BD180" s="1236"/>
      <c r="BE180" s="1738"/>
      <c r="BF180" s="1453"/>
      <c r="BG180" s="1422"/>
      <c r="BH180" s="1422"/>
      <c r="BI180" s="1200"/>
      <c r="BJ180" s="993"/>
      <c r="BK180" s="996"/>
      <c r="BL180" s="1165"/>
      <c r="BM180" s="1167"/>
      <c r="BN180" s="1148"/>
      <c r="BO180" s="1148"/>
      <c r="BP180" s="1151"/>
      <c r="BQ180" s="1236"/>
      <c r="BR180" s="1738"/>
      <c r="BS180" s="1256"/>
      <c r="BT180" s="1023"/>
      <c r="BU180" s="1236"/>
      <c r="BV180" s="1177"/>
      <c r="BW180" s="1741"/>
      <c r="BX180" s="1127"/>
      <c r="BY180" s="1042"/>
      <c r="BZ180" s="1127"/>
      <c r="CA180" s="1042">
        <f t="shared" si="3"/>
        <v>0</v>
      </c>
      <c r="CB180" s="1127"/>
      <c r="CC180" s="1042">
        <f>IFERROR(#REF!/M180,0)</f>
        <v>0</v>
      </c>
      <c r="CD180" s="1263"/>
      <c r="CE180" s="1042"/>
      <c r="CF180" s="1127"/>
      <c r="CG180" s="1042"/>
    </row>
    <row r="181" spans="1:85" s="782" customFormat="1" ht="96" customHeight="1" thickBot="1" x14ac:dyDescent="0.3">
      <c r="A181" s="783"/>
      <c r="B181" s="1395"/>
      <c r="C181" s="1615"/>
      <c r="D181" s="1618"/>
      <c r="E181" s="1404"/>
      <c r="F181" s="1562"/>
      <c r="G181" s="1216"/>
      <c r="H181" s="1098"/>
      <c r="I181" s="1098"/>
      <c r="J181" s="1581"/>
      <c r="K181" s="1549"/>
      <c r="L181" s="1587"/>
      <c r="M181" s="1283"/>
      <c r="N181" s="1286"/>
      <c r="O181" s="1143"/>
      <c r="P181" s="1143"/>
      <c r="Q181" s="1146"/>
      <c r="R181" s="1729"/>
      <c r="S181" s="1277"/>
      <c r="T181" s="1278"/>
      <c r="U181" s="1278"/>
      <c r="V181" s="1287"/>
      <c r="W181" s="994"/>
      <c r="X181" s="1068"/>
      <c r="Y181" s="1069"/>
      <c r="Z181" s="1221"/>
      <c r="AA181" s="1222"/>
      <c r="AB181" s="1222"/>
      <c r="AC181" s="1225"/>
      <c r="AD181" s="1237"/>
      <c r="AE181" s="1738"/>
      <c r="AF181" s="1277"/>
      <c r="AG181" s="1278"/>
      <c r="AH181" s="1278"/>
      <c r="AI181" s="1287"/>
      <c r="AJ181" s="994"/>
      <c r="AK181" s="1068"/>
      <c r="AL181" s="1069"/>
      <c r="AM181" s="1221"/>
      <c r="AN181" s="1222"/>
      <c r="AO181" s="1222"/>
      <c r="AP181" s="1225"/>
      <c r="AQ181" s="1237"/>
      <c r="AR181" s="1738"/>
      <c r="AS181" s="1277"/>
      <c r="AT181" s="1278"/>
      <c r="AU181" s="1278"/>
      <c r="AV181" s="1287"/>
      <c r="AW181" s="994"/>
      <c r="AX181" s="1068"/>
      <c r="AY181" s="1069"/>
      <c r="AZ181" s="1221"/>
      <c r="BA181" s="1222"/>
      <c r="BB181" s="1222"/>
      <c r="BC181" s="1225"/>
      <c r="BD181" s="1237"/>
      <c r="BE181" s="1738"/>
      <c r="BF181" s="1454"/>
      <c r="BG181" s="1451"/>
      <c r="BH181" s="1451"/>
      <c r="BI181" s="1279"/>
      <c r="BJ181" s="994"/>
      <c r="BK181" s="1068"/>
      <c r="BL181" s="1234"/>
      <c r="BM181" s="1206"/>
      <c r="BN181" s="1149"/>
      <c r="BO181" s="1149"/>
      <c r="BP181" s="1152"/>
      <c r="BQ181" s="1237"/>
      <c r="BR181" s="1738"/>
      <c r="BS181" s="1257"/>
      <c r="BT181" s="1175"/>
      <c r="BU181" s="1237"/>
      <c r="BV181" s="1177"/>
      <c r="BW181" s="1741"/>
      <c r="BX181" s="1128"/>
      <c r="BY181" s="1169"/>
      <c r="BZ181" s="1128"/>
      <c r="CA181" s="1169">
        <f t="shared" si="3"/>
        <v>0</v>
      </c>
      <c r="CB181" s="1128"/>
      <c r="CC181" s="1169">
        <f>IFERROR(#REF!/M181,0)</f>
        <v>0</v>
      </c>
      <c r="CD181" s="1264"/>
      <c r="CE181" s="1169"/>
      <c r="CF181" s="1128"/>
      <c r="CG181" s="1042"/>
    </row>
    <row r="182" spans="1:85" s="782" customFormat="1" ht="42.75" customHeight="1" x14ac:dyDescent="0.25">
      <c r="A182" s="783"/>
      <c r="B182" s="1395"/>
      <c r="C182" s="1595" t="s">
        <v>608</v>
      </c>
      <c r="D182" s="1475" t="s">
        <v>574</v>
      </c>
      <c r="E182" s="1619">
        <v>300</v>
      </c>
      <c r="F182" s="1536" t="s">
        <v>190</v>
      </c>
      <c r="G182" s="1602">
        <v>100</v>
      </c>
      <c r="H182" s="1096">
        <v>200</v>
      </c>
      <c r="I182" s="1096">
        <v>100</v>
      </c>
      <c r="J182" s="1239">
        <v>300</v>
      </c>
      <c r="K182" s="1549"/>
      <c r="L182" s="1573" t="s">
        <v>609</v>
      </c>
      <c r="M182" s="1281">
        <v>105500</v>
      </c>
      <c r="N182" s="1138">
        <v>13371.28</v>
      </c>
      <c r="O182" s="1141">
        <v>25301.54</v>
      </c>
      <c r="P182" s="1141">
        <v>100017.18</v>
      </c>
      <c r="Q182" s="1144">
        <f>11725.99+2339.05+21000+2454.55</f>
        <v>37519.590000000004</v>
      </c>
      <c r="R182" s="1729"/>
      <c r="S182" s="1266"/>
      <c r="T182" s="1267"/>
      <c r="U182" s="1267">
        <v>17</v>
      </c>
      <c r="V182" s="1268"/>
      <c r="W182" s="1194">
        <f>IFERROR(SUM(S182:V193),0)</f>
        <v>17</v>
      </c>
      <c r="X182" s="995" t="s">
        <v>195</v>
      </c>
      <c r="Y182" s="997" t="s">
        <v>464</v>
      </c>
      <c r="Z182" s="1207"/>
      <c r="AA182" s="1210"/>
      <c r="AB182" s="1210"/>
      <c r="AC182" s="1223">
        <v>13371.28</v>
      </c>
      <c r="AD182" s="1235">
        <f>SUM(Z182:AC193)</f>
        <v>13371.28</v>
      </c>
      <c r="AE182" s="1738"/>
      <c r="AF182" s="1266"/>
      <c r="AG182" s="1267"/>
      <c r="AH182" s="1267"/>
      <c r="AI182" s="1268"/>
      <c r="AJ182" s="1194">
        <f>IFERROR(SUM(AF182:AI193),0)</f>
        <v>0</v>
      </c>
      <c r="AK182" s="995" t="s">
        <v>195</v>
      </c>
      <c r="AL182" s="997" t="s">
        <v>476</v>
      </c>
      <c r="AM182" s="1207"/>
      <c r="AN182" s="1210"/>
      <c r="AO182" s="1210"/>
      <c r="AP182" s="1223">
        <v>25301.54</v>
      </c>
      <c r="AQ182" s="1235">
        <f>SUM(AM182:AP193)</f>
        <v>25301.54</v>
      </c>
      <c r="AR182" s="1738"/>
      <c r="AS182" s="1266"/>
      <c r="AT182" s="1267"/>
      <c r="AU182" s="1267"/>
      <c r="AV182" s="1268">
        <v>80</v>
      </c>
      <c r="AW182" s="1194">
        <f>IFERROR(SUM(AS182:AV193),0)</f>
        <v>80</v>
      </c>
      <c r="AX182" s="995" t="s">
        <v>195</v>
      </c>
      <c r="AY182" s="997" t="s">
        <v>651</v>
      </c>
      <c r="AZ182" s="1207"/>
      <c r="BA182" s="1210"/>
      <c r="BB182" s="1210"/>
      <c r="BC182" s="1223">
        <v>100017.18</v>
      </c>
      <c r="BD182" s="1235">
        <f>SUM(AZ182:BC193)</f>
        <v>100017.18</v>
      </c>
      <c r="BE182" s="1738"/>
      <c r="BF182" s="1265"/>
      <c r="BG182" s="1273">
        <v>96</v>
      </c>
      <c r="BH182" s="1273"/>
      <c r="BI182" s="1274"/>
      <c r="BJ182" s="1194">
        <f>IFERROR(SUM(BF182:BI193),0)</f>
        <v>96</v>
      </c>
      <c r="BK182" s="995" t="s">
        <v>195</v>
      </c>
      <c r="BL182" s="1055" t="s">
        <v>682</v>
      </c>
      <c r="BM182" s="1166">
        <v>0</v>
      </c>
      <c r="BN182" s="1147">
        <v>0</v>
      </c>
      <c r="BO182" s="1147">
        <v>0</v>
      </c>
      <c r="BP182" s="1150">
        <v>0</v>
      </c>
      <c r="BQ182" s="1235">
        <f>SUM(BM182:BP193)</f>
        <v>0</v>
      </c>
      <c r="BR182" s="1738"/>
      <c r="BS182" s="1255"/>
      <c r="BT182" s="1022">
        <f>SUM(AJ182,AW182,BJ182)</f>
        <v>176</v>
      </c>
      <c r="BU182" s="1235">
        <f>SUM(AD182,AQ182,BD182,BQ182)</f>
        <v>138690</v>
      </c>
      <c r="BV182" s="1177"/>
      <c r="BW182" s="1741"/>
      <c r="BX182" s="1125">
        <f>IFERROR(W182/G182,0)</f>
        <v>0.17</v>
      </c>
      <c r="BY182" s="1041">
        <f>IFERROR(AD182/N182,0)</f>
        <v>1</v>
      </c>
      <c r="BZ182" s="1125">
        <f>IFERROR(AJ182/H182,0)</f>
        <v>0</v>
      </c>
      <c r="CA182" s="1041">
        <f>IFERROR(AQ182/O182,0)</f>
        <v>1</v>
      </c>
      <c r="CB182" s="1125">
        <f>IFERROR(AW182/I182,0)</f>
        <v>0.8</v>
      </c>
      <c r="CC182" s="1041">
        <f>IFERROR(BD182/P182,0)</f>
        <v>1</v>
      </c>
      <c r="CD182" s="1262">
        <f>IFERROR(BJ182/J182,0)</f>
        <v>0.32</v>
      </c>
      <c r="CE182" s="1041">
        <f>IFERROR(BQ182/Q182,0)</f>
        <v>0</v>
      </c>
      <c r="CF182" s="1125">
        <f>IFERROR(BT182/E182,0)</f>
        <v>0.58666666666666667</v>
      </c>
      <c r="CG182" s="1042"/>
    </row>
    <row r="183" spans="1:85" s="782" customFormat="1" ht="42.75" customHeight="1" x14ac:dyDescent="0.25">
      <c r="A183" s="783"/>
      <c r="B183" s="1395"/>
      <c r="C183" s="1470"/>
      <c r="D183" s="1475"/>
      <c r="E183" s="1598"/>
      <c r="F183" s="1537"/>
      <c r="G183" s="1603"/>
      <c r="H183" s="1419"/>
      <c r="I183" s="1419"/>
      <c r="J183" s="1577"/>
      <c r="K183" s="1549"/>
      <c r="L183" s="1574"/>
      <c r="M183" s="1282"/>
      <c r="N183" s="1139"/>
      <c r="O183" s="1142"/>
      <c r="P183" s="1142"/>
      <c r="Q183" s="1145"/>
      <c r="R183" s="1729"/>
      <c r="S183" s="1014"/>
      <c r="T183" s="1016"/>
      <c r="U183" s="1016"/>
      <c r="V183" s="1269"/>
      <c r="W183" s="1195"/>
      <c r="X183" s="996"/>
      <c r="Y183" s="998"/>
      <c r="Z183" s="1208"/>
      <c r="AA183" s="1211"/>
      <c r="AB183" s="1211"/>
      <c r="AC183" s="1224"/>
      <c r="AD183" s="1236"/>
      <c r="AE183" s="1738"/>
      <c r="AF183" s="1014"/>
      <c r="AG183" s="1016"/>
      <c r="AH183" s="1016"/>
      <c r="AI183" s="1269"/>
      <c r="AJ183" s="1195"/>
      <c r="AK183" s="996"/>
      <c r="AL183" s="998"/>
      <c r="AM183" s="1208"/>
      <c r="AN183" s="1211"/>
      <c r="AO183" s="1211"/>
      <c r="AP183" s="1224"/>
      <c r="AQ183" s="1236"/>
      <c r="AR183" s="1738"/>
      <c r="AS183" s="1014"/>
      <c r="AT183" s="1016"/>
      <c r="AU183" s="1016"/>
      <c r="AV183" s="1269"/>
      <c r="AW183" s="1195"/>
      <c r="AX183" s="996"/>
      <c r="AY183" s="998"/>
      <c r="AZ183" s="1208"/>
      <c r="BA183" s="1211"/>
      <c r="BB183" s="1211"/>
      <c r="BC183" s="1224"/>
      <c r="BD183" s="1236"/>
      <c r="BE183" s="1738"/>
      <c r="BF183" s="987"/>
      <c r="BG183" s="989"/>
      <c r="BH183" s="989"/>
      <c r="BI183" s="1275"/>
      <c r="BJ183" s="1195"/>
      <c r="BK183" s="996"/>
      <c r="BL183" s="1165"/>
      <c r="BM183" s="1167"/>
      <c r="BN183" s="1148"/>
      <c r="BO183" s="1148"/>
      <c r="BP183" s="1151"/>
      <c r="BQ183" s="1236"/>
      <c r="BR183" s="1738"/>
      <c r="BS183" s="1258"/>
      <c r="BT183" s="1023"/>
      <c r="BU183" s="1236"/>
      <c r="BV183" s="1177"/>
      <c r="BW183" s="1741"/>
      <c r="BX183" s="1127"/>
      <c r="BY183" s="1042"/>
      <c r="BZ183" s="1127"/>
      <c r="CA183" s="1042">
        <f t="shared" si="3"/>
        <v>0</v>
      </c>
      <c r="CB183" s="1127"/>
      <c r="CC183" s="1042">
        <f>IFERROR(#REF!/M183,0)</f>
        <v>0</v>
      </c>
      <c r="CD183" s="1263"/>
      <c r="CE183" s="1042"/>
      <c r="CF183" s="1127"/>
      <c r="CG183" s="1042"/>
    </row>
    <row r="184" spans="1:85" s="782" customFormat="1" ht="42.75" customHeight="1" x14ac:dyDescent="0.25">
      <c r="A184" s="783"/>
      <c r="B184" s="1395"/>
      <c r="C184" s="1470"/>
      <c r="D184" s="1475"/>
      <c r="E184" s="1598"/>
      <c r="F184" s="1537"/>
      <c r="G184" s="1603"/>
      <c r="H184" s="1419"/>
      <c r="I184" s="1419"/>
      <c r="J184" s="1577"/>
      <c r="K184" s="1549"/>
      <c r="L184" s="1574"/>
      <c r="M184" s="1282"/>
      <c r="N184" s="1139"/>
      <c r="O184" s="1142"/>
      <c r="P184" s="1142"/>
      <c r="Q184" s="1145"/>
      <c r="R184" s="1729"/>
      <c r="S184" s="1014"/>
      <c r="T184" s="1016"/>
      <c r="U184" s="1016"/>
      <c r="V184" s="1269"/>
      <c r="W184" s="1195"/>
      <c r="X184" s="996"/>
      <c r="Y184" s="998"/>
      <c r="Z184" s="1208"/>
      <c r="AA184" s="1211"/>
      <c r="AB184" s="1211"/>
      <c r="AC184" s="1224"/>
      <c r="AD184" s="1236"/>
      <c r="AE184" s="1738"/>
      <c r="AF184" s="1014"/>
      <c r="AG184" s="1016"/>
      <c r="AH184" s="1016"/>
      <c r="AI184" s="1269"/>
      <c r="AJ184" s="1195"/>
      <c r="AK184" s="996"/>
      <c r="AL184" s="998"/>
      <c r="AM184" s="1208"/>
      <c r="AN184" s="1211"/>
      <c r="AO184" s="1211"/>
      <c r="AP184" s="1224"/>
      <c r="AQ184" s="1236"/>
      <c r="AR184" s="1738"/>
      <c r="AS184" s="1014"/>
      <c r="AT184" s="1016"/>
      <c r="AU184" s="1016"/>
      <c r="AV184" s="1269"/>
      <c r="AW184" s="1195"/>
      <c r="AX184" s="996"/>
      <c r="AY184" s="998"/>
      <c r="AZ184" s="1208"/>
      <c r="BA184" s="1211"/>
      <c r="BB184" s="1211"/>
      <c r="BC184" s="1224"/>
      <c r="BD184" s="1236"/>
      <c r="BE184" s="1738"/>
      <c r="BF184" s="987"/>
      <c r="BG184" s="989"/>
      <c r="BH184" s="989"/>
      <c r="BI184" s="1275"/>
      <c r="BJ184" s="1195"/>
      <c r="BK184" s="996"/>
      <c r="BL184" s="1165"/>
      <c r="BM184" s="1167"/>
      <c r="BN184" s="1148"/>
      <c r="BO184" s="1148"/>
      <c r="BP184" s="1151"/>
      <c r="BQ184" s="1236"/>
      <c r="BR184" s="1738"/>
      <c r="BS184" s="1258"/>
      <c r="BT184" s="1023"/>
      <c r="BU184" s="1236"/>
      <c r="BV184" s="1177"/>
      <c r="BW184" s="1741"/>
      <c r="BX184" s="1127"/>
      <c r="BY184" s="1042"/>
      <c r="BZ184" s="1127"/>
      <c r="CA184" s="1042"/>
      <c r="CB184" s="1127"/>
      <c r="CC184" s="1042"/>
      <c r="CD184" s="1263"/>
      <c r="CE184" s="1042"/>
      <c r="CF184" s="1127"/>
      <c r="CG184" s="1042"/>
    </row>
    <row r="185" spans="1:85" s="782" customFormat="1" ht="229.9" customHeight="1" x14ac:dyDescent="0.25">
      <c r="A185" s="783"/>
      <c r="B185" s="1395"/>
      <c r="C185" s="1470"/>
      <c r="D185" s="1475"/>
      <c r="E185" s="1598"/>
      <c r="F185" s="1537"/>
      <c r="G185" s="1603"/>
      <c r="H185" s="1419"/>
      <c r="I185" s="1419"/>
      <c r="J185" s="1577"/>
      <c r="K185" s="1549"/>
      <c r="L185" s="1574"/>
      <c r="M185" s="1282"/>
      <c r="N185" s="1139"/>
      <c r="O185" s="1142"/>
      <c r="P185" s="1142"/>
      <c r="Q185" s="1145"/>
      <c r="R185" s="1729"/>
      <c r="S185" s="1014"/>
      <c r="T185" s="1016"/>
      <c r="U185" s="1016"/>
      <c r="V185" s="1269"/>
      <c r="W185" s="1195"/>
      <c r="X185" s="996"/>
      <c r="Y185" s="998"/>
      <c r="Z185" s="1208"/>
      <c r="AA185" s="1211"/>
      <c r="AB185" s="1211"/>
      <c r="AC185" s="1224"/>
      <c r="AD185" s="1236"/>
      <c r="AE185" s="1738"/>
      <c r="AF185" s="1014"/>
      <c r="AG185" s="1016"/>
      <c r="AH185" s="1016"/>
      <c r="AI185" s="1269"/>
      <c r="AJ185" s="1195"/>
      <c r="AK185" s="996"/>
      <c r="AL185" s="998"/>
      <c r="AM185" s="1208"/>
      <c r="AN185" s="1211"/>
      <c r="AO185" s="1211"/>
      <c r="AP185" s="1224"/>
      <c r="AQ185" s="1236"/>
      <c r="AR185" s="1738"/>
      <c r="AS185" s="1014"/>
      <c r="AT185" s="1016"/>
      <c r="AU185" s="1016"/>
      <c r="AV185" s="1269"/>
      <c r="AW185" s="1195"/>
      <c r="AX185" s="996"/>
      <c r="AY185" s="998"/>
      <c r="AZ185" s="1208"/>
      <c r="BA185" s="1211"/>
      <c r="BB185" s="1211"/>
      <c r="BC185" s="1224"/>
      <c r="BD185" s="1236"/>
      <c r="BE185" s="1738"/>
      <c r="BF185" s="987"/>
      <c r="BG185" s="989"/>
      <c r="BH185" s="989"/>
      <c r="BI185" s="1275"/>
      <c r="BJ185" s="1195"/>
      <c r="BK185" s="996"/>
      <c r="BL185" s="1165"/>
      <c r="BM185" s="1167"/>
      <c r="BN185" s="1148"/>
      <c r="BO185" s="1148"/>
      <c r="BP185" s="1151"/>
      <c r="BQ185" s="1236"/>
      <c r="BR185" s="1738"/>
      <c r="BS185" s="1258"/>
      <c r="BT185" s="1023"/>
      <c r="BU185" s="1236"/>
      <c r="BV185" s="1177"/>
      <c r="BW185" s="1741"/>
      <c r="BX185" s="1127"/>
      <c r="BY185" s="1042"/>
      <c r="BZ185" s="1127"/>
      <c r="CA185" s="1042"/>
      <c r="CB185" s="1127"/>
      <c r="CC185" s="1042"/>
      <c r="CD185" s="1263"/>
      <c r="CE185" s="1042"/>
      <c r="CF185" s="1127"/>
      <c r="CG185" s="1042"/>
    </row>
    <row r="186" spans="1:85" s="782" customFormat="1" ht="15.75" customHeight="1" x14ac:dyDescent="0.25">
      <c r="A186" s="783"/>
      <c r="B186" s="1395"/>
      <c r="C186" s="1470"/>
      <c r="D186" s="1475"/>
      <c r="E186" s="1598"/>
      <c r="F186" s="1537"/>
      <c r="G186" s="1603"/>
      <c r="H186" s="1419"/>
      <c r="I186" s="1419"/>
      <c r="J186" s="1577"/>
      <c r="K186" s="1549"/>
      <c r="L186" s="1574"/>
      <c r="M186" s="1282"/>
      <c r="N186" s="1139"/>
      <c r="O186" s="1142"/>
      <c r="P186" s="1142"/>
      <c r="Q186" s="1145"/>
      <c r="R186" s="1729"/>
      <c r="S186" s="1014"/>
      <c r="T186" s="1016"/>
      <c r="U186" s="1016"/>
      <c r="V186" s="1269"/>
      <c r="W186" s="1195"/>
      <c r="X186" s="996" t="s">
        <v>196</v>
      </c>
      <c r="Y186" s="998" t="s">
        <v>610</v>
      </c>
      <c r="Z186" s="1208"/>
      <c r="AA186" s="1211"/>
      <c r="AB186" s="1211"/>
      <c r="AC186" s="1224"/>
      <c r="AD186" s="1236"/>
      <c r="AE186" s="1738"/>
      <c r="AF186" s="1014"/>
      <c r="AG186" s="1016"/>
      <c r="AH186" s="1016"/>
      <c r="AI186" s="1269"/>
      <c r="AJ186" s="1195"/>
      <c r="AK186" s="996" t="s">
        <v>196</v>
      </c>
      <c r="AL186" s="998"/>
      <c r="AM186" s="1208"/>
      <c r="AN186" s="1211"/>
      <c r="AO186" s="1211"/>
      <c r="AP186" s="1224"/>
      <c r="AQ186" s="1236"/>
      <c r="AR186" s="1738"/>
      <c r="AS186" s="1014"/>
      <c r="AT186" s="1016"/>
      <c r="AU186" s="1016"/>
      <c r="AV186" s="1269"/>
      <c r="AW186" s="1195"/>
      <c r="AX186" s="996" t="s">
        <v>196</v>
      </c>
      <c r="AY186" s="998" t="s">
        <v>631</v>
      </c>
      <c r="AZ186" s="1208"/>
      <c r="BA186" s="1211"/>
      <c r="BB186" s="1211"/>
      <c r="BC186" s="1224"/>
      <c r="BD186" s="1236"/>
      <c r="BE186" s="1738"/>
      <c r="BF186" s="987"/>
      <c r="BG186" s="989"/>
      <c r="BH186" s="989"/>
      <c r="BI186" s="1275"/>
      <c r="BJ186" s="1195"/>
      <c r="BK186" s="996" t="s">
        <v>196</v>
      </c>
      <c r="BL186" s="1053" t="s">
        <v>683</v>
      </c>
      <c r="BM186" s="1167"/>
      <c r="BN186" s="1148"/>
      <c r="BO186" s="1148"/>
      <c r="BP186" s="1151"/>
      <c r="BQ186" s="1236"/>
      <c r="BR186" s="1738"/>
      <c r="BS186" s="1258"/>
      <c r="BT186" s="1023"/>
      <c r="BU186" s="1236"/>
      <c r="BV186" s="1177"/>
      <c r="BW186" s="1741"/>
      <c r="BX186" s="1127"/>
      <c r="BY186" s="1042"/>
      <c r="BZ186" s="1127"/>
      <c r="CA186" s="1042"/>
      <c r="CB186" s="1127"/>
      <c r="CC186" s="1042"/>
      <c r="CD186" s="1263"/>
      <c r="CE186" s="1042"/>
      <c r="CF186" s="1127"/>
      <c r="CG186" s="1042"/>
    </row>
    <row r="187" spans="1:85" s="782" customFormat="1" ht="15.75" customHeight="1" x14ac:dyDescent="0.25">
      <c r="A187" s="783"/>
      <c r="B187" s="1395"/>
      <c r="C187" s="1470"/>
      <c r="D187" s="1475"/>
      <c r="E187" s="1598"/>
      <c r="F187" s="1537"/>
      <c r="G187" s="1603"/>
      <c r="H187" s="1419"/>
      <c r="I187" s="1419"/>
      <c r="J187" s="1577"/>
      <c r="K187" s="1549"/>
      <c r="L187" s="1574"/>
      <c r="M187" s="1282"/>
      <c r="N187" s="1139"/>
      <c r="O187" s="1142"/>
      <c r="P187" s="1142"/>
      <c r="Q187" s="1145"/>
      <c r="R187" s="1729"/>
      <c r="S187" s="1014"/>
      <c r="T187" s="1016"/>
      <c r="U187" s="1016"/>
      <c r="V187" s="1269"/>
      <c r="W187" s="1195"/>
      <c r="X187" s="996"/>
      <c r="Y187" s="998"/>
      <c r="Z187" s="1208"/>
      <c r="AA187" s="1211"/>
      <c r="AB187" s="1211"/>
      <c r="AC187" s="1224"/>
      <c r="AD187" s="1236"/>
      <c r="AE187" s="1738"/>
      <c r="AF187" s="1014"/>
      <c r="AG187" s="1016"/>
      <c r="AH187" s="1016"/>
      <c r="AI187" s="1269"/>
      <c r="AJ187" s="1195"/>
      <c r="AK187" s="996"/>
      <c r="AL187" s="998"/>
      <c r="AM187" s="1208"/>
      <c r="AN187" s="1211"/>
      <c r="AO187" s="1211"/>
      <c r="AP187" s="1224"/>
      <c r="AQ187" s="1236"/>
      <c r="AR187" s="1738"/>
      <c r="AS187" s="1014"/>
      <c r="AT187" s="1016"/>
      <c r="AU187" s="1016"/>
      <c r="AV187" s="1269"/>
      <c r="AW187" s="1195"/>
      <c r="AX187" s="996"/>
      <c r="AY187" s="998"/>
      <c r="AZ187" s="1208"/>
      <c r="BA187" s="1211"/>
      <c r="BB187" s="1211"/>
      <c r="BC187" s="1224"/>
      <c r="BD187" s="1236"/>
      <c r="BE187" s="1738"/>
      <c r="BF187" s="987"/>
      <c r="BG187" s="989"/>
      <c r="BH187" s="989"/>
      <c r="BI187" s="1275"/>
      <c r="BJ187" s="1195"/>
      <c r="BK187" s="996"/>
      <c r="BL187" s="1053"/>
      <c r="BM187" s="1167"/>
      <c r="BN187" s="1148"/>
      <c r="BO187" s="1148"/>
      <c r="BP187" s="1151"/>
      <c r="BQ187" s="1236"/>
      <c r="BR187" s="1738"/>
      <c r="BS187" s="1258"/>
      <c r="BT187" s="1023"/>
      <c r="BU187" s="1236"/>
      <c r="BV187" s="1177"/>
      <c r="BW187" s="1741"/>
      <c r="BX187" s="1127"/>
      <c r="BY187" s="1042"/>
      <c r="BZ187" s="1127"/>
      <c r="CA187" s="1042"/>
      <c r="CB187" s="1127"/>
      <c r="CC187" s="1042"/>
      <c r="CD187" s="1263"/>
      <c r="CE187" s="1042"/>
      <c r="CF187" s="1127"/>
      <c r="CG187" s="1042"/>
    </row>
    <row r="188" spans="1:85" s="782" customFormat="1" ht="15.75" customHeight="1" x14ac:dyDescent="0.25">
      <c r="A188" s="783"/>
      <c r="B188" s="1395"/>
      <c r="C188" s="1470"/>
      <c r="D188" s="1475"/>
      <c r="E188" s="1598"/>
      <c r="F188" s="1537"/>
      <c r="G188" s="1603"/>
      <c r="H188" s="1419"/>
      <c r="I188" s="1419"/>
      <c r="J188" s="1577"/>
      <c r="K188" s="1549"/>
      <c r="L188" s="1574"/>
      <c r="M188" s="1282"/>
      <c r="N188" s="1139"/>
      <c r="O188" s="1142"/>
      <c r="P188" s="1142"/>
      <c r="Q188" s="1145"/>
      <c r="R188" s="1729"/>
      <c r="S188" s="1014"/>
      <c r="T188" s="1016"/>
      <c r="U188" s="1016"/>
      <c r="V188" s="1269"/>
      <c r="W188" s="1195"/>
      <c r="X188" s="996"/>
      <c r="Y188" s="998"/>
      <c r="Z188" s="1208"/>
      <c r="AA188" s="1211"/>
      <c r="AB188" s="1211"/>
      <c r="AC188" s="1224"/>
      <c r="AD188" s="1236"/>
      <c r="AE188" s="1738"/>
      <c r="AF188" s="1014"/>
      <c r="AG188" s="1016"/>
      <c r="AH188" s="1016"/>
      <c r="AI188" s="1269"/>
      <c r="AJ188" s="1195"/>
      <c r="AK188" s="996"/>
      <c r="AL188" s="998"/>
      <c r="AM188" s="1208"/>
      <c r="AN188" s="1211"/>
      <c r="AO188" s="1211"/>
      <c r="AP188" s="1224"/>
      <c r="AQ188" s="1236"/>
      <c r="AR188" s="1738"/>
      <c r="AS188" s="1014"/>
      <c r="AT188" s="1016"/>
      <c r="AU188" s="1016"/>
      <c r="AV188" s="1269"/>
      <c r="AW188" s="1195"/>
      <c r="AX188" s="996"/>
      <c r="AY188" s="998"/>
      <c r="AZ188" s="1208"/>
      <c r="BA188" s="1211"/>
      <c r="BB188" s="1211"/>
      <c r="BC188" s="1224"/>
      <c r="BD188" s="1236"/>
      <c r="BE188" s="1738"/>
      <c r="BF188" s="987"/>
      <c r="BG188" s="989"/>
      <c r="BH188" s="989"/>
      <c r="BI188" s="1275"/>
      <c r="BJ188" s="1195"/>
      <c r="BK188" s="996"/>
      <c r="BL188" s="1053"/>
      <c r="BM188" s="1167"/>
      <c r="BN188" s="1148"/>
      <c r="BO188" s="1148"/>
      <c r="BP188" s="1151"/>
      <c r="BQ188" s="1236"/>
      <c r="BR188" s="1738"/>
      <c r="BS188" s="1258"/>
      <c r="BT188" s="1023"/>
      <c r="BU188" s="1236"/>
      <c r="BV188" s="1177"/>
      <c r="BW188" s="1741"/>
      <c r="BX188" s="1127"/>
      <c r="BY188" s="1042"/>
      <c r="BZ188" s="1127"/>
      <c r="CA188" s="1042"/>
      <c r="CB188" s="1127"/>
      <c r="CC188" s="1042"/>
      <c r="CD188" s="1263"/>
      <c r="CE188" s="1042"/>
      <c r="CF188" s="1127"/>
      <c r="CG188" s="1042"/>
    </row>
    <row r="189" spans="1:85" s="782" customFormat="1" ht="126" customHeight="1" x14ac:dyDescent="0.25">
      <c r="A189" s="783"/>
      <c r="B189" s="1395"/>
      <c r="C189" s="1397"/>
      <c r="D189" s="1464"/>
      <c r="E189" s="1403"/>
      <c r="F189" s="1467"/>
      <c r="G189" s="1603"/>
      <c r="H189" s="1097"/>
      <c r="I189" s="1097"/>
      <c r="J189" s="1240"/>
      <c r="K189" s="1549"/>
      <c r="L189" s="1574"/>
      <c r="M189" s="1282"/>
      <c r="N189" s="1139"/>
      <c r="O189" s="1142"/>
      <c r="P189" s="1142"/>
      <c r="Q189" s="1145"/>
      <c r="R189" s="1729"/>
      <c r="S189" s="1014"/>
      <c r="T189" s="1016"/>
      <c r="U189" s="1016"/>
      <c r="V189" s="1269"/>
      <c r="W189" s="1195"/>
      <c r="X189" s="996"/>
      <c r="Y189" s="998"/>
      <c r="Z189" s="1208"/>
      <c r="AA189" s="1211"/>
      <c r="AB189" s="1211"/>
      <c r="AC189" s="1224"/>
      <c r="AD189" s="1236"/>
      <c r="AE189" s="1738"/>
      <c r="AF189" s="1014"/>
      <c r="AG189" s="1016"/>
      <c r="AH189" s="1016"/>
      <c r="AI189" s="1269"/>
      <c r="AJ189" s="1195"/>
      <c r="AK189" s="996"/>
      <c r="AL189" s="998"/>
      <c r="AM189" s="1208"/>
      <c r="AN189" s="1211"/>
      <c r="AO189" s="1211"/>
      <c r="AP189" s="1224"/>
      <c r="AQ189" s="1236"/>
      <c r="AR189" s="1738"/>
      <c r="AS189" s="1014"/>
      <c r="AT189" s="1016"/>
      <c r="AU189" s="1016"/>
      <c r="AV189" s="1269"/>
      <c r="AW189" s="1195"/>
      <c r="AX189" s="996"/>
      <c r="AY189" s="998"/>
      <c r="AZ189" s="1208"/>
      <c r="BA189" s="1211"/>
      <c r="BB189" s="1211"/>
      <c r="BC189" s="1224"/>
      <c r="BD189" s="1236"/>
      <c r="BE189" s="1738"/>
      <c r="BF189" s="987"/>
      <c r="BG189" s="989"/>
      <c r="BH189" s="989"/>
      <c r="BI189" s="1275"/>
      <c r="BJ189" s="1195"/>
      <c r="BK189" s="996"/>
      <c r="BL189" s="1053"/>
      <c r="BM189" s="1167"/>
      <c r="BN189" s="1148"/>
      <c r="BO189" s="1148"/>
      <c r="BP189" s="1151"/>
      <c r="BQ189" s="1236"/>
      <c r="BR189" s="1738"/>
      <c r="BS189" s="1258"/>
      <c r="BT189" s="1023"/>
      <c r="BU189" s="1236"/>
      <c r="BV189" s="1177"/>
      <c r="BW189" s="1741"/>
      <c r="BX189" s="1127"/>
      <c r="BY189" s="1042"/>
      <c r="BZ189" s="1127"/>
      <c r="CA189" s="1042">
        <f t="shared" si="3"/>
        <v>0</v>
      </c>
      <c r="CB189" s="1127"/>
      <c r="CC189" s="1042">
        <f>IFERROR(#REF!/M189,0)</f>
        <v>0</v>
      </c>
      <c r="CD189" s="1263"/>
      <c r="CE189" s="1042"/>
      <c r="CF189" s="1127"/>
      <c r="CG189" s="1042"/>
    </row>
    <row r="190" spans="1:85" s="782" customFormat="1" ht="15.75" customHeight="1" x14ac:dyDescent="0.25">
      <c r="A190" s="783"/>
      <c r="B190" s="1395"/>
      <c r="C190" s="1397"/>
      <c r="D190" s="1464"/>
      <c r="E190" s="1403"/>
      <c r="F190" s="1467"/>
      <c r="G190" s="1603"/>
      <c r="H190" s="1097"/>
      <c r="I190" s="1097"/>
      <c r="J190" s="1240"/>
      <c r="K190" s="1549"/>
      <c r="L190" s="1574"/>
      <c r="M190" s="1282"/>
      <c r="N190" s="1139"/>
      <c r="O190" s="1142"/>
      <c r="P190" s="1142"/>
      <c r="Q190" s="1145"/>
      <c r="R190" s="1729"/>
      <c r="S190" s="1014"/>
      <c r="T190" s="1016"/>
      <c r="U190" s="1016"/>
      <c r="V190" s="1269"/>
      <c r="W190" s="1195"/>
      <c r="X190" s="996" t="s">
        <v>197</v>
      </c>
      <c r="Y190" s="998" t="s">
        <v>465</v>
      </c>
      <c r="Z190" s="1208"/>
      <c r="AA190" s="1211"/>
      <c r="AB190" s="1211"/>
      <c r="AC190" s="1224"/>
      <c r="AD190" s="1236"/>
      <c r="AE190" s="1738"/>
      <c r="AF190" s="1014"/>
      <c r="AG190" s="1016"/>
      <c r="AH190" s="1016"/>
      <c r="AI190" s="1269"/>
      <c r="AJ190" s="1195"/>
      <c r="AK190" s="996" t="s">
        <v>197</v>
      </c>
      <c r="AL190" s="998"/>
      <c r="AM190" s="1208"/>
      <c r="AN190" s="1211"/>
      <c r="AO190" s="1211"/>
      <c r="AP190" s="1224"/>
      <c r="AQ190" s="1236"/>
      <c r="AR190" s="1738"/>
      <c r="AS190" s="1014"/>
      <c r="AT190" s="1016"/>
      <c r="AU190" s="1016"/>
      <c r="AV190" s="1269"/>
      <c r="AW190" s="1195"/>
      <c r="AX190" s="996" t="s">
        <v>197</v>
      </c>
      <c r="AY190" s="998" t="s">
        <v>632</v>
      </c>
      <c r="AZ190" s="1208"/>
      <c r="BA190" s="1211"/>
      <c r="BB190" s="1211"/>
      <c r="BC190" s="1224"/>
      <c r="BD190" s="1236"/>
      <c r="BE190" s="1738"/>
      <c r="BF190" s="987"/>
      <c r="BG190" s="989"/>
      <c r="BH190" s="989"/>
      <c r="BI190" s="1275"/>
      <c r="BJ190" s="1195"/>
      <c r="BK190" s="996" t="s">
        <v>197</v>
      </c>
      <c r="BL190" s="1053" t="s">
        <v>684</v>
      </c>
      <c r="BM190" s="1167"/>
      <c r="BN190" s="1148"/>
      <c r="BO190" s="1148"/>
      <c r="BP190" s="1151"/>
      <c r="BQ190" s="1236"/>
      <c r="BR190" s="1738"/>
      <c r="BS190" s="1258"/>
      <c r="BT190" s="1023"/>
      <c r="BU190" s="1236"/>
      <c r="BV190" s="1177"/>
      <c r="BW190" s="1741"/>
      <c r="BX190" s="1127"/>
      <c r="BY190" s="1042"/>
      <c r="BZ190" s="1127"/>
      <c r="CA190" s="1042">
        <f t="shared" si="3"/>
        <v>0</v>
      </c>
      <c r="CB190" s="1127"/>
      <c r="CC190" s="1042">
        <f>IFERROR(#REF!/M190,0)</f>
        <v>0</v>
      </c>
      <c r="CD190" s="1263"/>
      <c r="CE190" s="1042"/>
      <c r="CF190" s="1127"/>
      <c r="CG190" s="1042"/>
    </row>
    <row r="191" spans="1:85" s="782" customFormat="1" ht="15.75" customHeight="1" x14ac:dyDescent="0.25">
      <c r="A191" s="783"/>
      <c r="B191" s="1395"/>
      <c r="C191" s="1397"/>
      <c r="D191" s="1464"/>
      <c r="E191" s="1403"/>
      <c r="F191" s="1467"/>
      <c r="G191" s="1603"/>
      <c r="H191" s="1097"/>
      <c r="I191" s="1097"/>
      <c r="J191" s="1240"/>
      <c r="K191" s="1549"/>
      <c r="L191" s="1574"/>
      <c r="M191" s="1282"/>
      <c r="N191" s="1139"/>
      <c r="O191" s="1142"/>
      <c r="P191" s="1142"/>
      <c r="Q191" s="1145"/>
      <c r="R191" s="1729"/>
      <c r="S191" s="1014"/>
      <c r="T191" s="1016"/>
      <c r="U191" s="1016"/>
      <c r="V191" s="1269"/>
      <c r="W191" s="1195"/>
      <c r="X191" s="996"/>
      <c r="Y191" s="998"/>
      <c r="Z191" s="1208"/>
      <c r="AA191" s="1211"/>
      <c r="AB191" s="1211"/>
      <c r="AC191" s="1224"/>
      <c r="AD191" s="1236"/>
      <c r="AE191" s="1738"/>
      <c r="AF191" s="1014"/>
      <c r="AG191" s="1016"/>
      <c r="AH191" s="1016"/>
      <c r="AI191" s="1269"/>
      <c r="AJ191" s="1195"/>
      <c r="AK191" s="996"/>
      <c r="AL191" s="998"/>
      <c r="AM191" s="1208"/>
      <c r="AN191" s="1211"/>
      <c r="AO191" s="1211"/>
      <c r="AP191" s="1224"/>
      <c r="AQ191" s="1236"/>
      <c r="AR191" s="1738"/>
      <c r="AS191" s="1014"/>
      <c r="AT191" s="1016"/>
      <c r="AU191" s="1016"/>
      <c r="AV191" s="1269"/>
      <c r="AW191" s="1195"/>
      <c r="AX191" s="996"/>
      <c r="AY191" s="998"/>
      <c r="AZ191" s="1208"/>
      <c r="BA191" s="1211"/>
      <c r="BB191" s="1211"/>
      <c r="BC191" s="1224"/>
      <c r="BD191" s="1236"/>
      <c r="BE191" s="1738"/>
      <c r="BF191" s="987"/>
      <c r="BG191" s="989"/>
      <c r="BH191" s="989"/>
      <c r="BI191" s="1275"/>
      <c r="BJ191" s="1195"/>
      <c r="BK191" s="996"/>
      <c r="BL191" s="1053"/>
      <c r="BM191" s="1167"/>
      <c r="BN191" s="1148"/>
      <c r="BO191" s="1148"/>
      <c r="BP191" s="1151"/>
      <c r="BQ191" s="1236"/>
      <c r="BR191" s="1738"/>
      <c r="BS191" s="1258"/>
      <c r="BT191" s="1023"/>
      <c r="BU191" s="1236"/>
      <c r="BV191" s="1177"/>
      <c r="BW191" s="1741"/>
      <c r="BX191" s="1127"/>
      <c r="BY191" s="1042"/>
      <c r="BZ191" s="1127"/>
      <c r="CA191" s="1042">
        <f t="shared" si="3"/>
        <v>0</v>
      </c>
      <c r="CB191" s="1127"/>
      <c r="CC191" s="1042">
        <f>IFERROR(#REF!/M191,0)</f>
        <v>0</v>
      </c>
      <c r="CD191" s="1263"/>
      <c r="CE191" s="1042"/>
      <c r="CF191" s="1127"/>
      <c r="CG191" s="1042"/>
    </row>
    <row r="192" spans="1:85" s="782" customFormat="1" ht="15.75" customHeight="1" x14ac:dyDescent="0.25">
      <c r="A192" s="783"/>
      <c r="B192" s="1395"/>
      <c r="C192" s="1596"/>
      <c r="D192" s="1620"/>
      <c r="E192" s="1609"/>
      <c r="F192" s="1621"/>
      <c r="G192" s="1603"/>
      <c r="H192" s="1097"/>
      <c r="I192" s="1097"/>
      <c r="J192" s="1240"/>
      <c r="K192" s="1549"/>
      <c r="L192" s="1574"/>
      <c r="M192" s="1282"/>
      <c r="N192" s="1139"/>
      <c r="O192" s="1142"/>
      <c r="P192" s="1142"/>
      <c r="Q192" s="1145"/>
      <c r="R192" s="1729"/>
      <c r="S192" s="1014"/>
      <c r="T192" s="1016"/>
      <c r="U192" s="1016"/>
      <c r="V192" s="1269"/>
      <c r="W192" s="1195"/>
      <c r="X192" s="996"/>
      <c r="Y192" s="998"/>
      <c r="Z192" s="1208"/>
      <c r="AA192" s="1211"/>
      <c r="AB192" s="1211"/>
      <c r="AC192" s="1224"/>
      <c r="AD192" s="1236"/>
      <c r="AE192" s="1738"/>
      <c r="AF192" s="1014"/>
      <c r="AG192" s="1016"/>
      <c r="AH192" s="1016"/>
      <c r="AI192" s="1269"/>
      <c r="AJ192" s="1195"/>
      <c r="AK192" s="996"/>
      <c r="AL192" s="998"/>
      <c r="AM192" s="1208"/>
      <c r="AN192" s="1211"/>
      <c r="AO192" s="1211"/>
      <c r="AP192" s="1224"/>
      <c r="AQ192" s="1236"/>
      <c r="AR192" s="1738"/>
      <c r="AS192" s="1014"/>
      <c r="AT192" s="1016"/>
      <c r="AU192" s="1016"/>
      <c r="AV192" s="1269"/>
      <c r="AW192" s="1195"/>
      <c r="AX192" s="996"/>
      <c r="AY192" s="998"/>
      <c r="AZ192" s="1208"/>
      <c r="BA192" s="1211"/>
      <c r="BB192" s="1211"/>
      <c r="BC192" s="1224"/>
      <c r="BD192" s="1236"/>
      <c r="BE192" s="1738"/>
      <c r="BF192" s="987"/>
      <c r="BG192" s="989"/>
      <c r="BH192" s="989"/>
      <c r="BI192" s="1275"/>
      <c r="BJ192" s="1195"/>
      <c r="BK192" s="996"/>
      <c r="BL192" s="1053"/>
      <c r="BM192" s="1167"/>
      <c r="BN192" s="1148"/>
      <c r="BO192" s="1148"/>
      <c r="BP192" s="1151"/>
      <c r="BQ192" s="1236"/>
      <c r="BR192" s="1738"/>
      <c r="BS192" s="1258"/>
      <c r="BT192" s="1023"/>
      <c r="BU192" s="1236"/>
      <c r="BV192" s="1177"/>
      <c r="BW192" s="1741"/>
      <c r="BX192" s="1127"/>
      <c r="BY192" s="1042"/>
      <c r="BZ192" s="1127"/>
      <c r="CA192" s="1042">
        <f t="shared" si="3"/>
        <v>0</v>
      </c>
      <c r="CB192" s="1127"/>
      <c r="CC192" s="1042">
        <f>IFERROR(#REF!/M192,0)</f>
        <v>0</v>
      </c>
      <c r="CD192" s="1263"/>
      <c r="CE192" s="1042"/>
      <c r="CF192" s="1127"/>
      <c r="CG192" s="1042"/>
    </row>
    <row r="193" spans="1:85" s="782" customFormat="1" ht="205.15" customHeight="1" thickBot="1" x14ac:dyDescent="0.3">
      <c r="A193" s="783"/>
      <c r="B193" s="1395"/>
      <c r="C193" s="1597"/>
      <c r="D193" s="1465"/>
      <c r="E193" s="1404"/>
      <c r="F193" s="1562"/>
      <c r="G193" s="1622"/>
      <c r="H193" s="1098"/>
      <c r="I193" s="1098"/>
      <c r="J193" s="1241"/>
      <c r="K193" s="1549"/>
      <c r="L193" s="1574"/>
      <c r="M193" s="1282"/>
      <c r="N193" s="1140"/>
      <c r="O193" s="1143"/>
      <c r="P193" s="1143"/>
      <c r="Q193" s="1146"/>
      <c r="R193" s="1729"/>
      <c r="S193" s="1015"/>
      <c r="T193" s="1017"/>
      <c r="U193" s="1017"/>
      <c r="V193" s="1270"/>
      <c r="W193" s="1196"/>
      <c r="X193" s="1068"/>
      <c r="Y193" s="1069"/>
      <c r="Z193" s="1221"/>
      <c r="AA193" s="1222"/>
      <c r="AB193" s="1222"/>
      <c r="AC193" s="1225"/>
      <c r="AD193" s="1237"/>
      <c r="AE193" s="1738"/>
      <c r="AF193" s="1015"/>
      <c r="AG193" s="1017"/>
      <c r="AH193" s="1017"/>
      <c r="AI193" s="1270"/>
      <c r="AJ193" s="1196"/>
      <c r="AK193" s="1068"/>
      <c r="AL193" s="1069"/>
      <c r="AM193" s="1221"/>
      <c r="AN193" s="1222"/>
      <c r="AO193" s="1222"/>
      <c r="AP193" s="1225"/>
      <c r="AQ193" s="1237"/>
      <c r="AR193" s="1738"/>
      <c r="AS193" s="1015"/>
      <c r="AT193" s="1017"/>
      <c r="AU193" s="1017"/>
      <c r="AV193" s="1270"/>
      <c r="AW193" s="1196"/>
      <c r="AX193" s="1068"/>
      <c r="AY193" s="1069"/>
      <c r="AZ193" s="1221"/>
      <c r="BA193" s="1222"/>
      <c r="BB193" s="1222"/>
      <c r="BC193" s="1225"/>
      <c r="BD193" s="1237"/>
      <c r="BE193" s="1738"/>
      <c r="BF193" s="988"/>
      <c r="BG193" s="990"/>
      <c r="BH193" s="990"/>
      <c r="BI193" s="1276"/>
      <c r="BJ193" s="1196"/>
      <c r="BK193" s="1068"/>
      <c r="BL193" s="1054"/>
      <c r="BM193" s="1206"/>
      <c r="BN193" s="1149"/>
      <c r="BO193" s="1149"/>
      <c r="BP193" s="1152"/>
      <c r="BQ193" s="1237"/>
      <c r="BR193" s="1738"/>
      <c r="BS193" s="1259"/>
      <c r="BT193" s="1175"/>
      <c r="BU193" s="1237"/>
      <c r="BV193" s="1177"/>
      <c r="BW193" s="1741"/>
      <c r="BX193" s="1128"/>
      <c r="BY193" s="1169"/>
      <c r="BZ193" s="1128"/>
      <c r="CA193" s="1169">
        <f t="shared" si="3"/>
        <v>0</v>
      </c>
      <c r="CB193" s="1128"/>
      <c r="CC193" s="1169">
        <f>IFERROR(#REF!/M193,0)</f>
        <v>0</v>
      </c>
      <c r="CD193" s="1264"/>
      <c r="CE193" s="1169"/>
      <c r="CF193" s="1128"/>
      <c r="CG193" s="1042"/>
    </row>
    <row r="194" spans="1:85" s="782" customFormat="1" ht="27.75" customHeight="1" x14ac:dyDescent="0.25">
      <c r="A194" s="783"/>
      <c r="B194" s="1395"/>
      <c r="C194" s="1595" t="s">
        <v>611</v>
      </c>
      <c r="D194" s="1605" t="s">
        <v>574</v>
      </c>
      <c r="E194" s="1598">
        <v>50</v>
      </c>
      <c r="F194" s="1537" t="s">
        <v>191</v>
      </c>
      <c r="G194" s="1604">
        <v>483</v>
      </c>
      <c r="H194" s="1419">
        <v>135</v>
      </c>
      <c r="I194" s="1419">
        <v>25</v>
      </c>
      <c r="J194" s="1577">
        <v>50</v>
      </c>
      <c r="K194" s="1549"/>
      <c r="L194" s="1573"/>
      <c r="M194" s="1281">
        <v>34501</v>
      </c>
      <c r="N194" s="1284">
        <v>0</v>
      </c>
      <c r="O194" s="1298">
        <v>0</v>
      </c>
      <c r="P194" s="1298">
        <v>34501</v>
      </c>
      <c r="Q194" s="1594" t="s">
        <v>520</v>
      </c>
      <c r="R194" s="1729"/>
      <c r="S194" s="1266"/>
      <c r="T194" s="1267"/>
      <c r="U194" s="1267"/>
      <c r="V194" s="1268"/>
      <c r="W194" s="1194">
        <f>IFERROR(SUM(S194:V205),0)</f>
        <v>0</v>
      </c>
      <c r="X194" s="995" t="s">
        <v>195</v>
      </c>
      <c r="Y194" s="997" t="s">
        <v>466</v>
      </c>
      <c r="Z194" s="1207"/>
      <c r="AA194" s="1210"/>
      <c r="AB194" s="1210"/>
      <c r="AC194" s="1223">
        <v>0</v>
      </c>
      <c r="AD194" s="1235">
        <f>SUM(Z194:AC205)</f>
        <v>0</v>
      </c>
      <c r="AE194" s="1738"/>
      <c r="AF194" s="1266"/>
      <c r="AG194" s="1267"/>
      <c r="AH194" s="1267"/>
      <c r="AI194" s="1268"/>
      <c r="AJ194" s="1194">
        <f>IFERROR(SUM(AF194:AI205),0)</f>
        <v>0</v>
      </c>
      <c r="AK194" s="995" t="s">
        <v>195</v>
      </c>
      <c r="AL194" s="997" t="s">
        <v>475</v>
      </c>
      <c r="AM194" s="1207"/>
      <c r="AN194" s="1210"/>
      <c r="AO194" s="1210"/>
      <c r="AP194" s="1223">
        <v>0</v>
      </c>
      <c r="AQ194" s="1235">
        <f>SUM(AM194:AP205)</f>
        <v>0</v>
      </c>
      <c r="AR194" s="1738"/>
      <c r="AS194" s="1266"/>
      <c r="AT194" s="1267"/>
      <c r="AU194" s="1267"/>
      <c r="AV194" s="1268">
        <v>15</v>
      </c>
      <c r="AW194" s="1194">
        <f>IFERROR(SUM(AS194:AV205),0)</f>
        <v>15</v>
      </c>
      <c r="AX194" s="995" t="s">
        <v>195</v>
      </c>
      <c r="AY194" s="997" t="s">
        <v>628</v>
      </c>
      <c r="AZ194" s="1207"/>
      <c r="BA194" s="1210"/>
      <c r="BB194" s="1210"/>
      <c r="BC194" s="1223">
        <v>34501</v>
      </c>
      <c r="BD194" s="1235">
        <f>SUM(AZ194:BC205)</f>
        <v>34501</v>
      </c>
      <c r="BE194" s="1738"/>
      <c r="BF194" s="1265"/>
      <c r="BG194" s="1273"/>
      <c r="BH194" s="1273"/>
      <c r="BI194" s="1274">
        <v>7</v>
      </c>
      <c r="BJ194" s="1194">
        <f>IFERROR(SUM(BF194:BI205),0)</f>
        <v>7</v>
      </c>
      <c r="BK194" s="995" t="s">
        <v>195</v>
      </c>
      <c r="BL194" s="1055" t="s">
        <v>685</v>
      </c>
      <c r="BM194" s="1166"/>
      <c r="BN194" s="1147"/>
      <c r="BO194" s="1147"/>
      <c r="BP194" s="1150"/>
      <c r="BQ194" s="1235">
        <f>SUM(BM194:BP205)</f>
        <v>0</v>
      </c>
      <c r="BR194" s="1738"/>
      <c r="BS194" s="1260"/>
      <c r="BT194" s="1022">
        <f>SUM(W194,AJ194,AW194,BJ194)</f>
        <v>22</v>
      </c>
      <c r="BU194" s="1235">
        <f>SUM(AD194,AQ194,BD194,BQ194)</f>
        <v>34501</v>
      </c>
      <c r="BV194" s="1177"/>
      <c r="BW194" s="1741"/>
      <c r="BX194" s="1125">
        <f>IFERROR(W194/G194,0)</f>
        <v>0</v>
      </c>
      <c r="BY194" s="1041">
        <f>IFERROR(AD194/N194,0)</f>
        <v>0</v>
      </c>
      <c r="BZ194" s="1125">
        <f>IFERROR(AJ194/H194,0)</f>
        <v>0</v>
      </c>
      <c r="CA194" s="1041">
        <f>IFERROR(AQ194/O194,0)</f>
        <v>0</v>
      </c>
      <c r="CB194" s="1125">
        <f>IFERROR(AW194/I194,0)</f>
        <v>0.6</v>
      </c>
      <c r="CC194" s="1041">
        <f>IFERROR(BD194/P194,0)</f>
        <v>1</v>
      </c>
      <c r="CD194" s="1262">
        <f>IFERROR(BJ194/J194,0)</f>
        <v>0.14000000000000001</v>
      </c>
      <c r="CE194" s="1041">
        <f>IFERROR(BQ194/Q194,0)</f>
        <v>0</v>
      </c>
      <c r="CF194" s="1126">
        <f>IFERROR(BT194/E194,0)</f>
        <v>0.44</v>
      </c>
      <c r="CG194" s="1042"/>
    </row>
    <row r="195" spans="1:85" s="782" customFormat="1" ht="27.75" customHeight="1" x14ac:dyDescent="0.25">
      <c r="A195" s="783"/>
      <c r="B195" s="1395"/>
      <c r="C195" s="1470"/>
      <c r="D195" s="1606"/>
      <c r="E195" s="1598"/>
      <c r="F195" s="1537"/>
      <c r="G195" s="1604"/>
      <c r="H195" s="1419"/>
      <c r="I195" s="1419"/>
      <c r="J195" s="1577"/>
      <c r="K195" s="1549"/>
      <c r="L195" s="1574"/>
      <c r="M195" s="1282"/>
      <c r="N195" s="1285"/>
      <c r="O195" s="1299"/>
      <c r="P195" s="1299"/>
      <c r="Q195" s="1553"/>
      <c r="R195" s="1729"/>
      <c r="S195" s="1014"/>
      <c r="T195" s="1016"/>
      <c r="U195" s="1016"/>
      <c r="V195" s="1269"/>
      <c r="W195" s="1195"/>
      <c r="X195" s="996"/>
      <c r="Y195" s="998"/>
      <c r="Z195" s="1208"/>
      <c r="AA195" s="1211"/>
      <c r="AB195" s="1211"/>
      <c r="AC195" s="1224"/>
      <c r="AD195" s="1236"/>
      <c r="AE195" s="1738"/>
      <c r="AF195" s="1014"/>
      <c r="AG195" s="1016"/>
      <c r="AH195" s="1016"/>
      <c r="AI195" s="1269"/>
      <c r="AJ195" s="1195"/>
      <c r="AK195" s="996"/>
      <c r="AL195" s="998"/>
      <c r="AM195" s="1208"/>
      <c r="AN195" s="1211"/>
      <c r="AO195" s="1211"/>
      <c r="AP195" s="1224"/>
      <c r="AQ195" s="1236"/>
      <c r="AR195" s="1738"/>
      <c r="AS195" s="1014"/>
      <c r="AT195" s="1016"/>
      <c r="AU195" s="1016"/>
      <c r="AV195" s="1269"/>
      <c r="AW195" s="1195"/>
      <c r="AX195" s="996"/>
      <c r="AY195" s="998"/>
      <c r="AZ195" s="1208"/>
      <c r="BA195" s="1211"/>
      <c r="BB195" s="1211"/>
      <c r="BC195" s="1224"/>
      <c r="BD195" s="1236"/>
      <c r="BE195" s="1738"/>
      <c r="BF195" s="987"/>
      <c r="BG195" s="989"/>
      <c r="BH195" s="989"/>
      <c r="BI195" s="1275"/>
      <c r="BJ195" s="1195"/>
      <c r="BK195" s="996"/>
      <c r="BL195" s="1053"/>
      <c r="BM195" s="1167"/>
      <c r="BN195" s="1148"/>
      <c r="BO195" s="1148"/>
      <c r="BP195" s="1151"/>
      <c r="BQ195" s="1236"/>
      <c r="BR195" s="1738"/>
      <c r="BS195" s="1258"/>
      <c r="BT195" s="1023"/>
      <c r="BU195" s="1236"/>
      <c r="BV195" s="1177"/>
      <c r="BW195" s="1741"/>
      <c r="BX195" s="1127"/>
      <c r="BY195" s="1042"/>
      <c r="BZ195" s="1127"/>
      <c r="CA195" s="1042">
        <f t="shared" si="3"/>
        <v>0</v>
      </c>
      <c r="CB195" s="1127"/>
      <c r="CC195" s="1042">
        <f>IFERROR(#REF!/M195,0)</f>
        <v>0</v>
      </c>
      <c r="CD195" s="1263"/>
      <c r="CE195" s="1042"/>
      <c r="CF195" s="1126"/>
      <c r="CG195" s="1042"/>
    </row>
    <row r="196" spans="1:85" s="782" customFormat="1" ht="27.75" customHeight="1" x14ac:dyDescent="0.25">
      <c r="A196" s="783"/>
      <c r="B196" s="1395"/>
      <c r="C196" s="1470"/>
      <c r="D196" s="1606"/>
      <c r="E196" s="1598"/>
      <c r="F196" s="1537"/>
      <c r="G196" s="1604"/>
      <c r="H196" s="1419"/>
      <c r="I196" s="1419"/>
      <c r="J196" s="1577"/>
      <c r="K196" s="1549"/>
      <c r="L196" s="1574"/>
      <c r="M196" s="1282"/>
      <c r="N196" s="1285"/>
      <c r="O196" s="1299"/>
      <c r="P196" s="1299"/>
      <c r="Q196" s="1553"/>
      <c r="R196" s="1729"/>
      <c r="S196" s="1014"/>
      <c r="T196" s="1016"/>
      <c r="U196" s="1016"/>
      <c r="V196" s="1269"/>
      <c r="W196" s="1195"/>
      <c r="X196" s="996"/>
      <c r="Y196" s="998"/>
      <c r="Z196" s="1208"/>
      <c r="AA196" s="1211"/>
      <c r="AB196" s="1211"/>
      <c r="AC196" s="1224"/>
      <c r="AD196" s="1236"/>
      <c r="AE196" s="1738"/>
      <c r="AF196" s="1014"/>
      <c r="AG196" s="1016"/>
      <c r="AH196" s="1016"/>
      <c r="AI196" s="1269"/>
      <c r="AJ196" s="1195"/>
      <c r="AK196" s="996"/>
      <c r="AL196" s="998"/>
      <c r="AM196" s="1208"/>
      <c r="AN196" s="1211"/>
      <c r="AO196" s="1211"/>
      <c r="AP196" s="1224"/>
      <c r="AQ196" s="1236"/>
      <c r="AR196" s="1738"/>
      <c r="AS196" s="1014"/>
      <c r="AT196" s="1016"/>
      <c r="AU196" s="1016"/>
      <c r="AV196" s="1269"/>
      <c r="AW196" s="1195"/>
      <c r="AX196" s="996"/>
      <c r="AY196" s="998"/>
      <c r="AZ196" s="1208"/>
      <c r="BA196" s="1211"/>
      <c r="BB196" s="1211"/>
      <c r="BC196" s="1224"/>
      <c r="BD196" s="1236"/>
      <c r="BE196" s="1738"/>
      <c r="BF196" s="987"/>
      <c r="BG196" s="989"/>
      <c r="BH196" s="989"/>
      <c r="BI196" s="1275"/>
      <c r="BJ196" s="1195"/>
      <c r="BK196" s="996"/>
      <c r="BL196" s="1053"/>
      <c r="BM196" s="1167"/>
      <c r="BN196" s="1148"/>
      <c r="BO196" s="1148"/>
      <c r="BP196" s="1151"/>
      <c r="BQ196" s="1236"/>
      <c r="BR196" s="1738"/>
      <c r="BS196" s="1258"/>
      <c r="BT196" s="1023"/>
      <c r="BU196" s="1236"/>
      <c r="BV196" s="1177"/>
      <c r="BW196" s="1741"/>
      <c r="BX196" s="1127"/>
      <c r="BY196" s="1042"/>
      <c r="BZ196" s="1127"/>
      <c r="CA196" s="1042"/>
      <c r="CB196" s="1127"/>
      <c r="CC196" s="1042"/>
      <c r="CD196" s="1263"/>
      <c r="CE196" s="1042"/>
      <c r="CF196" s="1126"/>
      <c r="CG196" s="1042"/>
    </row>
    <row r="197" spans="1:85" s="782" customFormat="1" ht="166.9" customHeight="1" x14ac:dyDescent="0.25">
      <c r="A197" s="783"/>
      <c r="B197" s="1395"/>
      <c r="C197" s="1470"/>
      <c r="D197" s="1606"/>
      <c r="E197" s="1598"/>
      <c r="F197" s="1537"/>
      <c r="G197" s="1604"/>
      <c r="H197" s="1419"/>
      <c r="I197" s="1419"/>
      <c r="J197" s="1577"/>
      <c r="K197" s="1549"/>
      <c r="L197" s="1574"/>
      <c r="M197" s="1282"/>
      <c r="N197" s="1285"/>
      <c r="O197" s="1299"/>
      <c r="P197" s="1299"/>
      <c r="Q197" s="1553"/>
      <c r="R197" s="1729"/>
      <c r="S197" s="1014"/>
      <c r="T197" s="1016"/>
      <c r="U197" s="1016"/>
      <c r="V197" s="1269"/>
      <c r="W197" s="1195"/>
      <c r="X197" s="996"/>
      <c r="Y197" s="998"/>
      <c r="Z197" s="1208"/>
      <c r="AA197" s="1211"/>
      <c r="AB197" s="1211"/>
      <c r="AC197" s="1224"/>
      <c r="AD197" s="1236"/>
      <c r="AE197" s="1738"/>
      <c r="AF197" s="1014"/>
      <c r="AG197" s="1016"/>
      <c r="AH197" s="1016"/>
      <c r="AI197" s="1269"/>
      <c r="AJ197" s="1195"/>
      <c r="AK197" s="996"/>
      <c r="AL197" s="998"/>
      <c r="AM197" s="1208"/>
      <c r="AN197" s="1211"/>
      <c r="AO197" s="1211"/>
      <c r="AP197" s="1224"/>
      <c r="AQ197" s="1236"/>
      <c r="AR197" s="1738"/>
      <c r="AS197" s="1014"/>
      <c r="AT197" s="1016"/>
      <c r="AU197" s="1016"/>
      <c r="AV197" s="1269"/>
      <c r="AW197" s="1195"/>
      <c r="AX197" s="996"/>
      <c r="AY197" s="998"/>
      <c r="AZ197" s="1208"/>
      <c r="BA197" s="1211"/>
      <c r="BB197" s="1211"/>
      <c r="BC197" s="1224"/>
      <c r="BD197" s="1236"/>
      <c r="BE197" s="1738"/>
      <c r="BF197" s="987"/>
      <c r="BG197" s="989"/>
      <c r="BH197" s="989"/>
      <c r="BI197" s="1275"/>
      <c r="BJ197" s="1195"/>
      <c r="BK197" s="996"/>
      <c r="BL197" s="1053"/>
      <c r="BM197" s="1167"/>
      <c r="BN197" s="1148"/>
      <c r="BO197" s="1148"/>
      <c r="BP197" s="1151"/>
      <c r="BQ197" s="1236"/>
      <c r="BR197" s="1738"/>
      <c r="BS197" s="1258"/>
      <c r="BT197" s="1023"/>
      <c r="BU197" s="1236"/>
      <c r="BV197" s="1177"/>
      <c r="BW197" s="1741"/>
      <c r="BX197" s="1127"/>
      <c r="BY197" s="1042"/>
      <c r="BZ197" s="1127"/>
      <c r="CA197" s="1042"/>
      <c r="CB197" s="1127"/>
      <c r="CC197" s="1042"/>
      <c r="CD197" s="1263"/>
      <c r="CE197" s="1042"/>
      <c r="CF197" s="1126"/>
      <c r="CG197" s="1042"/>
    </row>
    <row r="198" spans="1:85" s="782" customFormat="1" ht="15.75" customHeight="1" x14ac:dyDescent="0.25">
      <c r="A198" s="783"/>
      <c r="B198" s="1395"/>
      <c r="C198" s="1470"/>
      <c r="D198" s="1606"/>
      <c r="E198" s="1598"/>
      <c r="F198" s="1537"/>
      <c r="G198" s="1604"/>
      <c r="H198" s="1419"/>
      <c r="I198" s="1419"/>
      <c r="J198" s="1577"/>
      <c r="K198" s="1549"/>
      <c r="L198" s="1574"/>
      <c r="M198" s="1282"/>
      <c r="N198" s="1285"/>
      <c r="O198" s="1299"/>
      <c r="P198" s="1299"/>
      <c r="Q198" s="1553"/>
      <c r="R198" s="1729"/>
      <c r="S198" s="1014"/>
      <c r="T198" s="1016"/>
      <c r="U198" s="1016"/>
      <c r="V198" s="1269"/>
      <c r="W198" s="1195"/>
      <c r="X198" s="996" t="s">
        <v>196</v>
      </c>
      <c r="Y198" s="998"/>
      <c r="Z198" s="1208"/>
      <c r="AA198" s="1211"/>
      <c r="AB198" s="1211"/>
      <c r="AC198" s="1224"/>
      <c r="AD198" s="1236"/>
      <c r="AE198" s="1738"/>
      <c r="AF198" s="1014"/>
      <c r="AG198" s="1016"/>
      <c r="AH198" s="1016"/>
      <c r="AI198" s="1269"/>
      <c r="AJ198" s="1195"/>
      <c r="AK198" s="996" t="s">
        <v>196</v>
      </c>
      <c r="AL198" s="998"/>
      <c r="AM198" s="1208"/>
      <c r="AN198" s="1211"/>
      <c r="AO198" s="1211"/>
      <c r="AP198" s="1224"/>
      <c r="AQ198" s="1236"/>
      <c r="AR198" s="1738"/>
      <c r="AS198" s="1014"/>
      <c r="AT198" s="1016"/>
      <c r="AU198" s="1016"/>
      <c r="AV198" s="1269"/>
      <c r="AW198" s="1195"/>
      <c r="AX198" s="996" t="s">
        <v>196</v>
      </c>
      <c r="AY198" s="1271" t="s">
        <v>633</v>
      </c>
      <c r="AZ198" s="1208"/>
      <c r="BA198" s="1211"/>
      <c r="BB198" s="1211"/>
      <c r="BC198" s="1224"/>
      <c r="BD198" s="1236"/>
      <c r="BE198" s="1738"/>
      <c r="BF198" s="987"/>
      <c r="BG198" s="989"/>
      <c r="BH198" s="989"/>
      <c r="BI198" s="1275"/>
      <c r="BJ198" s="1195"/>
      <c r="BK198" s="996" t="s">
        <v>196</v>
      </c>
      <c r="BL198" s="1053" t="s">
        <v>686</v>
      </c>
      <c r="BM198" s="1167"/>
      <c r="BN198" s="1148"/>
      <c r="BO198" s="1148"/>
      <c r="BP198" s="1151"/>
      <c r="BQ198" s="1236"/>
      <c r="BR198" s="1738"/>
      <c r="BS198" s="1258"/>
      <c r="BT198" s="1023"/>
      <c r="BU198" s="1236"/>
      <c r="BV198" s="1177"/>
      <c r="BW198" s="1741"/>
      <c r="BX198" s="1127"/>
      <c r="BY198" s="1042"/>
      <c r="BZ198" s="1127"/>
      <c r="CA198" s="1042"/>
      <c r="CB198" s="1127"/>
      <c r="CC198" s="1042"/>
      <c r="CD198" s="1263"/>
      <c r="CE198" s="1042"/>
      <c r="CF198" s="1126"/>
      <c r="CG198" s="1042"/>
    </row>
    <row r="199" spans="1:85" s="782" customFormat="1" ht="15.75" customHeight="1" x14ac:dyDescent="0.25">
      <c r="A199" s="783"/>
      <c r="B199" s="1395"/>
      <c r="C199" s="1470"/>
      <c r="D199" s="1606"/>
      <c r="E199" s="1598"/>
      <c r="F199" s="1537"/>
      <c r="G199" s="1604"/>
      <c r="H199" s="1419"/>
      <c r="I199" s="1419"/>
      <c r="J199" s="1577"/>
      <c r="K199" s="1549"/>
      <c r="L199" s="1574"/>
      <c r="M199" s="1282"/>
      <c r="N199" s="1285"/>
      <c r="O199" s="1299"/>
      <c r="P199" s="1299"/>
      <c r="Q199" s="1553"/>
      <c r="R199" s="1729"/>
      <c r="S199" s="1014"/>
      <c r="T199" s="1016"/>
      <c r="U199" s="1016"/>
      <c r="V199" s="1269"/>
      <c r="W199" s="1195"/>
      <c r="X199" s="996"/>
      <c r="Y199" s="998"/>
      <c r="Z199" s="1208"/>
      <c r="AA199" s="1211"/>
      <c r="AB199" s="1211"/>
      <c r="AC199" s="1224"/>
      <c r="AD199" s="1236"/>
      <c r="AE199" s="1738"/>
      <c r="AF199" s="1014"/>
      <c r="AG199" s="1016"/>
      <c r="AH199" s="1016"/>
      <c r="AI199" s="1269"/>
      <c r="AJ199" s="1195"/>
      <c r="AK199" s="996"/>
      <c r="AL199" s="998"/>
      <c r="AM199" s="1208"/>
      <c r="AN199" s="1211"/>
      <c r="AO199" s="1211"/>
      <c r="AP199" s="1224"/>
      <c r="AQ199" s="1236"/>
      <c r="AR199" s="1738"/>
      <c r="AS199" s="1014"/>
      <c r="AT199" s="1016"/>
      <c r="AU199" s="1016"/>
      <c r="AV199" s="1269"/>
      <c r="AW199" s="1195"/>
      <c r="AX199" s="996"/>
      <c r="AY199" s="1272"/>
      <c r="AZ199" s="1208"/>
      <c r="BA199" s="1211"/>
      <c r="BB199" s="1211"/>
      <c r="BC199" s="1224"/>
      <c r="BD199" s="1236"/>
      <c r="BE199" s="1738"/>
      <c r="BF199" s="987"/>
      <c r="BG199" s="989"/>
      <c r="BH199" s="989"/>
      <c r="BI199" s="1275"/>
      <c r="BJ199" s="1195"/>
      <c r="BK199" s="996"/>
      <c r="BL199" s="1053"/>
      <c r="BM199" s="1167"/>
      <c r="BN199" s="1148"/>
      <c r="BO199" s="1148"/>
      <c r="BP199" s="1151"/>
      <c r="BQ199" s="1236"/>
      <c r="BR199" s="1738"/>
      <c r="BS199" s="1258"/>
      <c r="BT199" s="1023"/>
      <c r="BU199" s="1236"/>
      <c r="BV199" s="1177"/>
      <c r="BW199" s="1741"/>
      <c r="BX199" s="1127"/>
      <c r="BY199" s="1042"/>
      <c r="BZ199" s="1127"/>
      <c r="CA199" s="1042"/>
      <c r="CB199" s="1127"/>
      <c r="CC199" s="1042"/>
      <c r="CD199" s="1263"/>
      <c r="CE199" s="1042"/>
      <c r="CF199" s="1126"/>
      <c r="CG199" s="1042"/>
    </row>
    <row r="200" spans="1:85" s="782" customFormat="1" ht="29.25" customHeight="1" x14ac:dyDescent="0.25">
      <c r="A200" s="783"/>
      <c r="B200" s="1395"/>
      <c r="C200" s="1470"/>
      <c r="D200" s="1606"/>
      <c r="E200" s="1598"/>
      <c r="F200" s="1537"/>
      <c r="G200" s="1604"/>
      <c r="H200" s="1419"/>
      <c r="I200" s="1419"/>
      <c r="J200" s="1577"/>
      <c r="K200" s="1549"/>
      <c r="L200" s="1574"/>
      <c r="M200" s="1282"/>
      <c r="N200" s="1285"/>
      <c r="O200" s="1299"/>
      <c r="P200" s="1299"/>
      <c r="Q200" s="1553"/>
      <c r="R200" s="1729"/>
      <c r="S200" s="1014"/>
      <c r="T200" s="1016"/>
      <c r="U200" s="1016"/>
      <c r="V200" s="1269"/>
      <c r="W200" s="1195"/>
      <c r="X200" s="996"/>
      <c r="Y200" s="998"/>
      <c r="Z200" s="1208"/>
      <c r="AA200" s="1211"/>
      <c r="AB200" s="1211"/>
      <c r="AC200" s="1224"/>
      <c r="AD200" s="1236"/>
      <c r="AE200" s="1738"/>
      <c r="AF200" s="1014"/>
      <c r="AG200" s="1016"/>
      <c r="AH200" s="1016"/>
      <c r="AI200" s="1269"/>
      <c r="AJ200" s="1195"/>
      <c r="AK200" s="996"/>
      <c r="AL200" s="998"/>
      <c r="AM200" s="1208"/>
      <c r="AN200" s="1211"/>
      <c r="AO200" s="1211"/>
      <c r="AP200" s="1224"/>
      <c r="AQ200" s="1236"/>
      <c r="AR200" s="1738"/>
      <c r="AS200" s="1014"/>
      <c r="AT200" s="1016"/>
      <c r="AU200" s="1016"/>
      <c r="AV200" s="1269"/>
      <c r="AW200" s="1195"/>
      <c r="AX200" s="996"/>
      <c r="AY200" s="1272"/>
      <c r="AZ200" s="1208"/>
      <c r="BA200" s="1211"/>
      <c r="BB200" s="1211"/>
      <c r="BC200" s="1224"/>
      <c r="BD200" s="1236"/>
      <c r="BE200" s="1738"/>
      <c r="BF200" s="987"/>
      <c r="BG200" s="989"/>
      <c r="BH200" s="989"/>
      <c r="BI200" s="1275"/>
      <c r="BJ200" s="1195"/>
      <c r="BK200" s="996"/>
      <c r="BL200" s="1053"/>
      <c r="BM200" s="1167"/>
      <c r="BN200" s="1148"/>
      <c r="BO200" s="1148"/>
      <c r="BP200" s="1151"/>
      <c r="BQ200" s="1236"/>
      <c r="BR200" s="1738"/>
      <c r="BS200" s="1258"/>
      <c r="BT200" s="1023"/>
      <c r="BU200" s="1236"/>
      <c r="BV200" s="1177"/>
      <c r="BW200" s="1741"/>
      <c r="BX200" s="1127"/>
      <c r="BY200" s="1042"/>
      <c r="BZ200" s="1127"/>
      <c r="CA200" s="1042"/>
      <c r="CB200" s="1127"/>
      <c r="CC200" s="1042"/>
      <c r="CD200" s="1263"/>
      <c r="CE200" s="1042"/>
      <c r="CF200" s="1126"/>
      <c r="CG200" s="1042"/>
    </row>
    <row r="201" spans="1:85" s="782" customFormat="1" ht="116.45" customHeight="1" x14ac:dyDescent="0.25">
      <c r="A201" s="783"/>
      <c r="B201" s="1395"/>
      <c r="C201" s="1470"/>
      <c r="D201" s="1606"/>
      <c r="E201" s="1598"/>
      <c r="F201" s="1537"/>
      <c r="G201" s="1604"/>
      <c r="H201" s="1419"/>
      <c r="I201" s="1419"/>
      <c r="J201" s="1577"/>
      <c r="K201" s="1549"/>
      <c r="L201" s="1574"/>
      <c r="M201" s="1282"/>
      <c r="N201" s="1285"/>
      <c r="O201" s="1299"/>
      <c r="P201" s="1299"/>
      <c r="Q201" s="1553"/>
      <c r="R201" s="1729"/>
      <c r="S201" s="1014"/>
      <c r="T201" s="1016"/>
      <c r="U201" s="1016"/>
      <c r="V201" s="1269"/>
      <c r="W201" s="1195"/>
      <c r="X201" s="996"/>
      <c r="Y201" s="998"/>
      <c r="Z201" s="1208"/>
      <c r="AA201" s="1211"/>
      <c r="AB201" s="1211"/>
      <c r="AC201" s="1224"/>
      <c r="AD201" s="1236"/>
      <c r="AE201" s="1738"/>
      <c r="AF201" s="1014"/>
      <c r="AG201" s="1016"/>
      <c r="AH201" s="1016"/>
      <c r="AI201" s="1269"/>
      <c r="AJ201" s="1195"/>
      <c r="AK201" s="996"/>
      <c r="AL201" s="998"/>
      <c r="AM201" s="1208"/>
      <c r="AN201" s="1211"/>
      <c r="AO201" s="1211"/>
      <c r="AP201" s="1224"/>
      <c r="AQ201" s="1236"/>
      <c r="AR201" s="1738"/>
      <c r="AS201" s="1014"/>
      <c r="AT201" s="1016"/>
      <c r="AU201" s="1016"/>
      <c r="AV201" s="1269"/>
      <c r="AW201" s="1195"/>
      <c r="AX201" s="996"/>
      <c r="AY201" s="1272"/>
      <c r="AZ201" s="1208"/>
      <c r="BA201" s="1211"/>
      <c r="BB201" s="1211"/>
      <c r="BC201" s="1224"/>
      <c r="BD201" s="1236"/>
      <c r="BE201" s="1738"/>
      <c r="BF201" s="987"/>
      <c r="BG201" s="989"/>
      <c r="BH201" s="989"/>
      <c r="BI201" s="1275"/>
      <c r="BJ201" s="1195"/>
      <c r="BK201" s="996"/>
      <c r="BL201" s="1053"/>
      <c r="BM201" s="1167"/>
      <c r="BN201" s="1148"/>
      <c r="BO201" s="1148"/>
      <c r="BP201" s="1151"/>
      <c r="BQ201" s="1236"/>
      <c r="BR201" s="1738"/>
      <c r="BS201" s="1258"/>
      <c r="BT201" s="1023"/>
      <c r="BU201" s="1236"/>
      <c r="BV201" s="1177"/>
      <c r="BW201" s="1741"/>
      <c r="BX201" s="1127"/>
      <c r="BY201" s="1042"/>
      <c r="BZ201" s="1127"/>
      <c r="CA201" s="1042">
        <f t="shared" si="3"/>
        <v>0</v>
      </c>
      <c r="CB201" s="1127"/>
      <c r="CC201" s="1042">
        <f>IFERROR(#REF!/M201,0)</f>
        <v>0</v>
      </c>
      <c r="CD201" s="1263"/>
      <c r="CE201" s="1042"/>
      <c r="CF201" s="1127"/>
      <c r="CG201" s="1042"/>
    </row>
    <row r="202" spans="1:85" s="782" customFormat="1" ht="27.75" customHeight="1" x14ac:dyDescent="0.25">
      <c r="A202" s="783"/>
      <c r="B202" s="1395"/>
      <c r="C202" s="1397"/>
      <c r="D202" s="1607"/>
      <c r="E202" s="1403"/>
      <c r="F202" s="1467"/>
      <c r="G202" s="1215"/>
      <c r="H202" s="1097"/>
      <c r="I202" s="1097"/>
      <c r="J202" s="1240"/>
      <c r="K202" s="1549"/>
      <c r="L202" s="1574"/>
      <c r="M202" s="1282"/>
      <c r="N202" s="1285"/>
      <c r="O202" s="1299"/>
      <c r="P202" s="1299"/>
      <c r="Q202" s="1553"/>
      <c r="R202" s="1729"/>
      <c r="S202" s="1014"/>
      <c r="T202" s="1016"/>
      <c r="U202" s="1016"/>
      <c r="V202" s="1269"/>
      <c r="W202" s="1195"/>
      <c r="X202" s="996" t="s">
        <v>197</v>
      </c>
      <c r="Y202" s="998"/>
      <c r="Z202" s="1208"/>
      <c r="AA202" s="1211"/>
      <c r="AB202" s="1211"/>
      <c r="AC202" s="1224"/>
      <c r="AD202" s="1236"/>
      <c r="AE202" s="1738"/>
      <c r="AF202" s="1014"/>
      <c r="AG202" s="1016"/>
      <c r="AH202" s="1016"/>
      <c r="AI202" s="1269"/>
      <c r="AJ202" s="1195"/>
      <c r="AK202" s="996" t="s">
        <v>197</v>
      </c>
      <c r="AL202" s="998"/>
      <c r="AM202" s="1208"/>
      <c r="AN202" s="1211"/>
      <c r="AO202" s="1211"/>
      <c r="AP202" s="1224"/>
      <c r="AQ202" s="1236"/>
      <c r="AR202" s="1738"/>
      <c r="AS202" s="1014"/>
      <c r="AT202" s="1016"/>
      <c r="AU202" s="1016"/>
      <c r="AV202" s="1269"/>
      <c r="AW202" s="1195"/>
      <c r="AX202" s="996" t="s">
        <v>197</v>
      </c>
      <c r="AY202" s="998" t="s">
        <v>612</v>
      </c>
      <c r="AZ202" s="1208"/>
      <c r="BA202" s="1211"/>
      <c r="BB202" s="1211"/>
      <c r="BC202" s="1224"/>
      <c r="BD202" s="1236"/>
      <c r="BE202" s="1738"/>
      <c r="BF202" s="987"/>
      <c r="BG202" s="989"/>
      <c r="BH202" s="989"/>
      <c r="BI202" s="1275"/>
      <c r="BJ202" s="1195"/>
      <c r="BK202" s="996" t="s">
        <v>197</v>
      </c>
      <c r="BL202" s="1053" t="s">
        <v>687</v>
      </c>
      <c r="BM202" s="1167"/>
      <c r="BN202" s="1148"/>
      <c r="BO202" s="1148"/>
      <c r="BP202" s="1151"/>
      <c r="BQ202" s="1236"/>
      <c r="BR202" s="1738"/>
      <c r="BS202" s="1258"/>
      <c r="BT202" s="1023"/>
      <c r="BU202" s="1236"/>
      <c r="BV202" s="1177"/>
      <c r="BW202" s="1741"/>
      <c r="BX202" s="1127"/>
      <c r="BY202" s="1042"/>
      <c r="BZ202" s="1127"/>
      <c r="CA202" s="1042">
        <f t="shared" si="3"/>
        <v>0</v>
      </c>
      <c r="CB202" s="1127"/>
      <c r="CC202" s="1042">
        <f>IFERROR(#REF!/M202,0)</f>
        <v>0</v>
      </c>
      <c r="CD202" s="1263"/>
      <c r="CE202" s="1042"/>
      <c r="CF202" s="1127"/>
      <c r="CG202" s="1042"/>
    </row>
    <row r="203" spans="1:85" s="782" customFormat="1" ht="27.75" customHeight="1" x14ac:dyDescent="0.25">
      <c r="A203" s="783"/>
      <c r="B203" s="1395"/>
      <c r="C203" s="1397"/>
      <c r="D203" s="1607"/>
      <c r="E203" s="1403"/>
      <c r="F203" s="1467"/>
      <c r="G203" s="1215"/>
      <c r="H203" s="1097"/>
      <c r="I203" s="1097"/>
      <c r="J203" s="1240"/>
      <c r="K203" s="1549"/>
      <c r="L203" s="1574"/>
      <c r="M203" s="1282"/>
      <c r="N203" s="1285"/>
      <c r="O203" s="1299"/>
      <c r="P203" s="1299"/>
      <c r="Q203" s="1553"/>
      <c r="R203" s="1729"/>
      <c r="S203" s="1014"/>
      <c r="T203" s="1016"/>
      <c r="U203" s="1016"/>
      <c r="V203" s="1269"/>
      <c r="W203" s="1195"/>
      <c r="X203" s="996"/>
      <c r="Y203" s="998"/>
      <c r="Z203" s="1208"/>
      <c r="AA203" s="1211"/>
      <c r="AB203" s="1211"/>
      <c r="AC203" s="1224"/>
      <c r="AD203" s="1236"/>
      <c r="AE203" s="1738"/>
      <c r="AF203" s="1014"/>
      <c r="AG203" s="1016"/>
      <c r="AH203" s="1016"/>
      <c r="AI203" s="1269"/>
      <c r="AJ203" s="1195"/>
      <c r="AK203" s="996"/>
      <c r="AL203" s="998"/>
      <c r="AM203" s="1208"/>
      <c r="AN203" s="1211"/>
      <c r="AO203" s="1211"/>
      <c r="AP203" s="1224"/>
      <c r="AQ203" s="1236"/>
      <c r="AR203" s="1738"/>
      <c r="AS203" s="1014"/>
      <c r="AT203" s="1016"/>
      <c r="AU203" s="1016"/>
      <c r="AV203" s="1269"/>
      <c r="AW203" s="1195"/>
      <c r="AX203" s="996"/>
      <c r="AY203" s="998"/>
      <c r="AZ203" s="1208"/>
      <c r="BA203" s="1211"/>
      <c r="BB203" s="1211"/>
      <c r="BC203" s="1224"/>
      <c r="BD203" s="1236"/>
      <c r="BE203" s="1738"/>
      <c r="BF203" s="987"/>
      <c r="BG203" s="989"/>
      <c r="BH203" s="989"/>
      <c r="BI203" s="1275"/>
      <c r="BJ203" s="1195"/>
      <c r="BK203" s="996"/>
      <c r="BL203" s="1053"/>
      <c r="BM203" s="1167"/>
      <c r="BN203" s="1148"/>
      <c r="BO203" s="1148"/>
      <c r="BP203" s="1151"/>
      <c r="BQ203" s="1236"/>
      <c r="BR203" s="1738"/>
      <c r="BS203" s="1258"/>
      <c r="BT203" s="1023"/>
      <c r="BU203" s="1236"/>
      <c r="BV203" s="1177"/>
      <c r="BW203" s="1741"/>
      <c r="BX203" s="1127"/>
      <c r="BY203" s="1042"/>
      <c r="BZ203" s="1127"/>
      <c r="CA203" s="1042">
        <f t="shared" si="3"/>
        <v>0</v>
      </c>
      <c r="CB203" s="1127"/>
      <c r="CC203" s="1042">
        <f>IFERROR(#REF!/M203,0)</f>
        <v>0</v>
      </c>
      <c r="CD203" s="1263"/>
      <c r="CE203" s="1042"/>
      <c r="CF203" s="1127"/>
      <c r="CG203" s="1042"/>
    </row>
    <row r="204" spans="1:85" s="782" customFormat="1" ht="27.75" customHeight="1" x14ac:dyDescent="0.25">
      <c r="A204" s="783"/>
      <c r="B204" s="1395"/>
      <c r="C204" s="1397"/>
      <c r="D204" s="1607"/>
      <c r="E204" s="1403"/>
      <c r="F204" s="1467"/>
      <c r="G204" s="1215"/>
      <c r="H204" s="1097"/>
      <c r="I204" s="1097"/>
      <c r="J204" s="1240"/>
      <c r="K204" s="1549"/>
      <c r="L204" s="1574"/>
      <c r="M204" s="1282"/>
      <c r="N204" s="1285"/>
      <c r="O204" s="1299"/>
      <c r="P204" s="1299"/>
      <c r="Q204" s="1553"/>
      <c r="R204" s="1729"/>
      <c r="S204" s="1014"/>
      <c r="T204" s="1016"/>
      <c r="U204" s="1016"/>
      <c r="V204" s="1269"/>
      <c r="W204" s="1195"/>
      <c r="X204" s="996"/>
      <c r="Y204" s="998"/>
      <c r="Z204" s="1208"/>
      <c r="AA204" s="1211"/>
      <c r="AB204" s="1211"/>
      <c r="AC204" s="1224"/>
      <c r="AD204" s="1236"/>
      <c r="AE204" s="1738"/>
      <c r="AF204" s="1014"/>
      <c r="AG204" s="1016"/>
      <c r="AH204" s="1016"/>
      <c r="AI204" s="1269"/>
      <c r="AJ204" s="1195"/>
      <c r="AK204" s="996"/>
      <c r="AL204" s="998"/>
      <c r="AM204" s="1208"/>
      <c r="AN204" s="1211"/>
      <c r="AO204" s="1211"/>
      <c r="AP204" s="1224"/>
      <c r="AQ204" s="1236"/>
      <c r="AR204" s="1738"/>
      <c r="AS204" s="1014"/>
      <c r="AT204" s="1016"/>
      <c r="AU204" s="1016"/>
      <c r="AV204" s="1269"/>
      <c r="AW204" s="1195"/>
      <c r="AX204" s="996"/>
      <c r="AY204" s="998"/>
      <c r="AZ204" s="1208"/>
      <c r="BA204" s="1211"/>
      <c r="BB204" s="1211"/>
      <c r="BC204" s="1224"/>
      <c r="BD204" s="1236"/>
      <c r="BE204" s="1738"/>
      <c r="BF204" s="987"/>
      <c r="BG204" s="989"/>
      <c r="BH204" s="989"/>
      <c r="BI204" s="1275"/>
      <c r="BJ204" s="1195"/>
      <c r="BK204" s="996"/>
      <c r="BL204" s="1053"/>
      <c r="BM204" s="1167"/>
      <c r="BN204" s="1148"/>
      <c r="BO204" s="1148"/>
      <c r="BP204" s="1151"/>
      <c r="BQ204" s="1236"/>
      <c r="BR204" s="1738"/>
      <c r="BS204" s="1258"/>
      <c r="BT204" s="1023"/>
      <c r="BU204" s="1236"/>
      <c r="BV204" s="1177"/>
      <c r="BW204" s="1741"/>
      <c r="BX204" s="1127"/>
      <c r="BY204" s="1042"/>
      <c r="BZ204" s="1127"/>
      <c r="CA204" s="1042">
        <f t="shared" si="3"/>
        <v>0</v>
      </c>
      <c r="CB204" s="1127"/>
      <c r="CC204" s="1042">
        <f>IFERROR(#REF!/M204,0)</f>
        <v>0</v>
      </c>
      <c r="CD204" s="1263"/>
      <c r="CE204" s="1042"/>
      <c r="CF204" s="1127"/>
      <c r="CG204" s="1042"/>
    </row>
    <row r="205" spans="1:85" s="782" customFormat="1" ht="27.75" customHeight="1" thickBot="1" x14ac:dyDescent="0.3">
      <c r="A205" s="783"/>
      <c r="B205" s="1396"/>
      <c r="C205" s="1597"/>
      <c r="D205" s="1608"/>
      <c r="E205" s="1404"/>
      <c r="F205" s="1562"/>
      <c r="G205" s="1216"/>
      <c r="H205" s="1098"/>
      <c r="I205" s="1098"/>
      <c r="J205" s="1241"/>
      <c r="K205" s="1550"/>
      <c r="L205" s="1578"/>
      <c r="M205" s="1283"/>
      <c r="N205" s="1286"/>
      <c r="O205" s="1300"/>
      <c r="P205" s="1300"/>
      <c r="Q205" s="1554"/>
      <c r="R205" s="1730"/>
      <c r="S205" s="1015"/>
      <c r="T205" s="1017"/>
      <c r="U205" s="1017"/>
      <c r="V205" s="1270"/>
      <c r="W205" s="1196"/>
      <c r="X205" s="1068"/>
      <c r="Y205" s="1069"/>
      <c r="Z205" s="1221"/>
      <c r="AA205" s="1222"/>
      <c r="AB205" s="1222"/>
      <c r="AC205" s="1225"/>
      <c r="AD205" s="1237"/>
      <c r="AE205" s="1739"/>
      <c r="AF205" s="1015"/>
      <c r="AG205" s="1017"/>
      <c r="AH205" s="1017"/>
      <c r="AI205" s="1270"/>
      <c r="AJ205" s="1196"/>
      <c r="AK205" s="1068"/>
      <c r="AL205" s="1069"/>
      <c r="AM205" s="1221"/>
      <c r="AN205" s="1222"/>
      <c r="AO205" s="1222"/>
      <c r="AP205" s="1225"/>
      <c r="AQ205" s="1237"/>
      <c r="AR205" s="1739"/>
      <c r="AS205" s="1015"/>
      <c r="AT205" s="1017"/>
      <c r="AU205" s="1017"/>
      <c r="AV205" s="1270"/>
      <c r="AW205" s="1196"/>
      <c r="AX205" s="1068"/>
      <c r="AY205" s="1069"/>
      <c r="AZ205" s="1221"/>
      <c r="BA205" s="1222"/>
      <c r="BB205" s="1222"/>
      <c r="BC205" s="1225"/>
      <c r="BD205" s="1237"/>
      <c r="BE205" s="1739"/>
      <c r="BF205" s="988"/>
      <c r="BG205" s="990"/>
      <c r="BH205" s="990"/>
      <c r="BI205" s="1276"/>
      <c r="BJ205" s="1196"/>
      <c r="BK205" s="1068"/>
      <c r="BL205" s="1054"/>
      <c r="BM205" s="1206"/>
      <c r="BN205" s="1149"/>
      <c r="BO205" s="1149"/>
      <c r="BP205" s="1152"/>
      <c r="BQ205" s="1237"/>
      <c r="BR205" s="1739"/>
      <c r="BS205" s="1261"/>
      <c r="BT205" s="1024"/>
      <c r="BU205" s="1237"/>
      <c r="BV205" s="1178"/>
      <c r="BW205" s="1742"/>
      <c r="BX205" s="1128"/>
      <c r="BY205" s="1043"/>
      <c r="BZ205" s="1128"/>
      <c r="CA205" s="1043">
        <f t="shared" si="3"/>
        <v>0</v>
      </c>
      <c r="CB205" s="1128"/>
      <c r="CC205" s="1043">
        <f>IFERROR(#REF!/M205,0)</f>
        <v>0</v>
      </c>
      <c r="CD205" s="1264"/>
      <c r="CE205" s="1043"/>
      <c r="CF205" s="1127"/>
      <c r="CG205" s="1043"/>
    </row>
    <row r="206" spans="1:85" s="204" customFormat="1" ht="16.5" customHeight="1" thickBot="1" x14ac:dyDescent="0.35">
      <c r="A206" s="203"/>
      <c r="B206" s="1743"/>
      <c r="C206" s="1743"/>
      <c r="D206" s="1743"/>
      <c r="E206" s="1743"/>
      <c r="F206" s="1743"/>
      <c r="G206" s="1743"/>
      <c r="H206" s="1743"/>
      <c r="I206" s="1743"/>
      <c r="J206" s="1743"/>
      <c r="K206" s="1743"/>
      <c r="L206" s="1743"/>
      <c r="M206" s="1743"/>
      <c r="N206" s="1743"/>
      <c r="O206" s="1743"/>
      <c r="P206" s="1743"/>
      <c r="Q206" s="1743"/>
      <c r="R206" s="1743"/>
      <c r="S206" s="1743"/>
      <c r="T206" s="1743"/>
      <c r="U206" s="1743"/>
      <c r="V206" s="1743"/>
      <c r="W206" s="1743"/>
      <c r="X206" s="1743"/>
      <c r="Y206" s="1743"/>
      <c r="Z206" s="1743"/>
      <c r="AA206" s="1743"/>
      <c r="AB206" s="1743"/>
      <c r="AC206" s="1743"/>
      <c r="AD206" s="1743"/>
      <c r="AE206" s="1743"/>
      <c r="AF206" s="1743"/>
      <c r="AG206" s="1743"/>
      <c r="AH206" s="1743"/>
      <c r="AI206" s="1743"/>
      <c r="AJ206" s="1743"/>
      <c r="AK206" s="1743"/>
      <c r="AL206" s="1743"/>
      <c r="AM206" s="1743"/>
      <c r="AN206" s="1743"/>
      <c r="AO206" s="1743"/>
      <c r="AP206" s="1743"/>
      <c r="AQ206" s="1743"/>
      <c r="AR206" s="1743"/>
      <c r="AS206" s="1743"/>
      <c r="AT206" s="1743"/>
      <c r="AU206" s="1743"/>
      <c r="AV206" s="1743"/>
      <c r="AW206" s="1743"/>
      <c r="AX206" s="1743"/>
      <c r="AY206" s="1743"/>
      <c r="AZ206" s="1743"/>
      <c r="BA206" s="1743"/>
      <c r="BB206" s="1743"/>
      <c r="BC206" s="1743"/>
      <c r="BD206" s="1743"/>
      <c r="BE206" s="1743"/>
      <c r="BF206" s="1743"/>
      <c r="BG206" s="1743"/>
      <c r="BH206" s="1743"/>
      <c r="BI206" s="1743"/>
      <c r="BJ206" s="1743"/>
      <c r="BK206" s="1743"/>
      <c r="BL206" s="1743"/>
      <c r="BM206" s="1743"/>
      <c r="BN206" s="1743"/>
      <c r="BO206" s="1743"/>
      <c r="BP206" s="1743"/>
      <c r="BQ206" s="1743"/>
      <c r="BR206" s="1743"/>
      <c r="BS206" s="1743"/>
      <c r="BT206" s="1743"/>
      <c r="BU206" s="1743"/>
      <c r="BV206" s="1743"/>
      <c r="BW206" s="1743"/>
      <c r="BX206" s="1743"/>
      <c r="BY206" s="1743"/>
      <c r="BZ206" s="1743"/>
      <c r="CA206" s="1743"/>
      <c r="CB206" s="1743"/>
      <c r="CC206" s="1743"/>
      <c r="CD206" s="1743"/>
      <c r="CE206" s="1743"/>
      <c r="CF206" s="1743"/>
      <c r="CG206" s="1743"/>
    </row>
    <row r="207" spans="1:85" s="204" customFormat="1" ht="57.75" customHeight="1" thickBot="1" x14ac:dyDescent="0.35">
      <c r="A207" s="203"/>
      <c r="B207" s="1105" t="s">
        <v>178</v>
      </c>
      <c r="C207" s="1106"/>
      <c r="D207" s="1106"/>
      <c r="E207" s="1106"/>
      <c r="F207" s="1106"/>
      <c r="G207" s="1106"/>
      <c r="H207" s="1106"/>
      <c r="I207" s="1106"/>
      <c r="J207" s="1106"/>
      <c r="K207" s="1106"/>
      <c r="L207" s="1106"/>
      <c r="M207" s="1106"/>
      <c r="N207" s="1106"/>
      <c r="O207" s="1106"/>
      <c r="P207" s="1106"/>
      <c r="Q207" s="1725"/>
      <c r="R207" s="1728"/>
      <c r="S207" s="1086" t="s">
        <v>207</v>
      </c>
      <c r="T207" s="1086"/>
      <c r="U207" s="1086"/>
      <c r="V207" s="1086"/>
      <c r="W207" s="1086"/>
      <c r="X207" s="1086"/>
      <c r="Y207" s="1086"/>
      <c r="Z207" s="1086"/>
      <c r="AA207" s="1086"/>
      <c r="AB207" s="1086"/>
      <c r="AC207" s="1086"/>
      <c r="AD207" s="1086"/>
      <c r="AE207" s="1086"/>
      <c r="AF207" s="1086"/>
      <c r="AG207" s="1086"/>
      <c r="AH207" s="1086"/>
      <c r="AI207" s="1086"/>
      <c r="AJ207" s="1086"/>
      <c r="AK207" s="1086"/>
      <c r="AL207" s="1086"/>
      <c r="AM207" s="1086"/>
      <c r="AN207" s="1086"/>
      <c r="AO207" s="1086"/>
      <c r="AP207" s="1086"/>
      <c r="AQ207" s="1086"/>
      <c r="AR207" s="1086"/>
      <c r="AS207" s="1086"/>
      <c r="AT207" s="1086"/>
      <c r="AU207" s="1086"/>
      <c r="AV207" s="1086"/>
      <c r="AW207" s="1086"/>
      <c r="AX207" s="1086"/>
      <c r="AY207" s="1086"/>
      <c r="AZ207" s="1086"/>
      <c r="BA207" s="1086"/>
      <c r="BB207" s="1086"/>
      <c r="BC207" s="1086"/>
      <c r="BD207" s="1086"/>
      <c r="BE207" s="1086"/>
      <c r="BF207" s="1086"/>
      <c r="BG207" s="1086"/>
      <c r="BH207" s="1086"/>
      <c r="BI207" s="1086"/>
      <c r="BJ207" s="1086"/>
      <c r="BK207" s="1086"/>
      <c r="BL207" s="1086"/>
      <c r="BM207" s="1086"/>
      <c r="BN207" s="1086"/>
      <c r="BO207" s="1086"/>
      <c r="BP207" s="1086"/>
      <c r="BQ207" s="1086"/>
      <c r="BR207" s="1086"/>
      <c r="BS207" s="1086"/>
      <c r="BT207" s="1086"/>
      <c r="BU207" s="1086"/>
      <c r="BV207" s="1727"/>
      <c r="BW207" s="1740"/>
      <c r="BX207" s="1736" t="s">
        <v>179</v>
      </c>
      <c r="BY207" s="1034"/>
      <c r="BZ207" s="1034"/>
      <c r="CA207" s="1034"/>
      <c r="CB207" s="1034"/>
      <c r="CC207" s="1034"/>
      <c r="CD207" s="1034"/>
      <c r="CE207" s="1034"/>
      <c r="CF207" s="1034"/>
      <c r="CG207" s="1035"/>
    </row>
    <row r="208" spans="1:85" s="800" customFormat="1" ht="31.5" customHeight="1" thickBot="1" x14ac:dyDescent="0.35">
      <c r="B208" s="1076" t="s">
        <v>180</v>
      </c>
      <c r="C208" s="1073" t="s">
        <v>1</v>
      </c>
      <c r="D208" s="1077" t="s">
        <v>2</v>
      </c>
      <c r="E208" s="1076" t="s">
        <v>3</v>
      </c>
      <c r="F208" s="1074"/>
      <c r="G208" s="1085" t="s">
        <v>4</v>
      </c>
      <c r="H208" s="1070"/>
      <c r="I208" s="1070"/>
      <c r="J208" s="1082"/>
      <c r="K208" s="1085" t="s">
        <v>201</v>
      </c>
      <c r="L208" s="1070"/>
      <c r="M208" s="1070"/>
      <c r="N208" s="1070"/>
      <c r="O208" s="1070"/>
      <c r="P208" s="1070"/>
      <c r="Q208" s="1070"/>
      <c r="R208" s="1729"/>
      <c r="S208" s="1087" t="s">
        <v>5</v>
      </c>
      <c r="T208" s="1087"/>
      <c r="U208" s="1087"/>
      <c r="V208" s="1087"/>
      <c r="W208" s="1087"/>
      <c r="X208" s="1087"/>
      <c r="Y208" s="1087"/>
      <c r="Z208" s="1087"/>
      <c r="AA208" s="1087"/>
      <c r="AB208" s="1087"/>
      <c r="AC208" s="1087"/>
      <c r="AD208" s="1087"/>
      <c r="AE208" s="1087"/>
      <c r="AF208" s="1087"/>
      <c r="AG208" s="1087"/>
      <c r="AH208" s="1087"/>
      <c r="AI208" s="1087"/>
      <c r="AJ208" s="1087"/>
      <c r="AK208" s="1087"/>
      <c r="AL208" s="1087"/>
      <c r="AM208" s="1087"/>
      <c r="AN208" s="1087"/>
      <c r="AO208" s="1087"/>
      <c r="AP208" s="1087"/>
      <c r="AQ208" s="1087"/>
      <c r="AR208" s="1087"/>
      <c r="AS208" s="1087"/>
      <c r="AT208" s="1087"/>
      <c r="AU208" s="1087"/>
      <c r="AV208" s="1087"/>
      <c r="AW208" s="1087"/>
      <c r="AX208" s="1087"/>
      <c r="AY208" s="1087"/>
      <c r="AZ208" s="1087"/>
      <c r="BA208" s="1087"/>
      <c r="BB208" s="1087"/>
      <c r="BC208" s="1087"/>
      <c r="BD208" s="1087"/>
      <c r="BE208" s="1087"/>
      <c r="BF208" s="1087"/>
      <c r="BG208" s="1087"/>
      <c r="BH208" s="1087"/>
      <c r="BI208" s="1087"/>
      <c r="BJ208" s="1087"/>
      <c r="BK208" s="1087"/>
      <c r="BL208" s="1087"/>
      <c r="BM208" s="1087"/>
      <c r="BN208" s="1087"/>
      <c r="BO208" s="1087"/>
      <c r="BP208" s="1087"/>
      <c r="BQ208" s="1087"/>
      <c r="BR208" s="1087"/>
      <c r="BS208" s="1087"/>
      <c r="BT208" s="1087"/>
      <c r="BU208" s="1087"/>
      <c r="BV208" s="1087"/>
      <c r="BW208" s="1741"/>
      <c r="BX208" s="1036" t="s">
        <v>7</v>
      </c>
      <c r="BY208" s="1036"/>
      <c r="BZ208" s="1036"/>
      <c r="CA208" s="1036"/>
      <c r="CB208" s="1036"/>
      <c r="CC208" s="1036"/>
      <c r="CD208" s="1036"/>
      <c r="CE208" s="1036"/>
      <c r="CF208" s="1036"/>
      <c r="CG208" s="1037"/>
    </row>
    <row r="209" spans="2:85" s="800" customFormat="1" ht="16.5" customHeight="1" thickBot="1" x14ac:dyDescent="0.3">
      <c r="B209" s="1107"/>
      <c r="C209" s="1109"/>
      <c r="D209" s="1111"/>
      <c r="E209" s="1107"/>
      <c r="F209" s="1113"/>
      <c r="G209" s="1095"/>
      <c r="H209" s="1075"/>
      <c r="I209" s="1075"/>
      <c r="J209" s="1084"/>
      <c r="K209" s="1095"/>
      <c r="L209" s="1075"/>
      <c r="M209" s="1075"/>
      <c r="N209" s="1075"/>
      <c r="O209" s="1075"/>
      <c r="P209" s="1075"/>
      <c r="Q209" s="1075"/>
      <c r="R209" s="1729"/>
      <c r="S209" s="1071">
        <v>2017</v>
      </c>
      <c r="T209" s="1071"/>
      <c r="U209" s="1071"/>
      <c r="V209" s="1071"/>
      <c r="W209" s="1071"/>
      <c r="X209" s="1071"/>
      <c r="Y209" s="1071"/>
      <c r="Z209" s="1071"/>
      <c r="AA209" s="1071"/>
      <c r="AB209" s="1071"/>
      <c r="AC209" s="1071"/>
      <c r="AD209" s="1071"/>
      <c r="AE209" s="1744"/>
      <c r="AF209" s="1071">
        <v>2018</v>
      </c>
      <c r="AG209" s="1071"/>
      <c r="AH209" s="1071"/>
      <c r="AI209" s="1071"/>
      <c r="AJ209" s="1071"/>
      <c r="AK209" s="1071"/>
      <c r="AL209" s="1071"/>
      <c r="AM209" s="1070"/>
      <c r="AN209" s="1070"/>
      <c r="AO209" s="1070"/>
      <c r="AP209" s="1070"/>
      <c r="AQ209" s="1070"/>
      <c r="AR209" s="1737"/>
      <c r="AS209" s="1070">
        <v>2019</v>
      </c>
      <c r="AT209" s="1070"/>
      <c r="AU209" s="1070"/>
      <c r="AV209" s="1070"/>
      <c r="AW209" s="1070"/>
      <c r="AX209" s="1071"/>
      <c r="AY209" s="1071"/>
      <c r="AZ209" s="1070"/>
      <c r="BA209" s="1070"/>
      <c r="BB209" s="1070"/>
      <c r="BC209" s="1070"/>
      <c r="BD209" s="1070"/>
      <c r="BE209" s="1737"/>
      <c r="BF209" s="1070">
        <v>2020</v>
      </c>
      <c r="BG209" s="1070"/>
      <c r="BH209" s="1070"/>
      <c r="BI209" s="1070"/>
      <c r="BJ209" s="1070"/>
      <c r="BK209" s="1071"/>
      <c r="BL209" s="1071"/>
      <c r="BM209" s="1070"/>
      <c r="BN209" s="1070"/>
      <c r="BO209" s="1070"/>
      <c r="BP209" s="1070"/>
      <c r="BQ209" s="1070"/>
      <c r="BR209" s="1744"/>
      <c r="BS209" s="1082" t="s">
        <v>6</v>
      </c>
      <c r="BT209" s="1071" t="s">
        <v>206</v>
      </c>
      <c r="BU209" s="1071"/>
      <c r="BV209" s="1071"/>
      <c r="BW209" s="1741"/>
      <c r="BX209" s="773" t="s">
        <v>9</v>
      </c>
      <c r="BY209" s="773"/>
      <c r="BZ209" s="773"/>
      <c r="CA209" s="773"/>
      <c r="CB209" s="773"/>
      <c r="CC209" s="774"/>
      <c r="CD209" s="773"/>
      <c r="CE209" s="773"/>
      <c r="CF209" s="775" t="s">
        <v>10</v>
      </c>
      <c r="CG209" s="776"/>
    </row>
    <row r="210" spans="2:85" s="800" customFormat="1" ht="16.5" customHeight="1" thickBot="1" x14ac:dyDescent="0.3">
      <c r="B210" s="1107"/>
      <c r="C210" s="1109"/>
      <c r="D210" s="1111"/>
      <c r="E210" s="1107"/>
      <c r="F210" s="1113"/>
      <c r="G210" s="1115">
        <v>2017</v>
      </c>
      <c r="H210" s="1117">
        <v>2018</v>
      </c>
      <c r="I210" s="1119">
        <v>2019</v>
      </c>
      <c r="J210" s="1121">
        <v>2020</v>
      </c>
      <c r="K210" s="787" t="s">
        <v>19</v>
      </c>
      <c r="L210" s="1085" t="s">
        <v>199</v>
      </c>
      <c r="M210" s="1074" t="s">
        <v>198</v>
      </c>
      <c r="N210" s="1072" t="s">
        <v>9</v>
      </c>
      <c r="O210" s="1073"/>
      <c r="P210" s="1073"/>
      <c r="Q210" s="1077"/>
      <c r="R210" s="1729"/>
      <c r="S210" s="1080" t="s">
        <v>202</v>
      </c>
      <c r="T210" s="1080"/>
      <c r="U210" s="1080"/>
      <c r="V210" s="1080"/>
      <c r="W210" s="1072"/>
      <c r="X210" s="1081" t="s">
        <v>200</v>
      </c>
      <c r="Y210" s="1082"/>
      <c r="Z210" s="1085" t="s">
        <v>203</v>
      </c>
      <c r="AA210" s="1070"/>
      <c r="AB210" s="1070"/>
      <c r="AC210" s="1070"/>
      <c r="AD210" s="1070"/>
      <c r="AE210" s="1745"/>
      <c r="AF210" s="1080" t="s">
        <v>202</v>
      </c>
      <c r="AG210" s="1080"/>
      <c r="AH210" s="1080"/>
      <c r="AI210" s="1080"/>
      <c r="AJ210" s="1072"/>
      <c r="AK210" s="1081" t="s">
        <v>200</v>
      </c>
      <c r="AL210" s="1070"/>
      <c r="AM210" s="1076" t="s">
        <v>203</v>
      </c>
      <c r="AN210" s="1073"/>
      <c r="AO210" s="1073"/>
      <c r="AP210" s="1073"/>
      <c r="AQ210" s="1074"/>
      <c r="AR210" s="1738"/>
      <c r="AS210" s="1076" t="s">
        <v>202</v>
      </c>
      <c r="AT210" s="1073"/>
      <c r="AU210" s="1073"/>
      <c r="AV210" s="1073"/>
      <c r="AW210" s="1074"/>
      <c r="AX210" s="1070" t="s">
        <v>200</v>
      </c>
      <c r="AY210" s="1070"/>
      <c r="AZ210" s="1076" t="s">
        <v>203</v>
      </c>
      <c r="BA210" s="1073"/>
      <c r="BB210" s="1073"/>
      <c r="BC210" s="1073"/>
      <c r="BD210" s="1074"/>
      <c r="BE210" s="1738"/>
      <c r="BF210" s="1076"/>
      <c r="BG210" s="1073"/>
      <c r="BH210" s="1073"/>
      <c r="BI210" s="1073"/>
      <c r="BJ210" s="1074"/>
      <c r="BK210" s="1070" t="s">
        <v>200</v>
      </c>
      <c r="BL210" s="1070"/>
      <c r="BM210" s="1076" t="s">
        <v>203</v>
      </c>
      <c r="BN210" s="1073"/>
      <c r="BO210" s="1073"/>
      <c r="BP210" s="1073"/>
      <c r="BQ210" s="1077"/>
      <c r="BR210" s="1745"/>
      <c r="BS210" s="1094"/>
      <c r="BT210" s="1082" t="s">
        <v>204</v>
      </c>
      <c r="BU210" s="781"/>
      <c r="BV210" s="1085" t="s">
        <v>205</v>
      </c>
      <c r="BW210" s="1741"/>
      <c r="BX210" s="1038">
        <v>2017</v>
      </c>
      <c r="BY210" s="1039"/>
      <c r="BZ210" s="1040">
        <v>2018</v>
      </c>
      <c r="CA210" s="1039"/>
      <c r="CB210" s="1040">
        <v>2019</v>
      </c>
      <c r="CC210" s="1039"/>
      <c r="CD210" s="1040">
        <v>2020</v>
      </c>
      <c r="CE210" s="1039"/>
      <c r="CF210" s="788"/>
      <c r="CG210" s="789"/>
    </row>
    <row r="211" spans="2:85" s="800" customFormat="1" ht="41.25" thickBot="1" x14ac:dyDescent="0.3">
      <c r="B211" s="1108"/>
      <c r="C211" s="1110"/>
      <c r="D211" s="1112"/>
      <c r="E211" s="1108"/>
      <c r="F211" s="1114"/>
      <c r="G211" s="1116"/>
      <c r="H211" s="1118"/>
      <c r="I211" s="1120"/>
      <c r="J211" s="1122"/>
      <c r="K211" s="790"/>
      <c r="L211" s="1123"/>
      <c r="M211" s="1114"/>
      <c r="N211" s="791">
        <v>2017</v>
      </c>
      <c r="O211" s="792">
        <v>2018</v>
      </c>
      <c r="P211" s="792">
        <v>2019</v>
      </c>
      <c r="Q211" s="793">
        <v>2020</v>
      </c>
      <c r="R211" s="1729"/>
      <c r="S211" s="791" t="s">
        <v>12</v>
      </c>
      <c r="T211" s="792" t="s">
        <v>13</v>
      </c>
      <c r="U211" s="792" t="s">
        <v>14</v>
      </c>
      <c r="V211" s="792" t="s">
        <v>15</v>
      </c>
      <c r="W211" s="792" t="s">
        <v>11</v>
      </c>
      <c r="X211" s="1628"/>
      <c r="Y211" s="1094"/>
      <c r="Z211" s="791" t="s">
        <v>12</v>
      </c>
      <c r="AA211" s="792" t="s">
        <v>13</v>
      </c>
      <c r="AB211" s="792" t="s">
        <v>14</v>
      </c>
      <c r="AC211" s="794" t="s">
        <v>15</v>
      </c>
      <c r="AD211" s="795" t="s">
        <v>8</v>
      </c>
      <c r="AE211" s="1745"/>
      <c r="AF211" s="791" t="s">
        <v>12</v>
      </c>
      <c r="AG211" s="792" t="s">
        <v>13</v>
      </c>
      <c r="AH211" s="792" t="s">
        <v>14</v>
      </c>
      <c r="AI211" s="792" t="s">
        <v>15</v>
      </c>
      <c r="AJ211" s="796" t="s">
        <v>8</v>
      </c>
      <c r="AK211" s="1628"/>
      <c r="AL211" s="1087"/>
      <c r="AM211" s="780" t="s">
        <v>12</v>
      </c>
      <c r="AN211" s="792" t="s">
        <v>13</v>
      </c>
      <c r="AO211" s="792" t="s">
        <v>14</v>
      </c>
      <c r="AP211" s="792" t="s">
        <v>15</v>
      </c>
      <c r="AQ211" s="794" t="s">
        <v>8</v>
      </c>
      <c r="AR211" s="1738"/>
      <c r="AS211" s="780" t="s">
        <v>12</v>
      </c>
      <c r="AT211" s="792" t="s">
        <v>13</v>
      </c>
      <c r="AU211" s="792" t="s">
        <v>14</v>
      </c>
      <c r="AV211" s="792" t="s">
        <v>15</v>
      </c>
      <c r="AW211" s="794" t="s">
        <v>8</v>
      </c>
      <c r="AX211" s="1087"/>
      <c r="AY211" s="1087"/>
      <c r="AZ211" s="780" t="s">
        <v>12</v>
      </c>
      <c r="BA211" s="792" t="s">
        <v>13</v>
      </c>
      <c r="BB211" s="792" t="s">
        <v>14</v>
      </c>
      <c r="BC211" s="792" t="s">
        <v>15</v>
      </c>
      <c r="BD211" s="794" t="s">
        <v>8</v>
      </c>
      <c r="BE211" s="1738"/>
      <c r="BF211" s="780" t="s">
        <v>12</v>
      </c>
      <c r="BG211" s="792" t="s">
        <v>13</v>
      </c>
      <c r="BH211" s="792" t="s">
        <v>14</v>
      </c>
      <c r="BI211" s="792" t="s">
        <v>15</v>
      </c>
      <c r="BJ211" s="794" t="s">
        <v>8</v>
      </c>
      <c r="BK211" s="1087"/>
      <c r="BL211" s="1087"/>
      <c r="BM211" s="780" t="s">
        <v>12</v>
      </c>
      <c r="BN211" s="792" t="s">
        <v>13</v>
      </c>
      <c r="BO211" s="792" t="s">
        <v>14</v>
      </c>
      <c r="BP211" s="792" t="s">
        <v>15</v>
      </c>
      <c r="BQ211" s="793" t="s">
        <v>8</v>
      </c>
      <c r="BR211" s="1745"/>
      <c r="BS211" s="1094"/>
      <c r="BT211" s="1094"/>
      <c r="BU211" s="779"/>
      <c r="BV211" s="1123"/>
      <c r="BW211" s="1741"/>
      <c r="BX211" s="797" t="s">
        <v>20</v>
      </c>
      <c r="BY211" s="798" t="s">
        <v>16</v>
      </c>
      <c r="BZ211" s="799" t="s">
        <v>20</v>
      </c>
      <c r="CA211" s="798" t="s">
        <v>16</v>
      </c>
      <c r="CB211" s="799" t="s">
        <v>20</v>
      </c>
      <c r="CC211" s="798" t="s">
        <v>16</v>
      </c>
      <c r="CD211" s="799" t="s">
        <v>20</v>
      </c>
      <c r="CE211" s="798" t="s">
        <v>16</v>
      </c>
      <c r="CF211" s="799" t="s">
        <v>20</v>
      </c>
      <c r="CG211" s="798" t="s">
        <v>16</v>
      </c>
    </row>
    <row r="212" spans="2:85" s="783" customFormat="1" ht="72.75" customHeight="1" x14ac:dyDescent="0.25">
      <c r="B212" s="1646" t="s">
        <v>613</v>
      </c>
      <c r="C212" s="1458" t="s">
        <v>614</v>
      </c>
      <c r="D212" s="1474" t="s">
        <v>615</v>
      </c>
      <c r="E212" s="1619">
        <v>3</v>
      </c>
      <c r="F212" s="1536" t="s">
        <v>181</v>
      </c>
      <c r="G212" s="1214"/>
      <c r="H212" s="1096"/>
      <c r="I212" s="1096">
        <v>3</v>
      </c>
      <c r="J212" s="1239">
        <v>3</v>
      </c>
      <c r="K212" s="1491">
        <f>SUM(M212:M271)</f>
        <v>411500</v>
      </c>
      <c r="L212" s="1573" t="s">
        <v>616</v>
      </c>
      <c r="M212" s="1242">
        <v>112000</v>
      </c>
      <c r="N212" s="1102">
        <v>0</v>
      </c>
      <c r="O212" s="1091">
        <v>0</v>
      </c>
      <c r="P212" s="1091">
        <v>81840</v>
      </c>
      <c r="Q212" s="1088">
        <f>35000+2450</f>
        <v>37450</v>
      </c>
      <c r="R212" s="1729"/>
      <c r="S212" s="1179"/>
      <c r="T212" s="1182"/>
      <c r="U212" s="1182"/>
      <c r="V212" s="1185"/>
      <c r="W212" s="1188">
        <f>IFERROR(SUM(S212:V223),0)</f>
        <v>0</v>
      </c>
      <c r="X212" s="995" t="s">
        <v>195</v>
      </c>
      <c r="Y212" s="997"/>
      <c r="Z212" s="1207"/>
      <c r="AA212" s="1210"/>
      <c r="AB212" s="1210"/>
      <c r="AC212" s="1223">
        <v>0</v>
      </c>
      <c r="AD212" s="1011">
        <f>SUM(Z212:AC223)</f>
        <v>0</v>
      </c>
      <c r="AE212" s="1745"/>
      <c r="AF212" s="1179"/>
      <c r="AG212" s="1182"/>
      <c r="AH212" s="1182"/>
      <c r="AI212" s="1185"/>
      <c r="AJ212" s="1188">
        <f>IFERROR(SUM(AF212:AI223),0)</f>
        <v>0</v>
      </c>
      <c r="AK212" s="995" t="s">
        <v>195</v>
      </c>
      <c r="AL212" s="997"/>
      <c r="AM212" s="1207"/>
      <c r="AN212" s="1210"/>
      <c r="AO212" s="1210"/>
      <c r="AP212" s="1223">
        <v>0</v>
      </c>
      <c r="AQ212" s="1011">
        <f>SUM(AM212:AP223)</f>
        <v>0</v>
      </c>
      <c r="AR212" s="1738"/>
      <c r="AS212" s="1179"/>
      <c r="AT212" s="1182"/>
      <c r="AU212" s="1182"/>
      <c r="AV212" s="1185">
        <v>3</v>
      </c>
      <c r="AW212" s="1188">
        <f>IFERROR(SUM(AS212:AV223),0)</f>
        <v>3</v>
      </c>
      <c r="AX212" s="995" t="s">
        <v>195</v>
      </c>
      <c r="AY212" s="997" t="s">
        <v>629</v>
      </c>
      <c r="AZ212" s="1207"/>
      <c r="BA212" s="1210"/>
      <c r="BB212" s="1210"/>
      <c r="BC212" s="1223">
        <v>64640</v>
      </c>
      <c r="BD212" s="1011">
        <f>SUM(AZ212:BC223)</f>
        <v>64640</v>
      </c>
      <c r="BE212" s="1738"/>
      <c r="BF212" s="1669"/>
      <c r="BG212" s="1420"/>
      <c r="BH212" s="1420"/>
      <c r="BI212" s="1198"/>
      <c r="BJ212" s="1188">
        <f>IFERROR(SUM(BF212:BI223),0)</f>
        <v>0</v>
      </c>
      <c r="BK212" s="995" t="s">
        <v>195</v>
      </c>
      <c r="BL212" s="1164" t="s">
        <v>627</v>
      </c>
      <c r="BM212" s="1166">
        <v>30910</v>
      </c>
      <c r="BN212" s="1147"/>
      <c r="BO212" s="1147">
        <v>0</v>
      </c>
      <c r="BP212" s="1150">
        <v>0</v>
      </c>
      <c r="BQ212" s="1011">
        <f>SUM(BM212:BP223)</f>
        <v>30910</v>
      </c>
      <c r="BR212" s="1745"/>
      <c r="BS212" s="1171" t="s">
        <v>489</v>
      </c>
      <c r="BT212" s="1022">
        <f>SUM(W212,AJ212,AW212,BJ212)</f>
        <v>3</v>
      </c>
      <c r="BU212" s="1011">
        <f>SUM(AD212,AQ212,BD212,BQ212)</f>
        <v>95550</v>
      </c>
      <c r="BV212" s="1176">
        <f>SUM(AD212:AD271,AQ212:AQ271,BD212:BD271,BQ212:BQ271)</f>
        <v>316543.61</v>
      </c>
      <c r="BW212" s="1741"/>
      <c r="BX212" s="1018">
        <f>IFERROR(W212/G212,0)</f>
        <v>0</v>
      </c>
      <c r="BY212" s="1041">
        <f>IFERROR(AD212/N212,0)</f>
        <v>0</v>
      </c>
      <c r="BZ212" s="1125">
        <f>IFERROR(AJ212/H212,0)</f>
        <v>0</v>
      </c>
      <c r="CA212" s="1041">
        <f>IFERROR(AQ212/O212,0)</f>
        <v>0</v>
      </c>
      <c r="CB212" s="1125">
        <f>IFERROR(AW212/I212,0)</f>
        <v>1</v>
      </c>
      <c r="CC212" s="1041">
        <f>IFERROR(BD212/P212,0)</f>
        <v>0.78983382209188657</v>
      </c>
      <c r="CD212" s="1125">
        <f>IFERROR(BJ212/J212,0)</f>
        <v>0</v>
      </c>
      <c r="CE212" s="1041">
        <f>IFERROR(BQ212/Q212,0)</f>
        <v>0.82536715620827772</v>
      </c>
      <c r="CF212" s="1262">
        <f>IFERROR(BT212/J212,0)</f>
        <v>1</v>
      </c>
      <c r="CG212" s="1041">
        <f>IFERROR(BV212/K212,0)</f>
        <v>0.76924328068043735</v>
      </c>
    </row>
    <row r="213" spans="2:85" s="783" customFormat="1" ht="72.75" customHeight="1" x14ac:dyDescent="0.25">
      <c r="B213" s="1647"/>
      <c r="C213" s="1459"/>
      <c r="D213" s="1475"/>
      <c r="E213" s="1598"/>
      <c r="F213" s="1537"/>
      <c r="G213" s="1215"/>
      <c r="H213" s="1097"/>
      <c r="I213" s="1097"/>
      <c r="J213" s="1240"/>
      <c r="K213" s="1492"/>
      <c r="L213" s="1574"/>
      <c r="M213" s="1243"/>
      <c r="N213" s="1103"/>
      <c r="O213" s="1092"/>
      <c r="P213" s="1092"/>
      <c r="Q213" s="1089"/>
      <c r="R213" s="1729"/>
      <c r="S213" s="1180"/>
      <c r="T213" s="1183"/>
      <c r="U213" s="1183"/>
      <c r="V213" s="1186"/>
      <c r="W213" s="1189"/>
      <c r="X213" s="996"/>
      <c r="Y213" s="998"/>
      <c r="Z213" s="1208"/>
      <c r="AA213" s="1211"/>
      <c r="AB213" s="1211"/>
      <c r="AC213" s="1224"/>
      <c r="AD213" s="1012"/>
      <c r="AE213" s="1745"/>
      <c r="AF213" s="1180"/>
      <c r="AG213" s="1183"/>
      <c r="AH213" s="1183"/>
      <c r="AI213" s="1186"/>
      <c r="AJ213" s="1189"/>
      <c r="AK213" s="996"/>
      <c r="AL213" s="998"/>
      <c r="AM213" s="1208"/>
      <c r="AN213" s="1211"/>
      <c r="AO213" s="1211"/>
      <c r="AP213" s="1224"/>
      <c r="AQ213" s="1012"/>
      <c r="AR213" s="1738"/>
      <c r="AS213" s="1180"/>
      <c r="AT213" s="1183"/>
      <c r="AU213" s="1183"/>
      <c r="AV213" s="1186"/>
      <c r="AW213" s="1189"/>
      <c r="AX213" s="996"/>
      <c r="AY213" s="998"/>
      <c r="AZ213" s="1208"/>
      <c r="BA213" s="1211"/>
      <c r="BB213" s="1211"/>
      <c r="BC213" s="1224"/>
      <c r="BD213" s="1012"/>
      <c r="BE213" s="1738"/>
      <c r="BF213" s="1452"/>
      <c r="BG213" s="1421"/>
      <c r="BH213" s="1421"/>
      <c r="BI213" s="1199"/>
      <c r="BJ213" s="1189"/>
      <c r="BK213" s="996"/>
      <c r="BL213" s="1165"/>
      <c r="BM213" s="1167"/>
      <c r="BN213" s="1148"/>
      <c r="BO213" s="1148"/>
      <c r="BP213" s="1151"/>
      <c r="BQ213" s="1012"/>
      <c r="BR213" s="1745"/>
      <c r="BS213" s="1172"/>
      <c r="BT213" s="1023"/>
      <c r="BU213" s="1012"/>
      <c r="BV213" s="1177"/>
      <c r="BW213" s="1741"/>
      <c r="BX213" s="1019"/>
      <c r="BY213" s="1042"/>
      <c r="BZ213" s="1126"/>
      <c r="CA213" s="1042"/>
      <c r="CB213" s="1126"/>
      <c r="CC213" s="1042"/>
      <c r="CD213" s="1126"/>
      <c r="CE213" s="1042"/>
      <c r="CF213" s="1169"/>
      <c r="CG213" s="1042"/>
    </row>
    <row r="214" spans="2:85" s="783" customFormat="1" ht="72.75" customHeight="1" x14ac:dyDescent="0.25">
      <c r="B214" s="1647"/>
      <c r="C214" s="1459"/>
      <c r="D214" s="1475"/>
      <c r="E214" s="1598"/>
      <c r="F214" s="1537"/>
      <c r="G214" s="1215"/>
      <c r="H214" s="1097"/>
      <c r="I214" s="1097"/>
      <c r="J214" s="1240"/>
      <c r="K214" s="1492"/>
      <c r="L214" s="1574"/>
      <c r="M214" s="1243"/>
      <c r="N214" s="1103"/>
      <c r="O214" s="1092"/>
      <c r="P214" s="1092"/>
      <c r="Q214" s="1089"/>
      <c r="R214" s="1729"/>
      <c r="S214" s="1180"/>
      <c r="T214" s="1183"/>
      <c r="U214" s="1183"/>
      <c r="V214" s="1186"/>
      <c r="W214" s="1189"/>
      <c r="X214" s="996"/>
      <c r="Y214" s="998"/>
      <c r="Z214" s="1208"/>
      <c r="AA214" s="1211"/>
      <c r="AB214" s="1211"/>
      <c r="AC214" s="1224"/>
      <c r="AD214" s="1012"/>
      <c r="AE214" s="1745"/>
      <c r="AF214" s="1180"/>
      <c r="AG214" s="1183"/>
      <c r="AH214" s="1183"/>
      <c r="AI214" s="1186"/>
      <c r="AJ214" s="1189"/>
      <c r="AK214" s="996"/>
      <c r="AL214" s="998"/>
      <c r="AM214" s="1208"/>
      <c r="AN214" s="1211"/>
      <c r="AO214" s="1211"/>
      <c r="AP214" s="1224"/>
      <c r="AQ214" s="1012"/>
      <c r="AR214" s="1738"/>
      <c r="AS214" s="1180"/>
      <c r="AT214" s="1183"/>
      <c r="AU214" s="1183"/>
      <c r="AV214" s="1186"/>
      <c r="AW214" s="1189"/>
      <c r="AX214" s="996"/>
      <c r="AY214" s="998"/>
      <c r="AZ214" s="1208"/>
      <c r="BA214" s="1211"/>
      <c r="BB214" s="1211"/>
      <c r="BC214" s="1224"/>
      <c r="BD214" s="1012"/>
      <c r="BE214" s="1738"/>
      <c r="BF214" s="1452"/>
      <c r="BG214" s="1421"/>
      <c r="BH214" s="1421"/>
      <c r="BI214" s="1199"/>
      <c r="BJ214" s="1189"/>
      <c r="BK214" s="996"/>
      <c r="BL214" s="1165"/>
      <c r="BM214" s="1167"/>
      <c r="BN214" s="1148"/>
      <c r="BO214" s="1148"/>
      <c r="BP214" s="1151"/>
      <c r="BQ214" s="1012"/>
      <c r="BR214" s="1745"/>
      <c r="BS214" s="1172"/>
      <c r="BT214" s="1023"/>
      <c r="BU214" s="1012"/>
      <c r="BV214" s="1177"/>
      <c r="BW214" s="1741"/>
      <c r="BX214" s="1019"/>
      <c r="BY214" s="1042"/>
      <c r="BZ214" s="1126"/>
      <c r="CA214" s="1042"/>
      <c r="CB214" s="1126"/>
      <c r="CC214" s="1042"/>
      <c r="CD214" s="1126"/>
      <c r="CE214" s="1042"/>
      <c r="CF214" s="1169"/>
      <c r="CG214" s="1042"/>
    </row>
    <row r="215" spans="2:85" s="783" customFormat="1" ht="67.5" customHeight="1" x14ac:dyDescent="0.25">
      <c r="B215" s="1647"/>
      <c r="C215" s="1459"/>
      <c r="D215" s="1475"/>
      <c r="E215" s="1598"/>
      <c r="F215" s="1537"/>
      <c r="G215" s="1215"/>
      <c r="H215" s="1097"/>
      <c r="I215" s="1097"/>
      <c r="J215" s="1240"/>
      <c r="K215" s="1492"/>
      <c r="L215" s="1574"/>
      <c r="M215" s="1243"/>
      <c r="N215" s="1103"/>
      <c r="O215" s="1092"/>
      <c r="P215" s="1092"/>
      <c r="Q215" s="1089"/>
      <c r="R215" s="1729"/>
      <c r="S215" s="1180"/>
      <c r="T215" s="1183"/>
      <c r="U215" s="1183"/>
      <c r="V215" s="1186"/>
      <c r="W215" s="1189"/>
      <c r="X215" s="996"/>
      <c r="Y215" s="998"/>
      <c r="Z215" s="1208"/>
      <c r="AA215" s="1211"/>
      <c r="AB215" s="1211"/>
      <c r="AC215" s="1224"/>
      <c r="AD215" s="1012"/>
      <c r="AE215" s="1745"/>
      <c r="AF215" s="1180"/>
      <c r="AG215" s="1183"/>
      <c r="AH215" s="1183"/>
      <c r="AI215" s="1186"/>
      <c r="AJ215" s="1189"/>
      <c r="AK215" s="996"/>
      <c r="AL215" s="998"/>
      <c r="AM215" s="1208"/>
      <c r="AN215" s="1211"/>
      <c r="AO215" s="1211"/>
      <c r="AP215" s="1224"/>
      <c r="AQ215" s="1012"/>
      <c r="AR215" s="1738"/>
      <c r="AS215" s="1180"/>
      <c r="AT215" s="1183"/>
      <c r="AU215" s="1183"/>
      <c r="AV215" s="1186"/>
      <c r="AW215" s="1189"/>
      <c r="AX215" s="996"/>
      <c r="AY215" s="998"/>
      <c r="AZ215" s="1208"/>
      <c r="BA215" s="1211"/>
      <c r="BB215" s="1211"/>
      <c r="BC215" s="1224"/>
      <c r="BD215" s="1012"/>
      <c r="BE215" s="1738"/>
      <c r="BF215" s="1452"/>
      <c r="BG215" s="1421"/>
      <c r="BH215" s="1421"/>
      <c r="BI215" s="1199"/>
      <c r="BJ215" s="1189"/>
      <c r="BK215" s="996"/>
      <c r="BL215" s="1165"/>
      <c r="BM215" s="1167"/>
      <c r="BN215" s="1148"/>
      <c r="BO215" s="1148"/>
      <c r="BP215" s="1151"/>
      <c r="BQ215" s="1012"/>
      <c r="BR215" s="1745"/>
      <c r="BS215" s="1172"/>
      <c r="BT215" s="1023"/>
      <c r="BU215" s="1012"/>
      <c r="BV215" s="1177"/>
      <c r="BW215" s="1741"/>
      <c r="BX215" s="1019"/>
      <c r="BY215" s="1042"/>
      <c r="BZ215" s="1126"/>
      <c r="CA215" s="1042"/>
      <c r="CB215" s="1126"/>
      <c r="CC215" s="1042"/>
      <c r="CD215" s="1126"/>
      <c r="CE215" s="1042"/>
      <c r="CF215" s="1169"/>
      <c r="CG215" s="1042"/>
    </row>
    <row r="216" spans="2:85" s="783" customFormat="1" ht="15.75" customHeight="1" x14ac:dyDescent="0.25">
      <c r="B216" s="1647"/>
      <c r="C216" s="1459"/>
      <c r="D216" s="1475"/>
      <c r="E216" s="1598"/>
      <c r="F216" s="1537"/>
      <c r="G216" s="1215"/>
      <c r="H216" s="1097"/>
      <c r="I216" s="1097"/>
      <c r="J216" s="1240"/>
      <c r="K216" s="1492"/>
      <c r="L216" s="1574"/>
      <c r="M216" s="1243"/>
      <c r="N216" s="1103"/>
      <c r="O216" s="1092"/>
      <c r="P216" s="1092"/>
      <c r="Q216" s="1089"/>
      <c r="R216" s="1729"/>
      <c r="S216" s="1180"/>
      <c r="T216" s="1183"/>
      <c r="U216" s="1183"/>
      <c r="V216" s="1186"/>
      <c r="W216" s="1189"/>
      <c r="X216" s="996" t="s">
        <v>196</v>
      </c>
      <c r="Y216" s="998"/>
      <c r="Z216" s="1208"/>
      <c r="AA216" s="1211"/>
      <c r="AB216" s="1211"/>
      <c r="AC216" s="1224"/>
      <c r="AD216" s="1012"/>
      <c r="AE216" s="1745"/>
      <c r="AF216" s="1180"/>
      <c r="AG216" s="1183"/>
      <c r="AH216" s="1183"/>
      <c r="AI216" s="1186"/>
      <c r="AJ216" s="1189"/>
      <c r="AK216" s="996" t="s">
        <v>196</v>
      </c>
      <c r="AL216" s="998"/>
      <c r="AM216" s="1208"/>
      <c r="AN216" s="1211"/>
      <c r="AO216" s="1211"/>
      <c r="AP216" s="1224"/>
      <c r="AQ216" s="1012"/>
      <c r="AR216" s="1738"/>
      <c r="AS216" s="1180"/>
      <c r="AT216" s="1183"/>
      <c r="AU216" s="1183"/>
      <c r="AV216" s="1186"/>
      <c r="AW216" s="1189"/>
      <c r="AX216" s="996" t="s">
        <v>196</v>
      </c>
      <c r="AY216" s="998" t="s">
        <v>478</v>
      </c>
      <c r="AZ216" s="1208"/>
      <c r="BA216" s="1211"/>
      <c r="BB216" s="1211"/>
      <c r="BC216" s="1224"/>
      <c r="BD216" s="1012"/>
      <c r="BE216" s="1738"/>
      <c r="BF216" s="1452"/>
      <c r="BG216" s="1421"/>
      <c r="BH216" s="1421"/>
      <c r="BI216" s="1199"/>
      <c r="BJ216" s="1189"/>
      <c r="BK216" s="996" t="s">
        <v>196</v>
      </c>
      <c r="BL216" s="1053"/>
      <c r="BM216" s="1167"/>
      <c r="BN216" s="1148"/>
      <c r="BO216" s="1148"/>
      <c r="BP216" s="1151"/>
      <c r="BQ216" s="1012"/>
      <c r="BR216" s="1745"/>
      <c r="BS216" s="1172"/>
      <c r="BT216" s="1023"/>
      <c r="BU216" s="1012"/>
      <c r="BV216" s="1177"/>
      <c r="BW216" s="1741"/>
      <c r="BX216" s="1019"/>
      <c r="BY216" s="1042"/>
      <c r="BZ216" s="1126"/>
      <c r="CA216" s="1042"/>
      <c r="CB216" s="1126"/>
      <c r="CC216" s="1042"/>
      <c r="CD216" s="1126"/>
      <c r="CE216" s="1042"/>
      <c r="CF216" s="1169"/>
      <c r="CG216" s="1042"/>
    </row>
    <row r="217" spans="2:85" s="783" customFormat="1" ht="15.75" customHeight="1" x14ac:dyDescent="0.25">
      <c r="B217" s="1647"/>
      <c r="C217" s="1459"/>
      <c r="D217" s="1475"/>
      <c r="E217" s="1598"/>
      <c r="F217" s="1537"/>
      <c r="G217" s="1215"/>
      <c r="H217" s="1097"/>
      <c r="I217" s="1097"/>
      <c r="J217" s="1240"/>
      <c r="K217" s="1492"/>
      <c r="L217" s="1574"/>
      <c r="M217" s="1243"/>
      <c r="N217" s="1103"/>
      <c r="O217" s="1092"/>
      <c r="P217" s="1092"/>
      <c r="Q217" s="1089"/>
      <c r="R217" s="1729"/>
      <c r="S217" s="1180"/>
      <c r="T217" s="1183"/>
      <c r="U217" s="1183"/>
      <c r="V217" s="1186"/>
      <c r="W217" s="1189"/>
      <c r="X217" s="996"/>
      <c r="Y217" s="998"/>
      <c r="Z217" s="1208"/>
      <c r="AA217" s="1211"/>
      <c r="AB217" s="1211"/>
      <c r="AC217" s="1224"/>
      <c r="AD217" s="1012"/>
      <c r="AE217" s="1745"/>
      <c r="AF217" s="1180"/>
      <c r="AG217" s="1183"/>
      <c r="AH217" s="1183"/>
      <c r="AI217" s="1186"/>
      <c r="AJ217" s="1189"/>
      <c r="AK217" s="996"/>
      <c r="AL217" s="998"/>
      <c r="AM217" s="1208"/>
      <c r="AN217" s="1211"/>
      <c r="AO217" s="1211"/>
      <c r="AP217" s="1224"/>
      <c r="AQ217" s="1012"/>
      <c r="AR217" s="1738"/>
      <c r="AS217" s="1180"/>
      <c r="AT217" s="1183"/>
      <c r="AU217" s="1183"/>
      <c r="AV217" s="1186"/>
      <c r="AW217" s="1189"/>
      <c r="AX217" s="996"/>
      <c r="AY217" s="998"/>
      <c r="AZ217" s="1208"/>
      <c r="BA217" s="1211"/>
      <c r="BB217" s="1211"/>
      <c r="BC217" s="1224"/>
      <c r="BD217" s="1012"/>
      <c r="BE217" s="1738"/>
      <c r="BF217" s="1452"/>
      <c r="BG217" s="1421"/>
      <c r="BH217" s="1421"/>
      <c r="BI217" s="1199"/>
      <c r="BJ217" s="1189"/>
      <c r="BK217" s="996"/>
      <c r="BL217" s="1053"/>
      <c r="BM217" s="1167"/>
      <c r="BN217" s="1148"/>
      <c r="BO217" s="1148"/>
      <c r="BP217" s="1151"/>
      <c r="BQ217" s="1012"/>
      <c r="BR217" s="1745"/>
      <c r="BS217" s="1172"/>
      <c r="BT217" s="1023"/>
      <c r="BU217" s="1012"/>
      <c r="BV217" s="1177"/>
      <c r="BW217" s="1741"/>
      <c r="BX217" s="1019"/>
      <c r="BY217" s="1042"/>
      <c r="BZ217" s="1126"/>
      <c r="CA217" s="1042"/>
      <c r="CB217" s="1126"/>
      <c r="CC217" s="1042"/>
      <c r="CD217" s="1126"/>
      <c r="CE217" s="1042"/>
      <c r="CF217" s="1169"/>
      <c r="CG217" s="1042"/>
    </row>
    <row r="218" spans="2:85" s="783" customFormat="1" ht="36" customHeight="1" x14ac:dyDescent="0.25">
      <c r="B218" s="1647"/>
      <c r="C218" s="1459"/>
      <c r="D218" s="1475"/>
      <c r="E218" s="1598"/>
      <c r="F218" s="1537"/>
      <c r="G218" s="1215"/>
      <c r="H218" s="1097"/>
      <c r="I218" s="1097"/>
      <c r="J218" s="1240"/>
      <c r="K218" s="1492"/>
      <c r="L218" s="1574"/>
      <c r="M218" s="1243"/>
      <c r="N218" s="1103"/>
      <c r="O218" s="1092"/>
      <c r="P218" s="1092"/>
      <c r="Q218" s="1089"/>
      <c r="R218" s="1729"/>
      <c r="S218" s="1180"/>
      <c r="T218" s="1183"/>
      <c r="U218" s="1183"/>
      <c r="V218" s="1186"/>
      <c r="W218" s="1189"/>
      <c r="X218" s="996"/>
      <c r="Y218" s="998"/>
      <c r="Z218" s="1208"/>
      <c r="AA218" s="1211"/>
      <c r="AB218" s="1211"/>
      <c r="AC218" s="1224"/>
      <c r="AD218" s="1012"/>
      <c r="AE218" s="1745"/>
      <c r="AF218" s="1180"/>
      <c r="AG218" s="1183"/>
      <c r="AH218" s="1183"/>
      <c r="AI218" s="1186"/>
      <c r="AJ218" s="1189"/>
      <c r="AK218" s="996"/>
      <c r="AL218" s="998"/>
      <c r="AM218" s="1208"/>
      <c r="AN218" s="1211"/>
      <c r="AO218" s="1211"/>
      <c r="AP218" s="1224"/>
      <c r="AQ218" s="1012"/>
      <c r="AR218" s="1738"/>
      <c r="AS218" s="1180"/>
      <c r="AT218" s="1183"/>
      <c r="AU218" s="1183"/>
      <c r="AV218" s="1186"/>
      <c r="AW218" s="1189"/>
      <c r="AX218" s="996"/>
      <c r="AY218" s="998"/>
      <c r="AZ218" s="1208"/>
      <c r="BA218" s="1211"/>
      <c r="BB218" s="1211"/>
      <c r="BC218" s="1224"/>
      <c r="BD218" s="1012"/>
      <c r="BE218" s="1738"/>
      <c r="BF218" s="1452"/>
      <c r="BG218" s="1421"/>
      <c r="BH218" s="1421"/>
      <c r="BI218" s="1199"/>
      <c r="BJ218" s="1189"/>
      <c r="BK218" s="996"/>
      <c r="BL218" s="1053"/>
      <c r="BM218" s="1167"/>
      <c r="BN218" s="1148"/>
      <c r="BO218" s="1148"/>
      <c r="BP218" s="1151"/>
      <c r="BQ218" s="1012"/>
      <c r="BR218" s="1745"/>
      <c r="BS218" s="1172"/>
      <c r="BT218" s="1023"/>
      <c r="BU218" s="1012"/>
      <c r="BV218" s="1177"/>
      <c r="BW218" s="1741"/>
      <c r="BX218" s="1019"/>
      <c r="BY218" s="1042"/>
      <c r="BZ218" s="1126"/>
      <c r="CA218" s="1042"/>
      <c r="CB218" s="1126"/>
      <c r="CC218" s="1042"/>
      <c r="CD218" s="1126"/>
      <c r="CE218" s="1042"/>
      <c r="CF218" s="1169"/>
      <c r="CG218" s="1042"/>
    </row>
    <row r="219" spans="2:85" s="783" customFormat="1" ht="15.75" customHeight="1" x14ac:dyDescent="0.25">
      <c r="B219" s="1648"/>
      <c r="C219" s="1644"/>
      <c r="D219" s="1464"/>
      <c r="E219" s="1403"/>
      <c r="F219" s="1467"/>
      <c r="G219" s="1215"/>
      <c r="H219" s="1097"/>
      <c r="I219" s="1097"/>
      <c r="J219" s="1240"/>
      <c r="K219" s="1492"/>
      <c r="L219" s="1574"/>
      <c r="M219" s="1243"/>
      <c r="N219" s="1103"/>
      <c r="O219" s="1092"/>
      <c r="P219" s="1092"/>
      <c r="Q219" s="1089"/>
      <c r="R219" s="1729"/>
      <c r="S219" s="1181"/>
      <c r="T219" s="1184"/>
      <c r="U219" s="1184"/>
      <c r="V219" s="1187"/>
      <c r="W219" s="993"/>
      <c r="X219" s="996"/>
      <c r="Y219" s="998"/>
      <c r="Z219" s="1208"/>
      <c r="AA219" s="1211"/>
      <c r="AB219" s="1211"/>
      <c r="AC219" s="1224"/>
      <c r="AD219" s="1012"/>
      <c r="AE219" s="1745"/>
      <c r="AF219" s="1181"/>
      <c r="AG219" s="1184"/>
      <c r="AH219" s="1184"/>
      <c r="AI219" s="1187"/>
      <c r="AJ219" s="993"/>
      <c r="AK219" s="996"/>
      <c r="AL219" s="998"/>
      <c r="AM219" s="1208"/>
      <c r="AN219" s="1211"/>
      <c r="AO219" s="1211"/>
      <c r="AP219" s="1224"/>
      <c r="AQ219" s="1012"/>
      <c r="AR219" s="1738"/>
      <c r="AS219" s="1181"/>
      <c r="AT219" s="1184"/>
      <c r="AU219" s="1184"/>
      <c r="AV219" s="1187"/>
      <c r="AW219" s="993"/>
      <c r="AX219" s="996"/>
      <c r="AY219" s="998"/>
      <c r="AZ219" s="1208"/>
      <c r="BA219" s="1211"/>
      <c r="BB219" s="1211"/>
      <c r="BC219" s="1224"/>
      <c r="BD219" s="1012"/>
      <c r="BE219" s="1738"/>
      <c r="BF219" s="1453"/>
      <c r="BG219" s="1422"/>
      <c r="BH219" s="1422"/>
      <c r="BI219" s="1200"/>
      <c r="BJ219" s="993"/>
      <c r="BK219" s="996"/>
      <c r="BL219" s="1053"/>
      <c r="BM219" s="1167"/>
      <c r="BN219" s="1148"/>
      <c r="BO219" s="1148"/>
      <c r="BP219" s="1151"/>
      <c r="BQ219" s="1012"/>
      <c r="BR219" s="1745"/>
      <c r="BS219" s="1172"/>
      <c r="BT219" s="1023"/>
      <c r="BU219" s="1012"/>
      <c r="BV219" s="1177"/>
      <c r="BW219" s="1741"/>
      <c r="BX219" s="1020"/>
      <c r="BY219" s="1042"/>
      <c r="BZ219" s="1127"/>
      <c r="CA219" s="1042">
        <f>IFERROR(BT219/M219,0)</f>
        <v>0</v>
      </c>
      <c r="CB219" s="1127"/>
      <c r="CC219" s="1042">
        <f>IFERROR(#REF!/M219,0)</f>
        <v>0</v>
      </c>
      <c r="CD219" s="1127"/>
      <c r="CE219" s="1042"/>
      <c r="CF219" s="1263"/>
      <c r="CG219" s="1042"/>
    </row>
    <row r="220" spans="2:85" s="783" customFormat="1" ht="15.75" customHeight="1" x14ac:dyDescent="0.25">
      <c r="B220" s="1648"/>
      <c r="C220" s="1644"/>
      <c r="D220" s="1464"/>
      <c r="E220" s="1403"/>
      <c r="F220" s="1467"/>
      <c r="G220" s="1215"/>
      <c r="H220" s="1097"/>
      <c r="I220" s="1097"/>
      <c r="J220" s="1240"/>
      <c r="K220" s="1492"/>
      <c r="L220" s="1574"/>
      <c r="M220" s="1243"/>
      <c r="N220" s="1103"/>
      <c r="O220" s="1092"/>
      <c r="P220" s="1092"/>
      <c r="Q220" s="1089"/>
      <c r="R220" s="1729"/>
      <c r="S220" s="1181"/>
      <c r="T220" s="1184"/>
      <c r="U220" s="1184"/>
      <c r="V220" s="1187"/>
      <c r="W220" s="993"/>
      <c r="X220" s="996" t="s">
        <v>197</v>
      </c>
      <c r="Y220" s="998"/>
      <c r="Z220" s="1208"/>
      <c r="AA220" s="1211"/>
      <c r="AB220" s="1211"/>
      <c r="AC220" s="1224"/>
      <c r="AD220" s="1012"/>
      <c r="AE220" s="1745"/>
      <c r="AF220" s="1181"/>
      <c r="AG220" s="1184"/>
      <c r="AH220" s="1184"/>
      <c r="AI220" s="1187"/>
      <c r="AJ220" s="993"/>
      <c r="AK220" s="996" t="s">
        <v>197</v>
      </c>
      <c r="AL220" s="998"/>
      <c r="AM220" s="1208"/>
      <c r="AN220" s="1211"/>
      <c r="AO220" s="1211"/>
      <c r="AP220" s="1224"/>
      <c r="AQ220" s="1012"/>
      <c r="AR220" s="1738"/>
      <c r="AS220" s="1181"/>
      <c r="AT220" s="1184"/>
      <c r="AU220" s="1184"/>
      <c r="AV220" s="1187"/>
      <c r="AW220" s="993"/>
      <c r="AX220" s="996" t="s">
        <v>197</v>
      </c>
      <c r="AY220" s="998" t="s">
        <v>626</v>
      </c>
      <c r="AZ220" s="1208"/>
      <c r="BA220" s="1211"/>
      <c r="BB220" s="1211"/>
      <c r="BC220" s="1224"/>
      <c r="BD220" s="1012"/>
      <c r="BE220" s="1738"/>
      <c r="BF220" s="1453"/>
      <c r="BG220" s="1422"/>
      <c r="BH220" s="1422"/>
      <c r="BI220" s="1200"/>
      <c r="BJ220" s="993"/>
      <c r="BK220" s="996" t="s">
        <v>197</v>
      </c>
      <c r="BL220" s="1053"/>
      <c r="BM220" s="1167"/>
      <c r="BN220" s="1148"/>
      <c r="BO220" s="1148"/>
      <c r="BP220" s="1151"/>
      <c r="BQ220" s="1012"/>
      <c r="BR220" s="1745"/>
      <c r="BS220" s="1172"/>
      <c r="BT220" s="1023"/>
      <c r="BU220" s="1012"/>
      <c r="BV220" s="1177"/>
      <c r="BW220" s="1741"/>
      <c r="BX220" s="1020"/>
      <c r="BY220" s="1042"/>
      <c r="BZ220" s="1127"/>
      <c r="CA220" s="1042"/>
      <c r="CB220" s="1127"/>
      <c r="CC220" s="1042"/>
      <c r="CD220" s="1127"/>
      <c r="CE220" s="1042"/>
      <c r="CF220" s="1263"/>
      <c r="CG220" s="1042"/>
    </row>
    <row r="221" spans="2:85" s="783" customFormat="1" ht="15.75" customHeight="1" x14ac:dyDescent="0.25">
      <c r="B221" s="1648"/>
      <c r="C221" s="1644"/>
      <c r="D221" s="1464"/>
      <c r="E221" s="1403"/>
      <c r="F221" s="1467"/>
      <c r="G221" s="1215"/>
      <c r="H221" s="1097"/>
      <c r="I221" s="1097"/>
      <c r="J221" s="1240"/>
      <c r="K221" s="1492"/>
      <c r="L221" s="1574"/>
      <c r="M221" s="1243"/>
      <c r="N221" s="1103"/>
      <c r="O221" s="1092"/>
      <c r="P221" s="1092"/>
      <c r="Q221" s="1089"/>
      <c r="R221" s="1729"/>
      <c r="S221" s="1181"/>
      <c r="T221" s="1184"/>
      <c r="U221" s="1184"/>
      <c r="V221" s="1187"/>
      <c r="W221" s="993"/>
      <c r="X221" s="996"/>
      <c r="Y221" s="998"/>
      <c r="Z221" s="1208"/>
      <c r="AA221" s="1211"/>
      <c r="AB221" s="1211"/>
      <c r="AC221" s="1224"/>
      <c r="AD221" s="1012"/>
      <c r="AE221" s="1745"/>
      <c r="AF221" s="1181"/>
      <c r="AG221" s="1184"/>
      <c r="AH221" s="1184"/>
      <c r="AI221" s="1187"/>
      <c r="AJ221" s="993"/>
      <c r="AK221" s="996"/>
      <c r="AL221" s="998"/>
      <c r="AM221" s="1208"/>
      <c r="AN221" s="1211"/>
      <c r="AO221" s="1211"/>
      <c r="AP221" s="1224"/>
      <c r="AQ221" s="1012"/>
      <c r="AR221" s="1738"/>
      <c r="AS221" s="1181"/>
      <c r="AT221" s="1184"/>
      <c r="AU221" s="1184"/>
      <c r="AV221" s="1187"/>
      <c r="AW221" s="993"/>
      <c r="AX221" s="996"/>
      <c r="AY221" s="998"/>
      <c r="AZ221" s="1208"/>
      <c r="BA221" s="1211"/>
      <c r="BB221" s="1211"/>
      <c r="BC221" s="1224"/>
      <c r="BD221" s="1012"/>
      <c r="BE221" s="1738"/>
      <c r="BF221" s="1453"/>
      <c r="BG221" s="1422"/>
      <c r="BH221" s="1422"/>
      <c r="BI221" s="1200"/>
      <c r="BJ221" s="993"/>
      <c r="BK221" s="996"/>
      <c r="BL221" s="1053"/>
      <c r="BM221" s="1167"/>
      <c r="BN221" s="1148"/>
      <c r="BO221" s="1148"/>
      <c r="BP221" s="1151"/>
      <c r="BQ221" s="1012"/>
      <c r="BR221" s="1745"/>
      <c r="BS221" s="1172"/>
      <c r="BT221" s="1023"/>
      <c r="BU221" s="1012"/>
      <c r="BV221" s="1177"/>
      <c r="BW221" s="1741"/>
      <c r="BX221" s="1020"/>
      <c r="BY221" s="1042"/>
      <c r="BZ221" s="1127"/>
      <c r="CA221" s="1042">
        <f>IFERROR(BT221/M221,0)</f>
        <v>0</v>
      </c>
      <c r="CB221" s="1127"/>
      <c r="CC221" s="1042">
        <f>IFERROR(#REF!/M221,0)</f>
        <v>0</v>
      </c>
      <c r="CD221" s="1127"/>
      <c r="CE221" s="1042"/>
      <c r="CF221" s="1263"/>
      <c r="CG221" s="1042"/>
    </row>
    <row r="222" spans="2:85" s="783" customFormat="1" ht="15.75" customHeight="1" x14ac:dyDescent="0.25">
      <c r="B222" s="1648"/>
      <c r="C222" s="1644"/>
      <c r="D222" s="1464"/>
      <c r="E222" s="1403"/>
      <c r="F222" s="1467"/>
      <c r="G222" s="1215"/>
      <c r="H222" s="1097"/>
      <c r="I222" s="1097"/>
      <c r="J222" s="1240"/>
      <c r="K222" s="1492"/>
      <c r="L222" s="1574"/>
      <c r="M222" s="1243"/>
      <c r="N222" s="1103"/>
      <c r="O222" s="1092"/>
      <c r="P222" s="1092"/>
      <c r="Q222" s="1089"/>
      <c r="R222" s="1729"/>
      <c r="S222" s="1181"/>
      <c r="T222" s="1184"/>
      <c r="U222" s="1184"/>
      <c r="V222" s="1187"/>
      <c r="W222" s="993"/>
      <c r="X222" s="996"/>
      <c r="Y222" s="998"/>
      <c r="Z222" s="1208"/>
      <c r="AA222" s="1211"/>
      <c r="AB222" s="1211"/>
      <c r="AC222" s="1224"/>
      <c r="AD222" s="1012"/>
      <c r="AE222" s="1745"/>
      <c r="AF222" s="1181"/>
      <c r="AG222" s="1184"/>
      <c r="AH222" s="1184"/>
      <c r="AI222" s="1187"/>
      <c r="AJ222" s="993"/>
      <c r="AK222" s="996"/>
      <c r="AL222" s="998"/>
      <c r="AM222" s="1208"/>
      <c r="AN222" s="1211"/>
      <c r="AO222" s="1211"/>
      <c r="AP222" s="1224"/>
      <c r="AQ222" s="1012"/>
      <c r="AR222" s="1738"/>
      <c r="AS222" s="1181"/>
      <c r="AT222" s="1184"/>
      <c r="AU222" s="1184"/>
      <c r="AV222" s="1187"/>
      <c r="AW222" s="993"/>
      <c r="AX222" s="996"/>
      <c r="AY222" s="998"/>
      <c r="AZ222" s="1208"/>
      <c r="BA222" s="1211"/>
      <c r="BB222" s="1211"/>
      <c r="BC222" s="1224"/>
      <c r="BD222" s="1012"/>
      <c r="BE222" s="1738"/>
      <c r="BF222" s="1453"/>
      <c r="BG222" s="1422"/>
      <c r="BH222" s="1422"/>
      <c r="BI222" s="1200"/>
      <c r="BJ222" s="993"/>
      <c r="BK222" s="996"/>
      <c r="BL222" s="1053"/>
      <c r="BM222" s="1167"/>
      <c r="BN222" s="1148"/>
      <c r="BO222" s="1148"/>
      <c r="BP222" s="1151"/>
      <c r="BQ222" s="1012"/>
      <c r="BR222" s="1745"/>
      <c r="BS222" s="1172"/>
      <c r="BT222" s="1023"/>
      <c r="BU222" s="1012"/>
      <c r="BV222" s="1177"/>
      <c r="BW222" s="1741"/>
      <c r="BX222" s="1020"/>
      <c r="BY222" s="1042"/>
      <c r="BZ222" s="1127"/>
      <c r="CA222" s="1042">
        <f>IFERROR(BT222/M222,0)</f>
        <v>0</v>
      </c>
      <c r="CB222" s="1127"/>
      <c r="CC222" s="1042">
        <f>IFERROR(#REF!/M222,0)</f>
        <v>0</v>
      </c>
      <c r="CD222" s="1127"/>
      <c r="CE222" s="1042"/>
      <c r="CF222" s="1263"/>
      <c r="CG222" s="1042"/>
    </row>
    <row r="223" spans="2:85" s="783" customFormat="1" ht="16.5" customHeight="1" thickBot="1" x14ac:dyDescent="0.3">
      <c r="B223" s="1648"/>
      <c r="C223" s="1645"/>
      <c r="D223" s="1465"/>
      <c r="E223" s="1404"/>
      <c r="F223" s="1562"/>
      <c r="G223" s="1216"/>
      <c r="H223" s="1098"/>
      <c r="I223" s="1098"/>
      <c r="J223" s="1241"/>
      <c r="K223" s="1492"/>
      <c r="L223" s="1575"/>
      <c r="M223" s="1244"/>
      <c r="N223" s="1104"/>
      <c r="O223" s="1093"/>
      <c r="P223" s="1093"/>
      <c r="Q223" s="1090"/>
      <c r="R223" s="1729"/>
      <c r="S223" s="1181"/>
      <c r="T223" s="1184"/>
      <c r="U223" s="1184"/>
      <c r="V223" s="1187"/>
      <c r="W223" s="993"/>
      <c r="X223" s="1068"/>
      <c r="Y223" s="1069"/>
      <c r="Z223" s="1221"/>
      <c r="AA223" s="1222"/>
      <c r="AB223" s="1222"/>
      <c r="AC223" s="1225"/>
      <c r="AD223" s="1013"/>
      <c r="AE223" s="1745"/>
      <c r="AF223" s="1181"/>
      <c r="AG223" s="1184"/>
      <c r="AH223" s="1184"/>
      <c r="AI223" s="1187"/>
      <c r="AJ223" s="993"/>
      <c r="AK223" s="1068"/>
      <c r="AL223" s="1069"/>
      <c r="AM223" s="1221"/>
      <c r="AN223" s="1222"/>
      <c r="AO223" s="1222"/>
      <c r="AP223" s="1225"/>
      <c r="AQ223" s="1013"/>
      <c r="AR223" s="1738"/>
      <c r="AS223" s="1181"/>
      <c r="AT223" s="1184"/>
      <c r="AU223" s="1184"/>
      <c r="AV223" s="1187"/>
      <c r="AW223" s="993"/>
      <c r="AX223" s="1068"/>
      <c r="AY223" s="1069"/>
      <c r="AZ223" s="1221"/>
      <c r="BA223" s="1222"/>
      <c r="BB223" s="1222"/>
      <c r="BC223" s="1225"/>
      <c r="BD223" s="1013"/>
      <c r="BE223" s="1738"/>
      <c r="BF223" s="1453"/>
      <c r="BG223" s="1422"/>
      <c r="BH223" s="1422"/>
      <c r="BI223" s="1200"/>
      <c r="BJ223" s="993"/>
      <c r="BK223" s="1068"/>
      <c r="BL223" s="1054"/>
      <c r="BM223" s="1206"/>
      <c r="BN223" s="1149"/>
      <c r="BO223" s="1149"/>
      <c r="BP223" s="1152"/>
      <c r="BQ223" s="1013"/>
      <c r="BR223" s="1745"/>
      <c r="BS223" s="1173"/>
      <c r="BT223" s="1175"/>
      <c r="BU223" s="1013"/>
      <c r="BV223" s="1177"/>
      <c r="BW223" s="1741"/>
      <c r="BX223" s="1021"/>
      <c r="BY223" s="1043"/>
      <c r="BZ223" s="1128"/>
      <c r="CA223" s="1043"/>
      <c r="CB223" s="1128"/>
      <c r="CC223" s="1043"/>
      <c r="CD223" s="1128"/>
      <c r="CE223" s="1043"/>
      <c r="CF223" s="1264"/>
      <c r="CG223" s="1042"/>
    </row>
    <row r="224" spans="2:85" s="783" customFormat="1" ht="38.25" customHeight="1" x14ac:dyDescent="0.25">
      <c r="B224" s="1460"/>
      <c r="C224" s="1650" t="s">
        <v>617</v>
      </c>
      <c r="D224" s="1641" t="s">
        <v>615</v>
      </c>
      <c r="E224" s="1619">
        <v>15</v>
      </c>
      <c r="F224" s="1536" t="s">
        <v>183</v>
      </c>
      <c r="G224" s="1214"/>
      <c r="H224" s="1096"/>
      <c r="I224" s="1096">
        <v>15</v>
      </c>
      <c r="J224" s="1239">
        <v>15</v>
      </c>
      <c r="K224" s="1492"/>
      <c r="L224" s="1576" t="s">
        <v>618</v>
      </c>
      <c r="M224" s="1251">
        <v>128000</v>
      </c>
      <c r="N224" s="1245">
        <v>0</v>
      </c>
      <c r="O224" s="1248">
        <v>0</v>
      </c>
      <c r="P224" s="1248">
        <v>128460</v>
      </c>
      <c r="Q224" s="1135">
        <f>8500+595</f>
        <v>9095</v>
      </c>
      <c r="R224" s="1729"/>
      <c r="S224" s="1254"/>
      <c r="T224" s="1232"/>
      <c r="U224" s="1232"/>
      <c r="V224" s="1233"/>
      <c r="W224" s="993">
        <f>IFERROR(SUM(S224:V235),0)</f>
        <v>0</v>
      </c>
      <c r="X224" s="995" t="s">
        <v>195</v>
      </c>
      <c r="Y224" s="997"/>
      <c r="Z224" s="1207"/>
      <c r="AA224" s="1210"/>
      <c r="AB224" s="1210"/>
      <c r="AC224" s="1223">
        <v>0</v>
      </c>
      <c r="AD224" s="1011">
        <f>SUM(Z224:AC235)</f>
        <v>0</v>
      </c>
      <c r="AE224" s="1745"/>
      <c r="AF224" s="1254"/>
      <c r="AG224" s="1232"/>
      <c r="AH224" s="1232"/>
      <c r="AI224" s="1233"/>
      <c r="AJ224" s="993">
        <f>IFERROR(SUM(AF224:AI235),0)</f>
        <v>0</v>
      </c>
      <c r="AK224" s="995" t="s">
        <v>195</v>
      </c>
      <c r="AL224" s="997"/>
      <c r="AM224" s="1207"/>
      <c r="AN224" s="1210"/>
      <c r="AO224" s="1210"/>
      <c r="AP224" s="1223">
        <v>0</v>
      </c>
      <c r="AQ224" s="1011">
        <f>SUM(AM224:AP235)</f>
        <v>0</v>
      </c>
      <c r="AR224" s="1738"/>
      <c r="AS224" s="1254"/>
      <c r="AT224" s="1232"/>
      <c r="AU224" s="1232"/>
      <c r="AV224" s="1233">
        <v>34</v>
      </c>
      <c r="AW224" s="993">
        <f>IFERROR(SUM(AS224:AV235),0)</f>
        <v>34</v>
      </c>
      <c r="AX224" s="995" t="s">
        <v>195</v>
      </c>
      <c r="AY224" s="997" t="s">
        <v>644</v>
      </c>
      <c r="AZ224" s="1207"/>
      <c r="BA224" s="1210"/>
      <c r="BB224" s="1210"/>
      <c r="BC224" s="1223">
        <v>92560</v>
      </c>
      <c r="BD224" s="1011">
        <f>SUM(AZ224:BC235)</f>
        <v>92560</v>
      </c>
      <c r="BE224" s="1738"/>
      <c r="BF224" s="1439"/>
      <c r="BG224" s="1297"/>
      <c r="BH224" s="1297"/>
      <c r="BI224" s="1153"/>
      <c r="BJ224" s="993">
        <f>IFERROR(SUM(BF224:BI235),0)</f>
        <v>0</v>
      </c>
      <c r="BK224" s="995" t="s">
        <v>195</v>
      </c>
      <c r="BL224" s="1164" t="s">
        <v>522</v>
      </c>
      <c r="BM224" s="1166">
        <v>5850</v>
      </c>
      <c r="BN224" s="1147">
        <v>3150.5</v>
      </c>
      <c r="BO224" s="1147">
        <v>0</v>
      </c>
      <c r="BP224" s="1150">
        <v>0</v>
      </c>
      <c r="BQ224" s="1011">
        <f>SUM(BM224:BP235)</f>
        <v>9000.5</v>
      </c>
      <c r="BR224" s="1745"/>
      <c r="BS224" s="1171" t="s">
        <v>490</v>
      </c>
      <c r="BT224" s="1022">
        <f>SUM(W224,AJ224,AW224,BJ224)</f>
        <v>34</v>
      </c>
      <c r="BU224" s="1011">
        <f>SUM(AD224,AQ224,BD224,BQ224)</f>
        <v>101560.5</v>
      </c>
      <c r="BV224" s="1177"/>
      <c r="BW224" s="1741"/>
      <c r="BX224" s="1018">
        <f>IFERROR(W224/G224,0)</f>
        <v>0</v>
      </c>
      <c r="BY224" s="1041">
        <f>IFERROR(AD224/N224,0)</f>
        <v>0</v>
      </c>
      <c r="BZ224" s="1125">
        <f>IFERROR(AJ224/H224,0)</f>
        <v>0</v>
      </c>
      <c r="CA224" s="1041">
        <f>IFERROR(AQ224/O224,0)</f>
        <v>0</v>
      </c>
      <c r="CB224" s="1126">
        <f>IFERROR(AW224/I224,0)</f>
        <v>2.2666666666666666</v>
      </c>
      <c r="CC224" s="1041">
        <f>IFERROR(BD224/P224,0)</f>
        <v>0.72053557527635059</v>
      </c>
      <c r="CD224" s="1125">
        <f>IFERROR(BJ224/J224,0)</f>
        <v>0</v>
      </c>
      <c r="CE224" s="1041">
        <f>IFERROR(BQ224/Q224,0)</f>
        <v>0.98960967564595936</v>
      </c>
      <c r="CF224" s="1126">
        <f>IFERROR(BT224/J224,0)</f>
        <v>2.2666666666666666</v>
      </c>
      <c r="CG224" s="1042"/>
    </row>
    <row r="225" spans="2:85" s="783" customFormat="1" ht="87.75" customHeight="1" x14ac:dyDescent="0.25">
      <c r="B225" s="1460"/>
      <c r="C225" s="1614"/>
      <c r="D225" s="1642"/>
      <c r="E225" s="1403"/>
      <c r="F225" s="1467"/>
      <c r="G225" s="1215"/>
      <c r="H225" s="1097"/>
      <c r="I225" s="1097"/>
      <c r="J225" s="1240"/>
      <c r="K225" s="1492"/>
      <c r="L225" s="1574"/>
      <c r="M225" s="1252"/>
      <c r="N225" s="1246"/>
      <c r="O225" s="1249"/>
      <c r="P225" s="1249"/>
      <c r="Q225" s="1136"/>
      <c r="R225" s="1729"/>
      <c r="S225" s="1014"/>
      <c r="T225" s="1016"/>
      <c r="U225" s="1016"/>
      <c r="V225" s="1078"/>
      <c r="W225" s="993"/>
      <c r="X225" s="996"/>
      <c r="Y225" s="998"/>
      <c r="Z225" s="1208"/>
      <c r="AA225" s="1211"/>
      <c r="AB225" s="1211"/>
      <c r="AC225" s="1224"/>
      <c r="AD225" s="1012"/>
      <c r="AE225" s="1745"/>
      <c r="AF225" s="1014"/>
      <c r="AG225" s="1016"/>
      <c r="AH225" s="1016"/>
      <c r="AI225" s="1078"/>
      <c r="AJ225" s="993"/>
      <c r="AK225" s="996"/>
      <c r="AL225" s="998"/>
      <c r="AM225" s="1208"/>
      <c r="AN225" s="1211"/>
      <c r="AO225" s="1211"/>
      <c r="AP225" s="1224"/>
      <c r="AQ225" s="1012"/>
      <c r="AR225" s="1738"/>
      <c r="AS225" s="1014"/>
      <c r="AT225" s="1016"/>
      <c r="AU225" s="1016"/>
      <c r="AV225" s="1078"/>
      <c r="AW225" s="993"/>
      <c r="AX225" s="996"/>
      <c r="AY225" s="998"/>
      <c r="AZ225" s="1208"/>
      <c r="BA225" s="1211"/>
      <c r="BB225" s="1211"/>
      <c r="BC225" s="1224"/>
      <c r="BD225" s="1012"/>
      <c r="BE225" s="1738"/>
      <c r="BF225" s="987"/>
      <c r="BG225" s="989"/>
      <c r="BH225" s="989"/>
      <c r="BI225" s="991"/>
      <c r="BJ225" s="993"/>
      <c r="BK225" s="996"/>
      <c r="BL225" s="1165"/>
      <c r="BM225" s="1167"/>
      <c r="BN225" s="1148"/>
      <c r="BO225" s="1148"/>
      <c r="BP225" s="1151"/>
      <c r="BQ225" s="1012"/>
      <c r="BR225" s="1745"/>
      <c r="BS225" s="1172"/>
      <c r="BT225" s="1023"/>
      <c r="BU225" s="1012"/>
      <c r="BV225" s="1177"/>
      <c r="BW225" s="1741"/>
      <c r="BX225" s="1019"/>
      <c r="BY225" s="1042"/>
      <c r="BZ225" s="1126"/>
      <c r="CA225" s="1042"/>
      <c r="CB225" s="1126"/>
      <c r="CC225" s="1042"/>
      <c r="CD225" s="1126"/>
      <c r="CE225" s="1042"/>
      <c r="CF225" s="1126"/>
      <c r="CG225" s="1042"/>
    </row>
    <row r="226" spans="2:85" s="783" customFormat="1" ht="31.5" customHeight="1" x14ac:dyDescent="0.25">
      <c r="B226" s="1460"/>
      <c r="C226" s="1614"/>
      <c r="D226" s="1642"/>
      <c r="E226" s="1403"/>
      <c r="F226" s="1467"/>
      <c r="G226" s="1215"/>
      <c r="H226" s="1097"/>
      <c r="I226" s="1097"/>
      <c r="J226" s="1240"/>
      <c r="K226" s="1492"/>
      <c r="L226" s="1574"/>
      <c r="M226" s="1252"/>
      <c r="N226" s="1246"/>
      <c r="O226" s="1249"/>
      <c r="P226" s="1249"/>
      <c r="Q226" s="1136"/>
      <c r="R226" s="1729"/>
      <c r="S226" s="1014"/>
      <c r="T226" s="1016"/>
      <c r="U226" s="1016"/>
      <c r="V226" s="1078"/>
      <c r="W226" s="993"/>
      <c r="X226" s="996"/>
      <c r="Y226" s="998"/>
      <c r="Z226" s="1208"/>
      <c r="AA226" s="1211"/>
      <c r="AB226" s="1211"/>
      <c r="AC226" s="1224"/>
      <c r="AD226" s="1012"/>
      <c r="AE226" s="1745"/>
      <c r="AF226" s="1014"/>
      <c r="AG226" s="1016"/>
      <c r="AH226" s="1016"/>
      <c r="AI226" s="1078"/>
      <c r="AJ226" s="993"/>
      <c r="AK226" s="996"/>
      <c r="AL226" s="998"/>
      <c r="AM226" s="1208"/>
      <c r="AN226" s="1211"/>
      <c r="AO226" s="1211"/>
      <c r="AP226" s="1224"/>
      <c r="AQ226" s="1012"/>
      <c r="AR226" s="1738"/>
      <c r="AS226" s="1014"/>
      <c r="AT226" s="1016"/>
      <c r="AU226" s="1016"/>
      <c r="AV226" s="1078"/>
      <c r="AW226" s="993"/>
      <c r="AX226" s="996"/>
      <c r="AY226" s="998"/>
      <c r="AZ226" s="1208"/>
      <c r="BA226" s="1211"/>
      <c r="BB226" s="1211"/>
      <c r="BC226" s="1224"/>
      <c r="BD226" s="1012"/>
      <c r="BE226" s="1738"/>
      <c r="BF226" s="987"/>
      <c r="BG226" s="989"/>
      <c r="BH226" s="989"/>
      <c r="BI226" s="991"/>
      <c r="BJ226" s="993"/>
      <c r="BK226" s="996"/>
      <c r="BL226" s="1165"/>
      <c r="BM226" s="1167"/>
      <c r="BN226" s="1148"/>
      <c r="BO226" s="1148"/>
      <c r="BP226" s="1151"/>
      <c r="BQ226" s="1012"/>
      <c r="BR226" s="1745"/>
      <c r="BS226" s="1172"/>
      <c r="BT226" s="1023"/>
      <c r="BU226" s="1012"/>
      <c r="BV226" s="1177"/>
      <c r="BW226" s="1741"/>
      <c r="BX226" s="1019"/>
      <c r="BY226" s="1042"/>
      <c r="BZ226" s="1126"/>
      <c r="CA226" s="1042"/>
      <c r="CB226" s="1126"/>
      <c r="CC226" s="1042"/>
      <c r="CD226" s="1126"/>
      <c r="CE226" s="1042"/>
      <c r="CF226" s="1126"/>
      <c r="CG226" s="1042"/>
    </row>
    <row r="227" spans="2:85" s="783" customFormat="1" ht="15.75" customHeight="1" x14ac:dyDescent="0.25">
      <c r="B227" s="1460"/>
      <c r="C227" s="1614"/>
      <c r="D227" s="1642"/>
      <c r="E227" s="1403"/>
      <c r="F227" s="1467"/>
      <c r="G227" s="1215"/>
      <c r="H227" s="1097"/>
      <c r="I227" s="1097"/>
      <c r="J227" s="1240"/>
      <c r="K227" s="1492"/>
      <c r="L227" s="1574"/>
      <c r="M227" s="1252"/>
      <c r="N227" s="1246"/>
      <c r="O227" s="1249"/>
      <c r="P227" s="1249"/>
      <c r="Q227" s="1136"/>
      <c r="R227" s="1729"/>
      <c r="S227" s="1014"/>
      <c r="T227" s="1016"/>
      <c r="U227" s="1016"/>
      <c r="V227" s="1078"/>
      <c r="W227" s="993"/>
      <c r="X227" s="996"/>
      <c r="Y227" s="998"/>
      <c r="Z227" s="1208"/>
      <c r="AA227" s="1211"/>
      <c r="AB227" s="1211"/>
      <c r="AC227" s="1224"/>
      <c r="AD227" s="1012"/>
      <c r="AE227" s="1745"/>
      <c r="AF227" s="1014"/>
      <c r="AG227" s="1016"/>
      <c r="AH227" s="1016"/>
      <c r="AI227" s="1078"/>
      <c r="AJ227" s="993"/>
      <c r="AK227" s="996"/>
      <c r="AL227" s="998"/>
      <c r="AM227" s="1208"/>
      <c r="AN227" s="1211"/>
      <c r="AO227" s="1211"/>
      <c r="AP227" s="1224"/>
      <c r="AQ227" s="1012"/>
      <c r="AR227" s="1738"/>
      <c r="AS227" s="1014"/>
      <c r="AT227" s="1016"/>
      <c r="AU227" s="1016"/>
      <c r="AV227" s="1078"/>
      <c r="AW227" s="993"/>
      <c r="AX227" s="996"/>
      <c r="AY227" s="998"/>
      <c r="AZ227" s="1208"/>
      <c r="BA227" s="1211"/>
      <c r="BB227" s="1211"/>
      <c r="BC227" s="1224"/>
      <c r="BD227" s="1012"/>
      <c r="BE227" s="1738"/>
      <c r="BF227" s="987"/>
      <c r="BG227" s="989"/>
      <c r="BH227" s="989"/>
      <c r="BI227" s="991"/>
      <c r="BJ227" s="993"/>
      <c r="BK227" s="996"/>
      <c r="BL227" s="1165"/>
      <c r="BM227" s="1167"/>
      <c r="BN227" s="1148"/>
      <c r="BO227" s="1148"/>
      <c r="BP227" s="1151"/>
      <c r="BQ227" s="1012"/>
      <c r="BR227" s="1745"/>
      <c r="BS227" s="1172"/>
      <c r="BT227" s="1023"/>
      <c r="BU227" s="1012"/>
      <c r="BV227" s="1177"/>
      <c r="BW227" s="1741"/>
      <c r="BX227" s="1019"/>
      <c r="BY227" s="1042"/>
      <c r="BZ227" s="1126"/>
      <c r="CA227" s="1042"/>
      <c r="CB227" s="1126"/>
      <c r="CC227" s="1042"/>
      <c r="CD227" s="1126"/>
      <c r="CE227" s="1042"/>
      <c r="CF227" s="1126"/>
      <c r="CG227" s="1042"/>
    </row>
    <row r="228" spans="2:85" s="783" customFormat="1" ht="15.75" customHeight="1" x14ac:dyDescent="0.25">
      <c r="B228" s="1460"/>
      <c r="C228" s="1614"/>
      <c r="D228" s="1642"/>
      <c r="E228" s="1403"/>
      <c r="F228" s="1467"/>
      <c r="G228" s="1215"/>
      <c r="H228" s="1097"/>
      <c r="I228" s="1097"/>
      <c r="J228" s="1240"/>
      <c r="K228" s="1492"/>
      <c r="L228" s="1574"/>
      <c r="M228" s="1252"/>
      <c r="N228" s="1246"/>
      <c r="O228" s="1249"/>
      <c r="P228" s="1249"/>
      <c r="Q228" s="1136"/>
      <c r="R228" s="1729"/>
      <c r="S228" s="1014"/>
      <c r="T228" s="1016"/>
      <c r="U228" s="1016"/>
      <c r="V228" s="1078"/>
      <c r="W228" s="993"/>
      <c r="X228" s="996" t="s">
        <v>196</v>
      </c>
      <c r="Y228" s="998"/>
      <c r="Z228" s="1208"/>
      <c r="AA228" s="1211"/>
      <c r="AB228" s="1211"/>
      <c r="AC228" s="1224"/>
      <c r="AD228" s="1012"/>
      <c r="AE228" s="1745"/>
      <c r="AF228" s="1014"/>
      <c r="AG228" s="1016"/>
      <c r="AH228" s="1016"/>
      <c r="AI228" s="1078"/>
      <c r="AJ228" s="993"/>
      <c r="AK228" s="996" t="s">
        <v>196</v>
      </c>
      <c r="AL228" s="998"/>
      <c r="AM228" s="1208"/>
      <c r="AN228" s="1211"/>
      <c r="AO228" s="1211"/>
      <c r="AP228" s="1224"/>
      <c r="AQ228" s="1012"/>
      <c r="AR228" s="1738"/>
      <c r="AS228" s="1014"/>
      <c r="AT228" s="1016"/>
      <c r="AU228" s="1016"/>
      <c r="AV228" s="1078"/>
      <c r="AW228" s="993"/>
      <c r="AX228" s="996" t="s">
        <v>196</v>
      </c>
      <c r="AY228" s="1213" t="s">
        <v>642</v>
      </c>
      <c r="AZ228" s="1208"/>
      <c r="BA228" s="1211"/>
      <c r="BB228" s="1211"/>
      <c r="BC228" s="1224"/>
      <c r="BD228" s="1012"/>
      <c r="BE228" s="1738"/>
      <c r="BF228" s="987"/>
      <c r="BG228" s="989"/>
      <c r="BH228" s="989"/>
      <c r="BI228" s="991"/>
      <c r="BJ228" s="993"/>
      <c r="BK228" s="996" t="s">
        <v>196</v>
      </c>
      <c r="BL228" s="1053"/>
      <c r="BM228" s="1167"/>
      <c r="BN228" s="1148"/>
      <c r="BO228" s="1148"/>
      <c r="BP228" s="1151"/>
      <c r="BQ228" s="1012"/>
      <c r="BR228" s="1745"/>
      <c r="BS228" s="1172"/>
      <c r="BT228" s="1023"/>
      <c r="BU228" s="1012"/>
      <c r="BV228" s="1177"/>
      <c r="BW228" s="1741"/>
      <c r="BX228" s="1019"/>
      <c r="BY228" s="1042"/>
      <c r="BZ228" s="1126"/>
      <c r="CA228" s="1042"/>
      <c r="CB228" s="1126"/>
      <c r="CC228" s="1042"/>
      <c r="CD228" s="1126"/>
      <c r="CE228" s="1042"/>
      <c r="CF228" s="1126"/>
      <c r="CG228" s="1042"/>
    </row>
    <row r="229" spans="2:85" s="783" customFormat="1" ht="15.75" customHeight="1" x14ac:dyDescent="0.25">
      <c r="B229" s="1460"/>
      <c r="C229" s="1614"/>
      <c r="D229" s="1642"/>
      <c r="E229" s="1403"/>
      <c r="F229" s="1467"/>
      <c r="G229" s="1215"/>
      <c r="H229" s="1097"/>
      <c r="I229" s="1097"/>
      <c r="J229" s="1240"/>
      <c r="K229" s="1492"/>
      <c r="L229" s="1574"/>
      <c r="M229" s="1252"/>
      <c r="N229" s="1246"/>
      <c r="O229" s="1249"/>
      <c r="P229" s="1249"/>
      <c r="Q229" s="1136"/>
      <c r="R229" s="1729"/>
      <c r="S229" s="1014"/>
      <c r="T229" s="1016"/>
      <c r="U229" s="1016"/>
      <c r="V229" s="1078"/>
      <c r="W229" s="993"/>
      <c r="X229" s="996"/>
      <c r="Y229" s="998"/>
      <c r="Z229" s="1208"/>
      <c r="AA229" s="1211"/>
      <c r="AB229" s="1211"/>
      <c r="AC229" s="1224"/>
      <c r="AD229" s="1012"/>
      <c r="AE229" s="1745"/>
      <c r="AF229" s="1014"/>
      <c r="AG229" s="1016"/>
      <c r="AH229" s="1016"/>
      <c r="AI229" s="1078"/>
      <c r="AJ229" s="993"/>
      <c r="AK229" s="996"/>
      <c r="AL229" s="998"/>
      <c r="AM229" s="1208"/>
      <c r="AN229" s="1211"/>
      <c r="AO229" s="1211"/>
      <c r="AP229" s="1224"/>
      <c r="AQ229" s="1012"/>
      <c r="AR229" s="1738"/>
      <c r="AS229" s="1014"/>
      <c r="AT229" s="1016"/>
      <c r="AU229" s="1016"/>
      <c r="AV229" s="1078"/>
      <c r="AW229" s="993"/>
      <c r="AX229" s="996"/>
      <c r="AY229" s="1213"/>
      <c r="AZ229" s="1208"/>
      <c r="BA229" s="1211"/>
      <c r="BB229" s="1211"/>
      <c r="BC229" s="1224"/>
      <c r="BD229" s="1012"/>
      <c r="BE229" s="1738"/>
      <c r="BF229" s="987"/>
      <c r="BG229" s="989"/>
      <c r="BH229" s="989"/>
      <c r="BI229" s="991"/>
      <c r="BJ229" s="993"/>
      <c r="BK229" s="996"/>
      <c r="BL229" s="1053"/>
      <c r="BM229" s="1167"/>
      <c r="BN229" s="1148"/>
      <c r="BO229" s="1148"/>
      <c r="BP229" s="1151"/>
      <c r="BQ229" s="1012"/>
      <c r="BR229" s="1745"/>
      <c r="BS229" s="1172"/>
      <c r="BT229" s="1023"/>
      <c r="BU229" s="1012"/>
      <c r="BV229" s="1177"/>
      <c r="BW229" s="1741"/>
      <c r="BX229" s="1019"/>
      <c r="BY229" s="1042"/>
      <c r="BZ229" s="1126"/>
      <c r="CA229" s="1042"/>
      <c r="CB229" s="1126"/>
      <c r="CC229" s="1042"/>
      <c r="CD229" s="1126"/>
      <c r="CE229" s="1042"/>
      <c r="CF229" s="1126"/>
      <c r="CG229" s="1042"/>
    </row>
    <row r="230" spans="2:85" s="783" customFormat="1" ht="15.75" customHeight="1" x14ac:dyDescent="0.25">
      <c r="B230" s="1460"/>
      <c r="C230" s="1614"/>
      <c r="D230" s="1642"/>
      <c r="E230" s="1403"/>
      <c r="F230" s="1467"/>
      <c r="G230" s="1215"/>
      <c r="H230" s="1097"/>
      <c r="I230" s="1097"/>
      <c r="J230" s="1240"/>
      <c r="K230" s="1492"/>
      <c r="L230" s="1574"/>
      <c r="M230" s="1252"/>
      <c r="N230" s="1246"/>
      <c r="O230" s="1249"/>
      <c r="P230" s="1249"/>
      <c r="Q230" s="1136"/>
      <c r="R230" s="1729"/>
      <c r="S230" s="1014"/>
      <c r="T230" s="1016"/>
      <c r="U230" s="1016"/>
      <c r="V230" s="1078"/>
      <c r="W230" s="993"/>
      <c r="X230" s="996"/>
      <c r="Y230" s="998"/>
      <c r="Z230" s="1208"/>
      <c r="AA230" s="1211"/>
      <c r="AB230" s="1211"/>
      <c r="AC230" s="1224"/>
      <c r="AD230" s="1012"/>
      <c r="AE230" s="1745"/>
      <c r="AF230" s="1014"/>
      <c r="AG230" s="1016"/>
      <c r="AH230" s="1016"/>
      <c r="AI230" s="1078"/>
      <c r="AJ230" s="993"/>
      <c r="AK230" s="996"/>
      <c r="AL230" s="998"/>
      <c r="AM230" s="1208"/>
      <c r="AN230" s="1211"/>
      <c r="AO230" s="1211"/>
      <c r="AP230" s="1224"/>
      <c r="AQ230" s="1012"/>
      <c r="AR230" s="1738"/>
      <c r="AS230" s="1014"/>
      <c r="AT230" s="1016"/>
      <c r="AU230" s="1016"/>
      <c r="AV230" s="1078"/>
      <c r="AW230" s="993"/>
      <c r="AX230" s="996"/>
      <c r="AY230" s="1213"/>
      <c r="AZ230" s="1208"/>
      <c r="BA230" s="1211"/>
      <c r="BB230" s="1211"/>
      <c r="BC230" s="1224"/>
      <c r="BD230" s="1012"/>
      <c r="BE230" s="1738"/>
      <c r="BF230" s="987"/>
      <c r="BG230" s="989"/>
      <c r="BH230" s="989"/>
      <c r="BI230" s="991"/>
      <c r="BJ230" s="993"/>
      <c r="BK230" s="996"/>
      <c r="BL230" s="1053"/>
      <c r="BM230" s="1167"/>
      <c r="BN230" s="1148"/>
      <c r="BO230" s="1148"/>
      <c r="BP230" s="1151"/>
      <c r="BQ230" s="1012"/>
      <c r="BR230" s="1745"/>
      <c r="BS230" s="1172"/>
      <c r="BT230" s="1023"/>
      <c r="BU230" s="1012"/>
      <c r="BV230" s="1177"/>
      <c r="BW230" s="1741"/>
      <c r="BX230" s="1019"/>
      <c r="BY230" s="1042"/>
      <c r="BZ230" s="1126"/>
      <c r="CA230" s="1042"/>
      <c r="CB230" s="1126"/>
      <c r="CC230" s="1042"/>
      <c r="CD230" s="1126"/>
      <c r="CE230" s="1042"/>
      <c r="CF230" s="1126"/>
      <c r="CG230" s="1042"/>
    </row>
    <row r="231" spans="2:85" s="783" customFormat="1" ht="15.75" customHeight="1" x14ac:dyDescent="0.25">
      <c r="B231" s="1460"/>
      <c r="C231" s="1614"/>
      <c r="D231" s="1642"/>
      <c r="E231" s="1403"/>
      <c r="F231" s="1467"/>
      <c r="G231" s="1215"/>
      <c r="H231" s="1097"/>
      <c r="I231" s="1097"/>
      <c r="J231" s="1240"/>
      <c r="K231" s="1492"/>
      <c r="L231" s="1574"/>
      <c r="M231" s="1252"/>
      <c r="N231" s="1246"/>
      <c r="O231" s="1249"/>
      <c r="P231" s="1249"/>
      <c r="Q231" s="1136"/>
      <c r="R231" s="1729"/>
      <c r="S231" s="1014"/>
      <c r="T231" s="1016"/>
      <c r="U231" s="1016"/>
      <c r="V231" s="1078"/>
      <c r="W231" s="993"/>
      <c r="X231" s="996"/>
      <c r="Y231" s="998"/>
      <c r="Z231" s="1208"/>
      <c r="AA231" s="1211"/>
      <c r="AB231" s="1211"/>
      <c r="AC231" s="1224"/>
      <c r="AD231" s="1012"/>
      <c r="AE231" s="1745"/>
      <c r="AF231" s="1014"/>
      <c r="AG231" s="1016"/>
      <c r="AH231" s="1016"/>
      <c r="AI231" s="1078"/>
      <c r="AJ231" s="993"/>
      <c r="AK231" s="996"/>
      <c r="AL231" s="998"/>
      <c r="AM231" s="1208"/>
      <c r="AN231" s="1211"/>
      <c r="AO231" s="1211"/>
      <c r="AP231" s="1224"/>
      <c r="AQ231" s="1012"/>
      <c r="AR231" s="1738"/>
      <c r="AS231" s="1014"/>
      <c r="AT231" s="1016"/>
      <c r="AU231" s="1016"/>
      <c r="AV231" s="1078"/>
      <c r="AW231" s="993"/>
      <c r="AX231" s="996"/>
      <c r="AY231" s="1213"/>
      <c r="AZ231" s="1208"/>
      <c r="BA231" s="1211"/>
      <c r="BB231" s="1211"/>
      <c r="BC231" s="1224"/>
      <c r="BD231" s="1012"/>
      <c r="BE231" s="1738"/>
      <c r="BF231" s="987"/>
      <c r="BG231" s="989"/>
      <c r="BH231" s="989"/>
      <c r="BI231" s="991"/>
      <c r="BJ231" s="993"/>
      <c r="BK231" s="996"/>
      <c r="BL231" s="1053"/>
      <c r="BM231" s="1167"/>
      <c r="BN231" s="1148"/>
      <c r="BO231" s="1148"/>
      <c r="BP231" s="1151"/>
      <c r="BQ231" s="1012"/>
      <c r="BR231" s="1745"/>
      <c r="BS231" s="1172"/>
      <c r="BT231" s="1023"/>
      <c r="BU231" s="1012"/>
      <c r="BV231" s="1177"/>
      <c r="BW231" s="1741"/>
      <c r="BX231" s="1020"/>
      <c r="BY231" s="1042"/>
      <c r="BZ231" s="1127"/>
      <c r="CA231" s="1042">
        <f>IFERROR(BT231/M231,0)</f>
        <v>0</v>
      </c>
      <c r="CB231" s="1127"/>
      <c r="CC231" s="1042">
        <f>IFERROR(#REF!/M231,0)</f>
        <v>0</v>
      </c>
      <c r="CD231" s="1127"/>
      <c r="CE231" s="1042"/>
      <c r="CF231" s="1127"/>
      <c r="CG231" s="1042"/>
    </row>
    <row r="232" spans="2:85" s="783" customFormat="1" ht="37.5" customHeight="1" x14ac:dyDescent="0.25">
      <c r="B232" s="1460"/>
      <c r="C232" s="1614"/>
      <c r="D232" s="1642"/>
      <c r="E232" s="1403"/>
      <c r="F232" s="1467"/>
      <c r="G232" s="1215"/>
      <c r="H232" s="1097"/>
      <c r="I232" s="1097"/>
      <c r="J232" s="1240"/>
      <c r="K232" s="1492"/>
      <c r="L232" s="1574"/>
      <c r="M232" s="1252"/>
      <c r="N232" s="1246"/>
      <c r="O232" s="1249"/>
      <c r="P232" s="1249"/>
      <c r="Q232" s="1136"/>
      <c r="R232" s="1729"/>
      <c r="S232" s="1014"/>
      <c r="T232" s="1016"/>
      <c r="U232" s="1016"/>
      <c r="V232" s="1078"/>
      <c r="W232" s="993"/>
      <c r="X232" s="996" t="s">
        <v>197</v>
      </c>
      <c r="Y232" s="998"/>
      <c r="Z232" s="1208"/>
      <c r="AA232" s="1211"/>
      <c r="AB232" s="1211"/>
      <c r="AC232" s="1224"/>
      <c r="AD232" s="1012"/>
      <c r="AE232" s="1745"/>
      <c r="AF232" s="1014"/>
      <c r="AG232" s="1016"/>
      <c r="AH232" s="1016"/>
      <c r="AI232" s="1078"/>
      <c r="AJ232" s="993"/>
      <c r="AK232" s="996" t="s">
        <v>197</v>
      </c>
      <c r="AL232" s="998"/>
      <c r="AM232" s="1208"/>
      <c r="AN232" s="1211"/>
      <c r="AO232" s="1211"/>
      <c r="AP232" s="1224"/>
      <c r="AQ232" s="1012"/>
      <c r="AR232" s="1738"/>
      <c r="AS232" s="1014"/>
      <c r="AT232" s="1016"/>
      <c r="AU232" s="1016"/>
      <c r="AV232" s="1078"/>
      <c r="AW232" s="993"/>
      <c r="AX232" s="996" t="s">
        <v>197</v>
      </c>
      <c r="AY232" s="998" t="s">
        <v>643</v>
      </c>
      <c r="AZ232" s="1208"/>
      <c r="BA232" s="1211"/>
      <c r="BB232" s="1211"/>
      <c r="BC232" s="1224"/>
      <c r="BD232" s="1012"/>
      <c r="BE232" s="1738"/>
      <c r="BF232" s="987"/>
      <c r="BG232" s="989"/>
      <c r="BH232" s="989"/>
      <c r="BI232" s="991"/>
      <c r="BJ232" s="993"/>
      <c r="BK232" s="996" t="s">
        <v>197</v>
      </c>
      <c r="BL232" s="1053"/>
      <c r="BM232" s="1167"/>
      <c r="BN232" s="1148"/>
      <c r="BO232" s="1148"/>
      <c r="BP232" s="1151"/>
      <c r="BQ232" s="1012"/>
      <c r="BR232" s="1745"/>
      <c r="BS232" s="1172"/>
      <c r="BT232" s="1023"/>
      <c r="BU232" s="1012"/>
      <c r="BV232" s="1177"/>
      <c r="BW232" s="1741"/>
      <c r="BX232" s="1020"/>
      <c r="BY232" s="1042"/>
      <c r="BZ232" s="1127"/>
      <c r="CA232" s="1042"/>
      <c r="CB232" s="1127"/>
      <c r="CC232" s="1042"/>
      <c r="CD232" s="1127"/>
      <c r="CE232" s="1042"/>
      <c r="CF232" s="1127"/>
      <c r="CG232" s="1042"/>
    </row>
    <row r="233" spans="2:85" s="783" customFormat="1" ht="86.25" customHeight="1" x14ac:dyDescent="0.25">
      <c r="B233" s="1460"/>
      <c r="C233" s="1614"/>
      <c r="D233" s="1642"/>
      <c r="E233" s="1403"/>
      <c r="F233" s="1467"/>
      <c r="G233" s="1215"/>
      <c r="H233" s="1097"/>
      <c r="I233" s="1097"/>
      <c r="J233" s="1240"/>
      <c r="K233" s="1492"/>
      <c r="L233" s="1574"/>
      <c r="M233" s="1252"/>
      <c r="N233" s="1246"/>
      <c r="O233" s="1249"/>
      <c r="P233" s="1249"/>
      <c r="Q233" s="1136"/>
      <c r="R233" s="1729"/>
      <c r="S233" s="1014"/>
      <c r="T233" s="1016"/>
      <c r="U233" s="1016"/>
      <c r="V233" s="1078"/>
      <c r="W233" s="993"/>
      <c r="X233" s="996"/>
      <c r="Y233" s="998"/>
      <c r="Z233" s="1208"/>
      <c r="AA233" s="1211"/>
      <c r="AB233" s="1211"/>
      <c r="AC233" s="1224"/>
      <c r="AD233" s="1012"/>
      <c r="AE233" s="1745"/>
      <c r="AF233" s="1014"/>
      <c r="AG233" s="1016"/>
      <c r="AH233" s="1016"/>
      <c r="AI233" s="1078"/>
      <c r="AJ233" s="993"/>
      <c r="AK233" s="996"/>
      <c r="AL233" s="998"/>
      <c r="AM233" s="1208"/>
      <c r="AN233" s="1211"/>
      <c r="AO233" s="1211"/>
      <c r="AP233" s="1224"/>
      <c r="AQ233" s="1012"/>
      <c r="AR233" s="1738"/>
      <c r="AS233" s="1014"/>
      <c r="AT233" s="1016"/>
      <c r="AU233" s="1016"/>
      <c r="AV233" s="1078"/>
      <c r="AW233" s="993"/>
      <c r="AX233" s="996"/>
      <c r="AY233" s="998"/>
      <c r="AZ233" s="1208"/>
      <c r="BA233" s="1211"/>
      <c r="BB233" s="1211"/>
      <c r="BC233" s="1224"/>
      <c r="BD233" s="1012"/>
      <c r="BE233" s="1738"/>
      <c r="BF233" s="987"/>
      <c r="BG233" s="989"/>
      <c r="BH233" s="989"/>
      <c r="BI233" s="991"/>
      <c r="BJ233" s="993"/>
      <c r="BK233" s="996"/>
      <c r="BL233" s="1053"/>
      <c r="BM233" s="1167"/>
      <c r="BN233" s="1148"/>
      <c r="BO233" s="1148"/>
      <c r="BP233" s="1151"/>
      <c r="BQ233" s="1012"/>
      <c r="BR233" s="1745"/>
      <c r="BS233" s="1172"/>
      <c r="BT233" s="1023"/>
      <c r="BU233" s="1012"/>
      <c r="BV233" s="1177"/>
      <c r="BW233" s="1741"/>
      <c r="BX233" s="1020"/>
      <c r="BY233" s="1042"/>
      <c r="BZ233" s="1127"/>
      <c r="CA233" s="1042">
        <f>IFERROR(BT233/M233,0)</f>
        <v>0</v>
      </c>
      <c r="CB233" s="1127"/>
      <c r="CC233" s="1042">
        <f>IFERROR(#REF!/M233,0)</f>
        <v>0</v>
      </c>
      <c r="CD233" s="1127"/>
      <c r="CE233" s="1042"/>
      <c r="CF233" s="1127"/>
      <c r="CG233" s="1042"/>
    </row>
    <row r="234" spans="2:85" s="783" customFormat="1" ht="41.25" customHeight="1" x14ac:dyDescent="0.25">
      <c r="B234" s="1460"/>
      <c r="C234" s="1614"/>
      <c r="D234" s="1642"/>
      <c r="E234" s="1403"/>
      <c r="F234" s="1467"/>
      <c r="G234" s="1215"/>
      <c r="H234" s="1097"/>
      <c r="I234" s="1097"/>
      <c r="J234" s="1240"/>
      <c r="K234" s="1492"/>
      <c r="L234" s="1574"/>
      <c r="M234" s="1252"/>
      <c r="N234" s="1246"/>
      <c r="O234" s="1249"/>
      <c r="P234" s="1249"/>
      <c r="Q234" s="1136"/>
      <c r="R234" s="1729"/>
      <c r="S234" s="1014"/>
      <c r="T234" s="1016"/>
      <c r="U234" s="1016"/>
      <c r="V234" s="1078"/>
      <c r="W234" s="993"/>
      <c r="X234" s="996"/>
      <c r="Y234" s="998"/>
      <c r="Z234" s="1208"/>
      <c r="AA234" s="1211"/>
      <c r="AB234" s="1211"/>
      <c r="AC234" s="1224"/>
      <c r="AD234" s="1012"/>
      <c r="AE234" s="1745"/>
      <c r="AF234" s="1014"/>
      <c r="AG234" s="1016"/>
      <c r="AH234" s="1016"/>
      <c r="AI234" s="1078"/>
      <c r="AJ234" s="993"/>
      <c r="AK234" s="996"/>
      <c r="AL234" s="998"/>
      <c r="AM234" s="1208"/>
      <c r="AN234" s="1211"/>
      <c r="AO234" s="1211"/>
      <c r="AP234" s="1224"/>
      <c r="AQ234" s="1012"/>
      <c r="AR234" s="1738"/>
      <c r="AS234" s="1014"/>
      <c r="AT234" s="1016"/>
      <c r="AU234" s="1016"/>
      <c r="AV234" s="1078"/>
      <c r="AW234" s="993"/>
      <c r="AX234" s="996"/>
      <c r="AY234" s="998"/>
      <c r="AZ234" s="1208"/>
      <c r="BA234" s="1211"/>
      <c r="BB234" s="1211"/>
      <c r="BC234" s="1224"/>
      <c r="BD234" s="1012"/>
      <c r="BE234" s="1738"/>
      <c r="BF234" s="987"/>
      <c r="BG234" s="989"/>
      <c r="BH234" s="989"/>
      <c r="BI234" s="991"/>
      <c r="BJ234" s="993"/>
      <c r="BK234" s="996"/>
      <c r="BL234" s="1053"/>
      <c r="BM234" s="1167"/>
      <c r="BN234" s="1148"/>
      <c r="BO234" s="1148"/>
      <c r="BP234" s="1151"/>
      <c r="BQ234" s="1012"/>
      <c r="BR234" s="1745"/>
      <c r="BS234" s="1172"/>
      <c r="BT234" s="1023"/>
      <c r="BU234" s="1012"/>
      <c r="BV234" s="1177"/>
      <c r="BW234" s="1741"/>
      <c r="BX234" s="1020"/>
      <c r="BY234" s="1042"/>
      <c r="BZ234" s="1127"/>
      <c r="CA234" s="1042">
        <f>IFERROR(BT234/M234,0)</f>
        <v>0</v>
      </c>
      <c r="CB234" s="1127"/>
      <c r="CC234" s="1042">
        <f>IFERROR(#REF!/M234,0)</f>
        <v>0</v>
      </c>
      <c r="CD234" s="1127"/>
      <c r="CE234" s="1042"/>
      <c r="CF234" s="1127"/>
      <c r="CG234" s="1042"/>
    </row>
    <row r="235" spans="2:85" s="783" customFormat="1" ht="16.5" customHeight="1" thickBot="1" x14ac:dyDescent="0.3">
      <c r="B235" s="1460"/>
      <c r="C235" s="1614"/>
      <c r="D235" s="1643"/>
      <c r="E235" s="1404"/>
      <c r="F235" s="1562"/>
      <c r="G235" s="1216"/>
      <c r="H235" s="1098"/>
      <c r="I235" s="1098"/>
      <c r="J235" s="1241"/>
      <c r="K235" s="1492"/>
      <c r="L235" s="1574"/>
      <c r="M235" s="1253"/>
      <c r="N235" s="1247"/>
      <c r="O235" s="1250"/>
      <c r="P235" s="1250"/>
      <c r="Q235" s="1137"/>
      <c r="R235" s="1729"/>
      <c r="S235" s="1014"/>
      <c r="T235" s="1016"/>
      <c r="U235" s="1016"/>
      <c r="V235" s="1078"/>
      <c r="W235" s="1163"/>
      <c r="X235" s="1068"/>
      <c r="Y235" s="1069"/>
      <c r="Z235" s="1209"/>
      <c r="AA235" s="1212"/>
      <c r="AB235" s="1212"/>
      <c r="AC235" s="1226"/>
      <c r="AD235" s="1013"/>
      <c r="AE235" s="1745"/>
      <c r="AF235" s="1014"/>
      <c r="AG235" s="1016"/>
      <c r="AH235" s="1016"/>
      <c r="AI235" s="1078"/>
      <c r="AJ235" s="1163"/>
      <c r="AK235" s="1068"/>
      <c r="AL235" s="1069"/>
      <c r="AM235" s="1209"/>
      <c r="AN235" s="1212"/>
      <c r="AO235" s="1212"/>
      <c r="AP235" s="1226"/>
      <c r="AQ235" s="1013"/>
      <c r="AR235" s="1738"/>
      <c r="AS235" s="1014"/>
      <c r="AT235" s="1016"/>
      <c r="AU235" s="1016"/>
      <c r="AV235" s="1078"/>
      <c r="AW235" s="1163"/>
      <c r="AX235" s="1068"/>
      <c r="AY235" s="1069"/>
      <c r="AZ235" s="1209"/>
      <c r="BA235" s="1212"/>
      <c r="BB235" s="1212"/>
      <c r="BC235" s="1226"/>
      <c r="BD235" s="1013"/>
      <c r="BE235" s="1738"/>
      <c r="BF235" s="987"/>
      <c r="BG235" s="989"/>
      <c r="BH235" s="989"/>
      <c r="BI235" s="991"/>
      <c r="BJ235" s="1163"/>
      <c r="BK235" s="1068"/>
      <c r="BL235" s="1054"/>
      <c r="BM235" s="1168"/>
      <c r="BN235" s="1201"/>
      <c r="BO235" s="1201"/>
      <c r="BP235" s="1202"/>
      <c r="BQ235" s="1013"/>
      <c r="BR235" s="1745"/>
      <c r="BS235" s="1173"/>
      <c r="BT235" s="1175"/>
      <c r="BU235" s="1013"/>
      <c r="BV235" s="1177"/>
      <c r="BW235" s="1741"/>
      <c r="BX235" s="1021"/>
      <c r="BY235" s="1043"/>
      <c r="BZ235" s="1128"/>
      <c r="CA235" s="1043"/>
      <c r="CB235" s="1127"/>
      <c r="CC235" s="1043"/>
      <c r="CD235" s="1128"/>
      <c r="CE235" s="1043"/>
      <c r="CF235" s="1127"/>
      <c r="CG235" s="1042"/>
    </row>
    <row r="236" spans="2:85" s="783" customFormat="1" ht="80.25" customHeight="1" x14ac:dyDescent="0.25">
      <c r="B236" s="1460"/>
      <c r="C236" s="1640" t="s">
        <v>619</v>
      </c>
      <c r="D236" s="1641" t="s">
        <v>620</v>
      </c>
      <c r="E236" s="1619">
        <v>75</v>
      </c>
      <c r="F236" s="1536" t="s">
        <v>182</v>
      </c>
      <c r="G236" s="1214"/>
      <c r="H236" s="1096"/>
      <c r="I236" s="1096">
        <v>75</v>
      </c>
      <c r="J236" s="1239">
        <v>75</v>
      </c>
      <c r="K236" s="1492"/>
      <c r="L236" s="1573" t="s">
        <v>621</v>
      </c>
      <c r="M236" s="1099">
        <v>57500</v>
      </c>
      <c r="N236" s="1129">
        <v>0</v>
      </c>
      <c r="O236" s="1132">
        <v>0</v>
      </c>
      <c r="P236" s="1132">
        <v>3489</v>
      </c>
      <c r="Q236" s="1135">
        <f>30200+4000.43+11364.63+15000+4239.55</f>
        <v>64804.61</v>
      </c>
      <c r="R236" s="1729"/>
      <c r="S236" s="1662"/>
      <c r="T236" s="1651"/>
      <c r="U236" s="1651"/>
      <c r="V236" s="1661"/>
      <c r="W236" s="1194">
        <f>IFERROR(SUM(S236:V247),0)</f>
        <v>0</v>
      </c>
      <c r="X236" s="995" t="s">
        <v>195</v>
      </c>
      <c r="Y236" s="997"/>
      <c r="Z236" s="1129"/>
      <c r="AA236" s="1132"/>
      <c r="AB236" s="1132"/>
      <c r="AC236" s="1229">
        <v>0</v>
      </c>
      <c r="AD236" s="1011">
        <f>SUM(Z236:AC259)</f>
        <v>0</v>
      </c>
      <c r="AE236" s="1745"/>
      <c r="AF236" s="1651"/>
      <c r="AG236" s="1651"/>
      <c r="AH236" s="1651"/>
      <c r="AI236" s="1661"/>
      <c r="AJ236" s="1194">
        <f>IFERROR(SUM(AF236:AI247),0)</f>
        <v>0</v>
      </c>
      <c r="AK236" s="995" t="s">
        <v>195</v>
      </c>
      <c r="AL236" s="997"/>
      <c r="AM236" s="1129"/>
      <c r="AN236" s="1132"/>
      <c r="AO236" s="1132"/>
      <c r="AP236" s="1229">
        <v>0</v>
      </c>
      <c r="AQ236" s="1011">
        <f>SUM(AM236:AP259)</f>
        <v>0</v>
      </c>
      <c r="AR236" s="1738"/>
      <c r="AS236" s="1220"/>
      <c r="AT236" s="1220"/>
      <c r="AU236" s="1220"/>
      <c r="AV236" s="1654">
        <v>131</v>
      </c>
      <c r="AW236" s="1194">
        <f>IFERROR(SUM(AS236:AV247),0)</f>
        <v>131</v>
      </c>
      <c r="AX236" s="995" t="s">
        <v>195</v>
      </c>
      <c r="AY236" s="997" t="s">
        <v>479</v>
      </c>
      <c r="AZ236" s="1129"/>
      <c r="BA236" s="1132"/>
      <c r="BB236" s="1132"/>
      <c r="BC236" s="1655">
        <v>3489</v>
      </c>
      <c r="BD236" s="1011">
        <f>SUM(AZ236:BC259)</f>
        <v>3489</v>
      </c>
      <c r="BE236" s="1738"/>
      <c r="BF236" s="1652"/>
      <c r="BG236" s="1653">
        <v>62</v>
      </c>
      <c r="BH236" s="1652"/>
      <c r="BI236" s="1665"/>
      <c r="BJ236" s="1194">
        <f>IFERROR(SUM(BF236:BI247),0)</f>
        <v>62</v>
      </c>
      <c r="BK236" s="995" t="s">
        <v>195</v>
      </c>
      <c r="BL236" s="1055" t="s">
        <v>650</v>
      </c>
      <c r="BM236" s="1666">
        <v>1944.11</v>
      </c>
      <c r="BN236" s="1160"/>
      <c r="BO236" s="1160"/>
      <c r="BP236" s="1190"/>
      <c r="BQ236" s="1011">
        <f>SUM(BM236:BP259)</f>
        <v>1944.11</v>
      </c>
      <c r="BR236" s="1745"/>
      <c r="BS236" s="1171" t="s">
        <v>646</v>
      </c>
      <c r="BT236" s="1022">
        <f>SUM(W236,AJ236,AW236,BJ236)</f>
        <v>193</v>
      </c>
      <c r="BU236" s="1011">
        <f>SUM(AD236,AQ236,BD236,BQ236)</f>
        <v>5433.11</v>
      </c>
      <c r="BV236" s="1177"/>
      <c r="BW236" s="1741"/>
      <c r="BX236" s="1018">
        <f>IFERROR(W236/G236,0)</f>
        <v>0</v>
      </c>
      <c r="BY236" s="1041">
        <f>IFERROR(AD236/N236,0)</f>
        <v>0</v>
      </c>
      <c r="BZ236" s="1125">
        <f>IFERROR(AJ236/H236,0)</f>
        <v>0</v>
      </c>
      <c r="CA236" s="1041">
        <f>IFERROR(AQ236/O236,0)</f>
        <v>0</v>
      </c>
      <c r="CB236" s="1126">
        <f>IFERROR(AW236/I236,0)</f>
        <v>1.7466666666666666</v>
      </c>
      <c r="CC236" s="1041">
        <f>IFERROR(BD236/P236,0)</f>
        <v>1</v>
      </c>
      <c r="CD236" s="1125">
        <f>IFERROR(BJ236/J236,0)</f>
        <v>0.82666666666666666</v>
      </c>
      <c r="CE236" s="1041">
        <f>IFERROR(BQ236/Q236,0)</f>
        <v>2.9999563302672446E-2</v>
      </c>
      <c r="CF236" s="1126">
        <f>IFERROR(BT236/J236,0)</f>
        <v>2.5733333333333333</v>
      </c>
      <c r="CG236" s="1042"/>
    </row>
    <row r="237" spans="2:85" s="783" customFormat="1" ht="43.5" customHeight="1" x14ac:dyDescent="0.25">
      <c r="B237" s="1460"/>
      <c r="C237" s="1640"/>
      <c r="D237" s="1642"/>
      <c r="E237" s="1403"/>
      <c r="F237" s="1467"/>
      <c r="G237" s="1215"/>
      <c r="H237" s="1097"/>
      <c r="I237" s="1097"/>
      <c r="J237" s="1240"/>
      <c r="K237" s="1492"/>
      <c r="L237" s="1574"/>
      <c r="M237" s="1100"/>
      <c r="N237" s="1130"/>
      <c r="O237" s="1133"/>
      <c r="P237" s="1133"/>
      <c r="Q237" s="1136"/>
      <c r="R237" s="1729"/>
      <c r="S237" s="1662"/>
      <c r="T237" s="1651"/>
      <c r="U237" s="1651"/>
      <c r="V237" s="1661"/>
      <c r="W237" s="1195"/>
      <c r="X237" s="996"/>
      <c r="Y237" s="998"/>
      <c r="Z237" s="1130"/>
      <c r="AA237" s="1133"/>
      <c r="AB237" s="1133"/>
      <c r="AC237" s="1230"/>
      <c r="AD237" s="1012"/>
      <c r="AE237" s="1745"/>
      <c r="AF237" s="1651"/>
      <c r="AG237" s="1651"/>
      <c r="AH237" s="1651"/>
      <c r="AI237" s="1661"/>
      <c r="AJ237" s="1195"/>
      <c r="AK237" s="996"/>
      <c r="AL237" s="998"/>
      <c r="AM237" s="1130"/>
      <c r="AN237" s="1133"/>
      <c r="AO237" s="1133"/>
      <c r="AP237" s="1230"/>
      <c r="AQ237" s="1012"/>
      <c r="AR237" s="1738"/>
      <c r="AS237" s="1220"/>
      <c r="AT237" s="1220"/>
      <c r="AU237" s="1220"/>
      <c r="AV237" s="1654"/>
      <c r="AW237" s="1195"/>
      <c r="AX237" s="996"/>
      <c r="AY237" s="998"/>
      <c r="AZ237" s="1130"/>
      <c r="BA237" s="1133"/>
      <c r="BB237" s="1133"/>
      <c r="BC237" s="1656"/>
      <c r="BD237" s="1012"/>
      <c r="BE237" s="1738"/>
      <c r="BF237" s="1652"/>
      <c r="BG237" s="1653"/>
      <c r="BH237" s="1652"/>
      <c r="BI237" s="1665"/>
      <c r="BJ237" s="1195"/>
      <c r="BK237" s="996"/>
      <c r="BL237" s="1165"/>
      <c r="BM237" s="1667"/>
      <c r="BN237" s="1161"/>
      <c r="BO237" s="1161"/>
      <c r="BP237" s="1191"/>
      <c r="BQ237" s="1012"/>
      <c r="BR237" s="1745"/>
      <c r="BS237" s="1172"/>
      <c r="BT237" s="1023"/>
      <c r="BU237" s="1012"/>
      <c r="BV237" s="1177"/>
      <c r="BW237" s="1741"/>
      <c r="BX237" s="1019"/>
      <c r="BY237" s="1042"/>
      <c r="BZ237" s="1126"/>
      <c r="CA237" s="1042"/>
      <c r="CB237" s="1126"/>
      <c r="CC237" s="1042"/>
      <c r="CD237" s="1126"/>
      <c r="CE237" s="1042"/>
      <c r="CF237" s="1126"/>
      <c r="CG237" s="1042"/>
    </row>
    <row r="238" spans="2:85" s="783" customFormat="1" ht="13.5" customHeight="1" x14ac:dyDescent="0.25">
      <c r="B238" s="1460"/>
      <c r="C238" s="1640"/>
      <c r="D238" s="1642"/>
      <c r="E238" s="1403"/>
      <c r="F238" s="1467"/>
      <c r="G238" s="1215"/>
      <c r="H238" s="1097"/>
      <c r="I238" s="1097"/>
      <c r="J238" s="1240"/>
      <c r="K238" s="1492"/>
      <c r="L238" s="1574"/>
      <c r="M238" s="1100"/>
      <c r="N238" s="1130"/>
      <c r="O238" s="1133"/>
      <c r="P238" s="1133"/>
      <c r="Q238" s="1136"/>
      <c r="R238" s="1729"/>
      <c r="S238" s="1662"/>
      <c r="T238" s="1651"/>
      <c r="U238" s="1651"/>
      <c r="V238" s="1661"/>
      <c r="W238" s="1195"/>
      <c r="X238" s="996"/>
      <c r="Y238" s="998"/>
      <c r="Z238" s="1130"/>
      <c r="AA238" s="1133"/>
      <c r="AB238" s="1133"/>
      <c r="AC238" s="1230"/>
      <c r="AD238" s="1012"/>
      <c r="AE238" s="1745"/>
      <c r="AF238" s="1651"/>
      <c r="AG238" s="1651"/>
      <c r="AH238" s="1651"/>
      <c r="AI238" s="1661"/>
      <c r="AJ238" s="1195"/>
      <c r="AK238" s="996"/>
      <c r="AL238" s="998"/>
      <c r="AM238" s="1130"/>
      <c r="AN238" s="1133"/>
      <c r="AO238" s="1133"/>
      <c r="AP238" s="1230"/>
      <c r="AQ238" s="1012"/>
      <c r="AR238" s="1738"/>
      <c r="AS238" s="1220"/>
      <c r="AT238" s="1220"/>
      <c r="AU238" s="1220"/>
      <c r="AV238" s="1654"/>
      <c r="AW238" s="1195"/>
      <c r="AX238" s="996"/>
      <c r="AY238" s="998"/>
      <c r="AZ238" s="1130"/>
      <c r="BA238" s="1133"/>
      <c r="BB238" s="1133"/>
      <c r="BC238" s="1656"/>
      <c r="BD238" s="1012"/>
      <c r="BE238" s="1738"/>
      <c r="BF238" s="1652"/>
      <c r="BG238" s="1653"/>
      <c r="BH238" s="1652"/>
      <c r="BI238" s="1665"/>
      <c r="BJ238" s="1195"/>
      <c r="BK238" s="996"/>
      <c r="BL238" s="1165"/>
      <c r="BM238" s="1667"/>
      <c r="BN238" s="1161"/>
      <c r="BO238" s="1161"/>
      <c r="BP238" s="1191"/>
      <c r="BQ238" s="1012"/>
      <c r="BR238" s="1745"/>
      <c r="BS238" s="1172"/>
      <c r="BT238" s="1023"/>
      <c r="BU238" s="1012"/>
      <c r="BV238" s="1177"/>
      <c r="BW238" s="1741"/>
      <c r="BX238" s="1019"/>
      <c r="BY238" s="1042"/>
      <c r="BZ238" s="1126"/>
      <c r="CA238" s="1042"/>
      <c r="CB238" s="1126"/>
      <c r="CC238" s="1042"/>
      <c r="CD238" s="1126"/>
      <c r="CE238" s="1042"/>
      <c r="CF238" s="1126"/>
      <c r="CG238" s="1042"/>
    </row>
    <row r="239" spans="2:85" s="783" customFormat="1" ht="20.25" customHeight="1" x14ac:dyDescent="0.25">
      <c r="B239" s="1460"/>
      <c r="C239" s="1640"/>
      <c r="D239" s="1642"/>
      <c r="E239" s="1403"/>
      <c r="F239" s="1467"/>
      <c r="G239" s="1215"/>
      <c r="H239" s="1097"/>
      <c r="I239" s="1097"/>
      <c r="J239" s="1240"/>
      <c r="K239" s="1492"/>
      <c r="L239" s="1574"/>
      <c r="M239" s="1100"/>
      <c r="N239" s="1130"/>
      <c r="O239" s="1133"/>
      <c r="P239" s="1133"/>
      <c r="Q239" s="1136"/>
      <c r="R239" s="1729"/>
      <c r="S239" s="1662"/>
      <c r="T239" s="1651"/>
      <c r="U239" s="1651"/>
      <c r="V239" s="1661"/>
      <c r="W239" s="1195"/>
      <c r="X239" s="996"/>
      <c r="Y239" s="998"/>
      <c r="Z239" s="1130"/>
      <c r="AA239" s="1133"/>
      <c r="AB239" s="1133"/>
      <c r="AC239" s="1230"/>
      <c r="AD239" s="1012"/>
      <c r="AE239" s="1745"/>
      <c r="AF239" s="1651"/>
      <c r="AG239" s="1651"/>
      <c r="AH239" s="1651"/>
      <c r="AI239" s="1661"/>
      <c r="AJ239" s="1195"/>
      <c r="AK239" s="996"/>
      <c r="AL239" s="998"/>
      <c r="AM239" s="1130"/>
      <c r="AN239" s="1133"/>
      <c r="AO239" s="1133"/>
      <c r="AP239" s="1230"/>
      <c r="AQ239" s="1012"/>
      <c r="AR239" s="1738"/>
      <c r="AS239" s="1220"/>
      <c r="AT239" s="1220"/>
      <c r="AU239" s="1220"/>
      <c r="AV239" s="1654"/>
      <c r="AW239" s="1195"/>
      <c r="AX239" s="996"/>
      <c r="AY239" s="998"/>
      <c r="AZ239" s="1130"/>
      <c r="BA239" s="1133"/>
      <c r="BB239" s="1133"/>
      <c r="BC239" s="1656"/>
      <c r="BD239" s="1012"/>
      <c r="BE239" s="1738"/>
      <c r="BF239" s="1652"/>
      <c r="BG239" s="1653"/>
      <c r="BH239" s="1652"/>
      <c r="BI239" s="1665"/>
      <c r="BJ239" s="1195"/>
      <c r="BK239" s="996"/>
      <c r="BL239" s="1165"/>
      <c r="BM239" s="1667"/>
      <c r="BN239" s="1161"/>
      <c r="BO239" s="1161"/>
      <c r="BP239" s="1191"/>
      <c r="BQ239" s="1012"/>
      <c r="BR239" s="1745"/>
      <c r="BS239" s="1172"/>
      <c r="BT239" s="1023"/>
      <c r="BU239" s="1012"/>
      <c r="BV239" s="1177"/>
      <c r="BW239" s="1741"/>
      <c r="BX239" s="1019"/>
      <c r="BY239" s="1042"/>
      <c r="BZ239" s="1126"/>
      <c r="CA239" s="1042"/>
      <c r="CB239" s="1126"/>
      <c r="CC239" s="1042"/>
      <c r="CD239" s="1126"/>
      <c r="CE239" s="1042"/>
      <c r="CF239" s="1126"/>
      <c r="CG239" s="1042"/>
    </row>
    <row r="240" spans="2:85" s="783" customFormat="1" ht="15.75" customHeight="1" x14ac:dyDescent="0.25">
      <c r="B240" s="1460"/>
      <c r="C240" s="1640"/>
      <c r="D240" s="1642"/>
      <c r="E240" s="1403"/>
      <c r="F240" s="1467"/>
      <c r="G240" s="1215"/>
      <c r="H240" s="1097"/>
      <c r="I240" s="1097"/>
      <c r="J240" s="1240"/>
      <c r="K240" s="1492"/>
      <c r="L240" s="1574"/>
      <c r="M240" s="1100"/>
      <c r="N240" s="1130"/>
      <c r="O240" s="1133"/>
      <c r="P240" s="1133"/>
      <c r="Q240" s="1136"/>
      <c r="R240" s="1729"/>
      <c r="S240" s="1662"/>
      <c r="T240" s="1651"/>
      <c r="U240" s="1651"/>
      <c r="V240" s="1661"/>
      <c r="W240" s="1195"/>
      <c r="X240" s="996" t="s">
        <v>196</v>
      </c>
      <c r="Y240" s="998"/>
      <c r="Z240" s="1130"/>
      <c r="AA240" s="1133"/>
      <c r="AB240" s="1133"/>
      <c r="AC240" s="1230"/>
      <c r="AD240" s="1012"/>
      <c r="AE240" s="1745"/>
      <c r="AF240" s="1651"/>
      <c r="AG240" s="1651"/>
      <c r="AH240" s="1651"/>
      <c r="AI240" s="1661"/>
      <c r="AJ240" s="1195"/>
      <c r="AK240" s="996" t="s">
        <v>196</v>
      </c>
      <c r="AL240" s="998"/>
      <c r="AM240" s="1130"/>
      <c r="AN240" s="1133"/>
      <c r="AO240" s="1133"/>
      <c r="AP240" s="1230"/>
      <c r="AQ240" s="1012"/>
      <c r="AR240" s="1738"/>
      <c r="AS240" s="1220"/>
      <c r="AT240" s="1220"/>
      <c r="AU240" s="1220"/>
      <c r="AV240" s="1654"/>
      <c r="AW240" s="1195"/>
      <c r="AX240" s="996" t="s">
        <v>196</v>
      </c>
      <c r="AY240" s="998" t="s">
        <v>480</v>
      </c>
      <c r="AZ240" s="1130"/>
      <c r="BA240" s="1133"/>
      <c r="BB240" s="1133"/>
      <c r="BC240" s="1656"/>
      <c r="BD240" s="1012"/>
      <c r="BE240" s="1738"/>
      <c r="BF240" s="1652"/>
      <c r="BG240" s="1653"/>
      <c r="BH240" s="1652"/>
      <c r="BI240" s="1665"/>
      <c r="BJ240" s="1195"/>
      <c r="BK240" s="996" t="s">
        <v>196</v>
      </c>
      <c r="BL240" s="1053" t="s">
        <v>645</v>
      </c>
      <c r="BM240" s="1667"/>
      <c r="BN240" s="1161"/>
      <c r="BO240" s="1161"/>
      <c r="BP240" s="1191"/>
      <c r="BQ240" s="1012"/>
      <c r="BR240" s="1745"/>
      <c r="BS240" s="1172"/>
      <c r="BT240" s="1023"/>
      <c r="BU240" s="1012"/>
      <c r="BV240" s="1177"/>
      <c r="BW240" s="1741"/>
      <c r="BX240" s="1019"/>
      <c r="BY240" s="1042"/>
      <c r="BZ240" s="1126"/>
      <c r="CA240" s="1042"/>
      <c r="CB240" s="1126"/>
      <c r="CC240" s="1042"/>
      <c r="CD240" s="1126"/>
      <c r="CE240" s="1042"/>
      <c r="CF240" s="1126"/>
      <c r="CG240" s="1042"/>
    </row>
    <row r="241" spans="2:85" s="783" customFormat="1" ht="43.5" customHeight="1" x14ac:dyDescent="0.25">
      <c r="B241" s="1460"/>
      <c r="C241" s="1640"/>
      <c r="D241" s="1642"/>
      <c r="E241" s="1403"/>
      <c r="F241" s="1467"/>
      <c r="G241" s="1215"/>
      <c r="H241" s="1097"/>
      <c r="I241" s="1097"/>
      <c r="J241" s="1240"/>
      <c r="K241" s="1492"/>
      <c r="L241" s="1574"/>
      <c r="M241" s="1100"/>
      <c r="N241" s="1130"/>
      <c r="O241" s="1133"/>
      <c r="P241" s="1133"/>
      <c r="Q241" s="1136"/>
      <c r="R241" s="1729"/>
      <c r="S241" s="1662"/>
      <c r="T241" s="1651"/>
      <c r="U241" s="1651"/>
      <c r="V241" s="1661"/>
      <c r="W241" s="1195"/>
      <c r="X241" s="996"/>
      <c r="Y241" s="998"/>
      <c r="Z241" s="1130"/>
      <c r="AA241" s="1133"/>
      <c r="AB241" s="1133"/>
      <c r="AC241" s="1230"/>
      <c r="AD241" s="1012"/>
      <c r="AE241" s="1745"/>
      <c r="AF241" s="1651"/>
      <c r="AG241" s="1651"/>
      <c r="AH241" s="1651"/>
      <c r="AI241" s="1661"/>
      <c r="AJ241" s="1195"/>
      <c r="AK241" s="996"/>
      <c r="AL241" s="998"/>
      <c r="AM241" s="1130"/>
      <c r="AN241" s="1133"/>
      <c r="AO241" s="1133"/>
      <c r="AP241" s="1230"/>
      <c r="AQ241" s="1012"/>
      <c r="AR241" s="1738"/>
      <c r="AS241" s="1220"/>
      <c r="AT241" s="1220"/>
      <c r="AU241" s="1220"/>
      <c r="AV241" s="1654"/>
      <c r="AW241" s="1195"/>
      <c r="AX241" s="996"/>
      <c r="AY241" s="998"/>
      <c r="AZ241" s="1130"/>
      <c r="BA241" s="1133"/>
      <c r="BB241" s="1133"/>
      <c r="BC241" s="1656"/>
      <c r="BD241" s="1012"/>
      <c r="BE241" s="1738"/>
      <c r="BF241" s="1652"/>
      <c r="BG241" s="1653"/>
      <c r="BH241" s="1652"/>
      <c r="BI241" s="1665"/>
      <c r="BJ241" s="1195"/>
      <c r="BK241" s="996"/>
      <c r="BL241" s="1053"/>
      <c r="BM241" s="1667"/>
      <c r="BN241" s="1161"/>
      <c r="BO241" s="1161"/>
      <c r="BP241" s="1191"/>
      <c r="BQ241" s="1012"/>
      <c r="BR241" s="1745"/>
      <c r="BS241" s="1172"/>
      <c r="BT241" s="1023"/>
      <c r="BU241" s="1012"/>
      <c r="BV241" s="1177"/>
      <c r="BW241" s="1741"/>
      <c r="BX241" s="1019"/>
      <c r="BY241" s="1042"/>
      <c r="BZ241" s="1126"/>
      <c r="CA241" s="1042"/>
      <c r="CB241" s="1126"/>
      <c r="CC241" s="1042"/>
      <c r="CD241" s="1126"/>
      <c r="CE241" s="1042"/>
      <c r="CF241" s="1126"/>
      <c r="CG241" s="1042"/>
    </row>
    <row r="242" spans="2:85" s="783" customFormat="1" ht="12" customHeight="1" x14ac:dyDescent="0.25">
      <c r="B242" s="1460"/>
      <c r="C242" s="1640"/>
      <c r="D242" s="1642"/>
      <c r="E242" s="1403"/>
      <c r="F242" s="1467"/>
      <c r="G242" s="1215"/>
      <c r="H242" s="1097"/>
      <c r="I242" s="1097"/>
      <c r="J242" s="1240"/>
      <c r="K242" s="1492"/>
      <c r="L242" s="1574"/>
      <c r="M242" s="1100"/>
      <c r="N242" s="1130"/>
      <c r="O242" s="1133"/>
      <c r="P242" s="1133"/>
      <c r="Q242" s="1136"/>
      <c r="R242" s="1729"/>
      <c r="S242" s="1662"/>
      <c r="T242" s="1651"/>
      <c r="U242" s="1651"/>
      <c r="V242" s="1661"/>
      <c r="W242" s="1195"/>
      <c r="X242" s="996"/>
      <c r="Y242" s="998"/>
      <c r="Z242" s="1130"/>
      <c r="AA242" s="1133"/>
      <c r="AB242" s="1133"/>
      <c r="AC242" s="1230"/>
      <c r="AD242" s="1012"/>
      <c r="AE242" s="1745"/>
      <c r="AF242" s="1651"/>
      <c r="AG242" s="1651"/>
      <c r="AH242" s="1651"/>
      <c r="AI242" s="1661"/>
      <c r="AJ242" s="1195"/>
      <c r="AK242" s="996"/>
      <c r="AL242" s="998"/>
      <c r="AM242" s="1130"/>
      <c r="AN242" s="1133"/>
      <c r="AO242" s="1133"/>
      <c r="AP242" s="1230"/>
      <c r="AQ242" s="1012"/>
      <c r="AR242" s="1738"/>
      <c r="AS242" s="1220"/>
      <c r="AT242" s="1220"/>
      <c r="AU242" s="1220"/>
      <c r="AV242" s="1654"/>
      <c r="AW242" s="1195"/>
      <c r="AX242" s="996"/>
      <c r="AY242" s="998"/>
      <c r="AZ242" s="1130"/>
      <c r="BA242" s="1133"/>
      <c r="BB242" s="1133"/>
      <c r="BC242" s="1656"/>
      <c r="BD242" s="1012"/>
      <c r="BE242" s="1738"/>
      <c r="BF242" s="1652"/>
      <c r="BG242" s="1653"/>
      <c r="BH242" s="1652"/>
      <c r="BI242" s="1665"/>
      <c r="BJ242" s="1195"/>
      <c r="BK242" s="996"/>
      <c r="BL242" s="1053"/>
      <c r="BM242" s="1667"/>
      <c r="BN242" s="1161"/>
      <c r="BO242" s="1161"/>
      <c r="BP242" s="1191"/>
      <c r="BQ242" s="1012"/>
      <c r="BR242" s="1745"/>
      <c r="BS242" s="1172"/>
      <c r="BT242" s="1023"/>
      <c r="BU242" s="1012"/>
      <c r="BV242" s="1177"/>
      <c r="BW242" s="1741"/>
      <c r="BX242" s="1019"/>
      <c r="BY242" s="1042"/>
      <c r="BZ242" s="1126"/>
      <c r="CA242" s="1042"/>
      <c r="CB242" s="1126"/>
      <c r="CC242" s="1042"/>
      <c r="CD242" s="1126"/>
      <c r="CE242" s="1042"/>
      <c r="CF242" s="1126"/>
      <c r="CG242" s="1042"/>
    </row>
    <row r="243" spans="2:85" s="783" customFormat="1" ht="15.75" customHeight="1" x14ac:dyDescent="0.25">
      <c r="B243" s="1460"/>
      <c r="C243" s="1640"/>
      <c r="D243" s="1642"/>
      <c r="E243" s="1403"/>
      <c r="F243" s="1467"/>
      <c r="G243" s="1215"/>
      <c r="H243" s="1097"/>
      <c r="I243" s="1097"/>
      <c r="J243" s="1240"/>
      <c r="K243" s="1492"/>
      <c r="L243" s="1574"/>
      <c r="M243" s="1100"/>
      <c r="N243" s="1130"/>
      <c r="O243" s="1133"/>
      <c r="P243" s="1133"/>
      <c r="Q243" s="1136"/>
      <c r="R243" s="1729"/>
      <c r="S243" s="1662"/>
      <c r="T243" s="1651"/>
      <c r="U243" s="1651"/>
      <c r="V243" s="1661"/>
      <c r="W243" s="1195"/>
      <c r="X243" s="996"/>
      <c r="Y243" s="998"/>
      <c r="Z243" s="1130"/>
      <c r="AA243" s="1133"/>
      <c r="AB243" s="1133"/>
      <c r="AC243" s="1230"/>
      <c r="AD243" s="1012"/>
      <c r="AE243" s="1745"/>
      <c r="AF243" s="1651"/>
      <c r="AG243" s="1651"/>
      <c r="AH243" s="1651"/>
      <c r="AI243" s="1661"/>
      <c r="AJ243" s="1195"/>
      <c r="AK243" s="996"/>
      <c r="AL243" s="998"/>
      <c r="AM243" s="1130"/>
      <c r="AN243" s="1133"/>
      <c r="AO243" s="1133"/>
      <c r="AP243" s="1230"/>
      <c r="AQ243" s="1012"/>
      <c r="AR243" s="1738"/>
      <c r="AS243" s="1220"/>
      <c r="AT243" s="1220"/>
      <c r="AU243" s="1220"/>
      <c r="AV243" s="1654"/>
      <c r="AW243" s="1195"/>
      <c r="AX243" s="996"/>
      <c r="AY243" s="998"/>
      <c r="AZ243" s="1130"/>
      <c r="BA243" s="1133"/>
      <c r="BB243" s="1133"/>
      <c r="BC243" s="1656"/>
      <c r="BD243" s="1012"/>
      <c r="BE243" s="1738"/>
      <c r="BF243" s="1652"/>
      <c r="BG243" s="1653"/>
      <c r="BH243" s="1652"/>
      <c r="BI243" s="1665"/>
      <c r="BJ243" s="1195"/>
      <c r="BK243" s="996"/>
      <c r="BL243" s="1053"/>
      <c r="BM243" s="1667"/>
      <c r="BN243" s="1161"/>
      <c r="BO243" s="1161"/>
      <c r="BP243" s="1191"/>
      <c r="BQ243" s="1012"/>
      <c r="BR243" s="1745"/>
      <c r="BS243" s="1172"/>
      <c r="BT243" s="1023"/>
      <c r="BU243" s="1012"/>
      <c r="BV243" s="1177"/>
      <c r="BW243" s="1741"/>
      <c r="BX243" s="1020"/>
      <c r="BY243" s="1042"/>
      <c r="BZ243" s="1127"/>
      <c r="CA243" s="1042"/>
      <c r="CB243" s="1127"/>
      <c r="CC243" s="1042"/>
      <c r="CD243" s="1127"/>
      <c r="CE243" s="1042"/>
      <c r="CF243" s="1127"/>
      <c r="CG243" s="1042"/>
    </row>
    <row r="244" spans="2:85" s="783" customFormat="1" ht="25.5" customHeight="1" x14ac:dyDescent="0.25">
      <c r="B244" s="1460"/>
      <c r="C244" s="1614"/>
      <c r="D244" s="1642"/>
      <c r="E244" s="1403"/>
      <c r="F244" s="1467"/>
      <c r="G244" s="1215"/>
      <c r="H244" s="1097"/>
      <c r="I244" s="1097"/>
      <c r="J244" s="1240"/>
      <c r="K244" s="1492"/>
      <c r="L244" s="1574"/>
      <c r="M244" s="1100"/>
      <c r="N244" s="1130"/>
      <c r="O244" s="1133"/>
      <c r="P244" s="1133"/>
      <c r="Q244" s="1136"/>
      <c r="R244" s="1729"/>
      <c r="S244" s="1662"/>
      <c r="T244" s="1651"/>
      <c r="U244" s="1651"/>
      <c r="V244" s="1661"/>
      <c r="W244" s="1195"/>
      <c r="X244" s="996" t="s">
        <v>197</v>
      </c>
      <c r="Y244" s="998"/>
      <c r="Z244" s="1130"/>
      <c r="AA244" s="1133"/>
      <c r="AB244" s="1133"/>
      <c r="AC244" s="1230"/>
      <c r="AD244" s="1012"/>
      <c r="AE244" s="1745"/>
      <c r="AF244" s="1651"/>
      <c r="AG244" s="1651"/>
      <c r="AH244" s="1651"/>
      <c r="AI244" s="1661"/>
      <c r="AJ244" s="1195"/>
      <c r="AK244" s="996" t="s">
        <v>197</v>
      </c>
      <c r="AL244" s="998"/>
      <c r="AM244" s="1130"/>
      <c r="AN244" s="1133"/>
      <c r="AO244" s="1133"/>
      <c r="AP244" s="1230"/>
      <c r="AQ244" s="1012"/>
      <c r="AR244" s="1738"/>
      <c r="AS244" s="1220"/>
      <c r="AT244" s="1220"/>
      <c r="AU244" s="1220"/>
      <c r="AV244" s="1654"/>
      <c r="AW244" s="1195"/>
      <c r="AX244" s="996" t="s">
        <v>197</v>
      </c>
      <c r="AY244" s="998" t="s">
        <v>638</v>
      </c>
      <c r="AZ244" s="1130"/>
      <c r="BA244" s="1133"/>
      <c r="BB244" s="1133"/>
      <c r="BC244" s="1656"/>
      <c r="BD244" s="1012"/>
      <c r="BE244" s="1738"/>
      <c r="BF244" s="1652"/>
      <c r="BG244" s="1653"/>
      <c r="BH244" s="1652"/>
      <c r="BI244" s="1665"/>
      <c r="BJ244" s="1195"/>
      <c r="BK244" s="996" t="s">
        <v>197</v>
      </c>
      <c r="BL244" s="1053" t="s">
        <v>647</v>
      </c>
      <c r="BM244" s="1667"/>
      <c r="BN244" s="1161"/>
      <c r="BO244" s="1161"/>
      <c r="BP244" s="1191"/>
      <c r="BQ244" s="1012"/>
      <c r="BR244" s="1745"/>
      <c r="BS244" s="1172"/>
      <c r="BT244" s="1023"/>
      <c r="BU244" s="1012"/>
      <c r="BV244" s="1177"/>
      <c r="BW244" s="1741"/>
      <c r="BX244" s="1020"/>
      <c r="BY244" s="1042"/>
      <c r="BZ244" s="1127"/>
      <c r="CA244" s="1042">
        <f>IFERROR(BT244/M244,0)</f>
        <v>0</v>
      </c>
      <c r="CB244" s="1127"/>
      <c r="CC244" s="1042">
        <f>IFERROR(#REF!/M244,0)</f>
        <v>0</v>
      </c>
      <c r="CD244" s="1127"/>
      <c r="CE244" s="1042"/>
      <c r="CF244" s="1127"/>
      <c r="CG244" s="1042"/>
    </row>
    <row r="245" spans="2:85" s="783" customFormat="1" ht="60.75" customHeight="1" x14ac:dyDescent="0.25">
      <c r="B245" s="1460"/>
      <c r="C245" s="1614"/>
      <c r="D245" s="1642"/>
      <c r="E245" s="1403"/>
      <c r="F245" s="1467"/>
      <c r="G245" s="1215"/>
      <c r="H245" s="1097"/>
      <c r="I245" s="1097"/>
      <c r="J245" s="1240"/>
      <c r="K245" s="1492"/>
      <c r="L245" s="1574"/>
      <c r="M245" s="1100"/>
      <c r="N245" s="1130"/>
      <c r="O245" s="1133"/>
      <c r="P245" s="1133"/>
      <c r="Q245" s="1136"/>
      <c r="R245" s="1729"/>
      <c r="S245" s="1662"/>
      <c r="T245" s="1651"/>
      <c r="U245" s="1651"/>
      <c r="V245" s="1661"/>
      <c r="W245" s="1195"/>
      <c r="X245" s="996"/>
      <c r="Y245" s="998"/>
      <c r="Z245" s="1130"/>
      <c r="AA245" s="1133"/>
      <c r="AB245" s="1133"/>
      <c r="AC245" s="1230"/>
      <c r="AD245" s="1012"/>
      <c r="AE245" s="1745"/>
      <c r="AF245" s="1651"/>
      <c r="AG245" s="1651"/>
      <c r="AH245" s="1651"/>
      <c r="AI245" s="1661"/>
      <c r="AJ245" s="1195"/>
      <c r="AK245" s="996"/>
      <c r="AL245" s="998"/>
      <c r="AM245" s="1130"/>
      <c r="AN245" s="1133"/>
      <c r="AO245" s="1133"/>
      <c r="AP245" s="1230"/>
      <c r="AQ245" s="1012"/>
      <c r="AR245" s="1738"/>
      <c r="AS245" s="1220"/>
      <c r="AT245" s="1220"/>
      <c r="AU245" s="1220"/>
      <c r="AV245" s="1654"/>
      <c r="AW245" s="1195"/>
      <c r="AX245" s="996"/>
      <c r="AY245" s="998"/>
      <c r="AZ245" s="1130"/>
      <c r="BA245" s="1133"/>
      <c r="BB245" s="1133"/>
      <c r="BC245" s="1656"/>
      <c r="BD245" s="1012"/>
      <c r="BE245" s="1738"/>
      <c r="BF245" s="1652"/>
      <c r="BG245" s="1653"/>
      <c r="BH245" s="1652"/>
      <c r="BI245" s="1665"/>
      <c r="BJ245" s="1195"/>
      <c r="BK245" s="996"/>
      <c r="BL245" s="1053"/>
      <c r="BM245" s="1667"/>
      <c r="BN245" s="1161"/>
      <c r="BO245" s="1161"/>
      <c r="BP245" s="1191"/>
      <c r="BQ245" s="1012"/>
      <c r="BR245" s="1745"/>
      <c r="BS245" s="1172"/>
      <c r="BT245" s="1023"/>
      <c r="BU245" s="1012"/>
      <c r="BV245" s="1177"/>
      <c r="BW245" s="1741"/>
      <c r="BX245" s="1020"/>
      <c r="BY245" s="1042"/>
      <c r="BZ245" s="1127"/>
      <c r="CA245" s="1042"/>
      <c r="CB245" s="1127"/>
      <c r="CC245" s="1042"/>
      <c r="CD245" s="1127"/>
      <c r="CE245" s="1042"/>
      <c r="CF245" s="1127"/>
      <c r="CG245" s="1042"/>
    </row>
    <row r="246" spans="2:85" s="783" customFormat="1" ht="25.5" customHeight="1" x14ac:dyDescent="0.25">
      <c r="B246" s="1460"/>
      <c r="C246" s="1614"/>
      <c r="D246" s="1642"/>
      <c r="E246" s="1403"/>
      <c r="F246" s="1467"/>
      <c r="G246" s="1215"/>
      <c r="H246" s="1097"/>
      <c r="I246" s="1097"/>
      <c r="J246" s="1240"/>
      <c r="K246" s="1492"/>
      <c r="L246" s="1574"/>
      <c r="M246" s="1100"/>
      <c r="N246" s="1130"/>
      <c r="O246" s="1133"/>
      <c r="P246" s="1133"/>
      <c r="Q246" s="1136"/>
      <c r="R246" s="1729"/>
      <c r="S246" s="1662"/>
      <c r="T246" s="1651"/>
      <c r="U246" s="1651"/>
      <c r="V246" s="1661"/>
      <c r="W246" s="1195"/>
      <c r="X246" s="996"/>
      <c r="Y246" s="998"/>
      <c r="Z246" s="1130"/>
      <c r="AA246" s="1133"/>
      <c r="AB246" s="1133"/>
      <c r="AC246" s="1230"/>
      <c r="AD246" s="1012"/>
      <c r="AE246" s="1745"/>
      <c r="AF246" s="1651"/>
      <c r="AG246" s="1651"/>
      <c r="AH246" s="1651"/>
      <c r="AI246" s="1661"/>
      <c r="AJ246" s="1195"/>
      <c r="AK246" s="996"/>
      <c r="AL246" s="998"/>
      <c r="AM246" s="1130"/>
      <c r="AN246" s="1133"/>
      <c r="AO246" s="1133"/>
      <c r="AP246" s="1230"/>
      <c r="AQ246" s="1012"/>
      <c r="AR246" s="1738"/>
      <c r="AS246" s="1220"/>
      <c r="AT246" s="1220"/>
      <c r="AU246" s="1220"/>
      <c r="AV246" s="1654"/>
      <c r="AW246" s="1195"/>
      <c r="AX246" s="996"/>
      <c r="AY246" s="998"/>
      <c r="AZ246" s="1130"/>
      <c r="BA246" s="1133"/>
      <c r="BB246" s="1133"/>
      <c r="BC246" s="1656"/>
      <c r="BD246" s="1012"/>
      <c r="BE246" s="1738"/>
      <c r="BF246" s="1652"/>
      <c r="BG246" s="1653"/>
      <c r="BH246" s="1652"/>
      <c r="BI246" s="1665"/>
      <c r="BJ246" s="1195"/>
      <c r="BK246" s="996"/>
      <c r="BL246" s="1053"/>
      <c r="BM246" s="1667"/>
      <c r="BN246" s="1161"/>
      <c r="BO246" s="1161"/>
      <c r="BP246" s="1191"/>
      <c r="BQ246" s="1012"/>
      <c r="BR246" s="1745"/>
      <c r="BS246" s="1172"/>
      <c r="BT246" s="1023"/>
      <c r="BU246" s="1012"/>
      <c r="BV246" s="1177"/>
      <c r="BW246" s="1741"/>
      <c r="BX246" s="1020"/>
      <c r="BY246" s="1042"/>
      <c r="BZ246" s="1127"/>
      <c r="CA246" s="1042">
        <f>IFERROR(BT246/M246,0)</f>
        <v>0</v>
      </c>
      <c r="CB246" s="1127"/>
      <c r="CC246" s="1042">
        <f>IFERROR(#REF!/M246,0)</f>
        <v>0</v>
      </c>
      <c r="CD246" s="1127"/>
      <c r="CE246" s="1042"/>
      <c r="CF246" s="1127"/>
      <c r="CG246" s="1042"/>
    </row>
    <row r="247" spans="2:85" s="783" customFormat="1" ht="25.5" customHeight="1" thickBot="1" x14ac:dyDescent="0.3">
      <c r="B247" s="1460"/>
      <c r="C247" s="1614"/>
      <c r="D247" s="1643"/>
      <c r="E247" s="1404"/>
      <c r="F247" s="1562"/>
      <c r="G247" s="1216"/>
      <c r="H247" s="1098"/>
      <c r="I247" s="1098"/>
      <c r="J247" s="1241"/>
      <c r="K247" s="1492"/>
      <c r="L247" s="1574"/>
      <c r="M247" s="1100"/>
      <c r="N247" s="1130"/>
      <c r="O247" s="1133"/>
      <c r="P247" s="1133"/>
      <c r="Q247" s="1136"/>
      <c r="R247" s="1729"/>
      <c r="S247" s="1662"/>
      <c r="T247" s="1651"/>
      <c r="U247" s="1651"/>
      <c r="V247" s="1661"/>
      <c r="W247" s="1196"/>
      <c r="X247" s="1068"/>
      <c r="Y247" s="1069"/>
      <c r="Z247" s="1130"/>
      <c r="AA247" s="1133"/>
      <c r="AB247" s="1133"/>
      <c r="AC247" s="1230"/>
      <c r="AD247" s="1012"/>
      <c r="AE247" s="1745"/>
      <c r="AF247" s="1651"/>
      <c r="AG247" s="1651"/>
      <c r="AH247" s="1651"/>
      <c r="AI247" s="1661"/>
      <c r="AJ247" s="1196"/>
      <c r="AK247" s="1068"/>
      <c r="AL247" s="1069"/>
      <c r="AM247" s="1130"/>
      <c r="AN247" s="1133"/>
      <c r="AO247" s="1133"/>
      <c r="AP247" s="1230"/>
      <c r="AQ247" s="1012"/>
      <c r="AR247" s="1738"/>
      <c r="AS247" s="1220"/>
      <c r="AT247" s="1220"/>
      <c r="AU247" s="1220"/>
      <c r="AV247" s="1654"/>
      <c r="AW247" s="1196"/>
      <c r="AX247" s="1068"/>
      <c r="AY247" s="1069"/>
      <c r="AZ247" s="1130"/>
      <c r="BA247" s="1133"/>
      <c r="BB247" s="1133"/>
      <c r="BC247" s="1656"/>
      <c r="BD247" s="1012"/>
      <c r="BE247" s="1738"/>
      <c r="BF247" s="1652"/>
      <c r="BG247" s="1653"/>
      <c r="BH247" s="1652"/>
      <c r="BI247" s="1665"/>
      <c r="BJ247" s="1196"/>
      <c r="BK247" s="1068"/>
      <c r="BL247" s="1054"/>
      <c r="BM247" s="1667"/>
      <c r="BN247" s="1161"/>
      <c r="BO247" s="1161"/>
      <c r="BP247" s="1191"/>
      <c r="BQ247" s="1012"/>
      <c r="BR247" s="1745"/>
      <c r="BS247" s="1173"/>
      <c r="BT247" s="1175"/>
      <c r="BU247" s="1012"/>
      <c r="BV247" s="1177"/>
      <c r="BW247" s="1741"/>
      <c r="BX247" s="1021"/>
      <c r="BY247" s="1042"/>
      <c r="BZ247" s="1128"/>
      <c r="CA247" s="1042"/>
      <c r="CB247" s="1127"/>
      <c r="CC247" s="1042"/>
      <c r="CD247" s="1128"/>
      <c r="CE247" s="1042"/>
      <c r="CF247" s="1127"/>
      <c r="CG247" s="1042"/>
    </row>
    <row r="248" spans="2:85" s="783" customFormat="1" ht="15.75" customHeight="1" x14ac:dyDescent="0.25">
      <c r="B248" s="1460"/>
      <c r="C248" s="1462" t="s">
        <v>622</v>
      </c>
      <c r="D248" s="1663" t="s">
        <v>186</v>
      </c>
      <c r="E248" s="1598">
        <v>4</v>
      </c>
      <c r="F248" s="1537" t="s">
        <v>185</v>
      </c>
      <c r="G248" s="1604"/>
      <c r="H248" s="1419"/>
      <c r="I248" s="1419">
        <v>4</v>
      </c>
      <c r="J248" s="1577">
        <v>5</v>
      </c>
      <c r="K248" s="1492"/>
      <c r="L248" s="1574"/>
      <c r="M248" s="1100"/>
      <c r="N248" s="1130"/>
      <c r="O248" s="1133"/>
      <c r="P248" s="1133"/>
      <c r="Q248" s="1136"/>
      <c r="R248" s="1729"/>
      <c r="S248" s="1238"/>
      <c r="T248" s="1220"/>
      <c r="U248" s="1220"/>
      <c r="V248" s="1220"/>
      <c r="W248" s="1194">
        <f>SUM(S248:V259)</f>
        <v>0</v>
      </c>
      <c r="X248" s="995" t="s">
        <v>195</v>
      </c>
      <c r="Y248" s="997"/>
      <c r="Z248" s="1130"/>
      <c r="AA248" s="1133"/>
      <c r="AB248" s="1133"/>
      <c r="AC248" s="1230"/>
      <c r="AD248" s="1012"/>
      <c r="AE248" s="1745"/>
      <c r="AF248" s="1651"/>
      <c r="AG248" s="1651"/>
      <c r="AH248" s="1651"/>
      <c r="AI248" s="1651"/>
      <c r="AJ248" s="1194">
        <f>IFERROR(SUM(AF248:AI259),0)</f>
        <v>0</v>
      </c>
      <c r="AK248" s="995" t="s">
        <v>195</v>
      </c>
      <c r="AL248" s="997"/>
      <c r="AM248" s="1130"/>
      <c r="AN248" s="1133"/>
      <c r="AO248" s="1133"/>
      <c r="AP248" s="1230"/>
      <c r="AQ248" s="1012"/>
      <c r="AR248" s="1738"/>
      <c r="AS248" s="1220"/>
      <c r="AT248" s="1220"/>
      <c r="AU248" s="1220"/>
      <c r="AV248" s="1220">
        <v>5</v>
      </c>
      <c r="AW248" s="1194">
        <f>IFERROR(SUM(AS248:AV259),0)</f>
        <v>5</v>
      </c>
      <c r="AX248" s="995" t="s">
        <v>195</v>
      </c>
      <c r="AY248" s="997" t="s">
        <v>648</v>
      </c>
      <c r="AZ248" s="1130"/>
      <c r="BA248" s="1133"/>
      <c r="BB248" s="1133"/>
      <c r="BC248" s="1656"/>
      <c r="BD248" s="1012"/>
      <c r="BE248" s="1738"/>
      <c r="BF248" s="1193"/>
      <c r="BG248" s="1193"/>
      <c r="BH248" s="1193"/>
      <c r="BI248" s="1193"/>
      <c r="BJ248" s="1194">
        <f>IFERROR(SUM(BF248:BI259),0)</f>
        <v>0</v>
      </c>
      <c r="BK248" s="995" t="s">
        <v>195</v>
      </c>
      <c r="BL248" s="1164" t="s">
        <v>627</v>
      </c>
      <c r="BM248" s="1667"/>
      <c r="BN248" s="1161"/>
      <c r="BO248" s="1161"/>
      <c r="BP248" s="1191"/>
      <c r="BQ248" s="1012"/>
      <c r="BR248" s="1745"/>
      <c r="BS248" s="1171" t="s">
        <v>483</v>
      </c>
      <c r="BT248" s="1022">
        <f>SUM(W248,AJ248,AW248,BJ248)</f>
        <v>5</v>
      </c>
      <c r="BU248" s="1012"/>
      <c r="BV248" s="1177"/>
      <c r="BW248" s="1741"/>
      <c r="BX248" s="1018">
        <f>IFERROR(W248/G248,0)</f>
        <v>0</v>
      </c>
      <c r="BY248" s="1042"/>
      <c r="BZ248" s="1125">
        <f>IFERROR(AJ248/H248,0)</f>
        <v>0</v>
      </c>
      <c r="CA248" s="1042">
        <f>IFERROR(BT248/#REF!,0)</f>
        <v>0</v>
      </c>
      <c r="CB248" s="1126">
        <f>IFERROR(AW248/I248,0)</f>
        <v>1.25</v>
      </c>
      <c r="CC248" s="1042">
        <f>IFERROR(#REF!/#REF!,0)</f>
        <v>0</v>
      </c>
      <c r="CD248" s="1125">
        <f>IFERROR(BJ248/J248,0)</f>
        <v>0</v>
      </c>
      <c r="CE248" s="1042"/>
      <c r="CF248" s="1126">
        <f>IFERROR(BT248/J248,0)</f>
        <v>1</v>
      </c>
      <c r="CG248" s="1042"/>
    </row>
    <row r="249" spans="2:85" s="783" customFormat="1" ht="57.75" customHeight="1" x14ac:dyDescent="0.25">
      <c r="B249" s="1460"/>
      <c r="C249" s="1462"/>
      <c r="D249" s="1496"/>
      <c r="E249" s="1403"/>
      <c r="F249" s="1467"/>
      <c r="G249" s="1215"/>
      <c r="H249" s="1097"/>
      <c r="I249" s="1097"/>
      <c r="J249" s="1240"/>
      <c r="K249" s="1492"/>
      <c r="L249" s="1574"/>
      <c r="M249" s="1100"/>
      <c r="N249" s="1130"/>
      <c r="O249" s="1133"/>
      <c r="P249" s="1133"/>
      <c r="Q249" s="1136"/>
      <c r="R249" s="1729"/>
      <c r="S249" s="1238"/>
      <c r="T249" s="1220"/>
      <c r="U249" s="1220"/>
      <c r="V249" s="1220"/>
      <c r="W249" s="1195"/>
      <c r="X249" s="996"/>
      <c r="Y249" s="998"/>
      <c r="Z249" s="1130"/>
      <c r="AA249" s="1133"/>
      <c r="AB249" s="1133"/>
      <c r="AC249" s="1230"/>
      <c r="AD249" s="1012"/>
      <c r="AE249" s="1745"/>
      <c r="AF249" s="1651"/>
      <c r="AG249" s="1651"/>
      <c r="AH249" s="1651"/>
      <c r="AI249" s="1651"/>
      <c r="AJ249" s="1195"/>
      <c r="AK249" s="996"/>
      <c r="AL249" s="998"/>
      <c r="AM249" s="1130"/>
      <c r="AN249" s="1133"/>
      <c r="AO249" s="1133"/>
      <c r="AP249" s="1230"/>
      <c r="AQ249" s="1012"/>
      <c r="AR249" s="1738"/>
      <c r="AS249" s="1220"/>
      <c r="AT249" s="1220"/>
      <c r="AU249" s="1220"/>
      <c r="AV249" s="1220"/>
      <c r="AW249" s="1195"/>
      <c r="AX249" s="996"/>
      <c r="AY249" s="998"/>
      <c r="AZ249" s="1130"/>
      <c r="BA249" s="1133"/>
      <c r="BB249" s="1133"/>
      <c r="BC249" s="1656"/>
      <c r="BD249" s="1012"/>
      <c r="BE249" s="1738"/>
      <c r="BF249" s="1193"/>
      <c r="BG249" s="1193"/>
      <c r="BH249" s="1193"/>
      <c r="BI249" s="1193"/>
      <c r="BJ249" s="1195"/>
      <c r="BK249" s="996"/>
      <c r="BL249" s="1165"/>
      <c r="BM249" s="1667"/>
      <c r="BN249" s="1161"/>
      <c r="BO249" s="1161"/>
      <c r="BP249" s="1191"/>
      <c r="BQ249" s="1012"/>
      <c r="BR249" s="1745"/>
      <c r="BS249" s="1172"/>
      <c r="BT249" s="1023"/>
      <c r="BU249" s="1012"/>
      <c r="BV249" s="1177"/>
      <c r="BW249" s="1741"/>
      <c r="BX249" s="1019"/>
      <c r="BY249" s="1042"/>
      <c r="BZ249" s="1126"/>
      <c r="CA249" s="1042"/>
      <c r="CB249" s="1126"/>
      <c r="CC249" s="1042"/>
      <c r="CD249" s="1126"/>
      <c r="CE249" s="1042"/>
      <c r="CF249" s="1126"/>
      <c r="CG249" s="1042"/>
    </row>
    <row r="250" spans="2:85" s="783" customFormat="1" ht="42" customHeight="1" x14ac:dyDescent="0.25">
      <c r="B250" s="1460"/>
      <c r="C250" s="1462"/>
      <c r="D250" s="1496"/>
      <c r="E250" s="1403"/>
      <c r="F250" s="1467"/>
      <c r="G250" s="1215"/>
      <c r="H250" s="1097"/>
      <c r="I250" s="1097"/>
      <c r="J250" s="1240"/>
      <c r="K250" s="1492"/>
      <c r="L250" s="1574"/>
      <c r="M250" s="1100"/>
      <c r="N250" s="1130"/>
      <c r="O250" s="1133"/>
      <c r="P250" s="1133"/>
      <c r="Q250" s="1136"/>
      <c r="R250" s="1729"/>
      <c r="S250" s="1238"/>
      <c r="T250" s="1220"/>
      <c r="U250" s="1220"/>
      <c r="V250" s="1220"/>
      <c r="W250" s="1195"/>
      <c r="X250" s="996"/>
      <c r="Y250" s="998"/>
      <c r="Z250" s="1130"/>
      <c r="AA250" s="1133"/>
      <c r="AB250" s="1133"/>
      <c r="AC250" s="1230"/>
      <c r="AD250" s="1012"/>
      <c r="AE250" s="1745"/>
      <c r="AF250" s="1651"/>
      <c r="AG250" s="1651"/>
      <c r="AH250" s="1651"/>
      <c r="AI250" s="1651"/>
      <c r="AJ250" s="1195"/>
      <c r="AK250" s="996"/>
      <c r="AL250" s="998"/>
      <c r="AM250" s="1130"/>
      <c r="AN250" s="1133"/>
      <c r="AO250" s="1133"/>
      <c r="AP250" s="1230"/>
      <c r="AQ250" s="1012"/>
      <c r="AR250" s="1738"/>
      <c r="AS250" s="1220"/>
      <c r="AT250" s="1220"/>
      <c r="AU250" s="1220"/>
      <c r="AV250" s="1220"/>
      <c r="AW250" s="1195"/>
      <c r="AX250" s="996"/>
      <c r="AY250" s="998"/>
      <c r="AZ250" s="1130"/>
      <c r="BA250" s="1133"/>
      <c r="BB250" s="1133"/>
      <c r="BC250" s="1656"/>
      <c r="BD250" s="1012"/>
      <c r="BE250" s="1738"/>
      <c r="BF250" s="1193"/>
      <c r="BG250" s="1193"/>
      <c r="BH250" s="1193"/>
      <c r="BI250" s="1193"/>
      <c r="BJ250" s="1195"/>
      <c r="BK250" s="996"/>
      <c r="BL250" s="1165"/>
      <c r="BM250" s="1667"/>
      <c r="BN250" s="1161"/>
      <c r="BO250" s="1161"/>
      <c r="BP250" s="1191"/>
      <c r="BQ250" s="1012"/>
      <c r="BR250" s="1745"/>
      <c r="BS250" s="1172"/>
      <c r="BT250" s="1023"/>
      <c r="BU250" s="1012"/>
      <c r="BV250" s="1177"/>
      <c r="BW250" s="1741"/>
      <c r="BX250" s="1019"/>
      <c r="BY250" s="1042"/>
      <c r="BZ250" s="1126"/>
      <c r="CA250" s="1042"/>
      <c r="CB250" s="1126"/>
      <c r="CC250" s="1042"/>
      <c r="CD250" s="1126"/>
      <c r="CE250" s="1042"/>
      <c r="CF250" s="1126"/>
      <c r="CG250" s="1042"/>
    </row>
    <row r="251" spans="2:85" s="783" customFormat="1" ht="15.75" customHeight="1" x14ac:dyDescent="0.25">
      <c r="B251" s="1460"/>
      <c r="C251" s="1462"/>
      <c r="D251" s="1496"/>
      <c r="E251" s="1403"/>
      <c r="F251" s="1467"/>
      <c r="G251" s="1215"/>
      <c r="H251" s="1097"/>
      <c r="I251" s="1097"/>
      <c r="J251" s="1240"/>
      <c r="K251" s="1492"/>
      <c r="L251" s="1574"/>
      <c r="M251" s="1100"/>
      <c r="N251" s="1130"/>
      <c r="O251" s="1133"/>
      <c r="P251" s="1133"/>
      <c r="Q251" s="1136"/>
      <c r="R251" s="1729"/>
      <c r="S251" s="1238"/>
      <c r="T251" s="1220"/>
      <c r="U251" s="1220"/>
      <c r="V251" s="1220"/>
      <c r="W251" s="1195"/>
      <c r="X251" s="996"/>
      <c r="Y251" s="998"/>
      <c r="Z251" s="1130"/>
      <c r="AA251" s="1133"/>
      <c r="AB251" s="1133"/>
      <c r="AC251" s="1230"/>
      <c r="AD251" s="1012"/>
      <c r="AE251" s="1745"/>
      <c r="AF251" s="1651"/>
      <c r="AG251" s="1651"/>
      <c r="AH251" s="1651"/>
      <c r="AI251" s="1651"/>
      <c r="AJ251" s="1195"/>
      <c r="AK251" s="996"/>
      <c r="AL251" s="998"/>
      <c r="AM251" s="1130"/>
      <c r="AN251" s="1133"/>
      <c r="AO251" s="1133"/>
      <c r="AP251" s="1230"/>
      <c r="AQ251" s="1012"/>
      <c r="AR251" s="1738"/>
      <c r="AS251" s="1220"/>
      <c r="AT251" s="1220"/>
      <c r="AU251" s="1220"/>
      <c r="AV251" s="1220"/>
      <c r="AW251" s="1195"/>
      <c r="AX251" s="996"/>
      <c r="AY251" s="998"/>
      <c r="AZ251" s="1130"/>
      <c r="BA251" s="1133"/>
      <c r="BB251" s="1133"/>
      <c r="BC251" s="1656"/>
      <c r="BD251" s="1012"/>
      <c r="BE251" s="1738"/>
      <c r="BF251" s="1193"/>
      <c r="BG251" s="1193"/>
      <c r="BH251" s="1193"/>
      <c r="BI251" s="1193"/>
      <c r="BJ251" s="1195"/>
      <c r="BK251" s="996"/>
      <c r="BL251" s="1165"/>
      <c r="BM251" s="1667"/>
      <c r="BN251" s="1161"/>
      <c r="BO251" s="1161"/>
      <c r="BP251" s="1191"/>
      <c r="BQ251" s="1012"/>
      <c r="BR251" s="1745"/>
      <c r="BS251" s="1172"/>
      <c r="BT251" s="1023"/>
      <c r="BU251" s="1012"/>
      <c r="BV251" s="1177"/>
      <c r="BW251" s="1741"/>
      <c r="BX251" s="1019"/>
      <c r="BY251" s="1042"/>
      <c r="BZ251" s="1126"/>
      <c r="CA251" s="1042"/>
      <c r="CB251" s="1126"/>
      <c r="CC251" s="1042"/>
      <c r="CD251" s="1126"/>
      <c r="CE251" s="1042"/>
      <c r="CF251" s="1126"/>
      <c r="CG251" s="1042"/>
    </row>
    <row r="252" spans="2:85" s="783" customFormat="1" ht="15.75" customHeight="1" x14ac:dyDescent="0.25">
      <c r="B252" s="1460"/>
      <c r="C252" s="1462"/>
      <c r="D252" s="1496"/>
      <c r="E252" s="1403"/>
      <c r="F252" s="1467"/>
      <c r="G252" s="1215"/>
      <c r="H252" s="1097"/>
      <c r="I252" s="1097"/>
      <c r="J252" s="1240"/>
      <c r="K252" s="1492"/>
      <c r="L252" s="1574"/>
      <c r="M252" s="1100"/>
      <c r="N252" s="1130"/>
      <c r="O252" s="1133"/>
      <c r="P252" s="1133"/>
      <c r="Q252" s="1136"/>
      <c r="R252" s="1729"/>
      <c r="S252" s="1238"/>
      <c r="T252" s="1220"/>
      <c r="U252" s="1220"/>
      <c r="V252" s="1220"/>
      <c r="W252" s="1195"/>
      <c r="X252" s="996" t="s">
        <v>196</v>
      </c>
      <c r="Y252" s="998"/>
      <c r="Z252" s="1130"/>
      <c r="AA252" s="1133"/>
      <c r="AB252" s="1133"/>
      <c r="AC252" s="1230"/>
      <c r="AD252" s="1012"/>
      <c r="AE252" s="1745"/>
      <c r="AF252" s="1651"/>
      <c r="AG252" s="1651"/>
      <c r="AH252" s="1651"/>
      <c r="AI252" s="1651"/>
      <c r="AJ252" s="1195"/>
      <c r="AK252" s="996" t="s">
        <v>196</v>
      </c>
      <c r="AL252" s="998"/>
      <c r="AM252" s="1130"/>
      <c r="AN252" s="1133"/>
      <c r="AO252" s="1133"/>
      <c r="AP252" s="1230"/>
      <c r="AQ252" s="1012"/>
      <c r="AR252" s="1738"/>
      <c r="AS252" s="1220"/>
      <c r="AT252" s="1220"/>
      <c r="AU252" s="1220"/>
      <c r="AV252" s="1220"/>
      <c r="AW252" s="1195"/>
      <c r="AX252" s="996" t="s">
        <v>196</v>
      </c>
      <c r="AY252" s="998" t="s">
        <v>481</v>
      </c>
      <c r="AZ252" s="1130"/>
      <c r="BA252" s="1133"/>
      <c r="BB252" s="1133"/>
      <c r="BC252" s="1656"/>
      <c r="BD252" s="1012"/>
      <c r="BE252" s="1738"/>
      <c r="BF252" s="1193"/>
      <c r="BG252" s="1193"/>
      <c r="BH252" s="1193"/>
      <c r="BI252" s="1193"/>
      <c r="BJ252" s="1195"/>
      <c r="BK252" s="996" t="s">
        <v>196</v>
      </c>
      <c r="BL252" s="1197" t="s">
        <v>176</v>
      </c>
      <c r="BM252" s="1667"/>
      <c r="BN252" s="1161"/>
      <c r="BO252" s="1161"/>
      <c r="BP252" s="1191"/>
      <c r="BQ252" s="1012"/>
      <c r="BR252" s="1745"/>
      <c r="BS252" s="1172"/>
      <c r="BT252" s="1023"/>
      <c r="BU252" s="1012"/>
      <c r="BV252" s="1177"/>
      <c r="BW252" s="1741"/>
      <c r="BX252" s="1019"/>
      <c r="BY252" s="1042"/>
      <c r="BZ252" s="1126"/>
      <c r="CA252" s="1042"/>
      <c r="CB252" s="1126"/>
      <c r="CC252" s="1042"/>
      <c r="CD252" s="1126"/>
      <c r="CE252" s="1042"/>
      <c r="CF252" s="1126"/>
      <c r="CG252" s="1042"/>
    </row>
    <row r="253" spans="2:85" s="783" customFormat="1" ht="15.75" customHeight="1" x14ac:dyDescent="0.25">
      <c r="B253" s="1460"/>
      <c r="C253" s="1462"/>
      <c r="D253" s="1496"/>
      <c r="E253" s="1403"/>
      <c r="F253" s="1467"/>
      <c r="G253" s="1215"/>
      <c r="H253" s="1097"/>
      <c r="I253" s="1097"/>
      <c r="J253" s="1240"/>
      <c r="K253" s="1492"/>
      <c r="L253" s="1574"/>
      <c r="M253" s="1100"/>
      <c r="N253" s="1130"/>
      <c r="O253" s="1133"/>
      <c r="P253" s="1133"/>
      <c r="Q253" s="1136"/>
      <c r="R253" s="1729"/>
      <c r="S253" s="1238"/>
      <c r="T253" s="1220"/>
      <c r="U253" s="1220"/>
      <c r="V253" s="1220"/>
      <c r="W253" s="1195"/>
      <c r="X253" s="996"/>
      <c r="Y253" s="998"/>
      <c r="Z253" s="1130"/>
      <c r="AA253" s="1133"/>
      <c r="AB253" s="1133"/>
      <c r="AC253" s="1230"/>
      <c r="AD253" s="1012"/>
      <c r="AE253" s="1745"/>
      <c r="AF253" s="1651"/>
      <c r="AG253" s="1651"/>
      <c r="AH253" s="1651"/>
      <c r="AI253" s="1651"/>
      <c r="AJ253" s="1195"/>
      <c r="AK253" s="996"/>
      <c r="AL253" s="998"/>
      <c r="AM253" s="1130"/>
      <c r="AN253" s="1133"/>
      <c r="AO253" s="1133"/>
      <c r="AP253" s="1230"/>
      <c r="AQ253" s="1012"/>
      <c r="AR253" s="1738"/>
      <c r="AS253" s="1220"/>
      <c r="AT253" s="1220"/>
      <c r="AU253" s="1220"/>
      <c r="AV253" s="1220"/>
      <c r="AW253" s="1195"/>
      <c r="AX253" s="996"/>
      <c r="AY253" s="998"/>
      <c r="AZ253" s="1130"/>
      <c r="BA253" s="1133"/>
      <c r="BB253" s="1133"/>
      <c r="BC253" s="1656"/>
      <c r="BD253" s="1012"/>
      <c r="BE253" s="1738"/>
      <c r="BF253" s="1193"/>
      <c r="BG253" s="1193"/>
      <c r="BH253" s="1193"/>
      <c r="BI253" s="1193"/>
      <c r="BJ253" s="1195"/>
      <c r="BK253" s="996"/>
      <c r="BL253" s="1053"/>
      <c r="BM253" s="1667"/>
      <c r="BN253" s="1161"/>
      <c r="BO253" s="1161"/>
      <c r="BP253" s="1191"/>
      <c r="BQ253" s="1012"/>
      <c r="BR253" s="1745"/>
      <c r="BS253" s="1172"/>
      <c r="BT253" s="1023"/>
      <c r="BU253" s="1012"/>
      <c r="BV253" s="1177"/>
      <c r="BW253" s="1741"/>
      <c r="BX253" s="1019"/>
      <c r="BY253" s="1042"/>
      <c r="BZ253" s="1126"/>
      <c r="CA253" s="1042"/>
      <c r="CB253" s="1126"/>
      <c r="CC253" s="1042"/>
      <c r="CD253" s="1126"/>
      <c r="CE253" s="1042"/>
      <c r="CF253" s="1126"/>
      <c r="CG253" s="1042"/>
    </row>
    <row r="254" spans="2:85" s="783" customFormat="1" ht="15.75" customHeight="1" x14ac:dyDescent="0.25">
      <c r="B254" s="1460"/>
      <c r="C254" s="1462"/>
      <c r="D254" s="1496"/>
      <c r="E254" s="1403"/>
      <c r="F254" s="1467"/>
      <c r="G254" s="1215"/>
      <c r="H254" s="1097"/>
      <c r="I254" s="1097"/>
      <c r="J254" s="1240"/>
      <c r="K254" s="1492"/>
      <c r="L254" s="1574"/>
      <c r="M254" s="1100"/>
      <c r="N254" s="1130"/>
      <c r="O254" s="1133"/>
      <c r="P254" s="1133"/>
      <c r="Q254" s="1136"/>
      <c r="R254" s="1729"/>
      <c r="S254" s="1238"/>
      <c r="T254" s="1220"/>
      <c r="U254" s="1220"/>
      <c r="V254" s="1220"/>
      <c r="W254" s="1195"/>
      <c r="X254" s="996"/>
      <c r="Y254" s="998"/>
      <c r="Z254" s="1130"/>
      <c r="AA254" s="1133"/>
      <c r="AB254" s="1133"/>
      <c r="AC254" s="1230"/>
      <c r="AD254" s="1012"/>
      <c r="AE254" s="1745"/>
      <c r="AF254" s="1651"/>
      <c r="AG254" s="1651"/>
      <c r="AH254" s="1651"/>
      <c r="AI254" s="1651"/>
      <c r="AJ254" s="1195"/>
      <c r="AK254" s="996"/>
      <c r="AL254" s="998"/>
      <c r="AM254" s="1130"/>
      <c r="AN254" s="1133"/>
      <c r="AO254" s="1133"/>
      <c r="AP254" s="1230"/>
      <c r="AQ254" s="1012"/>
      <c r="AR254" s="1738"/>
      <c r="AS254" s="1220"/>
      <c r="AT254" s="1220"/>
      <c r="AU254" s="1220"/>
      <c r="AV254" s="1220"/>
      <c r="AW254" s="1195"/>
      <c r="AX254" s="996"/>
      <c r="AY254" s="998"/>
      <c r="AZ254" s="1130"/>
      <c r="BA254" s="1133"/>
      <c r="BB254" s="1133"/>
      <c r="BC254" s="1656"/>
      <c r="BD254" s="1012"/>
      <c r="BE254" s="1738"/>
      <c r="BF254" s="1193"/>
      <c r="BG254" s="1193"/>
      <c r="BH254" s="1193"/>
      <c r="BI254" s="1193"/>
      <c r="BJ254" s="1195"/>
      <c r="BK254" s="996"/>
      <c r="BL254" s="1053"/>
      <c r="BM254" s="1667"/>
      <c r="BN254" s="1161"/>
      <c r="BO254" s="1161"/>
      <c r="BP254" s="1191"/>
      <c r="BQ254" s="1012"/>
      <c r="BR254" s="1745"/>
      <c r="BS254" s="1172"/>
      <c r="BT254" s="1023"/>
      <c r="BU254" s="1012"/>
      <c r="BV254" s="1177"/>
      <c r="BW254" s="1741"/>
      <c r="BX254" s="1019"/>
      <c r="BY254" s="1042"/>
      <c r="BZ254" s="1126"/>
      <c r="CA254" s="1042"/>
      <c r="CB254" s="1126"/>
      <c r="CC254" s="1042"/>
      <c r="CD254" s="1126"/>
      <c r="CE254" s="1042"/>
      <c r="CF254" s="1126"/>
      <c r="CG254" s="1042"/>
    </row>
    <row r="255" spans="2:85" s="783" customFormat="1" ht="15.75" customHeight="1" x14ac:dyDescent="0.25">
      <c r="B255" s="1460"/>
      <c r="C255" s="1462"/>
      <c r="D255" s="1496"/>
      <c r="E255" s="1403"/>
      <c r="F255" s="1467"/>
      <c r="G255" s="1215"/>
      <c r="H255" s="1097"/>
      <c r="I255" s="1097"/>
      <c r="J255" s="1240"/>
      <c r="K255" s="1492"/>
      <c r="L255" s="1574"/>
      <c r="M255" s="1100"/>
      <c r="N255" s="1130"/>
      <c r="O255" s="1133"/>
      <c r="P255" s="1133"/>
      <c r="Q255" s="1136"/>
      <c r="R255" s="1729"/>
      <c r="S255" s="1238"/>
      <c r="T255" s="1220"/>
      <c r="U255" s="1220"/>
      <c r="V255" s="1220"/>
      <c r="W255" s="1195"/>
      <c r="X255" s="996"/>
      <c r="Y255" s="998"/>
      <c r="Z255" s="1130"/>
      <c r="AA255" s="1133"/>
      <c r="AB255" s="1133"/>
      <c r="AC255" s="1230"/>
      <c r="AD255" s="1012"/>
      <c r="AE255" s="1745"/>
      <c r="AF255" s="1651"/>
      <c r="AG255" s="1651"/>
      <c r="AH255" s="1651"/>
      <c r="AI255" s="1651"/>
      <c r="AJ255" s="1195"/>
      <c r="AK255" s="996"/>
      <c r="AL255" s="998"/>
      <c r="AM255" s="1130"/>
      <c r="AN255" s="1133"/>
      <c r="AO255" s="1133"/>
      <c r="AP255" s="1230"/>
      <c r="AQ255" s="1012"/>
      <c r="AR255" s="1738"/>
      <c r="AS255" s="1220"/>
      <c r="AT255" s="1220"/>
      <c r="AU255" s="1220"/>
      <c r="AV255" s="1220"/>
      <c r="AW255" s="1195"/>
      <c r="AX255" s="996"/>
      <c r="AY255" s="998"/>
      <c r="AZ255" s="1130"/>
      <c r="BA255" s="1133"/>
      <c r="BB255" s="1133"/>
      <c r="BC255" s="1656"/>
      <c r="BD255" s="1012"/>
      <c r="BE255" s="1738"/>
      <c r="BF255" s="1193"/>
      <c r="BG255" s="1193"/>
      <c r="BH255" s="1193"/>
      <c r="BI255" s="1193"/>
      <c r="BJ255" s="1195"/>
      <c r="BK255" s="996"/>
      <c r="BL255" s="1053"/>
      <c r="BM255" s="1667"/>
      <c r="BN255" s="1161"/>
      <c r="BO255" s="1161"/>
      <c r="BP255" s="1191"/>
      <c r="BQ255" s="1012"/>
      <c r="BR255" s="1745"/>
      <c r="BS255" s="1172"/>
      <c r="BT255" s="1023"/>
      <c r="BU255" s="1012"/>
      <c r="BV255" s="1177"/>
      <c r="BW255" s="1741"/>
      <c r="BX255" s="1020"/>
      <c r="BY255" s="1042"/>
      <c r="BZ255" s="1127"/>
      <c r="CA255" s="1042"/>
      <c r="CB255" s="1127"/>
      <c r="CC255" s="1042"/>
      <c r="CD255" s="1127"/>
      <c r="CE255" s="1042"/>
      <c r="CF255" s="1127"/>
      <c r="CG255" s="1042"/>
    </row>
    <row r="256" spans="2:85" s="783" customFormat="1" ht="32.25" customHeight="1" x14ac:dyDescent="0.25">
      <c r="B256" s="1460"/>
      <c r="C256" s="1397"/>
      <c r="D256" s="1496"/>
      <c r="E256" s="1403"/>
      <c r="F256" s="1467"/>
      <c r="G256" s="1215"/>
      <c r="H256" s="1097"/>
      <c r="I256" s="1097"/>
      <c r="J256" s="1240"/>
      <c r="K256" s="1492"/>
      <c r="L256" s="1574"/>
      <c r="M256" s="1100"/>
      <c r="N256" s="1130"/>
      <c r="O256" s="1133"/>
      <c r="P256" s="1133"/>
      <c r="Q256" s="1136"/>
      <c r="R256" s="1729"/>
      <c r="S256" s="1238"/>
      <c r="T256" s="1220"/>
      <c r="U256" s="1220"/>
      <c r="V256" s="1220"/>
      <c r="W256" s="1195"/>
      <c r="X256" s="996" t="s">
        <v>197</v>
      </c>
      <c r="Y256" s="998"/>
      <c r="Z256" s="1130"/>
      <c r="AA256" s="1133"/>
      <c r="AB256" s="1133"/>
      <c r="AC256" s="1230"/>
      <c r="AD256" s="1012"/>
      <c r="AE256" s="1745"/>
      <c r="AF256" s="1651"/>
      <c r="AG256" s="1651"/>
      <c r="AH256" s="1651"/>
      <c r="AI256" s="1651"/>
      <c r="AJ256" s="1195"/>
      <c r="AK256" s="996" t="s">
        <v>197</v>
      </c>
      <c r="AL256" s="998"/>
      <c r="AM256" s="1130"/>
      <c r="AN256" s="1133"/>
      <c r="AO256" s="1133"/>
      <c r="AP256" s="1230"/>
      <c r="AQ256" s="1012"/>
      <c r="AR256" s="1738"/>
      <c r="AS256" s="1220"/>
      <c r="AT256" s="1220"/>
      <c r="AU256" s="1220"/>
      <c r="AV256" s="1220"/>
      <c r="AW256" s="1195"/>
      <c r="AX256" s="996" t="s">
        <v>197</v>
      </c>
      <c r="AY256" s="998" t="s">
        <v>649</v>
      </c>
      <c r="AZ256" s="1130"/>
      <c r="BA256" s="1133"/>
      <c r="BB256" s="1133"/>
      <c r="BC256" s="1656"/>
      <c r="BD256" s="1012"/>
      <c r="BE256" s="1738"/>
      <c r="BF256" s="1193"/>
      <c r="BG256" s="1193"/>
      <c r="BH256" s="1193"/>
      <c r="BI256" s="1193"/>
      <c r="BJ256" s="1195"/>
      <c r="BK256" s="996" t="s">
        <v>197</v>
      </c>
      <c r="BL256" s="1053"/>
      <c r="BM256" s="1667"/>
      <c r="BN256" s="1161"/>
      <c r="BO256" s="1161"/>
      <c r="BP256" s="1191"/>
      <c r="BQ256" s="1012"/>
      <c r="BR256" s="1745"/>
      <c r="BS256" s="1172"/>
      <c r="BT256" s="1023"/>
      <c r="BU256" s="1012"/>
      <c r="BV256" s="1177"/>
      <c r="BW256" s="1741"/>
      <c r="BX256" s="1020"/>
      <c r="BY256" s="1042"/>
      <c r="BZ256" s="1127"/>
      <c r="CA256" s="1042">
        <f>IFERROR(BT256/M248,0)</f>
        <v>0</v>
      </c>
      <c r="CB256" s="1127"/>
      <c r="CC256" s="1042">
        <f>IFERROR(#REF!/M248,0)</f>
        <v>0</v>
      </c>
      <c r="CD256" s="1127"/>
      <c r="CE256" s="1042"/>
      <c r="CF256" s="1127"/>
      <c r="CG256" s="1042"/>
    </row>
    <row r="257" spans="2:85" s="783" customFormat="1" ht="30" customHeight="1" x14ac:dyDescent="0.25">
      <c r="B257" s="1460"/>
      <c r="C257" s="1397"/>
      <c r="D257" s="1496"/>
      <c r="E257" s="1403"/>
      <c r="F257" s="1467"/>
      <c r="G257" s="1215"/>
      <c r="H257" s="1097"/>
      <c r="I257" s="1097"/>
      <c r="J257" s="1240"/>
      <c r="K257" s="1492"/>
      <c r="L257" s="1574"/>
      <c r="M257" s="1100"/>
      <c r="N257" s="1130"/>
      <c r="O257" s="1133"/>
      <c r="P257" s="1133"/>
      <c r="Q257" s="1136"/>
      <c r="R257" s="1729"/>
      <c r="S257" s="1238"/>
      <c r="T257" s="1220"/>
      <c r="U257" s="1220"/>
      <c r="V257" s="1220"/>
      <c r="W257" s="1195"/>
      <c r="X257" s="996"/>
      <c r="Y257" s="998"/>
      <c r="Z257" s="1130"/>
      <c r="AA257" s="1133"/>
      <c r="AB257" s="1133"/>
      <c r="AC257" s="1230"/>
      <c r="AD257" s="1012"/>
      <c r="AE257" s="1745"/>
      <c r="AF257" s="1651"/>
      <c r="AG257" s="1651"/>
      <c r="AH257" s="1651"/>
      <c r="AI257" s="1651"/>
      <c r="AJ257" s="1195"/>
      <c r="AK257" s="996"/>
      <c r="AL257" s="998"/>
      <c r="AM257" s="1130"/>
      <c r="AN257" s="1133"/>
      <c r="AO257" s="1133"/>
      <c r="AP257" s="1230"/>
      <c r="AQ257" s="1012"/>
      <c r="AR257" s="1738"/>
      <c r="AS257" s="1220"/>
      <c r="AT257" s="1220"/>
      <c r="AU257" s="1220"/>
      <c r="AV257" s="1220"/>
      <c r="AW257" s="1195"/>
      <c r="AX257" s="996"/>
      <c r="AY257" s="998"/>
      <c r="AZ257" s="1130"/>
      <c r="BA257" s="1133"/>
      <c r="BB257" s="1133"/>
      <c r="BC257" s="1656"/>
      <c r="BD257" s="1012"/>
      <c r="BE257" s="1738"/>
      <c r="BF257" s="1193"/>
      <c r="BG257" s="1193"/>
      <c r="BH257" s="1193"/>
      <c r="BI257" s="1193"/>
      <c r="BJ257" s="1195"/>
      <c r="BK257" s="996"/>
      <c r="BL257" s="1053"/>
      <c r="BM257" s="1667"/>
      <c r="BN257" s="1161"/>
      <c r="BO257" s="1161"/>
      <c r="BP257" s="1191"/>
      <c r="BQ257" s="1012"/>
      <c r="BR257" s="1745"/>
      <c r="BS257" s="1172"/>
      <c r="BT257" s="1023"/>
      <c r="BU257" s="1012"/>
      <c r="BV257" s="1177"/>
      <c r="BW257" s="1741"/>
      <c r="BX257" s="1020"/>
      <c r="BY257" s="1042"/>
      <c r="BZ257" s="1127"/>
      <c r="CA257" s="1042">
        <f>IFERROR(BT257/M256,0)</f>
        <v>0</v>
      </c>
      <c r="CB257" s="1127"/>
      <c r="CC257" s="1042">
        <f>IFERROR(#REF!/M256,0)</f>
        <v>0</v>
      </c>
      <c r="CD257" s="1127"/>
      <c r="CE257" s="1042"/>
      <c r="CF257" s="1127"/>
      <c r="CG257" s="1042"/>
    </row>
    <row r="258" spans="2:85" s="783" customFormat="1" ht="13.5" customHeight="1" x14ac:dyDescent="0.25">
      <c r="B258" s="1460"/>
      <c r="C258" s="1397"/>
      <c r="D258" s="1496"/>
      <c r="E258" s="1403"/>
      <c r="F258" s="1467"/>
      <c r="G258" s="1215"/>
      <c r="H258" s="1097"/>
      <c r="I258" s="1097"/>
      <c r="J258" s="1240"/>
      <c r="K258" s="1492"/>
      <c r="L258" s="1574"/>
      <c r="M258" s="1100"/>
      <c r="N258" s="1130"/>
      <c r="O258" s="1133"/>
      <c r="P258" s="1133"/>
      <c r="Q258" s="1136"/>
      <c r="R258" s="1729"/>
      <c r="S258" s="1238"/>
      <c r="T258" s="1220"/>
      <c r="U258" s="1220"/>
      <c r="V258" s="1220"/>
      <c r="W258" s="1195"/>
      <c r="X258" s="996"/>
      <c r="Y258" s="998"/>
      <c r="Z258" s="1130"/>
      <c r="AA258" s="1133"/>
      <c r="AB258" s="1133"/>
      <c r="AC258" s="1230"/>
      <c r="AD258" s="1012"/>
      <c r="AE258" s="1745"/>
      <c r="AF258" s="1651"/>
      <c r="AG258" s="1651"/>
      <c r="AH258" s="1651"/>
      <c r="AI258" s="1651"/>
      <c r="AJ258" s="1195"/>
      <c r="AK258" s="996"/>
      <c r="AL258" s="998"/>
      <c r="AM258" s="1130"/>
      <c r="AN258" s="1133"/>
      <c r="AO258" s="1133"/>
      <c r="AP258" s="1230"/>
      <c r="AQ258" s="1012"/>
      <c r="AR258" s="1738"/>
      <c r="AS258" s="1220"/>
      <c r="AT258" s="1220"/>
      <c r="AU258" s="1220"/>
      <c r="AV258" s="1220"/>
      <c r="AW258" s="1195"/>
      <c r="AX258" s="996"/>
      <c r="AY258" s="998"/>
      <c r="AZ258" s="1130"/>
      <c r="BA258" s="1133"/>
      <c r="BB258" s="1133"/>
      <c r="BC258" s="1656"/>
      <c r="BD258" s="1012"/>
      <c r="BE258" s="1738"/>
      <c r="BF258" s="1193"/>
      <c r="BG258" s="1193"/>
      <c r="BH258" s="1193"/>
      <c r="BI258" s="1193"/>
      <c r="BJ258" s="1195"/>
      <c r="BK258" s="996"/>
      <c r="BL258" s="1053"/>
      <c r="BM258" s="1667"/>
      <c r="BN258" s="1161"/>
      <c r="BO258" s="1161"/>
      <c r="BP258" s="1191"/>
      <c r="BQ258" s="1012"/>
      <c r="BR258" s="1745"/>
      <c r="BS258" s="1172"/>
      <c r="BT258" s="1023"/>
      <c r="BU258" s="1012"/>
      <c r="BV258" s="1177"/>
      <c r="BW258" s="1741"/>
      <c r="BX258" s="1020"/>
      <c r="BY258" s="1042"/>
      <c r="BZ258" s="1127"/>
      <c r="CA258" s="1042">
        <f>IFERROR(BT258/M257,0)</f>
        <v>0</v>
      </c>
      <c r="CB258" s="1127"/>
      <c r="CC258" s="1042">
        <f>IFERROR(#REF!/M257,0)</f>
        <v>0</v>
      </c>
      <c r="CD258" s="1127"/>
      <c r="CE258" s="1042"/>
      <c r="CF258" s="1127"/>
      <c r="CG258" s="1042"/>
    </row>
    <row r="259" spans="2:85" s="783" customFormat="1" ht="18.75" customHeight="1" thickBot="1" x14ac:dyDescent="0.3">
      <c r="B259" s="1460"/>
      <c r="C259" s="1596"/>
      <c r="D259" s="1664"/>
      <c r="E259" s="1609"/>
      <c r="F259" s="1621"/>
      <c r="G259" s="1524"/>
      <c r="H259" s="1523"/>
      <c r="I259" s="1523"/>
      <c r="J259" s="1370"/>
      <c r="K259" s="1492"/>
      <c r="L259" s="1574"/>
      <c r="M259" s="1101"/>
      <c r="N259" s="1131"/>
      <c r="O259" s="1134"/>
      <c r="P259" s="1134"/>
      <c r="Q259" s="1137"/>
      <c r="R259" s="1729"/>
      <c r="S259" s="1238"/>
      <c r="T259" s="1220"/>
      <c r="U259" s="1220"/>
      <c r="V259" s="1220"/>
      <c r="W259" s="1189"/>
      <c r="X259" s="1068"/>
      <c r="Y259" s="1069"/>
      <c r="Z259" s="1227"/>
      <c r="AA259" s="1228"/>
      <c r="AB259" s="1228"/>
      <c r="AC259" s="1231"/>
      <c r="AD259" s="1013"/>
      <c r="AE259" s="1745"/>
      <c r="AF259" s="1651"/>
      <c r="AG259" s="1651"/>
      <c r="AH259" s="1651"/>
      <c r="AI259" s="1651"/>
      <c r="AJ259" s="1196"/>
      <c r="AK259" s="1068"/>
      <c r="AL259" s="1069"/>
      <c r="AM259" s="1227"/>
      <c r="AN259" s="1228"/>
      <c r="AO259" s="1228"/>
      <c r="AP259" s="1231"/>
      <c r="AQ259" s="1013"/>
      <c r="AR259" s="1738"/>
      <c r="AS259" s="1220"/>
      <c r="AT259" s="1220"/>
      <c r="AU259" s="1220"/>
      <c r="AV259" s="1220"/>
      <c r="AW259" s="1196"/>
      <c r="AX259" s="1068"/>
      <c r="AY259" s="1069"/>
      <c r="AZ259" s="1227"/>
      <c r="BA259" s="1228"/>
      <c r="BB259" s="1228"/>
      <c r="BC259" s="1657"/>
      <c r="BD259" s="1013"/>
      <c r="BE259" s="1738"/>
      <c r="BF259" s="1193"/>
      <c r="BG259" s="1193"/>
      <c r="BH259" s="1193"/>
      <c r="BI259" s="1193"/>
      <c r="BJ259" s="1196"/>
      <c r="BK259" s="1068"/>
      <c r="BL259" s="1054"/>
      <c r="BM259" s="1668"/>
      <c r="BN259" s="1162"/>
      <c r="BO259" s="1162"/>
      <c r="BP259" s="1192"/>
      <c r="BQ259" s="1013"/>
      <c r="BR259" s="1745"/>
      <c r="BS259" s="1173"/>
      <c r="BT259" s="1175"/>
      <c r="BU259" s="1013"/>
      <c r="BV259" s="1177"/>
      <c r="BW259" s="1741"/>
      <c r="BX259" s="1021"/>
      <c r="BY259" s="1169"/>
      <c r="BZ259" s="1128"/>
      <c r="CA259" s="1169">
        <f t="shared" ref="CA259:CA271" si="4">IFERROR(BT259/M259,0)</f>
        <v>0</v>
      </c>
      <c r="CB259" s="1127"/>
      <c r="CC259" s="1169">
        <f>IFERROR(#REF!/M259,0)</f>
        <v>0</v>
      </c>
      <c r="CD259" s="1128"/>
      <c r="CE259" s="1169"/>
      <c r="CF259" s="1127"/>
      <c r="CG259" s="1042"/>
    </row>
    <row r="260" spans="2:85" s="783" customFormat="1" ht="15.75" customHeight="1" x14ac:dyDescent="0.25">
      <c r="B260" s="1648"/>
      <c r="C260" s="1658" t="s">
        <v>623</v>
      </c>
      <c r="D260" s="1659" t="s">
        <v>186</v>
      </c>
      <c r="E260" s="1619">
        <v>4</v>
      </c>
      <c r="F260" s="1536" t="s">
        <v>184</v>
      </c>
      <c r="G260" s="1214"/>
      <c r="H260" s="1096"/>
      <c r="I260" s="1096">
        <v>4</v>
      </c>
      <c r="J260" s="1239">
        <v>4</v>
      </c>
      <c r="K260" s="1492"/>
      <c r="L260" s="1047" t="s">
        <v>624</v>
      </c>
      <c r="M260" s="1099">
        <v>114000</v>
      </c>
      <c r="N260" s="1102">
        <v>0</v>
      </c>
      <c r="O260" s="1091">
        <v>0</v>
      </c>
      <c r="P260" s="1091">
        <v>30894</v>
      </c>
      <c r="Q260" s="1088">
        <f>20373.38+28041.58+14690.24+2000+15000+3000+5817.36</f>
        <v>88922.560000000012</v>
      </c>
      <c r="R260" s="1729"/>
      <c r="S260" s="1014"/>
      <c r="T260" s="1016"/>
      <c r="U260" s="1016"/>
      <c r="V260" s="1078"/>
      <c r="W260" s="993">
        <f>IFERROR(SUM(S260:V271),0)</f>
        <v>0</v>
      </c>
      <c r="X260" s="995" t="s">
        <v>195</v>
      </c>
      <c r="Y260" s="997"/>
      <c r="Z260" s="999"/>
      <c r="AA260" s="1002"/>
      <c r="AB260" s="1005"/>
      <c r="AC260" s="1008">
        <v>0</v>
      </c>
      <c r="AD260" s="1011">
        <f>SUM(Z260:AC271)</f>
        <v>0</v>
      </c>
      <c r="AE260" s="1745"/>
      <c r="AF260" s="1014"/>
      <c r="AG260" s="1016"/>
      <c r="AH260" s="1016"/>
      <c r="AI260" s="1078"/>
      <c r="AJ260" s="993">
        <f>IFERROR(SUM(AF260:AI271),0)</f>
        <v>0</v>
      </c>
      <c r="AK260" s="995" t="s">
        <v>195</v>
      </c>
      <c r="AL260" s="997"/>
      <c r="AM260" s="999"/>
      <c r="AN260" s="1002"/>
      <c r="AO260" s="1005"/>
      <c r="AP260" s="1008">
        <v>0</v>
      </c>
      <c r="AQ260" s="1011">
        <f>SUM(AM260:AP271)</f>
        <v>0</v>
      </c>
      <c r="AR260" s="1738"/>
      <c r="AS260" s="1014"/>
      <c r="AT260" s="1016"/>
      <c r="AU260" s="1016"/>
      <c r="AV260" s="1078">
        <v>1</v>
      </c>
      <c r="AW260" s="993">
        <f>IFERROR(SUM(AS260:AV271),0)</f>
        <v>1</v>
      </c>
      <c r="AX260" s="995" t="s">
        <v>195</v>
      </c>
      <c r="AY260" s="997" t="s">
        <v>482</v>
      </c>
      <c r="AZ260" s="1214"/>
      <c r="BA260" s="1217"/>
      <c r="BB260" s="1096"/>
      <c r="BC260" s="1008">
        <v>30894.799999999999</v>
      </c>
      <c r="BD260" s="1011">
        <f>SUM(AZ260:BC271)</f>
        <v>30894.799999999999</v>
      </c>
      <c r="BE260" s="1738"/>
      <c r="BF260" s="987"/>
      <c r="BG260" s="989">
        <v>1</v>
      </c>
      <c r="BH260" s="989"/>
      <c r="BI260" s="991"/>
      <c r="BJ260" s="993">
        <f>IFERROR(SUM(BF260:BI271),0)</f>
        <v>1</v>
      </c>
      <c r="BK260" s="995" t="s">
        <v>195</v>
      </c>
      <c r="BL260" s="1055" t="s">
        <v>657</v>
      </c>
      <c r="BM260" s="1203">
        <v>26671.81</v>
      </c>
      <c r="BN260" s="1154">
        <v>20000</v>
      </c>
      <c r="BO260" s="1154">
        <v>20000</v>
      </c>
      <c r="BP260" s="1157">
        <v>16433.39</v>
      </c>
      <c r="BQ260" s="1011">
        <f>SUM(BM260:BP271)</f>
        <v>83105.2</v>
      </c>
      <c r="BR260" s="1745"/>
      <c r="BS260" s="1171"/>
      <c r="BT260" s="1022">
        <f>SUM(W260,AJ260,AW260,BJ260)</f>
        <v>2</v>
      </c>
      <c r="BU260" s="1011">
        <f>SUM(AD260,AQ260,BD260,BQ260)</f>
        <v>114000</v>
      </c>
      <c r="BV260" s="1177"/>
      <c r="BW260" s="1741"/>
      <c r="BX260" s="1018">
        <f>IFERROR(W260/G260,0)</f>
        <v>0</v>
      </c>
      <c r="BY260" s="1170">
        <f>IFERROR(AD260/N260,0)</f>
        <v>0</v>
      </c>
      <c r="BZ260" s="1125">
        <f>IFERROR(AJ260/H260,0)</f>
        <v>0</v>
      </c>
      <c r="CA260" s="1170">
        <f>IFERROR(AQ260/O260,0)</f>
        <v>0</v>
      </c>
      <c r="CB260" s="1125">
        <f>IFERROR(AW260/I260,0)</f>
        <v>0.25</v>
      </c>
      <c r="CC260" s="1170">
        <f>IFERROR(BD260/P260,0)</f>
        <v>1.0000258949957921</v>
      </c>
      <c r="CD260" s="1125">
        <f>IFERROR(BJ260/J260,0)</f>
        <v>0.25</v>
      </c>
      <c r="CE260" s="1170">
        <f>IFERROR(BQ260/Q260,0)</f>
        <v>0.93457948129248625</v>
      </c>
      <c r="CF260" s="1262">
        <f>IFERROR(BT260/J260,0)</f>
        <v>0.5</v>
      </c>
      <c r="CG260" s="1042"/>
    </row>
    <row r="261" spans="2:85" s="783" customFormat="1" ht="15.75" customHeight="1" x14ac:dyDescent="0.25">
      <c r="B261" s="1648"/>
      <c r="C261" s="1644"/>
      <c r="D261" s="1496"/>
      <c r="E261" s="1403"/>
      <c r="F261" s="1467"/>
      <c r="G261" s="1215"/>
      <c r="H261" s="1097"/>
      <c r="I261" s="1097"/>
      <c r="J261" s="1240"/>
      <c r="K261" s="1492"/>
      <c r="L261" s="1048"/>
      <c r="M261" s="1100"/>
      <c r="N261" s="1103"/>
      <c r="O261" s="1092"/>
      <c r="P261" s="1092"/>
      <c r="Q261" s="1089"/>
      <c r="R261" s="1729"/>
      <c r="S261" s="1014"/>
      <c r="T261" s="1016"/>
      <c r="U261" s="1016"/>
      <c r="V261" s="1078"/>
      <c r="W261" s="993"/>
      <c r="X261" s="996"/>
      <c r="Y261" s="998"/>
      <c r="Z261" s="1000"/>
      <c r="AA261" s="1003"/>
      <c r="AB261" s="1006"/>
      <c r="AC261" s="1009"/>
      <c r="AD261" s="1012"/>
      <c r="AE261" s="1745"/>
      <c r="AF261" s="1014"/>
      <c r="AG261" s="1016"/>
      <c r="AH261" s="1016"/>
      <c r="AI261" s="1078"/>
      <c r="AJ261" s="993"/>
      <c r="AK261" s="996"/>
      <c r="AL261" s="998"/>
      <c r="AM261" s="1000"/>
      <c r="AN261" s="1003"/>
      <c r="AO261" s="1006"/>
      <c r="AP261" s="1009"/>
      <c r="AQ261" s="1012"/>
      <c r="AR261" s="1738"/>
      <c r="AS261" s="1014"/>
      <c r="AT261" s="1016"/>
      <c r="AU261" s="1016"/>
      <c r="AV261" s="1078"/>
      <c r="AW261" s="993"/>
      <c r="AX261" s="996"/>
      <c r="AY261" s="998"/>
      <c r="AZ261" s="1215"/>
      <c r="BA261" s="1218"/>
      <c r="BB261" s="1097"/>
      <c r="BC261" s="1009"/>
      <c r="BD261" s="1012"/>
      <c r="BE261" s="1738"/>
      <c r="BF261" s="987"/>
      <c r="BG261" s="989"/>
      <c r="BH261" s="989"/>
      <c r="BI261" s="991"/>
      <c r="BJ261" s="993"/>
      <c r="BK261" s="996"/>
      <c r="BL261" s="1053"/>
      <c r="BM261" s="1204"/>
      <c r="BN261" s="1155"/>
      <c r="BO261" s="1155"/>
      <c r="BP261" s="1158"/>
      <c r="BQ261" s="1012"/>
      <c r="BR261" s="1745"/>
      <c r="BS261" s="1172"/>
      <c r="BT261" s="1023"/>
      <c r="BU261" s="1012"/>
      <c r="BV261" s="1177"/>
      <c r="BW261" s="1741"/>
      <c r="BX261" s="1019"/>
      <c r="BY261" s="1042"/>
      <c r="BZ261" s="1126"/>
      <c r="CA261" s="1042">
        <f t="shared" si="4"/>
        <v>0</v>
      </c>
      <c r="CB261" s="1126"/>
      <c r="CC261" s="1042">
        <f>IFERROR(#REF!/M261,0)</f>
        <v>0</v>
      </c>
      <c r="CD261" s="1126"/>
      <c r="CE261" s="1042"/>
      <c r="CF261" s="1169"/>
      <c r="CG261" s="1042"/>
    </row>
    <row r="262" spans="2:85" s="783" customFormat="1" ht="70.5" customHeight="1" x14ac:dyDescent="0.25">
      <c r="B262" s="1648"/>
      <c r="C262" s="1644"/>
      <c r="D262" s="1496"/>
      <c r="E262" s="1403"/>
      <c r="F262" s="1467"/>
      <c r="G262" s="1215"/>
      <c r="H262" s="1097"/>
      <c r="I262" s="1097"/>
      <c r="J262" s="1240"/>
      <c r="K262" s="1492"/>
      <c r="L262" s="1048"/>
      <c r="M262" s="1100"/>
      <c r="N262" s="1103"/>
      <c r="O262" s="1092"/>
      <c r="P262" s="1092"/>
      <c r="Q262" s="1089"/>
      <c r="R262" s="1729"/>
      <c r="S262" s="1014"/>
      <c r="T262" s="1016"/>
      <c r="U262" s="1016"/>
      <c r="V262" s="1078"/>
      <c r="W262" s="993"/>
      <c r="X262" s="996"/>
      <c r="Y262" s="998"/>
      <c r="Z262" s="1000"/>
      <c r="AA262" s="1003"/>
      <c r="AB262" s="1006"/>
      <c r="AC262" s="1009"/>
      <c r="AD262" s="1012"/>
      <c r="AE262" s="1745"/>
      <c r="AF262" s="1014"/>
      <c r="AG262" s="1016"/>
      <c r="AH262" s="1016"/>
      <c r="AI262" s="1078"/>
      <c r="AJ262" s="993"/>
      <c r="AK262" s="996"/>
      <c r="AL262" s="998"/>
      <c r="AM262" s="1000"/>
      <c r="AN262" s="1003"/>
      <c r="AO262" s="1006"/>
      <c r="AP262" s="1009"/>
      <c r="AQ262" s="1012"/>
      <c r="AR262" s="1738"/>
      <c r="AS262" s="1014"/>
      <c r="AT262" s="1016"/>
      <c r="AU262" s="1016"/>
      <c r="AV262" s="1078"/>
      <c r="AW262" s="993"/>
      <c r="AX262" s="996"/>
      <c r="AY262" s="998"/>
      <c r="AZ262" s="1215"/>
      <c r="BA262" s="1218"/>
      <c r="BB262" s="1097"/>
      <c r="BC262" s="1009"/>
      <c r="BD262" s="1012"/>
      <c r="BE262" s="1738"/>
      <c r="BF262" s="987"/>
      <c r="BG262" s="989"/>
      <c r="BH262" s="989"/>
      <c r="BI262" s="991"/>
      <c r="BJ262" s="993"/>
      <c r="BK262" s="996"/>
      <c r="BL262" s="1053"/>
      <c r="BM262" s="1204"/>
      <c r="BN262" s="1155"/>
      <c r="BO262" s="1155"/>
      <c r="BP262" s="1158"/>
      <c r="BQ262" s="1012"/>
      <c r="BR262" s="1745"/>
      <c r="BS262" s="1172"/>
      <c r="BT262" s="1023"/>
      <c r="BU262" s="1012"/>
      <c r="BV262" s="1177"/>
      <c r="BW262" s="1741"/>
      <c r="BX262" s="1019"/>
      <c r="BY262" s="1042"/>
      <c r="BZ262" s="1126"/>
      <c r="CA262" s="1042"/>
      <c r="CB262" s="1126"/>
      <c r="CC262" s="1042"/>
      <c r="CD262" s="1126"/>
      <c r="CE262" s="1042"/>
      <c r="CF262" s="1169"/>
      <c r="CG262" s="1042"/>
    </row>
    <row r="263" spans="2:85" s="783" customFormat="1" ht="15.75" customHeight="1" x14ac:dyDescent="0.25">
      <c r="B263" s="1648"/>
      <c r="C263" s="1644"/>
      <c r="D263" s="1496"/>
      <c r="E263" s="1403"/>
      <c r="F263" s="1467"/>
      <c r="G263" s="1215"/>
      <c r="H263" s="1097"/>
      <c r="I263" s="1097"/>
      <c r="J263" s="1240"/>
      <c r="K263" s="1492"/>
      <c r="L263" s="1048"/>
      <c r="M263" s="1100"/>
      <c r="N263" s="1103"/>
      <c r="O263" s="1092"/>
      <c r="P263" s="1092"/>
      <c r="Q263" s="1089"/>
      <c r="R263" s="1729"/>
      <c r="S263" s="1014"/>
      <c r="T263" s="1016"/>
      <c r="U263" s="1016"/>
      <c r="V263" s="1078"/>
      <c r="W263" s="993"/>
      <c r="X263" s="996"/>
      <c r="Y263" s="998"/>
      <c r="Z263" s="1000"/>
      <c r="AA263" s="1003"/>
      <c r="AB263" s="1006"/>
      <c r="AC263" s="1009"/>
      <c r="AD263" s="1012"/>
      <c r="AE263" s="1745"/>
      <c r="AF263" s="1014"/>
      <c r="AG263" s="1016"/>
      <c r="AH263" s="1016"/>
      <c r="AI263" s="1078"/>
      <c r="AJ263" s="993"/>
      <c r="AK263" s="996"/>
      <c r="AL263" s="998"/>
      <c r="AM263" s="1000"/>
      <c r="AN263" s="1003"/>
      <c r="AO263" s="1006"/>
      <c r="AP263" s="1009"/>
      <c r="AQ263" s="1012"/>
      <c r="AR263" s="1738"/>
      <c r="AS263" s="1014"/>
      <c r="AT263" s="1016"/>
      <c r="AU263" s="1016"/>
      <c r="AV263" s="1078"/>
      <c r="AW263" s="993"/>
      <c r="AX263" s="996"/>
      <c r="AY263" s="998"/>
      <c r="AZ263" s="1215"/>
      <c r="BA263" s="1218"/>
      <c r="BB263" s="1097"/>
      <c r="BC263" s="1009"/>
      <c r="BD263" s="1012"/>
      <c r="BE263" s="1738"/>
      <c r="BF263" s="987"/>
      <c r="BG263" s="989"/>
      <c r="BH263" s="989"/>
      <c r="BI263" s="991"/>
      <c r="BJ263" s="993"/>
      <c r="BK263" s="996"/>
      <c r="BL263" s="1053"/>
      <c r="BM263" s="1204"/>
      <c r="BN263" s="1155"/>
      <c r="BO263" s="1155"/>
      <c r="BP263" s="1158"/>
      <c r="BQ263" s="1012"/>
      <c r="BR263" s="1745"/>
      <c r="BS263" s="1172"/>
      <c r="BT263" s="1023"/>
      <c r="BU263" s="1012"/>
      <c r="BV263" s="1177"/>
      <c r="BW263" s="1741"/>
      <c r="BX263" s="1019"/>
      <c r="BY263" s="1042"/>
      <c r="BZ263" s="1126"/>
      <c r="CA263" s="1042">
        <f t="shared" si="4"/>
        <v>0</v>
      </c>
      <c r="CB263" s="1126"/>
      <c r="CC263" s="1042">
        <f>IFERROR(#REF!/M263,0)</f>
        <v>0</v>
      </c>
      <c r="CD263" s="1126"/>
      <c r="CE263" s="1042"/>
      <c r="CF263" s="1169"/>
      <c r="CG263" s="1042"/>
    </row>
    <row r="264" spans="2:85" s="783" customFormat="1" ht="15.75" customHeight="1" x14ac:dyDescent="0.25">
      <c r="B264" s="1648"/>
      <c r="C264" s="1644"/>
      <c r="D264" s="1496"/>
      <c r="E264" s="1403"/>
      <c r="F264" s="1467"/>
      <c r="G264" s="1215"/>
      <c r="H264" s="1097"/>
      <c r="I264" s="1097"/>
      <c r="J264" s="1240"/>
      <c r="K264" s="1492"/>
      <c r="L264" s="1048"/>
      <c r="M264" s="1100"/>
      <c r="N264" s="1103"/>
      <c r="O264" s="1092"/>
      <c r="P264" s="1092"/>
      <c r="Q264" s="1089"/>
      <c r="R264" s="1729"/>
      <c r="S264" s="1014"/>
      <c r="T264" s="1016"/>
      <c r="U264" s="1016"/>
      <c r="V264" s="1078"/>
      <c r="W264" s="993"/>
      <c r="X264" s="996" t="s">
        <v>196</v>
      </c>
      <c r="Y264" s="998"/>
      <c r="Z264" s="1000"/>
      <c r="AA264" s="1003"/>
      <c r="AB264" s="1006"/>
      <c r="AC264" s="1009"/>
      <c r="AD264" s="1012"/>
      <c r="AE264" s="1745"/>
      <c r="AF264" s="1014"/>
      <c r="AG264" s="1016"/>
      <c r="AH264" s="1016"/>
      <c r="AI264" s="1078"/>
      <c r="AJ264" s="993"/>
      <c r="AK264" s="996" t="s">
        <v>196</v>
      </c>
      <c r="AL264" s="998"/>
      <c r="AM264" s="1000"/>
      <c r="AN264" s="1003"/>
      <c r="AO264" s="1006"/>
      <c r="AP264" s="1009"/>
      <c r="AQ264" s="1012"/>
      <c r="AR264" s="1738"/>
      <c r="AS264" s="1014"/>
      <c r="AT264" s="1016"/>
      <c r="AU264" s="1016"/>
      <c r="AV264" s="1078"/>
      <c r="AW264" s="993"/>
      <c r="AX264" s="996" t="s">
        <v>196</v>
      </c>
      <c r="AY264" s="998"/>
      <c r="AZ264" s="1215"/>
      <c r="BA264" s="1218"/>
      <c r="BB264" s="1097"/>
      <c r="BC264" s="1009"/>
      <c r="BD264" s="1012"/>
      <c r="BE264" s="1738"/>
      <c r="BF264" s="987"/>
      <c r="BG264" s="989"/>
      <c r="BH264" s="989"/>
      <c r="BI264" s="991"/>
      <c r="BJ264" s="993"/>
      <c r="BK264" s="996" t="s">
        <v>196</v>
      </c>
      <c r="BL264" s="1053" t="s">
        <v>658</v>
      </c>
      <c r="BM264" s="1204"/>
      <c r="BN264" s="1155"/>
      <c r="BO264" s="1155"/>
      <c r="BP264" s="1158"/>
      <c r="BQ264" s="1012"/>
      <c r="BR264" s="1745"/>
      <c r="BS264" s="1172"/>
      <c r="BT264" s="1023"/>
      <c r="BU264" s="1012"/>
      <c r="BV264" s="1177"/>
      <c r="BW264" s="1741"/>
      <c r="BX264" s="1019"/>
      <c r="BY264" s="1042"/>
      <c r="BZ264" s="1126"/>
      <c r="CA264" s="1042"/>
      <c r="CB264" s="1126"/>
      <c r="CC264" s="1042"/>
      <c r="CD264" s="1126"/>
      <c r="CE264" s="1042"/>
      <c r="CF264" s="1169"/>
      <c r="CG264" s="1042"/>
    </row>
    <row r="265" spans="2:85" s="783" customFormat="1" ht="15.75" customHeight="1" x14ac:dyDescent="0.25">
      <c r="B265" s="1648"/>
      <c r="C265" s="1644"/>
      <c r="D265" s="1496"/>
      <c r="E265" s="1403"/>
      <c r="F265" s="1467"/>
      <c r="G265" s="1215"/>
      <c r="H265" s="1097"/>
      <c r="I265" s="1097"/>
      <c r="J265" s="1240"/>
      <c r="K265" s="1492"/>
      <c r="L265" s="1048"/>
      <c r="M265" s="1100"/>
      <c r="N265" s="1103"/>
      <c r="O265" s="1092"/>
      <c r="P265" s="1092"/>
      <c r="Q265" s="1089"/>
      <c r="R265" s="1729"/>
      <c r="S265" s="1014"/>
      <c r="T265" s="1016"/>
      <c r="U265" s="1016"/>
      <c r="V265" s="1078"/>
      <c r="W265" s="993"/>
      <c r="X265" s="996"/>
      <c r="Y265" s="998"/>
      <c r="Z265" s="1000"/>
      <c r="AA265" s="1003"/>
      <c r="AB265" s="1006"/>
      <c r="AC265" s="1009"/>
      <c r="AD265" s="1012"/>
      <c r="AE265" s="1745"/>
      <c r="AF265" s="1014"/>
      <c r="AG265" s="1016"/>
      <c r="AH265" s="1016"/>
      <c r="AI265" s="1078"/>
      <c r="AJ265" s="993"/>
      <c r="AK265" s="996"/>
      <c r="AL265" s="998"/>
      <c r="AM265" s="1000"/>
      <c r="AN265" s="1003"/>
      <c r="AO265" s="1006"/>
      <c r="AP265" s="1009"/>
      <c r="AQ265" s="1012"/>
      <c r="AR265" s="1738"/>
      <c r="AS265" s="1014"/>
      <c r="AT265" s="1016"/>
      <c r="AU265" s="1016"/>
      <c r="AV265" s="1078"/>
      <c r="AW265" s="993"/>
      <c r="AX265" s="996"/>
      <c r="AY265" s="998"/>
      <c r="AZ265" s="1215"/>
      <c r="BA265" s="1218"/>
      <c r="BB265" s="1097"/>
      <c r="BC265" s="1009"/>
      <c r="BD265" s="1012"/>
      <c r="BE265" s="1738"/>
      <c r="BF265" s="987"/>
      <c r="BG265" s="989"/>
      <c r="BH265" s="989"/>
      <c r="BI265" s="991"/>
      <c r="BJ265" s="993"/>
      <c r="BK265" s="996"/>
      <c r="BL265" s="1053"/>
      <c r="BM265" s="1204"/>
      <c r="BN265" s="1155"/>
      <c r="BO265" s="1155"/>
      <c r="BP265" s="1158"/>
      <c r="BQ265" s="1012"/>
      <c r="BR265" s="1745"/>
      <c r="BS265" s="1172"/>
      <c r="BT265" s="1023"/>
      <c r="BU265" s="1012"/>
      <c r="BV265" s="1177"/>
      <c r="BW265" s="1741"/>
      <c r="BX265" s="1019"/>
      <c r="BY265" s="1042"/>
      <c r="BZ265" s="1126"/>
      <c r="CA265" s="1042"/>
      <c r="CB265" s="1126"/>
      <c r="CC265" s="1042"/>
      <c r="CD265" s="1126"/>
      <c r="CE265" s="1042"/>
      <c r="CF265" s="1169"/>
      <c r="CG265" s="1042"/>
    </row>
    <row r="266" spans="2:85" s="783" customFormat="1" ht="15.75" customHeight="1" x14ac:dyDescent="0.25">
      <c r="B266" s="1648"/>
      <c r="C266" s="1644"/>
      <c r="D266" s="1496"/>
      <c r="E266" s="1403"/>
      <c r="F266" s="1467"/>
      <c r="G266" s="1215"/>
      <c r="H266" s="1097"/>
      <c r="I266" s="1097"/>
      <c r="J266" s="1240"/>
      <c r="K266" s="1492"/>
      <c r="L266" s="1048"/>
      <c r="M266" s="1100"/>
      <c r="N266" s="1103"/>
      <c r="O266" s="1092"/>
      <c r="P266" s="1092"/>
      <c r="Q266" s="1089"/>
      <c r="R266" s="1729"/>
      <c r="S266" s="1014"/>
      <c r="T266" s="1016"/>
      <c r="U266" s="1016"/>
      <c r="V266" s="1078"/>
      <c r="W266" s="993"/>
      <c r="X266" s="996"/>
      <c r="Y266" s="998"/>
      <c r="Z266" s="1000"/>
      <c r="AA266" s="1003"/>
      <c r="AB266" s="1006"/>
      <c r="AC266" s="1009"/>
      <c r="AD266" s="1012"/>
      <c r="AE266" s="1745"/>
      <c r="AF266" s="1014"/>
      <c r="AG266" s="1016"/>
      <c r="AH266" s="1016"/>
      <c r="AI266" s="1078"/>
      <c r="AJ266" s="993"/>
      <c r="AK266" s="996"/>
      <c r="AL266" s="998"/>
      <c r="AM266" s="1000"/>
      <c r="AN266" s="1003"/>
      <c r="AO266" s="1006"/>
      <c r="AP266" s="1009"/>
      <c r="AQ266" s="1012"/>
      <c r="AR266" s="1738"/>
      <c r="AS266" s="1014"/>
      <c r="AT266" s="1016"/>
      <c r="AU266" s="1016"/>
      <c r="AV266" s="1078"/>
      <c r="AW266" s="993"/>
      <c r="AX266" s="996"/>
      <c r="AY266" s="998"/>
      <c r="AZ266" s="1215"/>
      <c r="BA266" s="1218"/>
      <c r="BB266" s="1097"/>
      <c r="BC266" s="1009"/>
      <c r="BD266" s="1012"/>
      <c r="BE266" s="1738"/>
      <c r="BF266" s="987"/>
      <c r="BG266" s="989"/>
      <c r="BH266" s="989"/>
      <c r="BI266" s="991"/>
      <c r="BJ266" s="993"/>
      <c r="BK266" s="996"/>
      <c r="BL266" s="1053"/>
      <c r="BM266" s="1204"/>
      <c r="BN266" s="1155"/>
      <c r="BO266" s="1155"/>
      <c r="BP266" s="1158"/>
      <c r="BQ266" s="1012"/>
      <c r="BR266" s="1745"/>
      <c r="BS266" s="1172"/>
      <c r="BT266" s="1023"/>
      <c r="BU266" s="1012"/>
      <c r="BV266" s="1177"/>
      <c r="BW266" s="1741"/>
      <c r="BX266" s="1019"/>
      <c r="BY266" s="1042"/>
      <c r="BZ266" s="1126"/>
      <c r="CA266" s="1042"/>
      <c r="CB266" s="1126"/>
      <c r="CC266" s="1042"/>
      <c r="CD266" s="1126"/>
      <c r="CE266" s="1042"/>
      <c r="CF266" s="1169"/>
      <c r="CG266" s="1042"/>
    </row>
    <row r="267" spans="2:85" s="783" customFormat="1" ht="15.75" customHeight="1" x14ac:dyDescent="0.25">
      <c r="B267" s="1648"/>
      <c r="C267" s="1644"/>
      <c r="D267" s="1496"/>
      <c r="E267" s="1403"/>
      <c r="F267" s="1467"/>
      <c r="G267" s="1215"/>
      <c r="H267" s="1097"/>
      <c r="I267" s="1097"/>
      <c r="J267" s="1240"/>
      <c r="K267" s="1492"/>
      <c r="L267" s="1048"/>
      <c r="M267" s="1100"/>
      <c r="N267" s="1103"/>
      <c r="O267" s="1092"/>
      <c r="P267" s="1092"/>
      <c r="Q267" s="1089"/>
      <c r="R267" s="1729"/>
      <c r="S267" s="1014"/>
      <c r="T267" s="1016"/>
      <c r="U267" s="1016"/>
      <c r="V267" s="1078"/>
      <c r="W267" s="993"/>
      <c r="X267" s="996"/>
      <c r="Y267" s="998"/>
      <c r="Z267" s="1000"/>
      <c r="AA267" s="1003"/>
      <c r="AB267" s="1006"/>
      <c r="AC267" s="1009"/>
      <c r="AD267" s="1012"/>
      <c r="AE267" s="1745"/>
      <c r="AF267" s="1014"/>
      <c r="AG267" s="1016"/>
      <c r="AH267" s="1016"/>
      <c r="AI267" s="1078"/>
      <c r="AJ267" s="993"/>
      <c r="AK267" s="996"/>
      <c r="AL267" s="998"/>
      <c r="AM267" s="1000"/>
      <c r="AN267" s="1003"/>
      <c r="AO267" s="1006"/>
      <c r="AP267" s="1009"/>
      <c r="AQ267" s="1012"/>
      <c r="AR267" s="1738"/>
      <c r="AS267" s="1014"/>
      <c r="AT267" s="1016"/>
      <c r="AU267" s="1016"/>
      <c r="AV267" s="1078"/>
      <c r="AW267" s="993"/>
      <c r="AX267" s="996"/>
      <c r="AY267" s="998"/>
      <c r="AZ267" s="1215"/>
      <c r="BA267" s="1218"/>
      <c r="BB267" s="1097"/>
      <c r="BC267" s="1009"/>
      <c r="BD267" s="1012"/>
      <c r="BE267" s="1738"/>
      <c r="BF267" s="987"/>
      <c r="BG267" s="989"/>
      <c r="BH267" s="989"/>
      <c r="BI267" s="991"/>
      <c r="BJ267" s="993"/>
      <c r="BK267" s="996"/>
      <c r="BL267" s="1053"/>
      <c r="BM267" s="1204"/>
      <c r="BN267" s="1155"/>
      <c r="BO267" s="1155"/>
      <c r="BP267" s="1158"/>
      <c r="BQ267" s="1012"/>
      <c r="BR267" s="1745"/>
      <c r="BS267" s="1172"/>
      <c r="BT267" s="1023"/>
      <c r="BU267" s="1012"/>
      <c r="BV267" s="1177"/>
      <c r="BW267" s="1741"/>
      <c r="BX267" s="1020"/>
      <c r="BY267" s="1042"/>
      <c r="BZ267" s="1127"/>
      <c r="CA267" s="1042"/>
      <c r="CB267" s="1127"/>
      <c r="CC267" s="1042"/>
      <c r="CD267" s="1127"/>
      <c r="CE267" s="1042"/>
      <c r="CF267" s="1263"/>
      <c r="CG267" s="1042"/>
    </row>
    <row r="268" spans="2:85" s="783" customFormat="1" ht="15.75" customHeight="1" x14ac:dyDescent="0.25">
      <c r="B268" s="1648"/>
      <c r="C268" s="1644"/>
      <c r="D268" s="1496"/>
      <c r="E268" s="1403"/>
      <c r="F268" s="1467"/>
      <c r="G268" s="1215"/>
      <c r="H268" s="1097"/>
      <c r="I268" s="1097"/>
      <c r="J268" s="1240"/>
      <c r="K268" s="1492"/>
      <c r="L268" s="1048"/>
      <c r="M268" s="1100"/>
      <c r="N268" s="1103"/>
      <c r="O268" s="1092"/>
      <c r="P268" s="1092"/>
      <c r="Q268" s="1089"/>
      <c r="R268" s="1729"/>
      <c r="S268" s="1014"/>
      <c r="T268" s="1016"/>
      <c r="U268" s="1016"/>
      <c r="V268" s="1078"/>
      <c r="W268" s="993"/>
      <c r="X268" s="996" t="s">
        <v>197</v>
      </c>
      <c r="Y268" s="998"/>
      <c r="Z268" s="1000"/>
      <c r="AA268" s="1003"/>
      <c r="AB268" s="1006"/>
      <c r="AC268" s="1009"/>
      <c r="AD268" s="1012"/>
      <c r="AE268" s="1745"/>
      <c r="AF268" s="1014"/>
      <c r="AG268" s="1016"/>
      <c r="AH268" s="1016"/>
      <c r="AI268" s="1078"/>
      <c r="AJ268" s="993"/>
      <c r="AK268" s="996" t="s">
        <v>197</v>
      </c>
      <c r="AL268" s="998"/>
      <c r="AM268" s="1000"/>
      <c r="AN268" s="1003"/>
      <c r="AO268" s="1006"/>
      <c r="AP268" s="1009"/>
      <c r="AQ268" s="1012"/>
      <c r="AR268" s="1738"/>
      <c r="AS268" s="1014"/>
      <c r="AT268" s="1016"/>
      <c r="AU268" s="1016"/>
      <c r="AV268" s="1078"/>
      <c r="AW268" s="993"/>
      <c r="AX268" s="996" t="s">
        <v>197</v>
      </c>
      <c r="AY268" s="998"/>
      <c r="AZ268" s="1215"/>
      <c r="BA268" s="1218"/>
      <c r="BB268" s="1097"/>
      <c r="BC268" s="1009"/>
      <c r="BD268" s="1012"/>
      <c r="BE268" s="1738"/>
      <c r="BF268" s="987"/>
      <c r="BG268" s="989"/>
      <c r="BH268" s="989"/>
      <c r="BI268" s="991"/>
      <c r="BJ268" s="993"/>
      <c r="BK268" s="996" t="s">
        <v>197</v>
      </c>
      <c r="BL268" s="1053" t="s">
        <v>659</v>
      </c>
      <c r="BM268" s="1204"/>
      <c r="BN268" s="1155"/>
      <c r="BO268" s="1155"/>
      <c r="BP268" s="1158"/>
      <c r="BQ268" s="1012"/>
      <c r="BR268" s="1745"/>
      <c r="BS268" s="1172"/>
      <c r="BT268" s="1023"/>
      <c r="BU268" s="1012"/>
      <c r="BV268" s="1177"/>
      <c r="BW268" s="1741"/>
      <c r="BX268" s="1020"/>
      <c r="BY268" s="1042"/>
      <c r="BZ268" s="1127"/>
      <c r="CA268" s="1042">
        <f t="shared" si="4"/>
        <v>0</v>
      </c>
      <c r="CB268" s="1127"/>
      <c r="CC268" s="1042">
        <f>IFERROR(#REF!/M268,0)</f>
        <v>0</v>
      </c>
      <c r="CD268" s="1127"/>
      <c r="CE268" s="1042"/>
      <c r="CF268" s="1263"/>
      <c r="CG268" s="1042"/>
    </row>
    <row r="269" spans="2:85" s="783" customFormat="1" ht="15" customHeight="1" x14ac:dyDescent="0.25">
      <c r="B269" s="1648"/>
      <c r="C269" s="1644"/>
      <c r="D269" s="1496"/>
      <c r="E269" s="1403"/>
      <c r="F269" s="1467"/>
      <c r="G269" s="1215"/>
      <c r="H269" s="1097"/>
      <c r="I269" s="1097"/>
      <c r="J269" s="1240"/>
      <c r="K269" s="1492"/>
      <c r="L269" s="1048"/>
      <c r="M269" s="1100"/>
      <c r="N269" s="1103"/>
      <c r="O269" s="1092"/>
      <c r="P269" s="1092"/>
      <c r="Q269" s="1089"/>
      <c r="R269" s="1729"/>
      <c r="S269" s="1014"/>
      <c r="T269" s="1016"/>
      <c r="U269" s="1016"/>
      <c r="V269" s="1078"/>
      <c r="W269" s="993"/>
      <c r="X269" s="996"/>
      <c r="Y269" s="998"/>
      <c r="Z269" s="1000"/>
      <c r="AA269" s="1003"/>
      <c r="AB269" s="1006"/>
      <c r="AC269" s="1009"/>
      <c r="AD269" s="1012"/>
      <c r="AE269" s="1745"/>
      <c r="AF269" s="1014"/>
      <c r="AG269" s="1016"/>
      <c r="AH269" s="1016"/>
      <c r="AI269" s="1078"/>
      <c r="AJ269" s="993"/>
      <c r="AK269" s="996"/>
      <c r="AL269" s="998"/>
      <c r="AM269" s="1000"/>
      <c r="AN269" s="1003"/>
      <c r="AO269" s="1006"/>
      <c r="AP269" s="1009"/>
      <c r="AQ269" s="1012"/>
      <c r="AR269" s="1738"/>
      <c r="AS269" s="1014"/>
      <c r="AT269" s="1016"/>
      <c r="AU269" s="1016"/>
      <c r="AV269" s="1078"/>
      <c r="AW269" s="993"/>
      <c r="AX269" s="996"/>
      <c r="AY269" s="998"/>
      <c r="AZ269" s="1215"/>
      <c r="BA269" s="1218"/>
      <c r="BB269" s="1097"/>
      <c r="BC269" s="1009"/>
      <c r="BD269" s="1012"/>
      <c r="BE269" s="1738"/>
      <c r="BF269" s="987"/>
      <c r="BG269" s="989"/>
      <c r="BH269" s="989"/>
      <c r="BI269" s="991"/>
      <c r="BJ269" s="993"/>
      <c r="BK269" s="996"/>
      <c r="BL269" s="1053"/>
      <c r="BM269" s="1204"/>
      <c r="BN269" s="1155"/>
      <c r="BO269" s="1155"/>
      <c r="BP269" s="1158"/>
      <c r="BQ269" s="1012"/>
      <c r="BR269" s="1745"/>
      <c r="BS269" s="1172"/>
      <c r="BT269" s="1023"/>
      <c r="BU269" s="1012"/>
      <c r="BV269" s="1177"/>
      <c r="BW269" s="1741"/>
      <c r="BX269" s="1020"/>
      <c r="BY269" s="1042"/>
      <c r="BZ269" s="1127"/>
      <c r="CA269" s="1042">
        <f t="shared" si="4"/>
        <v>0</v>
      </c>
      <c r="CB269" s="1127"/>
      <c r="CC269" s="1042">
        <f>IFERROR(#REF!/M269,0)</f>
        <v>0</v>
      </c>
      <c r="CD269" s="1127"/>
      <c r="CE269" s="1042"/>
      <c r="CF269" s="1263"/>
      <c r="CG269" s="1042"/>
    </row>
    <row r="270" spans="2:85" s="783" customFormat="1" ht="15.75" customHeight="1" x14ac:dyDescent="0.25">
      <c r="B270" s="1648"/>
      <c r="C270" s="1644"/>
      <c r="D270" s="1496"/>
      <c r="E270" s="1403"/>
      <c r="F270" s="1467"/>
      <c r="G270" s="1215"/>
      <c r="H270" s="1097"/>
      <c r="I270" s="1097"/>
      <c r="J270" s="1240"/>
      <c r="K270" s="1492"/>
      <c r="L270" s="1048"/>
      <c r="M270" s="1100"/>
      <c r="N270" s="1103"/>
      <c r="O270" s="1092"/>
      <c r="P270" s="1092"/>
      <c r="Q270" s="1089"/>
      <c r="R270" s="1729"/>
      <c r="S270" s="1014"/>
      <c r="T270" s="1016"/>
      <c r="U270" s="1016"/>
      <c r="V270" s="1078"/>
      <c r="W270" s="993"/>
      <c r="X270" s="996"/>
      <c r="Y270" s="998"/>
      <c r="Z270" s="1000"/>
      <c r="AA270" s="1003"/>
      <c r="AB270" s="1006"/>
      <c r="AC270" s="1009"/>
      <c r="AD270" s="1012"/>
      <c r="AE270" s="1745"/>
      <c r="AF270" s="1014"/>
      <c r="AG270" s="1016"/>
      <c r="AH270" s="1016"/>
      <c r="AI270" s="1078"/>
      <c r="AJ270" s="993"/>
      <c r="AK270" s="996"/>
      <c r="AL270" s="998"/>
      <c r="AM270" s="1000"/>
      <c r="AN270" s="1003"/>
      <c r="AO270" s="1006"/>
      <c r="AP270" s="1009"/>
      <c r="AQ270" s="1012"/>
      <c r="AR270" s="1738"/>
      <c r="AS270" s="1014"/>
      <c r="AT270" s="1016"/>
      <c r="AU270" s="1016"/>
      <c r="AV270" s="1078"/>
      <c r="AW270" s="993"/>
      <c r="AX270" s="996"/>
      <c r="AY270" s="998"/>
      <c r="AZ270" s="1215"/>
      <c r="BA270" s="1218"/>
      <c r="BB270" s="1097"/>
      <c r="BC270" s="1009"/>
      <c r="BD270" s="1012"/>
      <c r="BE270" s="1738"/>
      <c r="BF270" s="987"/>
      <c r="BG270" s="989"/>
      <c r="BH270" s="989"/>
      <c r="BI270" s="991"/>
      <c r="BJ270" s="993"/>
      <c r="BK270" s="996"/>
      <c r="BL270" s="1053"/>
      <c r="BM270" s="1204"/>
      <c r="BN270" s="1155"/>
      <c r="BO270" s="1155"/>
      <c r="BP270" s="1158"/>
      <c r="BQ270" s="1012"/>
      <c r="BR270" s="1745"/>
      <c r="BS270" s="1172"/>
      <c r="BT270" s="1023"/>
      <c r="BU270" s="1012"/>
      <c r="BV270" s="1177"/>
      <c r="BW270" s="1741"/>
      <c r="BX270" s="1020"/>
      <c r="BY270" s="1042"/>
      <c r="BZ270" s="1127"/>
      <c r="CA270" s="1042">
        <f t="shared" si="4"/>
        <v>0</v>
      </c>
      <c r="CB270" s="1127"/>
      <c r="CC270" s="1042">
        <f>IFERROR(#REF!/M270,0)</f>
        <v>0</v>
      </c>
      <c r="CD270" s="1127"/>
      <c r="CE270" s="1042"/>
      <c r="CF270" s="1263"/>
      <c r="CG270" s="1042"/>
    </row>
    <row r="271" spans="2:85" s="783" customFormat="1" ht="18.75" customHeight="1" thickBot="1" x14ac:dyDescent="0.3">
      <c r="B271" s="1649"/>
      <c r="C271" s="1645"/>
      <c r="D271" s="1660"/>
      <c r="E271" s="1404"/>
      <c r="F271" s="1562"/>
      <c r="G271" s="1216"/>
      <c r="H271" s="1098"/>
      <c r="I271" s="1098"/>
      <c r="J271" s="1241"/>
      <c r="K271" s="1493"/>
      <c r="L271" s="1049"/>
      <c r="M271" s="1101"/>
      <c r="N271" s="1104"/>
      <c r="O271" s="1093"/>
      <c r="P271" s="1093"/>
      <c r="Q271" s="1090"/>
      <c r="R271" s="1730"/>
      <c r="S271" s="1015"/>
      <c r="T271" s="1017"/>
      <c r="U271" s="1017"/>
      <c r="V271" s="1079"/>
      <c r="W271" s="994"/>
      <c r="X271" s="1068"/>
      <c r="Y271" s="1069"/>
      <c r="Z271" s="1001"/>
      <c r="AA271" s="1004"/>
      <c r="AB271" s="1007"/>
      <c r="AC271" s="1010"/>
      <c r="AD271" s="1013"/>
      <c r="AE271" s="1746"/>
      <c r="AF271" s="1015"/>
      <c r="AG271" s="1017"/>
      <c r="AH271" s="1017"/>
      <c r="AI271" s="1079"/>
      <c r="AJ271" s="994"/>
      <c r="AK271" s="1068"/>
      <c r="AL271" s="1069"/>
      <c r="AM271" s="1001"/>
      <c r="AN271" s="1004"/>
      <c r="AO271" s="1007"/>
      <c r="AP271" s="1010"/>
      <c r="AQ271" s="1013"/>
      <c r="AR271" s="1739"/>
      <c r="AS271" s="1015"/>
      <c r="AT271" s="1017"/>
      <c r="AU271" s="1017"/>
      <c r="AV271" s="1079"/>
      <c r="AW271" s="994"/>
      <c r="AX271" s="1068"/>
      <c r="AY271" s="1069"/>
      <c r="AZ271" s="1216"/>
      <c r="BA271" s="1219"/>
      <c r="BB271" s="1098"/>
      <c r="BC271" s="1010"/>
      <c r="BD271" s="1013"/>
      <c r="BE271" s="1739"/>
      <c r="BF271" s="988"/>
      <c r="BG271" s="990"/>
      <c r="BH271" s="990"/>
      <c r="BI271" s="992"/>
      <c r="BJ271" s="994"/>
      <c r="BK271" s="1068"/>
      <c r="BL271" s="1054"/>
      <c r="BM271" s="1205"/>
      <c r="BN271" s="1156"/>
      <c r="BO271" s="1156"/>
      <c r="BP271" s="1159"/>
      <c r="BQ271" s="1013"/>
      <c r="BR271" s="1746"/>
      <c r="BS271" s="1174"/>
      <c r="BT271" s="1024"/>
      <c r="BU271" s="1013"/>
      <c r="BV271" s="1178"/>
      <c r="BW271" s="1742"/>
      <c r="BX271" s="1021"/>
      <c r="BY271" s="1043"/>
      <c r="BZ271" s="1128"/>
      <c r="CA271" s="1043">
        <f t="shared" si="4"/>
        <v>0</v>
      </c>
      <c r="CB271" s="1128"/>
      <c r="CC271" s="1043">
        <f>IFERROR(#REF!/M271,0)</f>
        <v>0</v>
      </c>
      <c r="CD271" s="1128"/>
      <c r="CE271" s="1043"/>
      <c r="CF271" s="1264"/>
      <c r="CG271" s="1043"/>
    </row>
    <row r="272" spans="2:85" ht="18" thickBot="1" x14ac:dyDescent="0.35">
      <c r="BZ272" s="204"/>
      <c r="CA272" s="204"/>
      <c r="CB272" s="204"/>
      <c r="CC272" s="204"/>
      <c r="CD272" s="204"/>
      <c r="CE272" s="204"/>
      <c r="CF272" s="204"/>
      <c r="CG272" s="204"/>
    </row>
    <row r="273" spans="2:85" ht="60" customHeight="1" thickBot="1" x14ac:dyDescent="0.35">
      <c r="B273" s="1105" t="s">
        <v>178</v>
      </c>
      <c r="C273" s="1106"/>
      <c r="D273" s="1106"/>
      <c r="E273" s="1106"/>
      <c r="F273" s="1106"/>
      <c r="G273" s="1106"/>
      <c r="H273" s="1106"/>
      <c r="I273" s="1106"/>
      <c r="J273" s="1106"/>
      <c r="K273" s="1106"/>
      <c r="L273" s="1106"/>
      <c r="M273" s="1106"/>
      <c r="N273" s="1106"/>
      <c r="O273" s="1106"/>
      <c r="P273" s="1106"/>
      <c r="Q273" s="1106"/>
      <c r="R273" s="1031"/>
      <c r="S273" s="1086" t="s">
        <v>207</v>
      </c>
      <c r="T273" s="1086"/>
      <c r="U273" s="1086"/>
      <c r="V273" s="1086"/>
      <c r="W273" s="1086"/>
      <c r="X273" s="1086"/>
      <c r="Y273" s="1086"/>
      <c r="Z273" s="1086"/>
      <c r="AA273" s="1086"/>
      <c r="AB273" s="1086"/>
      <c r="AC273" s="1086"/>
      <c r="AD273" s="1086"/>
      <c r="AE273" s="1086"/>
      <c r="AF273" s="1086"/>
      <c r="AG273" s="1086"/>
      <c r="AH273" s="1086"/>
      <c r="AI273" s="1086"/>
      <c r="AJ273" s="1086"/>
      <c r="AK273" s="1086"/>
      <c r="AL273" s="1086"/>
      <c r="AM273" s="1086"/>
      <c r="AN273" s="1086"/>
      <c r="AO273" s="1086"/>
      <c r="AP273" s="1086"/>
      <c r="AQ273" s="1086"/>
      <c r="AR273" s="1086"/>
      <c r="AS273" s="1086"/>
      <c r="AT273" s="1086"/>
      <c r="AU273" s="1086"/>
      <c r="AV273" s="1086"/>
      <c r="AW273" s="1086"/>
      <c r="AX273" s="1086"/>
      <c r="AY273" s="1086"/>
      <c r="AZ273" s="1086"/>
      <c r="BA273" s="1086"/>
      <c r="BB273" s="1086"/>
      <c r="BC273" s="1086"/>
      <c r="BD273" s="1086"/>
      <c r="BE273" s="1086"/>
      <c r="BF273" s="1086"/>
      <c r="BG273" s="1086"/>
      <c r="BH273" s="1086"/>
      <c r="BI273" s="1086"/>
      <c r="BJ273" s="1086"/>
      <c r="BK273" s="1086"/>
      <c r="BL273" s="1086"/>
      <c r="BM273" s="1086"/>
      <c r="BN273" s="1086"/>
      <c r="BO273" s="1086"/>
      <c r="BP273" s="1086"/>
      <c r="BQ273" s="1086"/>
      <c r="BR273" s="1086"/>
      <c r="BS273" s="1086"/>
      <c r="BT273" s="1086"/>
      <c r="BU273" s="1086"/>
      <c r="BV273" s="1086"/>
      <c r="BW273" s="1031"/>
      <c r="BX273" s="1034" t="s">
        <v>179</v>
      </c>
      <c r="BY273" s="1034"/>
      <c r="BZ273" s="1034"/>
      <c r="CA273" s="1034"/>
      <c r="CB273" s="1034"/>
      <c r="CC273" s="1034"/>
      <c r="CD273" s="1034"/>
      <c r="CE273" s="1034"/>
      <c r="CF273" s="1034"/>
      <c r="CG273" s="1035"/>
    </row>
    <row r="274" spans="2:85" s="800" customFormat="1" ht="21" thickBot="1" x14ac:dyDescent="0.35">
      <c r="B274" s="1076" t="s">
        <v>518</v>
      </c>
      <c r="C274" s="1073" t="s">
        <v>1</v>
      </c>
      <c r="D274" s="1077" t="s">
        <v>2</v>
      </c>
      <c r="E274" s="1076" t="s">
        <v>3</v>
      </c>
      <c r="F274" s="1074"/>
      <c r="G274" s="1085" t="s">
        <v>4</v>
      </c>
      <c r="H274" s="1070"/>
      <c r="I274" s="1070"/>
      <c r="J274" s="1082"/>
      <c r="K274" s="1085" t="s">
        <v>201</v>
      </c>
      <c r="L274" s="1070"/>
      <c r="M274" s="1070"/>
      <c r="N274" s="1070"/>
      <c r="O274" s="1070"/>
      <c r="P274" s="1070"/>
      <c r="Q274" s="1070"/>
      <c r="R274" s="1032"/>
      <c r="S274" s="1087" t="s">
        <v>5</v>
      </c>
      <c r="T274" s="1087"/>
      <c r="U274" s="1087"/>
      <c r="V274" s="1087"/>
      <c r="W274" s="1087"/>
      <c r="X274" s="1087"/>
      <c r="Y274" s="1087"/>
      <c r="Z274" s="1087"/>
      <c r="AA274" s="1087"/>
      <c r="AB274" s="1087"/>
      <c r="AC274" s="1087"/>
      <c r="AD274" s="1087"/>
      <c r="AE274" s="1087"/>
      <c r="AF274" s="1087"/>
      <c r="AG274" s="1087"/>
      <c r="AH274" s="1087"/>
      <c r="AI274" s="1087"/>
      <c r="AJ274" s="1087"/>
      <c r="AK274" s="1087"/>
      <c r="AL274" s="1087"/>
      <c r="AM274" s="1087"/>
      <c r="AN274" s="1087"/>
      <c r="AO274" s="1087"/>
      <c r="AP274" s="1087"/>
      <c r="AQ274" s="1087"/>
      <c r="AR274" s="1087"/>
      <c r="AS274" s="1087"/>
      <c r="AT274" s="1087"/>
      <c r="AU274" s="1087"/>
      <c r="AV274" s="1087"/>
      <c r="AW274" s="1087"/>
      <c r="AX274" s="1087"/>
      <c r="AY274" s="1087"/>
      <c r="AZ274" s="1087"/>
      <c r="BA274" s="1087"/>
      <c r="BB274" s="1087"/>
      <c r="BC274" s="1087"/>
      <c r="BD274" s="1087"/>
      <c r="BE274" s="1087"/>
      <c r="BF274" s="1087"/>
      <c r="BG274" s="1087"/>
      <c r="BH274" s="1087"/>
      <c r="BI274" s="1087"/>
      <c r="BJ274" s="1087"/>
      <c r="BK274" s="1087"/>
      <c r="BL274" s="1087"/>
      <c r="BM274" s="1087"/>
      <c r="BN274" s="1087"/>
      <c r="BO274" s="1087"/>
      <c r="BP274" s="1087"/>
      <c r="BQ274" s="1087"/>
      <c r="BR274" s="1087"/>
      <c r="BS274" s="1087"/>
      <c r="BT274" s="1087"/>
      <c r="BU274" s="1087"/>
      <c r="BV274" s="1087"/>
      <c r="BW274" s="1032"/>
      <c r="BX274" s="1036" t="s">
        <v>7</v>
      </c>
      <c r="BY274" s="1036"/>
      <c r="BZ274" s="1036"/>
      <c r="CA274" s="1036"/>
      <c r="CB274" s="1036"/>
      <c r="CC274" s="1036"/>
      <c r="CD274" s="1036"/>
      <c r="CE274" s="1036"/>
      <c r="CF274" s="1036"/>
      <c r="CG274" s="1037"/>
    </row>
    <row r="275" spans="2:85" s="800" customFormat="1" ht="21" thickBot="1" x14ac:dyDescent="0.3">
      <c r="B275" s="1107"/>
      <c r="C275" s="1109"/>
      <c r="D275" s="1111"/>
      <c r="E275" s="1107"/>
      <c r="F275" s="1113"/>
      <c r="G275" s="1095"/>
      <c r="H275" s="1075"/>
      <c r="I275" s="1075"/>
      <c r="J275" s="1084"/>
      <c r="K275" s="1095"/>
      <c r="L275" s="1075"/>
      <c r="M275" s="1075"/>
      <c r="N275" s="1075"/>
      <c r="O275" s="1075"/>
      <c r="P275" s="1075"/>
      <c r="Q275" s="1075"/>
      <c r="R275" s="1032"/>
      <c r="S275" s="1071">
        <v>2017</v>
      </c>
      <c r="T275" s="1071"/>
      <c r="U275" s="1071"/>
      <c r="V275" s="1071"/>
      <c r="W275" s="1071"/>
      <c r="X275" s="1071"/>
      <c r="Y275" s="1071"/>
      <c r="Z275" s="1071"/>
      <c r="AA275" s="1071"/>
      <c r="AB275" s="1071"/>
      <c r="AC275" s="1071"/>
      <c r="AD275" s="1071"/>
      <c r="AE275" s="1050"/>
      <c r="AF275" s="1071">
        <v>2018</v>
      </c>
      <c r="AG275" s="1071"/>
      <c r="AH275" s="1071"/>
      <c r="AI275" s="1071"/>
      <c r="AJ275" s="1071"/>
      <c r="AK275" s="1071"/>
      <c r="AL275" s="1071"/>
      <c r="AM275" s="1070"/>
      <c r="AN275" s="1070"/>
      <c r="AO275" s="1070"/>
      <c r="AP275" s="1070"/>
      <c r="AQ275" s="1070"/>
      <c r="AR275" s="1050"/>
      <c r="AS275" s="1070">
        <v>2019</v>
      </c>
      <c r="AT275" s="1070"/>
      <c r="AU275" s="1070"/>
      <c r="AV275" s="1070"/>
      <c r="AW275" s="1070"/>
      <c r="AX275" s="1071"/>
      <c r="AY275" s="1071"/>
      <c r="AZ275" s="1070"/>
      <c r="BA275" s="1070"/>
      <c r="BB275" s="1070"/>
      <c r="BC275" s="1070"/>
      <c r="BD275" s="1070"/>
      <c r="BE275" s="1050"/>
      <c r="BF275" s="1070">
        <v>2020</v>
      </c>
      <c r="BG275" s="1070"/>
      <c r="BH275" s="1070"/>
      <c r="BI275" s="1070"/>
      <c r="BJ275" s="1070"/>
      <c r="BK275" s="1071"/>
      <c r="BL275" s="1071"/>
      <c r="BM275" s="1070"/>
      <c r="BN275" s="1070"/>
      <c r="BO275" s="1070"/>
      <c r="BP275" s="1070"/>
      <c r="BQ275" s="1070"/>
      <c r="BR275" s="1050"/>
      <c r="BS275" s="1082" t="s">
        <v>6</v>
      </c>
      <c r="BT275" s="1071" t="s">
        <v>206</v>
      </c>
      <c r="BU275" s="1071"/>
      <c r="BV275" s="1071"/>
      <c r="BW275" s="1032"/>
      <c r="BX275" s="773" t="s">
        <v>9</v>
      </c>
      <c r="BY275" s="773"/>
      <c r="BZ275" s="773"/>
      <c r="CA275" s="773"/>
      <c r="CB275" s="773"/>
      <c r="CC275" s="774"/>
      <c r="CD275" s="773"/>
      <c r="CE275" s="773"/>
      <c r="CF275" s="775" t="s">
        <v>10</v>
      </c>
      <c r="CG275" s="776"/>
    </row>
    <row r="276" spans="2:85" s="800" customFormat="1" ht="21" thickBot="1" x14ac:dyDescent="0.3">
      <c r="B276" s="1107"/>
      <c r="C276" s="1109"/>
      <c r="D276" s="1111"/>
      <c r="E276" s="1107"/>
      <c r="F276" s="1113"/>
      <c r="G276" s="1115">
        <v>2017</v>
      </c>
      <c r="H276" s="1117">
        <v>2018</v>
      </c>
      <c r="I276" s="1119">
        <v>2019</v>
      </c>
      <c r="J276" s="1121">
        <v>2020</v>
      </c>
      <c r="K276" s="787" t="s">
        <v>19</v>
      </c>
      <c r="L276" s="1085" t="s">
        <v>199</v>
      </c>
      <c r="M276" s="1074" t="s">
        <v>198</v>
      </c>
      <c r="N276" s="1072" t="s">
        <v>9</v>
      </c>
      <c r="O276" s="1073"/>
      <c r="P276" s="1073"/>
      <c r="Q276" s="1077"/>
      <c r="R276" s="1032"/>
      <c r="S276" s="1080" t="s">
        <v>202</v>
      </c>
      <c r="T276" s="1080"/>
      <c r="U276" s="1080"/>
      <c r="V276" s="1080"/>
      <c r="W276" s="1072"/>
      <c r="X276" s="1081" t="s">
        <v>200</v>
      </c>
      <c r="Y276" s="1082"/>
      <c r="Z276" s="1085" t="s">
        <v>203</v>
      </c>
      <c r="AA276" s="1070"/>
      <c r="AB276" s="1070"/>
      <c r="AC276" s="1070"/>
      <c r="AD276" s="1070"/>
      <c r="AE276" s="1051"/>
      <c r="AF276" s="1080" t="s">
        <v>202</v>
      </c>
      <c r="AG276" s="1080"/>
      <c r="AH276" s="1080"/>
      <c r="AI276" s="1080"/>
      <c r="AJ276" s="1072"/>
      <c r="AK276" s="1081" t="s">
        <v>200</v>
      </c>
      <c r="AL276" s="1070"/>
      <c r="AM276" s="1076" t="s">
        <v>203</v>
      </c>
      <c r="AN276" s="1073"/>
      <c r="AO276" s="1073"/>
      <c r="AP276" s="1073"/>
      <c r="AQ276" s="1077"/>
      <c r="AR276" s="1051"/>
      <c r="AS276" s="1072" t="s">
        <v>202</v>
      </c>
      <c r="AT276" s="1073"/>
      <c r="AU276" s="1073"/>
      <c r="AV276" s="1073"/>
      <c r="AW276" s="1074"/>
      <c r="AX276" s="1070" t="s">
        <v>200</v>
      </c>
      <c r="AY276" s="1070"/>
      <c r="AZ276" s="1076" t="s">
        <v>203</v>
      </c>
      <c r="BA276" s="1073"/>
      <c r="BB276" s="1073"/>
      <c r="BC276" s="1073"/>
      <c r="BD276" s="1077"/>
      <c r="BE276" s="1051"/>
      <c r="BF276" s="1072"/>
      <c r="BG276" s="1073"/>
      <c r="BH276" s="1073"/>
      <c r="BI276" s="1073"/>
      <c r="BJ276" s="1074"/>
      <c r="BK276" s="1070" t="s">
        <v>200</v>
      </c>
      <c r="BL276" s="1070"/>
      <c r="BM276" s="1076" t="s">
        <v>203</v>
      </c>
      <c r="BN276" s="1073"/>
      <c r="BO276" s="1073"/>
      <c r="BP276" s="1073"/>
      <c r="BQ276" s="1077"/>
      <c r="BR276" s="1051"/>
      <c r="BS276" s="1094"/>
      <c r="BT276" s="1082" t="s">
        <v>204</v>
      </c>
      <c r="BU276" s="781"/>
      <c r="BV276" s="1085" t="s">
        <v>205</v>
      </c>
      <c r="BW276" s="1032"/>
      <c r="BX276" s="1038">
        <v>2017</v>
      </c>
      <c r="BY276" s="1039"/>
      <c r="BZ276" s="1040">
        <v>2018</v>
      </c>
      <c r="CA276" s="1039"/>
      <c r="CB276" s="1040">
        <v>2019</v>
      </c>
      <c r="CC276" s="1039"/>
      <c r="CD276" s="1040">
        <v>2020</v>
      </c>
      <c r="CE276" s="1039"/>
      <c r="CF276" s="788"/>
      <c r="CG276" s="789"/>
    </row>
    <row r="277" spans="2:85" s="800" customFormat="1" ht="41.25" thickBot="1" x14ac:dyDescent="0.3">
      <c r="B277" s="1108"/>
      <c r="C277" s="1110"/>
      <c r="D277" s="1112"/>
      <c r="E277" s="1108"/>
      <c r="F277" s="1114"/>
      <c r="G277" s="1116"/>
      <c r="H277" s="1118"/>
      <c r="I277" s="1120"/>
      <c r="J277" s="1122"/>
      <c r="K277" s="790"/>
      <c r="L277" s="1123"/>
      <c r="M277" s="1124"/>
      <c r="N277" s="802">
        <v>2017</v>
      </c>
      <c r="O277" s="803">
        <v>2018</v>
      </c>
      <c r="P277" s="803">
        <v>2019</v>
      </c>
      <c r="Q277" s="804">
        <v>2020</v>
      </c>
      <c r="R277" s="1032"/>
      <c r="S277" s="802" t="s">
        <v>12</v>
      </c>
      <c r="T277" s="803" t="s">
        <v>13</v>
      </c>
      <c r="U277" s="803" t="s">
        <v>14</v>
      </c>
      <c r="V277" s="803" t="s">
        <v>15</v>
      </c>
      <c r="W277" s="803" t="s">
        <v>11</v>
      </c>
      <c r="X277" s="1083"/>
      <c r="Y277" s="1084"/>
      <c r="Z277" s="802" t="s">
        <v>12</v>
      </c>
      <c r="AA277" s="803" t="s">
        <v>13</v>
      </c>
      <c r="AB277" s="803" t="s">
        <v>14</v>
      </c>
      <c r="AC277" s="806" t="s">
        <v>15</v>
      </c>
      <c r="AD277" s="811" t="s">
        <v>8</v>
      </c>
      <c r="AE277" s="1051"/>
      <c r="AF277" s="802" t="s">
        <v>12</v>
      </c>
      <c r="AG277" s="803" t="s">
        <v>13</v>
      </c>
      <c r="AH277" s="803" t="s">
        <v>14</v>
      </c>
      <c r="AI277" s="803" t="s">
        <v>15</v>
      </c>
      <c r="AJ277" s="812" t="s">
        <v>8</v>
      </c>
      <c r="AK277" s="1083"/>
      <c r="AL277" s="1075"/>
      <c r="AM277" s="805" t="s">
        <v>12</v>
      </c>
      <c r="AN277" s="803" t="s">
        <v>13</v>
      </c>
      <c r="AO277" s="803" t="s">
        <v>14</v>
      </c>
      <c r="AP277" s="803" t="s">
        <v>15</v>
      </c>
      <c r="AQ277" s="804" t="s">
        <v>8</v>
      </c>
      <c r="AR277" s="1051"/>
      <c r="AS277" s="802" t="s">
        <v>12</v>
      </c>
      <c r="AT277" s="803" t="s">
        <v>13</v>
      </c>
      <c r="AU277" s="803" t="s">
        <v>14</v>
      </c>
      <c r="AV277" s="803" t="s">
        <v>15</v>
      </c>
      <c r="AW277" s="806" t="s">
        <v>8</v>
      </c>
      <c r="AX277" s="1075"/>
      <c r="AY277" s="1075"/>
      <c r="AZ277" s="805" t="s">
        <v>12</v>
      </c>
      <c r="BA277" s="803" t="s">
        <v>13</v>
      </c>
      <c r="BB277" s="803" t="s">
        <v>14</v>
      </c>
      <c r="BC277" s="803" t="s">
        <v>15</v>
      </c>
      <c r="BD277" s="804" t="s">
        <v>8</v>
      </c>
      <c r="BE277" s="1051"/>
      <c r="BF277" s="802" t="s">
        <v>12</v>
      </c>
      <c r="BG277" s="803" t="s">
        <v>13</v>
      </c>
      <c r="BH277" s="803" t="s">
        <v>14</v>
      </c>
      <c r="BI277" s="803" t="s">
        <v>15</v>
      </c>
      <c r="BJ277" s="806" t="s">
        <v>8</v>
      </c>
      <c r="BK277" s="1075"/>
      <c r="BL277" s="1075"/>
      <c r="BM277" s="805" t="s">
        <v>12</v>
      </c>
      <c r="BN277" s="803" t="s">
        <v>13</v>
      </c>
      <c r="BO277" s="803" t="s">
        <v>14</v>
      </c>
      <c r="BP277" s="803" t="s">
        <v>15</v>
      </c>
      <c r="BQ277" s="804" t="s">
        <v>8</v>
      </c>
      <c r="BR277" s="1051"/>
      <c r="BS277" s="1084"/>
      <c r="BT277" s="1084"/>
      <c r="BU277" s="807"/>
      <c r="BV277" s="1095"/>
      <c r="BW277" s="1032"/>
      <c r="BX277" s="808" t="s">
        <v>20</v>
      </c>
      <c r="BY277" s="810" t="s">
        <v>16</v>
      </c>
      <c r="BZ277" s="809" t="s">
        <v>20</v>
      </c>
      <c r="CA277" s="810" t="s">
        <v>16</v>
      </c>
      <c r="CB277" s="809" t="s">
        <v>20</v>
      </c>
      <c r="CC277" s="810" t="s">
        <v>16</v>
      </c>
      <c r="CD277" s="809" t="s">
        <v>20</v>
      </c>
      <c r="CE277" s="810" t="s">
        <v>16</v>
      </c>
      <c r="CF277" s="809" t="s">
        <v>20</v>
      </c>
      <c r="CG277" s="810" t="s">
        <v>16</v>
      </c>
    </row>
    <row r="278" spans="2:85" s="783" customFormat="1" ht="18" x14ac:dyDescent="0.25">
      <c r="B278" s="974" t="s">
        <v>233</v>
      </c>
      <c r="C278" s="975"/>
      <c r="D278" s="975"/>
      <c r="E278" s="975"/>
      <c r="F278" s="975"/>
      <c r="G278" s="975"/>
      <c r="H278" s="975"/>
      <c r="I278" s="975"/>
      <c r="J278" s="975"/>
      <c r="K278" s="1044">
        <f>SUM(M278:M325)</f>
        <v>242000</v>
      </c>
      <c r="L278" s="1047"/>
      <c r="M278" s="1099">
        <v>76000</v>
      </c>
      <c r="N278" s="1102"/>
      <c r="O278" s="1091"/>
      <c r="P278" s="1091">
        <v>64360</v>
      </c>
      <c r="Q278" s="1088">
        <v>40000</v>
      </c>
      <c r="R278" s="1032"/>
      <c r="S278" s="1014"/>
      <c r="T278" s="1016"/>
      <c r="U278" s="1016"/>
      <c r="V278" s="1078"/>
      <c r="W278" s="993">
        <f>SUM(S278:V289)</f>
        <v>0</v>
      </c>
      <c r="X278" s="995" t="s">
        <v>195</v>
      </c>
      <c r="Y278" s="997"/>
      <c r="Z278" s="999"/>
      <c r="AA278" s="1002"/>
      <c r="AB278" s="1005"/>
      <c r="AC278" s="1008"/>
      <c r="AD278" s="1011">
        <f>SUM(Z278:AC289)</f>
        <v>0</v>
      </c>
      <c r="AE278" s="1051"/>
      <c r="AF278" s="1014"/>
      <c r="AG278" s="1016"/>
      <c r="AH278" s="1016"/>
      <c r="AI278" s="1078"/>
      <c r="AJ278" s="993">
        <f>SUM(AF278:AI289)</f>
        <v>0</v>
      </c>
      <c r="AK278" s="995" t="s">
        <v>195</v>
      </c>
      <c r="AL278" s="997"/>
      <c r="AM278" s="999"/>
      <c r="AN278" s="1002"/>
      <c r="AO278" s="1005"/>
      <c r="AP278" s="1008"/>
      <c r="AQ278" s="1011">
        <f>SUM(AM278:AP289)</f>
        <v>0</v>
      </c>
      <c r="AR278" s="1051"/>
      <c r="AS278" s="1014"/>
      <c r="AT278" s="1016"/>
      <c r="AU278" s="1016"/>
      <c r="AV278" s="1078"/>
      <c r="AW278" s="993">
        <f>SUM(AS278:AV289)</f>
        <v>0</v>
      </c>
      <c r="AX278" s="995" t="s">
        <v>195</v>
      </c>
      <c r="AY278" s="997"/>
      <c r="AZ278" s="999"/>
      <c r="BA278" s="1002"/>
      <c r="BB278" s="1005"/>
      <c r="BC278" s="1008">
        <v>64360</v>
      </c>
      <c r="BD278" s="1011">
        <f>SUM(AZ278:BC289)</f>
        <v>64360</v>
      </c>
      <c r="BE278" s="1051"/>
      <c r="BF278" s="987"/>
      <c r="BG278" s="989"/>
      <c r="BH278" s="989"/>
      <c r="BI278" s="991"/>
      <c r="BJ278" s="993">
        <f>SUM(BF278:BI289)</f>
        <v>0</v>
      </c>
      <c r="BK278" s="995" t="s">
        <v>195</v>
      </c>
      <c r="BL278" s="1055"/>
      <c r="BM278" s="1056">
        <v>0</v>
      </c>
      <c r="BN278" s="1062">
        <v>5000</v>
      </c>
      <c r="BO278" s="1062">
        <v>4000</v>
      </c>
      <c r="BP278" s="1065">
        <v>2640</v>
      </c>
      <c r="BQ278" s="1011">
        <f>SUM(BM278:BP289)</f>
        <v>11640</v>
      </c>
      <c r="BR278" s="1051"/>
      <c r="BS278" s="1025"/>
      <c r="BT278" s="1022">
        <f>SUM(W278,AJ278,AW278,BJ278)</f>
        <v>0</v>
      </c>
      <c r="BU278" s="1011">
        <f>SUM(AD278,AQ278,BD278,BQ278)</f>
        <v>76000</v>
      </c>
      <c r="BV278" s="1028">
        <f>SUM(AD278:AD325,AQ278:AQ325,BD278:BD325,BQ278:BQ325)</f>
        <v>242000</v>
      </c>
      <c r="BW278" s="1032"/>
      <c r="BX278" s="1018"/>
      <c r="BY278" s="1018">
        <f>IFERROR(AD278/N278,0)</f>
        <v>0</v>
      </c>
      <c r="BZ278" s="1018"/>
      <c r="CA278" s="1018">
        <f>IFERROR(AQ278/O278,0)</f>
        <v>0</v>
      </c>
      <c r="CB278" s="1018"/>
      <c r="CC278" s="1018">
        <f>IFERROR(BD278/P278,0)</f>
        <v>1</v>
      </c>
      <c r="CD278" s="1018"/>
      <c r="CE278" s="1018">
        <f>IFERROR(BQ278/Q278,0)</f>
        <v>0.29099999999999998</v>
      </c>
      <c r="CF278" s="1018"/>
      <c r="CG278" s="1041">
        <f>IFERROR(BV278/K278,0)</f>
        <v>1</v>
      </c>
    </row>
    <row r="279" spans="2:85" s="783" customFormat="1" ht="18" x14ac:dyDescent="0.25">
      <c r="B279" s="977"/>
      <c r="C279" s="978"/>
      <c r="D279" s="978"/>
      <c r="E279" s="978"/>
      <c r="F279" s="978"/>
      <c r="G279" s="978"/>
      <c r="H279" s="978"/>
      <c r="I279" s="978"/>
      <c r="J279" s="978"/>
      <c r="K279" s="1045"/>
      <c r="L279" s="1048"/>
      <c r="M279" s="1100"/>
      <c r="N279" s="1103"/>
      <c r="O279" s="1092"/>
      <c r="P279" s="1092"/>
      <c r="Q279" s="1089"/>
      <c r="R279" s="1032"/>
      <c r="S279" s="1014"/>
      <c r="T279" s="1016"/>
      <c r="U279" s="1016"/>
      <c r="V279" s="1078"/>
      <c r="W279" s="993"/>
      <c r="X279" s="996"/>
      <c r="Y279" s="998"/>
      <c r="Z279" s="1000"/>
      <c r="AA279" s="1003"/>
      <c r="AB279" s="1006"/>
      <c r="AC279" s="1009"/>
      <c r="AD279" s="1012"/>
      <c r="AE279" s="1051"/>
      <c r="AF279" s="1014"/>
      <c r="AG279" s="1016"/>
      <c r="AH279" s="1016"/>
      <c r="AI279" s="1078"/>
      <c r="AJ279" s="993"/>
      <c r="AK279" s="996"/>
      <c r="AL279" s="998"/>
      <c r="AM279" s="1000"/>
      <c r="AN279" s="1003"/>
      <c r="AO279" s="1006"/>
      <c r="AP279" s="1009"/>
      <c r="AQ279" s="1012"/>
      <c r="AR279" s="1051"/>
      <c r="AS279" s="1014"/>
      <c r="AT279" s="1016"/>
      <c r="AU279" s="1016"/>
      <c r="AV279" s="1078"/>
      <c r="AW279" s="993"/>
      <c r="AX279" s="996"/>
      <c r="AY279" s="998"/>
      <c r="AZ279" s="1000"/>
      <c r="BA279" s="1003"/>
      <c r="BB279" s="1006"/>
      <c r="BC279" s="1009"/>
      <c r="BD279" s="1012"/>
      <c r="BE279" s="1051"/>
      <c r="BF279" s="987"/>
      <c r="BG279" s="989"/>
      <c r="BH279" s="989"/>
      <c r="BI279" s="991"/>
      <c r="BJ279" s="993"/>
      <c r="BK279" s="996"/>
      <c r="BL279" s="1053"/>
      <c r="BM279" s="1057"/>
      <c r="BN279" s="1063"/>
      <c r="BO279" s="1063"/>
      <c r="BP279" s="1066"/>
      <c r="BQ279" s="1012"/>
      <c r="BR279" s="1051"/>
      <c r="BS279" s="1026"/>
      <c r="BT279" s="1023"/>
      <c r="BU279" s="1012"/>
      <c r="BV279" s="1029"/>
      <c r="BW279" s="1032"/>
      <c r="BX279" s="1019"/>
      <c r="BY279" s="1019"/>
      <c r="BZ279" s="1019"/>
      <c r="CA279" s="1019"/>
      <c r="CB279" s="1019"/>
      <c r="CC279" s="1019"/>
      <c r="CD279" s="1019"/>
      <c r="CE279" s="1019"/>
      <c r="CF279" s="1019"/>
      <c r="CG279" s="1042"/>
    </row>
    <row r="280" spans="2:85" s="783" customFormat="1" ht="18" x14ac:dyDescent="0.25">
      <c r="B280" s="977"/>
      <c r="C280" s="978"/>
      <c r="D280" s="978"/>
      <c r="E280" s="978"/>
      <c r="F280" s="978"/>
      <c r="G280" s="978"/>
      <c r="H280" s="978"/>
      <c r="I280" s="978"/>
      <c r="J280" s="978"/>
      <c r="K280" s="1045"/>
      <c r="L280" s="1048"/>
      <c r="M280" s="1100"/>
      <c r="N280" s="1103"/>
      <c r="O280" s="1092"/>
      <c r="P280" s="1092"/>
      <c r="Q280" s="1089"/>
      <c r="R280" s="1032"/>
      <c r="S280" s="1014"/>
      <c r="T280" s="1016"/>
      <c r="U280" s="1016"/>
      <c r="V280" s="1078"/>
      <c r="W280" s="993"/>
      <c r="X280" s="996"/>
      <c r="Y280" s="998"/>
      <c r="Z280" s="1000"/>
      <c r="AA280" s="1003"/>
      <c r="AB280" s="1006"/>
      <c r="AC280" s="1009"/>
      <c r="AD280" s="1012"/>
      <c r="AE280" s="1051"/>
      <c r="AF280" s="1014"/>
      <c r="AG280" s="1016"/>
      <c r="AH280" s="1016"/>
      <c r="AI280" s="1078"/>
      <c r="AJ280" s="993"/>
      <c r="AK280" s="996"/>
      <c r="AL280" s="998"/>
      <c r="AM280" s="1000"/>
      <c r="AN280" s="1003"/>
      <c r="AO280" s="1006"/>
      <c r="AP280" s="1009"/>
      <c r="AQ280" s="1012"/>
      <c r="AR280" s="1051"/>
      <c r="AS280" s="1014"/>
      <c r="AT280" s="1016"/>
      <c r="AU280" s="1016"/>
      <c r="AV280" s="1078"/>
      <c r="AW280" s="993"/>
      <c r="AX280" s="996"/>
      <c r="AY280" s="998"/>
      <c r="AZ280" s="1000"/>
      <c r="BA280" s="1003"/>
      <c r="BB280" s="1006"/>
      <c r="BC280" s="1009"/>
      <c r="BD280" s="1012"/>
      <c r="BE280" s="1051"/>
      <c r="BF280" s="987"/>
      <c r="BG280" s="989"/>
      <c r="BH280" s="989"/>
      <c r="BI280" s="991"/>
      <c r="BJ280" s="993"/>
      <c r="BK280" s="996"/>
      <c r="BL280" s="1053"/>
      <c r="BM280" s="1057"/>
      <c r="BN280" s="1063"/>
      <c r="BO280" s="1063"/>
      <c r="BP280" s="1066"/>
      <c r="BQ280" s="1012"/>
      <c r="BR280" s="1051"/>
      <c r="BS280" s="1026"/>
      <c r="BT280" s="1023"/>
      <c r="BU280" s="1012"/>
      <c r="BV280" s="1029"/>
      <c r="BW280" s="1032"/>
      <c r="BX280" s="1019"/>
      <c r="BY280" s="1019"/>
      <c r="BZ280" s="1019"/>
      <c r="CA280" s="1019"/>
      <c r="CB280" s="1019"/>
      <c r="CC280" s="1019"/>
      <c r="CD280" s="1019"/>
      <c r="CE280" s="1019"/>
      <c r="CF280" s="1019"/>
      <c r="CG280" s="1042"/>
    </row>
    <row r="281" spans="2:85" s="783" customFormat="1" ht="18" x14ac:dyDescent="0.25">
      <c r="B281" s="977"/>
      <c r="C281" s="978"/>
      <c r="D281" s="978"/>
      <c r="E281" s="978"/>
      <c r="F281" s="978"/>
      <c r="G281" s="978"/>
      <c r="H281" s="978"/>
      <c r="I281" s="978"/>
      <c r="J281" s="978"/>
      <c r="K281" s="1045"/>
      <c r="L281" s="1048"/>
      <c r="M281" s="1100"/>
      <c r="N281" s="1103"/>
      <c r="O281" s="1092"/>
      <c r="P281" s="1092"/>
      <c r="Q281" s="1089"/>
      <c r="R281" s="1032"/>
      <c r="S281" s="1014"/>
      <c r="T281" s="1016"/>
      <c r="U281" s="1016"/>
      <c r="V281" s="1078"/>
      <c r="W281" s="993"/>
      <c r="X281" s="996"/>
      <c r="Y281" s="998"/>
      <c r="Z281" s="1000"/>
      <c r="AA281" s="1003"/>
      <c r="AB281" s="1006"/>
      <c r="AC281" s="1009"/>
      <c r="AD281" s="1012"/>
      <c r="AE281" s="1051"/>
      <c r="AF281" s="1014"/>
      <c r="AG281" s="1016"/>
      <c r="AH281" s="1016"/>
      <c r="AI281" s="1078"/>
      <c r="AJ281" s="993"/>
      <c r="AK281" s="996"/>
      <c r="AL281" s="998"/>
      <c r="AM281" s="1000"/>
      <c r="AN281" s="1003"/>
      <c r="AO281" s="1006"/>
      <c r="AP281" s="1009"/>
      <c r="AQ281" s="1012"/>
      <c r="AR281" s="1051"/>
      <c r="AS281" s="1014"/>
      <c r="AT281" s="1016"/>
      <c r="AU281" s="1016"/>
      <c r="AV281" s="1078"/>
      <c r="AW281" s="993"/>
      <c r="AX281" s="996"/>
      <c r="AY281" s="998"/>
      <c r="AZ281" s="1000"/>
      <c r="BA281" s="1003"/>
      <c r="BB281" s="1006"/>
      <c r="BC281" s="1009"/>
      <c r="BD281" s="1012"/>
      <c r="BE281" s="1051"/>
      <c r="BF281" s="987"/>
      <c r="BG281" s="989"/>
      <c r="BH281" s="989"/>
      <c r="BI281" s="991"/>
      <c r="BJ281" s="993"/>
      <c r="BK281" s="996"/>
      <c r="BL281" s="1053"/>
      <c r="BM281" s="1057"/>
      <c r="BN281" s="1063"/>
      <c r="BO281" s="1063"/>
      <c r="BP281" s="1066"/>
      <c r="BQ281" s="1012"/>
      <c r="BR281" s="1051"/>
      <c r="BS281" s="1026"/>
      <c r="BT281" s="1023"/>
      <c r="BU281" s="1012"/>
      <c r="BV281" s="1029"/>
      <c r="BW281" s="1032"/>
      <c r="BX281" s="1019"/>
      <c r="BY281" s="1019"/>
      <c r="BZ281" s="1019"/>
      <c r="CA281" s="1019"/>
      <c r="CB281" s="1019"/>
      <c r="CC281" s="1019"/>
      <c r="CD281" s="1019"/>
      <c r="CE281" s="1019"/>
      <c r="CF281" s="1019"/>
      <c r="CG281" s="1042"/>
    </row>
    <row r="282" spans="2:85" s="783" customFormat="1" ht="18" x14ac:dyDescent="0.25">
      <c r="B282" s="977"/>
      <c r="C282" s="978"/>
      <c r="D282" s="978"/>
      <c r="E282" s="978"/>
      <c r="F282" s="978"/>
      <c r="G282" s="978"/>
      <c r="H282" s="978"/>
      <c r="I282" s="978"/>
      <c r="J282" s="978"/>
      <c r="K282" s="1045"/>
      <c r="L282" s="1048"/>
      <c r="M282" s="1100"/>
      <c r="N282" s="1103"/>
      <c r="O282" s="1092"/>
      <c r="P282" s="1092"/>
      <c r="Q282" s="1089"/>
      <c r="R282" s="1032"/>
      <c r="S282" s="1014"/>
      <c r="T282" s="1016"/>
      <c r="U282" s="1016"/>
      <c r="V282" s="1078"/>
      <c r="W282" s="993"/>
      <c r="X282" s="996" t="s">
        <v>196</v>
      </c>
      <c r="Y282" s="998"/>
      <c r="Z282" s="1000"/>
      <c r="AA282" s="1003"/>
      <c r="AB282" s="1006"/>
      <c r="AC282" s="1009"/>
      <c r="AD282" s="1012"/>
      <c r="AE282" s="1051"/>
      <c r="AF282" s="1014"/>
      <c r="AG282" s="1016"/>
      <c r="AH282" s="1016"/>
      <c r="AI282" s="1078"/>
      <c r="AJ282" s="993"/>
      <c r="AK282" s="996" t="s">
        <v>196</v>
      </c>
      <c r="AL282" s="998"/>
      <c r="AM282" s="1000"/>
      <c r="AN282" s="1003"/>
      <c r="AO282" s="1006"/>
      <c r="AP282" s="1009"/>
      <c r="AQ282" s="1012"/>
      <c r="AR282" s="1051"/>
      <c r="AS282" s="1014"/>
      <c r="AT282" s="1016"/>
      <c r="AU282" s="1016"/>
      <c r="AV282" s="1078"/>
      <c r="AW282" s="993"/>
      <c r="AX282" s="996" t="s">
        <v>196</v>
      </c>
      <c r="AY282" s="998"/>
      <c r="AZ282" s="1000"/>
      <c r="BA282" s="1003"/>
      <c r="BB282" s="1006"/>
      <c r="BC282" s="1009"/>
      <c r="BD282" s="1012"/>
      <c r="BE282" s="1051"/>
      <c r="BF282" s="987"/>
      <c r="BG282" s="989"/>
      <c r="BH282" s="989"/>
      <c r="BI282" s="991"/>
      <c r="BJ282" s="993"/>
      <c r="BK282" s="996" t="s">
        <v>196</v>
      </c>
      <c r="BL282" s="1053"/>
      <c r="BM282" s="1057"/>
      <c r="BN282" s="1063"/>
      <c r="BO282" s="1063"/>
      <c r="BP282" s="1066"/>
      <c r="BQ282" s="1012"/>
      <c r="BR282" s="1051"/>
      <c r="BS282" s="1026"/>
      <c r="BT282" s="1023"/>
      <c r="BU282" s="1012"/>
      <c r="BV282" s="1029"/>
      <c r="BW282" s="1032"/>
      <c r="BX282" s="1019"/>
      <c r="BY282" s="1019"/>
      <c r="BZ282" s="1019"/>
      <c r="CA282" s="1019"/>
      <c r="CB282" s="1019"/>
      <c r="CC282" s="1019"/>
      <c r="CD282" s="1019"/>
      <c r="CE282" s="1019"/>
      <c r="CF282" s="1019"/>
      <c r="CG282" s="1042"/>
    </row>
    <row r="283" spans="2:85" s="783" customFormat="1" ht="18" x14ac:dyDescent="0.25">
      <c r="B283" s="977"/>
      <c r="C283" s="978"/>
      <c r="D283" s="978"/>
      <c r="E283" s="978"/>
      <c r="F283" s="978"/>
      <c r="G283" s="978"/>
      <c r="H283" s="978"/>
      <c r="I283" s="978"/>
      <c r="J283" s="978"/>
      <c r="K283" s="1045"/>
      <c r="L283" s="1048"/>
      <c r="M283" s="1100"/>
      <c r="N283" s="1103"/>
      <c r="O283" s="1092"/>
      <c r="P283" s="1092"/>
      <c r="Q283" s="1089"/>
      <c r="R283" s="1032"/>
      <c r="S283" s="1014"/>
      <c r="T283" s="1016"/>
      <c r="U283" s="1016"/>
      <c r="V283" s="1078"/>
      <c r="W283" s="993"/>
      <c r="X283" s="996"/>
      <c r="Y283" s="998"/>
      <c r="Z283" s="1000"/>
      <c r="AA283" s="1003"/>
      <c r="AB283" s="1006"/>
      <c r="AC283" s="1009"/>
      <c r="AD283" s="1012"/>
      <c r="AE283" s="1051"/>
      <c r="AF283" s="1014"/>
      <c r="AG283" s="1016"/>
      <c r="AH283" s="1016"/>
      <c r="AI283" s="1078"/>
      <c r="AJ283" s="993"/>
      <c r="AK283" s="996"/>
      <c r="AL283" s="998"/>
      <c r="AM283" s="1000"/>
      <c r="AN283" s="1003"/>
      <c r="AO283" s="1006"/>
      <c r="AP283" s="1009"/>
      <c r="AQ283" s="1012"/>
      <c r="AR283" s="1051"/>
      <c r="AS283" s="1014"/>
      <c r="AT283" s="1016"/>
      <c r="AU283" s="1016"/>
      <c r="AV283" s="1078"/>
      <c r="AW283" s="993"/>
      <c r="AX283" s="996"/>
      <c r="AY283" s="998"/>
      <c r="AZ283" s="1000"/>
      <c r="BA283" s="1003"/>
      <c r="BB283" s="1006"/>
      <c r="BC283" s="1009"/>
      <c r="BD283" s="1012"/>
      <c r="BE283" s="1051"/>
      <c r="BF283" s="987"/>
      <c r="BG283" s="989"/>
      <c r="BH283" s="989"/>
      <c r="BI283" s="991"/>
      <c r="BJ283" s="993"/>
      <c r="BK283" s="996"/>
      <c r="BL283" s="1053"/>
      <c r="BM283" s="1057"/>
      <c r="BN283" s="1063"/>
      <c r="BO283" s="1063"/>
      <c r="BP283" s="1066"/>
      <c r="BQ283" s="1012"/>
      <c r="BR283" s="1051"/>
      <c r="BS283" s="1026"/>
      <c r="BT283" s="1023"/>
      <c r="BU283" s="1012"/>
      <c r="BV283" s="1029"/>
      <c r="BW283" s="1032"/>
      <c r="BX283" s="1019"/>
      <c r="BY283" s="1019"/>
      <c r="BZ283" s="1019"/>
      <c r="CA283" s="1019"/>
      <c r="CB283" s="1019"/>
      <c r="CC283" s="1019"/>
      <c r="CD283" s="1019"/>
      <c r="CE283" s="1019"/>
      <c r="CF283" s="1019"/>
      <c r="CG283" s="1042"/>
    </row>
    <row r="284" spans="2:85" s="783" customFormat="1" ht="18" x14ac:dyDescent="0.25">
      <c r="B284" s="977"/>
      <c r="C284" s="978"/>
      <c r="D284" s="978"/>
      <c r="E284" s="978"/>
      <c r="F284" s="978"/>
      <c r="G284" s="978"/>
      <c r="H284" s="978"/>
      <c r="I284" s="978"/>
      <c r="J284" s="978"/>
      <c r="K284" s="1045"/>
      <c r="L284" s="1048"/>
      <c r="M284" s="1100"/>
      <c r="N284" s="1103"/>
      <c r="O284" s="1092"/>
      <c r="P284" s="1092"/>
      <c r="Q284" s="1089"/>
      <c r="R284" s="1032"/>
      <c r="S284" s="1014"/>
      <c r="T284" s="1016"/>
      <c r="U284" s="1016"/>
      <c r="V284" s="1078"/>
      <c r="W284" s="993"/>
      <c r="X284" s="996"/>
      <c r="Y284" s="998"/>
      <c r="Z284" s="1000"/>
      <c r="AA284" s="1003"/>
      <c r="AB284" s="1006"/>
      <c r="AC284" s="1009"/>
      <c r="AD284" s="1012"/>
      <c r="AE284" s="1051"/>
      <c r="AF284" s="1014"/>
      <c r="AG284" s="1016"/>
      <c r="AH284" s="1016"/>
      <c r="AI284" s="1078"/>
      <c r="AJ284" s="993"/>
      <c r="AK284" s="996"/>
      <c r="AL284" s="998"/>
      <c r="AM284" s="1000"/>
      <c r="AN284" s="1003"/>
      <c r="AO284" s="1006"/>
      <c r="AP284" s="1009"/>
      <c r="AQ284" s="1012"/>
      <c r="AR284" s="1051"/>
      <c r="AS284" s="1014"/>
      <c r="AT284" s="1016"/>
      <c r="AU284" s="1016"/>
      <c r="AV284" s="1078"/>
      <c r="AW284" s="993"/>
      <c r="AX284" s="996"/>
      <c r="AY284" s="998"/>
      <c r="AZ284" s="1000"/>
      <c r="BA284" s="1003"/>
      <c r="BB284" s="1006"/>
      <c r="BC284" s="1009"/>
      <c r="BD284" s="1012"/>
      <c r="BE284" s="1051"/>
      <c r="BF284" s="987"/>
      <c r="BG284" s="989"/>
      <c r="BH284" s="989"/>
      <c r="BI284" s="991"/>
      <c r="BJ284" s="993"/>
      <c r="BK284" s="996"/>
      <c r="BL284" s="1053"/>
      <c r="BM284" s="1057"/>
      <c r="BN284" s="1063"/>
      <c r="BO284" s="1063"/>
      <c r="BP284" s="1066"/>
      <c r="BQ284" s="1012"/>
      <c r="BR284" s="1051"/>
      <c r="BS284" s="1026"/>
      <c r="BT284" s="1023"/>
      <c r="BU284" s="1012"/>
      <c r="BV284" s="1029"/>
      <c r="BW284" s="1032"/>
      <c r="BX284" s="1019"/>
      <c r="BY284" s="1019"/>
      <c r="BZ284" s="1019"/>
      <c r="CA284" s="1019"/>
      <c r="CB284" s="1019"/>
      <c r="CC284" s="1019"/>
      <c r="CD284" s="1019"/>
      <c r="CE284" s="1019"/>
      <c r="CF284" s="1019"/>
      <c r="CG284" s="1042"/>
    </row>
    <row r="285" spans="2:85" s="783" customFormat="1" ht="18" x14ac:dyDescent="0.25">
      <c r="B285" s="977"/>
      <c r="C285" s="978"/>
      <c r="D285" s="978"/>
      <c r="E285" s="978"/>
      <c r="F285" s="978"/>
      <c r="G285" s="978"/>
      <c r="H285" s="978"/>
      <c r="I285" s="978"/>
      <c r="J285" s="978"/>
      <c r="K285" s="1045"/>
      <c r="L285" s="1048"/>
      <c r="M285" s="1100"/>
      <c r="N285" s="1103"/>
      <c r="O285" s="1092"/>
      <c r="P285" s="1092"/>
      <c r="Q285" s="1089"/>
      <c r="R285" s="1032"/>
      <c r="S285" s="1014"/>
      <c r="T285" s="1016"/>
      <c r="U285" s="1016"/>
      <c r="V285" s="1078"/>
      <c r="W285" s="993"/>
      <c r="X285" s="996"/>
      <c r="Y285" s="998"/>
      <c r="Z285" s="1000"/>
      <c r="AA285" s="1003"/>
      <c r="AB285" s="1006"/>
      <c r="AC285" s="1009"/>
      <c r="AD285" s="1012"/>
      <c r="AE285" s="1051"/>
      <c r="AF285" s="1014"/>
      <c r="AG285" s="1016"/>
      <c r="AH285" s="1016"/>
      <c r="AI285" s="1078"/>
      <c r="AJ285" s="993"/>
      <c r="AK285" s="996"/>
      <c r="AL285" s="998"/>
      <c r="AM285" s="1000"/>
      <c r="AN285" s="1003"/>
      <c r="AO285" s="1006"/>
      <c r="AP285" s="1009"/>
      <c r="AQ285" s="1012"/>
      <c r="AR285" s="1051"/>
      <c r="AS285" s="1014"/>
      <c r="AT285" s="1016"/>
      <c r="AU285" s="1016"/>
      <c r="AV285" s="1078"/>
      <c r="AW285" s="993"/>
      <c r="AX285" s="996"/>
      <c r="AY285" s="998"/>
      <c r="AZ285" s="1000"/>
      <c r="BA285" s="1003"/>
      <c r="BB285" s="1006"/>
      <c r="BC285" s="1009"/>
      <c r="BD285" s="1012"/>
      <c r="BE285" s="1051"/>
      <c r="BF285" s="987"/>
      <c r="BG285" s="989"/>
      <c r="BH285" s="989"/>
      <c r="BI285" s="991"/>
      <c r="BJ285" s="993"/>
      <c r="BK285" s="996"/>
      <c r="BL285" s="1053"/>
      <c r="BM285" s="1057"/>
      <c r="BN285" s="1063"/>
      <c r="BO285" s="1063"/>
      <c r="BP285" s="1066"/>
      <c r="BQ285" s="1012"/>
      <c r="BR285" s="1051"/>
      <c r="BS285" s="1026"/>
      <c r="BT285" s="1023"/>
      <c r="BU285" s="1012"/>
      <c r="BV285" s="1029"/>
      <c r="BW285" s="1032"/>
      <c r="BX285" s="1020"/>
      <c r="BY285" s="1020"/>
      <c r="BZ285" s="1020"/>
      <c r="CA285" s="1020"/>
      <c r="CB285" s="1020"/>
      <c r="CC285" s="1020"/>
      <c r="CD285" s="1020"/>
      <c r="CE285" s="1020"/>
      <c r="CF285" s="1020"/>
      <c r="CG285" s="1042"/>
    </row>
    <row r="286" spans="2:85" s="783" customFormat="1" ht="18" x14ac:dyDescent="0.25">
      <c r="B286" s="977"/>
      <c r="C286" s="978"/>
      <c r="D286" s="978"/>
      <c r="E286" s="978"/>
      <c r="F286" s="978"/>
      <c r="G286" s="978"/>
      <c r="H286" s="978"/>
      <c r="I286" s="978"/>
      <c r="J286" s="978"/>
      <c r="K286" s="1045"/>
      <c r="L286" s="1048"/>
      <c r="M286" s="1100"/>
      <c r="N286" s="1103"/>
      <c r="O286" s="1092"/>
      <c r="P286" s="1092"/>
      <c r="Q286" s="1089"/>
      <c r="R286" s="1032"/>
      <c r="S286" s="1014"/>
      <c r="T286" s="1016"/>
      <c r="U286" s="1016"/>
      <c r="V286" s="1078"/>
      <c r="W286" s="993"/>
      <c r="X286" s="996" t="s">
        <v>197</v>
      </c>
      <c r="Y286" s="998"/>
      <c r="Z286" s="1000"/>
      <c r="AA286" s="1003"/>
      <c r="AB286" s="1006"/>
      <c r="AC286" s="1009"/>
      <c r="AD286" s="1012"/>
      <c r="AE286" s="1051"/>
      <c r="AF286" s="1014"/>
      <c r="AG286" s="1016"/>
      <c r="AH286" s="1016"/>
      <c r="AI286" s="1078"/>
      <c r="AJ286" s="993"/>
      <c r="AK286" s="996" t="s">
        <v>197</v>
      </c>
      <c r="AL286" s="998"/>
      <c r="AM286" s="1000"/>
      <c r="AN286" s="1003"/>
      <c r="AO286" s="1006"/>
      <c r="AP286" s="1009"/>
      <c r="AQ286" s="1012"/>
      <c r="AR286" s="1051"/>
      <c r="AS286" s="1014"/>
      <c r="AT286" s="1016"/>
      <c r="AU286" s="1016"/>
      <c r="AV286" s="1078"/>
      <c r="AW286" s="993"/>
      <c r="AX286" s="996" t="s">
        <v>197</v>
      </c>
      <c r="AY286" s="998"/>
      <c r="AZ286" s="1000"/>
      <c r="BA286" s="1003"/>
      <c r="BB286" s="1006"/>
      <c r="BC286" s="1009"/>
      <c r="BD286" s="1012"/>
      <c r="BE286" s="1051"/>
      <c r="BF286" s="987"/>
      <c r="BG286" s="989"/>
      <c r="BH286" s="989"/>
      <c r="BI286" s="991"/>
      <c r="BJ286" s="993"/>
      <c r="BK286" s="996" t="s">
        <v>197</v>
      </c>
      <c r="BL286" s="1053"/>
      <c r="BM286" s="1057"/>
      <c r="BN286" s="1063"/>
      <c r="BO286" s="1063"/>
      <c r="BP286" s="1066"/>
      <c r="BQ286" s="1012"/>
      <c r="BR286" s="1051"/>
      <c r="BS286" s="1026"/>
      <c r="BT286" s="1023"/>
      <c r="BU286" s="1012"/>
      <c r="BV286" s="1029"/>
      <c r="BW286" s="1032"/>
      <c r="BX286" s="1020"/>
      <c r="BY286" s="1020"/>
      <c r="BZ286" s="1020"/>
      <c r="CA286" s="1020"/>
      <c r="CB286" s="1020"/>
      <c r="CC286" s="1020"/>
      <c r="CD286" s="1020"/>
      <c r="CE286" s="1020"/>
      <c r="CF286" s="1020"/>
      <c r="CG286" s="1042"/>
    </row>
    <row r="287" spans="2:85" s="783" customFormat="1" ht="18" x14ac:dyDescent="0.25">
      <c r="B287" s="977"/>
      <c r="C287" s="978"/>
      <c r="D287" s="978"/>
      <c r="E287" s="978"/>
      <c r="F287" s="978"/>
      <c r="G287" s="978"/>
      <c r="H287" s="978"/>
      <c r="I287" s="978"/>
      <c r="J287" s="978"/>
      <c r="K287" s="1045"/>
      <c r="L287" s="1048"/>
      <c r="M287" s="1100"/>
      <c r="N287" s="1103"/>
      <c r="O287" s="1092"/>
      <c r="P287" s="1092"/>
      <c r="Q287" s="1089"/>
      <c r="R287" s="1032"/>
      <c r="S287" s="1014"/>
      <c r="T287" s="1016"/>
      <c r="U287" s="1016"/>
      <c r="V287" s="1078"/>
      <c r="W287" s="993"/>
      <c r="X287" s="996"/>
      <c r="Y287" s="998"/>
      <c r="Z287" s="1000"/>
      <c r="AA287" s="1003"/>
      <c r="AB287" s="1006"/>
      <c r="AC287" s="1009"/>
      <c r="AD287" s="1012"/>
      <c r="AE287" s="1051"/>
      <c r="AF287" s="1014"/>
      <c r="AG287" s="1016"/>
      <c r="AH287" s="1016"/>
      <c r="AI287" s="1078"/>
      <c r="AJ287" s="993"/>
      <c r="AK287" s="996"/>
      <c r="AL287" s="998"/>
      <c r="AM287" s="1000"/>
      <c r="AN287" s="1003"/>
      <c r="AO287" s="1006"/>
      <c r="AP287" s="1009"/>
      <c r="AQ287" s="1012"/>
      <c r="AR287" s="1051"/>
      <c r="AS287" s="1014"/>
      <c r="AT287" s="1016"/>
      <c r="AU287" s="1016"/>
      <c r="AV287" s="1078"/>
      <c r="AW287" s="993"/>
      <c r="AX287" s="996"/>
      <c r="AY287" s="998"/>
      <c r="AZ287" s="1000"/>
      <c r="BA287" s="1003"/>
      <c r="BB287" s="1006"/>
      <c r="BC287" s="1009"/>
      <c r="BD287" s="1012"/>
      <c r="BE287" s="1051"/>
      <c r="BF287" s="987"/>
      <c r="BG287" s="989"/>
      <c r="BH287" s="989"/>
      <c r="BI287" s="991"/>
      <c r="BJ287" s="993"/>
      <c r="BK287" s="996"/>
      <c r="BL287" s="1053"/>
      <c r="BM287" s="1057"/>
      <c r="BN287" s="1063"/>
      <c r="BO287" s="1063"/>
      <c r="BP287" s="1066"/>
      <c r="BQ287" s="1012"/>
      <c r="BR287" s="1051"/>
      <c r="BS287" s="1026"/>
      <c r="BT287" s="1023"/>
      <c r="BU287" s="1012"/>
      <c r="BV287" s="1029"/>
      <c r="BW287" s="1032"/>
      <c r="BX287" s="1020"/>
      <c r="BY287" s="1020"/>
      <c r="BZ287" s="1020"/>
      <c r="CA287" s="1020"/>
      <c r="CB287" s="1020"/>
      <c r="CC287" s="1020"/>
      <c r="CD287" s="1020"/>
      <c r="CE287" s="1020"/>
      <c r="CF287" s="1020"/>
      <c r="CG287" s="1042"/>
    </row>
    <row r="288" spans="2:85" s="783" customFormat="1" ht="18" x14ac:dyDescent="0.25">
      <c r="B288" s="977"/>
      <c r="C288" s="978"/>
      <c r="D288" s="978"/>
      <c r="E288" s="978"/>
      <c r="F288" s="978"/>
      <c r="G288" s="978"/>
      <c r="H288" s="978"/>
      <c r="I288" s="978"/>
      <c r="J288" s="978"/>
      <c r="K288" s="1045"/>
      <c r="L288" s="1048"/>
      <c r="M288" s="1100"/>
      <c r="N288" s="1103"/>
      <c r="O288" s="1092"/>
      <c r="P288" s="1092"/>
      <c r="Q288" s="1089"/>
      <c r="R288" s="1032"/>
      <c r="S288" s="1014"/>
      <c r="T288" s="1016"/>
      <c r="U288" s="1016"/>
      <c r="V288" s="1078"/>
      <c r="W288" s="993"/>
      <c r="X288" s="996"/>
      <c r="Y288" s="998"/>
      <c r="Z288" s="1000"/>
      <c r="AA288" s="1003"/>
      <c r="AB288" s="1006"/>
      <c r="AC288" s="1009"/>
      <c r="AD288" s="1012"/>
      <c r="AE288" s="1051"/>
      <c r="AF288" s="1014"/>
      <c r="AG288" s="1016"/>
      <c r="AH288" s="1016"/>
      <c r="AI288" s="1078"/>
      <c r="AJ288" s="993"/>
      <c r="AK288" s="996"/>
      <c r="AL288" s="998"/>
      <c r="AM288" s="1000"/>
      <c r="AN288" s="1003"/>
      <c r="AO288" s="1006"/>
      <c r="AP288" s="1009"/>
      <c r="AQ288" s="1012"/>
      <c r="AR288" s="1051"/>
      <c r="AS288" s="1014"/>
      <c r="AT288" s="1016"/>
      <c r="AU288" s="1016"/>
      <c r="AV288" s="1078"/>
      <c r="AW288" s="993"/>
      <c r="AX288" s="996"/>
      <c r="AY288" s="998"/>
      <c r="AZ288" s="1000"/>
      <c r="BA288" s="1003"/>
      <c r="BB288" s="1006"/>
      <c r="BC288" s="1009"/>
      <c r="BD288" s="1012"/>
      <c r="BE288" s="1051"/>
      <c r="BF288" s="987"/>
      <c r="BG288" s="989"/>
      <c r="BH288" s="989"/>
      <c r="BI288" s="991"/>
      <c r="BJ288" s="993"/>
      <c r="BK288" s="996"/>
      <c r="BL288" s="1053"/>
      <c r="BM288" s="1057"/>
      <c r="BN288" s="1063"/>
      <c r="BO288" s="1063"/>
      <c r="BP288" s="1066"/>
      <c r="BQ288" s="1012"/>
      <c r="BR288" s="1051"/>
      <c r="BS288" s="1026"/>
      <c r="BT288" s="1023"/>
      <c r="BU288" s="1012"/>
      <c r="BV288" s="1029"/>
      <c r="BW288" s="1032"/>
      <c r="BX288" s="1020"/>
      <c r="BY288" s="1020"/>
      <c r="BZ288" s="1020"/>
      <c r="CA288" s="1020"/>
      <c r="CB288" s="1020"/>
      <c r="CC288" s="1020"/>
      <c r="CD288" s="1020"/>
      <c r="CE288" s="1020"/>
      <c r="CF288" s="1020"/>
      <c r="CG288" s="1042"/>
    </row>
    <row r="289" spans="2:85" s="783" customFormat="1" ht="18.75" thickBot="1" x14ac:dyDescent="0.3">
      <c r="B289" s="980"/>
      <c r="C289" s="981"/>
      <c r="D289" s="981"/>
      <c r="E289" s="981"/>
      <c r="F289" s="981"/>
      <c r="G289" s="981"/>
      <c r="H289" s="981"/>
      <c r="I289" s="981"/>
      <c r="J289" s="981"/>
      <c r="K289" s="1045"/>
      <c r="L289" s="1049"/>
      <c r="M289" s="1101"/>
      <c r="N289" s="1104"/>
      <c r="O289" s="1093"/>
      <c r="P289" s="1093"/>
      <c r="Q289" s="1090"/>
      <c r="R289" s="1032"/>
      <c r="S289" s="1015"/>
      <c r="T289" s="1017"/>
      <c r="U289" s="1017"/>
      <c r="V289" s="1079"/>
      <c r="W289" s="994"/>
      <c r="X289" s="1068"/>
      <c r="Y289" s="1069"/>
      <c r="Z289" s="1001"/>
      <c r="AA289" s="1004"/>
      <c r="AB289" s="1007"/>
      <c r="AC289" s="1010"/>
      <c r="AD289" s="1013"/>
      <c r="AE289" s="1051"/>
      <c r="AF289" s="1015"/>
      <c r="AG289" s="1017"/>
      <c r="AH289" s="1017"/>
      <c r="AI289" s="1079"/>
      <c r="AJ289" s="994"/>
      <c r="AK289" s="1068"/>
      <c r="AL289" s="1069"/>
      <c r="AM289" s="1001"/>
      <c r="AN289" s="1004"/>
      <c r="AO289" s="1007"/>
      <c r="AP289" s="1010"/>
      <c r="AQ289" s="1013"/>
      <c r="AR289" s="1051"/>
      <c r="AS289" s="1015"/>
      <c r="AT289" s="1017"/>
      <c r="AU289" s="1017"/>
      <c r="AV289" s="1079"/>
      <c r="AW289" s="994"/>
      <c r="AX289" s="1068"/>
      <c r="AY289" s="1069"/>
      <c r="AZ289" s="1001"/>
      <c r="BA289" s="1004"/>
      <c r="BB289" s="1007"/>
      <c r="BC289" s="1010"/>
      <c r="BD289" s="1013"/>
      <c r="BE289" s="1051"/>
      <c r="BF289" s="988"/>
      <c r="BG289" s="990"/>
      <c r="BH289" s="990"/>
      <c r="BI289" s="992"/>
      <c r="BJ289" s="994"/>
      <c r="BK289" s="1068"/>
      <c r="BL289" s="1054"/>
      <c r="BM289" s="1058"/>
      <c r="BN289" s="1064"/>
      <c r="BO289" s="1064"/>
      <c r="BP289" s="1067"/>
      <c r="BQ289" s="1013"/>
      <c r="BR289" s="1051"/>
      <c r="BS289" s="1027"/>
      <c r="BT289" s="1024"/>
      <c r="BU289" s="1013"/>
      <c r="BV289" s="1029"/>
      <c r="BW289" s="1032"/>
      <c r="BX289" s="1021"/>
      <c r="BY289" s="1021"/>
      <c r="BZ289" s="1021"/>
      <c r="CA289" s="1021"/>
      <c r="CB289" s="1021"/>
      <c r="CC289" s="1021"/>
      <c r="CD289" s="1021"/>
      <c r="CE289" s="1021"/>
      <c r="CF289" s="1021"/>
      <c r="CG289" s="1042"/>
    </row>
    <row r="290" spans="2:85" s="783" customFormat="1" ht="15" customHeight="1" x14ac:dyDescent="0.25">
      <c r="B290" s="974" t="s">
        <v>231</v>
      </c>
      <c r="C290" s="975"/>
      <c r="D290" s="975"/>
      <c r="E290" s="975"/>
      <c r="F290" s="975"/>
      <c r="G290" s="975"/>
      <c r="H290" s="975"/>
      <c r="I290" s="975"/>
      <c r="J290" s="975"/>
      <c r="K290" s="1045"/>
      <c r="L290" s="1047"/>
      <c r="M290" s="1099">
        <v>30000</v>
      </c>
      <c r="N290" s="1102"/>
      <c r="O290" s="1091"/>
      <c r="P290" s="1091">
        <v>20000</v>
      </c>
      <c r="Q290" s="1088"/>
      <c r="R290" s="1032"/>
      <c r="S290" s="1014"/>
      <c r="T290" s="1016"/>
      <c r="U290" s="1016"/>
      <c r="V290" s="1078"/>
      <c r="W290" s="993">
        <f>SUM(S290:V301)</f>
        <v>0</v>
      </c>
      <c r="X290" s="995" t="s">
        <v>195</v>
      </c>
      <c r="Y290" s="997"/>
      <c r="Z290" s="999"/>
      <c r="AA290" s="1002"/>
      <c r="AB290" s="1005"/>
      <c r="AC290" s="1008"/>
      <c r="AD290" s="1011">
        <f>SUM(Z290:AC301)</f>
        <v>0</v>
      </c>
      <c r="AE290" s="1051"/>
      <c r="AF290" s="1014"/>
      <c r="AG290" s="1016"/>
      <c r="AH290" s="1016"/>
      <c r="AI290" s="1078"/>
      <c r="AJ290" s="993">
        <f>SUM(AF290:AI301)</f>
        <v>0</v>
      </c>
      <c r="AK290" s="995" t="s">
        <v>195</v>
      </c>
      <c r="AL290" s="997"/>
      <c r="AM290" s="999"/>
      <c r="AN290" s="1002"/>
      <c r="AO290" s="1005"/>
      <c r="AP290" s="1008"/>
      <c r="AQ290" s="1011">
        <f>SUM(AM290:AP301)</f>
        <v>0</v>
      </c>
      <c r="AR290" s="1051"/>
      <c r="AS290" s="1014"/>
      <c r="AT290" s="1016"/>
      <c r="AU290" s="1016"/>
      <c r="AV290" s="1078"/>
      <c r="AW290" s="993">
        <f>SUM(AS290:AV301)</f>
        <v>0</v>
      </c>
      <c r="AX290" s="995" t="s">
        <v>195</v>
      </c>
      <c r="AY290" s="997"/>
      <c r="AZ290" s="999"/>
      <c r="BA290" s="1002"/>
      <c r="BB290" s="1005"/>
      <c r="BC290" s="1008">
        <v>20000</v>
      </c>
      <c r="BD290" s="1011">
        <f>SUM(AZ290:BC301)</f>
        <v>20000</v>
      </c>
      <c r="BE290" s="1051"/>
      <c r="BF290" s="987"/>
      <c r="BG290" s="989"/>
      <c r="BH290" s="989"/>
      <c r="BI290" s="991"/>
      <c r="BJ290" s="993">
        <f>SUM(BF290:BI301)</f>
        <v>0</v>
      </c>
      <c r="BK290" s="995" t="s">
        <v>195</v>
      </c>
      <c r="BL290" s="1055"/>
      <c r="BM290" s="1056">
        <v>0</v>
      </c>
      <c r="BN290" s="1059"/>
      <c r="BO290" s="1062"/>
      <c r="BP290" s="1065">
        <v>10000</v>
      </c>
      <c r="BQ290" s="1011">
        <f>SUM(BM290:BP301)</f>
        <v>10000</v>
      </c>
      <c r="BR290" s="1051"/>
      <c r="BS290" s="1025"/>
      <c r="BT290" s="1022">
        <f>SUM(W290,AJ290,AW290,BJ290)</f>
        <v>0</v>
      </c>
      <c r="BU290" s="1011">
        <f>SUM(AD290,AQ290,BD290,BQ290)</f>
        <v>30000</v>
      </c>
      <c r="BV290" s="1029"/>
      <c r="BW290" s="1032"/>
      <c r="BX290" s="1018"/>
      <c r="BY290" s="1018">
        <f>IFERROR(AD290/N290,0)</f>
        <v>0</v>
      </c>
      <c r="BZ290" s="1018"/>
      <c r="CA290" s="1018">
        <f>IFERROR(AQ290/O290,0)</f>
        <v>0</v>
      </c>
      <c r="CB290" s="1018"/>
      <c r="CC290" s="1018">
        <f>IFERROR(BD290/P290,0)</f>
        <v>1</v>
      </c>
      <c r="CD290" s="1018"/>
      <c r="CE290" s="1018">
        <f>IFERROR(BQ290/Q290,0)</f>
        <v>0</v>
      </c>
      <c r="CF290" s="1018"/>
      <c r="CG290" s="1042"/>
    </row>
    <row r="291" spans="2:85" s="783" customFormat="1" ht="15" customHeight="1" x14ac:dyDescent="0.25">
      <c r="B291" s="977"/>
      <c r="C291" s="978"/>
      <c r="D291" s="978"/>
      <c r="E291" s="978"/>
      <c r="F291" s="978"/>
      <c r="G291" s="978"/>
      <c r="H291" s="978"/>
      <c r="I291" s="978"/>
      <c r="J291" s="978"/>
      <c r="K291" s="1045"/>
      <c r="L291" s="1048"/>
      <c r="M291" s="1100"/>
      <c r="N291" s="1103"/>
      <c r="O291" s="1092"/>
      <c r="P291" s="1092"/>
      <c r="Q291" s="1089"/>
      <c r="R291" s="1032"/>
      <c r="S291" s="1014"/>
      <c r="T291" s="1016"/>
      <c r="U291" s="1016"/>
      <c r="V291" s="1078"/>
      <c r="W291" s="993"/>
      <c r="X291" s="996"/>
      <c r="Y291" s="998"/>
      <c r="Z291" s="1000"/>
      <c r="AA291" s="1003"/>
      <c r="AB291" s="1006"/>
      <c r="AC291" s="1009"/>
      <c r="AD291" s="1012"/>
      <c r="AE291" s="1051"/>
      <c r="AF291" s="1014"/>
      <c r="AG291" s="1016"/>
      <c r="AH291" s="1016"/>
      <c r="AI291" s="1078"/>
      <c r="AJ291" s="993"/>
      <c r="AK291" s="996"/>
      <c r="AL291" s="998"/>
      <c r="AM291" s="1000"/>
      <c r="AN291" s="1003"/>
      <c r="AO291" s="1006"/>
      <c r="AP291" s="1009"/>
      <c r="AQ291" s="1012"/>
      <c r="AR291" s="1051"/>
      <c r="AS291" s="1014"/>
      <c r="AT291" s="1016"/>
      <c r="AU291" s="1016"/>
      <c r="AV291" s="1078"/>
      <c r="AW291" s="993"/>
      <c r="AX291" s="996"/>
      <c r="AY291" s="998"/>
      <c r="AZ291" s="1000"/>
      <c r="BA291" s="1003"/>
      <c r="BB291" s="1006"/>
      <c r="BC291" s="1009"/>
      <c r="BD291" s="1012"/>
      <c r="BE291" s="1051"/>
      <c r="BF291" s="987"/>
      <c r="BG291" s="989"/>
      <c r="BH291" s="989"/>
      <c r="BI291" s="991"/>
      <c r="BJ291" s="993"/>
      <c r="BK291" s="996"/>
      <c r="BL291" s="1053"/>
      <c r="BM291" s="1057"/>
      <c r="BN291" s="1060"/>
      <c r="BO291" s="1063"/>
      <c r="BP291" s="1066"/>
      <c r="BQ291" s="1012"/>
      <c r="BR291" s="1051"/>
      <c r="BS291" s="1026"/>
      <c r="BT291" s="1023"/>
      <c r="BU291" s="1012"/>
      <c r="BV291" s="1029"/>
      <c r="BW291" s="1032"/>
      <c r="BX291" s="1019"/>
      <c r="BY291" s="1019"/>
      <c r="BZ291" s="1019"/>
      <c r="CA291" s="1019"/>
      <c r="CB291" s="1019"/>
      <c r="CC291" s="1019"/>
      <c r="CD291" s="1019"/>
      <c r="CE291" s="1019"/>
      <c r="CF291" s="1019"/>
      <c r="CG291" s="1042"/>
    </row>
    <row r="292" spans="2:85" s="783" customFormat="1" ht="15" customHeight="1" x14ac:dyDescent="0.25">
      <c r="B292" s="977"/>
      <c r="C292" s="978"/>
      <c r="D292" s="978"/>
      <c r="E292" s="978"/>
      <c r="F292" s="978"/>
      <c r="G292" s="978"/>
      <c r="H292" s="978"/>
      <c r="I292" s="978"/>
      <c r="J292" s="978"/>
      <c r="K292" s="1045"/>
      <c r="L292" s="1048"/>
      <c r="M292" s="1100"/>
      <c r="N292" s="1103"/>
      <c r="O292" s="1092"/>
      <c r="P292" s="1092"/>
      <c r="Q292" s="1089"/>
      <c r="R292" s="1032"/>
      <c r="S292" s="1014"/>
      <c r="T292" s="1016"/>
      <c r="U292" s="1016"/>
      <c r="V292" s="1078"/>
      <c r="W292" s="993"/>
      <c r="X292" s="996"/>
      <c r="Y292" s="998"/>
      <c r="Z292" s="1000"/>
      <c r="AA292" s="1003"/>
      <c r="AB292" s="1006"/>
      <c r="AC292" s="1009"/>
      <c r="AD292" s="1012"/>
      <c r="AE292" s="1051"/>
      <c r="AF292" s="1014"/>
      <c r="AG292" s="1016"/>
      <c r="AH292" s="1016"/>
      <c r="AI292" s="1078"/>
      <c r="AJ292" s="993"/>
      <c r="AK292" s="996"/>
      <c r="AL292" s="998"/>
      <c r="AM292" s="1000"/>
      <c r="AN292" s="1003"/>
      <c r="AO292" s="1006"/>
      <c r="AP292" s="1009"/>
      <c r="AQ292" s="1012"/>
      <c r="AR292" s="1051"/>
      <c r="AS292" s="1014"/>
      <c r="AT292" s="1016"/>
      <c r="AU292" s="1016"/>
      <c r="AV292" s="1078"/>
      <c r="AW292" s="993"/>
      <c r="AX292" s="996"/>
      <c r="AY292" s="998"/>
      <c r="AZ292" s="1000"/>
      <c r="BA292" s="1003"/>
      <c r="BB292" s="1006"/>
      <c r="BC292" s="1009"/>
      <c r="BD292" s="1012"/>
      <c r="BE292" s="1051"/>
      <c r="BF292" s="987"/>
      <c r="BG292" s="989"/>
      <c r="BH292" s="989"/>
      <c r="BI292" s="991"/>
      <c r="BJ292" s="993"/>
      <c r="BK292" s="996"/>
      <c r="BL292" s="1053"/>
      <c r="BM292" s="1057"/>
      <c r="BN292" s="1060"/>
      <c r="BO292" s="1063"/>
      <c r="BP292" s="1066"/>
      <c r="BQ292" s="1012"/>
      <c r="BR292" s="1051"/>
      <c r="BS292" s="1026"/>
      <c r="BT292" s="1023"/>
      <c r="BU292" s="1012"/>
      <c r="BV292" s="1029"/>
      <c r="BW292" s="1032"/>
      <c r="BX292" s="1019"/>
      <c r="BY292" s="1019"/>
      <c r="BZ292" s="1019"/>
      <c r="CA292" s="1019"/>
      <c r="CB292" s="1019"/>
      <c r="CC292" s="1019"/>
      <c r="CD292" s="1019"/>
      <c r="CE292" s="1019"/>
      <c r="CF292" s="1019"/>
      <c r="CG292" s="1042"/>
    </row>
    <row r="293" spans="2:85" s="783" customFormat="1" ht="15" customHeight="1" x14ac:dyDescent="0.25">
      <c r="B293" s="977"/>
      <c r="C293" s="978"/>
      <c r="D293" s="978"/>
      <c r="E293" s="978"/>
      <c r="F293" s="978"/>
      <c r="G293" s="978"/>
      <c r="H293" s="978"/>
      <c r="I293" s="978"/>
      <c r="J293" s="978"/>
      <c r="K293" s="1045"/>
      <c r="L293" s="1048"/>
      <c r="M293" s="1100"/>
      <c r="N293" s="1103"/>
      <c r="O293" s="1092"/>
      <c r="P293" s="1092"/>
      <c r="Q293" s="1089"/>
      <c r="R293" s="1032"/>
      <c r="S293" s="1014"/>
      <c r="T293" s="1016"/>
      <c r="U293" s="1016"/>
      <c r="V293" s="1078"/>
      <c r="W293" s="993"/>
      <c r="X293" s="996"/>
      <c r="Y293" s="998"/>
      <c r="Z293" s="1000"/>
      <c r="AA293" s="1003"/>
      <c r="AB293" s="1006"/>
      <c r="AC293" s="1009"/>
      <c r="AD293" s="1012"/>
      <c r="AE293" s="1051"/>
      <c r="AF293" s="1014"/>
      <c r="AG293" s="1016"/>
      <c r="AH293" s="1016"/>
      <c r="AI293" s="1078"/>
      <c r="AJ293" s="993"/>
      <c r="AK293" s="996"/>
      <c r="AL293" s="998"/>
      <c r="AM293" s="1000"/>
      <c r="AN293" s="1003"/>
      <c r="AO293" s="1006"/>
      <c r="AP293" s="1009"/>
      <c r="AQ293" s="1012"/>
      <c r="AR293" s="1051"/>
      <c r="AS293" s="1014"/>
      <c r="AT293" s="1016"/>
      <c r="AU293" s="1016"/>
      <c r="AV293" s="1078"/>
      <c r="AW293" s="993"/>
      <c r="AX293" s="996"/>
      <c r="AY293" s="998"/>
      <c r="AZ293" s="1000"/>
      <c r="BA293" s="1003"/>
      <c r="BB293" s="1006"/>
      <c r="BC293" s="1009"/>
      <c r="BD293" s="1012"/>
      <c r="BE293" s="1051"/>
      <c r="BF293" s="987"/>
      <c r="BG293" s="989"/>
      <c r="BH293" s="989"/>
      <c r="BI293" s="991"/>
      <c r="BJ293" s="993"/>
      <c r="BK293" s="996"/>
      <c r="BL293" s="1053"/>
      <c r="BM293" s="1057"/>
      <c r="BN293" s="1060"/>
      <c r="BO293" s="1063"/>
      <c r="BP293" s="1066"/>
      <c r="BQ293" s="1012"/>
      <c r="BR293" s="1051"/>
      <c r="BS293" s="1026"/>
      <c r="BT293" s="1023"/>
      <c r="BU293" s="1012"/>
      <c r="BV293" s="1029"/>
      <c r="BW293" s="1032"/>
      <c r="BX293" s="1019"/>
      <c r="BY293" s="1019"/>
      <c r="BZ293" s="1019"/>
      <c r="CA293" s="1019"/>
      <c r="CB293" s="1019"/>
      <c r="CC293" s="1019"/>
      <c r="CD293" s="1019"/>
      <c r="CE293" s="1019"/>
      <c r="CF293" s="1019"/>
      <c r="CG293" s="1042"/>
    </row>
    <row r="294" spans="2:85" s="783" customFormat="1" ht="15" customHeight="1" x14ac:dyDescent="0.25">
      <c r="B294" s="977"/>
      <c r="C294" s="978"/>
      <c r="D294" s="978"/>
      <c r="E294" s="978"/>
      <c r="F294" s="978"/>
      <c r="G294" s="978"/>
      <c r="H294" s="978"/>
      <c r="I294" s="978"/>
      <c r="J294" s="978"/>
      <c r="K294" s="1045"/>
      <c r="L294" s="1048"/>
      <c r="M294" s="1100"/>
      <c r="N294" s="1103"/>
      <c r="O294" s="1092"/>
      <c r="P294" s="1092"/>
      <c r="Q294" s="1089"/>
      <c r="R294" s="1032"/>
      <c r="S294" s="1014"/>
      <c r="T294" s="1016"/>
      <c r="U294" s="1016"/>
      <c r="V294" s="1078"/>
      <c r="W294" s="993"/>
      <c r="X294" s="996" t="s">
        <v>196</v>
      </c>
      <c r="Y294" s="998"/>
      <c r="Z294" s="1000"/>
      <c r="AA294" s="1003"/>
      <c r="AB294" s="1006"/>
      <c r="AC294" s="1009"/>
      <c r="AD294" s="1012"/>
      <c r="AE294" s="1051"/>
      <c r="AF294" s="1014"/>
      <c r="AG294" s="1016"/>
      <c r="AH294" s="1016"/>
      <c r="AI294" s="1078"/>
      <c r="AJ294" s="993"/>
      <c r="AK294" s="996" t="s">
        <v>196</v>
      </c>
      <c r="AL294" s="998"/>
      <c r="AM294" s="1000"/>
      <c r="AN294" s="1003"/>
      <c r="AO294" s="1006"/>
      <c r="AP294" s="1009"/>
      <c r="AQ294" s="1012"/>
      <c r="AR294" s="1051"/>
      <c r="AS294" s="1014"/>
      <c r="AT294" s="1016"/>
      <c r="AU294" s="1016"/>
      <c r="AV294" s="1078"/>
      <c r="AW294" s="993"/>
      <c r="AX294" s="996" t="s">
        <v>196</v>
      </c>
      <c r="AY294" s="998"/>
      <c r="AZ294" s="1000"/>
      <c r="BA294" s="1003"/>
      <c r="BB294" s="1006"/>
      <c r="BC294" s="1009"/>
      <c r="BD294" s="1012"/>
      <c r="BE294" s="1051"/>
      <c r="BF294" s="987"/>
      <c r="BG294" s="989"/>
      <c r="BH294" s="989"/>
      <c r="BI294" s="991"/>
      <c r="BJ294" s="993"/>
      <c r="BK294" s="996" t="s">
        <v>196</v>
      </c>
      <c r="BL294" s="1053"/>
      <c r="BM294" s="1057"/>
      <c r="BN294" s="1060"/>
      <c r="BO294" s="1063"/>
      <c r="BP294" s="1066"/>
      <c r="BQ294" s="1012"/>
      <c r="BR294" s="1051"/>
      <c r="BS294" s="1026"/>
      <c r="BT294" s="1023"/>
      <c r="BU294" s="1012"/>
      <c r="BV294" s="1029"/>
      <c r="BW294" s="1032"/>
      <c r="BX294" s="1019"/>
      <c r="BY294" s="1019"/>
      <c r="BZ294" s="1019"/>
      <c r="CA294" s="1019"/>
      <c r="CB294" s="1019"/>
      <c r="CC294" s="1019"/>
      <c r="CD294" s="1019"/>
      <c r="CE294" s="1019"/>
      <c r="CF294" s="1019"/>
      <c r="CG294" s="1042"/>
    </row>
    <row r="295" spans="2:85" s="783" customFormat="1" ht="15" customHeight="1" x14ac:dyDescent="0.25">
      <c r="B295" s="977"/>
      <c r="C295" s="978"/>
      <c r="D295" s="978"/>
      <c r="E295" s="978"/>
      <c r="F295" s="978"/>
      <c r="G295" s="978"/>
      <c r="H295" s="978"/>
      <c r="I295" s="978"/>
      <c r="J295" s="978"/>
      <c r="K295" s="1045"/>
      <c r="L295" s="1048"/>
      <c r="M295" s="1100"/>
      <c r="N295" s="1103"/>
      <c r="O295" s="1092"/>
      <c r="P295" s="1092"/>
      <c r="Q295" s="1089"/>
      <c r="R295" s="1032"/>
      <c r="S295" s="1014"/>
      <c r="T295" s="1016"/>
      <c r="U295" s="1016"/>
      <c r="V295" s="1078"/>
      <c r="W295" s="993"/>
      <c r="X295" s="996"/>
      <c r="Y295" s="998"/>
      <c r="Z295" s="1000"/>
      <c r="AA295" s="1003"/>
      <c r="AB295" s="1006"/>
      <c r="AC295" s="1009"/>
      <c r="AD295" s="1012"/>
      <c r="AE295" s="1051"/>
      <c r="AF295" s="1014"/>
      <c r="AG295" s="1016"/>
      <c r="AH295" s="1016"/>
      <c r="AI295" s="1078"/>
      <c r="AJ295" s="993"/>
      <c r="AK295" s="996"/>
      <c r="AL295" s="998"/>
      <c r="AM295" s="1000"/>
      <c r="AN295" s="1003"/>
      <c r="AO295" s="1006"/>
      <c r="AP295" s="1009"/>
      <c r="AQ295" s="1012"/>
      <c r="AR295" s="1051"/>
      <c r="AS295" s="1014"/>
      <c r="AT295" s="1016"/>
      <c r="AU295" s="1016"/>
      <c r="AV295" s="1078"/>
      <c r="AW295" s="993"/>
      <c r="AX295" s="996"/>
      <c r="AY295" s="998"/>
      <c r="AZ295" s="1000"/>
      <c r="BA295" s="1003"/>
      <c r="BB295" s="1006"/>
      <c r="BC295" s="1009"/>
      <c r="BD295" s="1012"/>
      <c r="BE295" s="1051"/>
      <c r="BF295" s="987"/>
      <c r="BG295" s="989"/>
      <c r="BH295" s="989"/>
      <c r="BI295" s="991"/>
      <c r="BJ295" s="993"/>
      <c r="BK295" s="996"/>
      <c r="BL295" s="1053"/>
      <c r="BM295" s="1057"/>
      <c r="BN295" s="1060"/>
      <c r="BO295" s="1063"/>
      <c r="BP295" s="1066"/>
      <c r="BQ295" s="1012"/>
      <c r="BR295" s="1051"/>
      <c r="BS295" s="1026"/>
      <c r="BT295" s="1023"/>
      <c r="BU295" s="1012"/>
      <c r="BV295" s="1029"/>
      <c r="BW295" s="1032"/>
      <c r="BX295" s="1019"/>
      <c r="BY295" s="1019"/>
      <c r="BZ295" s="1019"/>
      <c r="CA295" s="1019"/>
      <c r="CB295" s="1019"/>
      <c r="CC295" s="1019"/>
      <c r="CD295" s="1019"/>
      <c r="CE295" s="1019"/>
      <c r="CF295" s="1019"/>
      <c r="CG295" s="1042"/>
    </row>
    <row r="296" spans="2:85" s="783" customFormat="1" ht="15" customHeight="1" x14ac:dyDescent="0.25">
      <c r="B296" s="977"/>
      <c r="C296" s="978"/>
      <c r="D296" s="978"/>
      <c r="E296" s="978"/>
      <c r="F296" s="978"/>
      <c r="G296" s="978"/>
      <c r="H296" s="978"/>
      <c r="I296" s="978"/>
      <c r="J296" s="978"/>
      <c r="K296" s="1045"/>
      <c r="L296" s="1048"/>
      <c r="M296" s="1100"/>
      <c r="N296" s="1103"/>
      <c r="O296" s="1092"/>
      <c r="P296" s="1092"/>
      <c r="Q296" s="1089"/>
      <c r="R296" s="1032"/>
      <c r="S296" s="1014"/>
      <c r="T296" s="1016"/>
      <c r="U296" s="1016"/>
      <c r="V296" s="1078"/>
      <c r="W296" s="993"/>
      <c r="X296" s="996"/>
      <c r="Y296" s="998"/>
      <c r="Z296" s="1000"/>
      <c r="AA296" s="1003"/>
      <c r="AB296" s="1006"/>
      <c r="AC296" s="1009"/>
      <c r="AD296" s="1012"/>
      <c r="AE296" s="1051"/>
      <c r="AF296" s="1014"/>
      <c r="AG296" s="1016"/>
      <c r="AH296" s="1016"/>
      <c r="AI296" s="1078"/>
      <c r="AJ296" s="993"/>
      <c r="AK296" s="996"/>
      <c r="AL296" s="998"/>
      <c r="AM296" s="1000"/>
      <c r="AN296" s="1003"/>
      <c r="AO296" s="1006"/>
      <c r="AP296" s="1009"/>
      <c r="AQ296" s="1012"/>
      <c r="AR296" s="1051"/>
      <c r="AS296" s="1014"/>
      <c r="AT296" s="1016"/>
      <c r="AU296" s="1016"/>
      <c r="AV296" s="1078"/>
      <c r="AW296" s="993"/>
      <c r="AX296" s="996"/>
      <c r="AY296" s="998"/>
      <c r="AZ296" s="1000"/>
      <c r="BA296" s="1003"/>
      <c r="BB296" s="1006"/>
      <c r="BC296" s="1009"/>
      <c r="BD296" s="1012"/>
      <c r="BE296" s="1051"/>
      <c r="BF296" s="987"/>
      <c r="BG296" s="989"/>
      <c r="BH296" s="989"/>
      <c r="BI296" s="991"/>
      <c r="BJ296" s="993"/>
      <c r="BK296" s="996"/>
      <c r="BL296" s="1053"/>
      <c r="BM296" s="1057"/>
      <c r="BN296" s="1060"/>
      <c r="BO296" s="1063"/>
      <c r="BP296" s="1066"/>
      <c r="BQ296" s="1012"/>
      <c r="BR296" s="1051"/>
      <c r="BS296" s="1026"/>
      <c r="BT296" s="1023"/>
      <c r="BU296" s="1012"/>
      <c r="BV296" s="1029"/>
      <c r="BW296" s="1032"/>
      <c r="BX296" s="1019"/>
      <c r="BY296" s="1019"/>
      <c r="BZ296" s="1019"/>
      <c r="CA296" s="1019"/>
      <c r="CB296" s="1019"/>
      <c r="CC296" s="1019"/>
      <c r="CD296" s="1019"/>
      <c r="CE296" s="1019"/>
      <c r="CF296" s="1019"/>
      <c r="CG296" s="1042"/>
    </row>
    <row r="297" spans="2:85" s="783" customFormat="1" ht="15" customHeight="1" x14ac:dyDescent="0.25">
      <c r="B297" s="977"/>
      <c r="C297" s="978"/>
      <c r="D297" s="978"/>
      <c r="E297" s="978"/>
      <c r="F297" s="978"/>
      <c r="G297" s="978"/>
      <c r="H297" s="978"/>
      <c r="I297" s="978"/>
      <c r="J297" s="978"/>
      <c r="K297" s="1045"/>
      <c r="L297" s="1048"/>
      <c r="M297" s="1100"/>
      <c r="N297" s="1103"/>
      <c r="O297" s="1092"/>
      <c r="P297" s="1092"/>
      <c r="Q297" s="1089"/>
      <c r="R297" s="1032"/>
      <c r="S297" s="1014"/>
      <c r="T297" s="1016"/>
      <c r="U297" s="1016"/>
      <c r="V297" s="1078"/>
      <c r="W297" s="993"/>
      <c r="X297" s="996"/>
      <c r="Y297" s="998"/>
      <c r="Z297" s="1000"/>
      <c r="AA297" s="1003"/>
      <c r="AB297" s="1006"/>
      <c r="AC297" s="1009"/>
      <c r="AD297" s="1012"/>
      <c r="AE297" s="1051"/>
      <c r="AF297" s="1014"/>
      <c r="AG297" s="1016"/>
      <c r="AH297" s="1016"/>
      <c r="AI297" s="1078"/>
      <c r="AJ297" s="993"/>
      <c r="AK297" s="996"/>
      <c r="AL297" s="998"/>
      <c r="AM297" s="1000"/>
      <c r="AN297" s="1003"/>
      <c r="AO297" s="1006"/>
      <c r="AP297" s="1009"/>
      <c r="AQ297" s="1012"/>
      <c r="AR297" s="1051"/>
      <c r="AS297" s="1014"/>
      <c r="AT297" s="1016"/>
      <c r="AU297" s="1016"/>
      <c r="AV297" s="1078"/>
      <c r="AW297" s="993"/>
      <c r="AX297" s="996"/>
      <c r="AY297" s="998"/>
      <c r="AZ297" s="1000"/>
      <c r="BA297" s="1003"/>
      <c r="BB297" s="1006"/>
      <c r="BC297" s="1009"/>
      <c r="BD297" s="1012"/>
      <c r="BE297" s="1051"/>
      <c r="BF297" s="987"/>
      <c r="BG297" s="989"/>
      <c r="BH297" s="989"/>
      <c r="BI297" s="991"/>
      <c r="BJ297" s="993"/>
      <c r="BK297" s="996"/>
      <c r="BL297" s="1053"/>
      <c r="BM297" s="1057"/>
      <c r="BN297" s="1060"/>
      <c r="BO297" s="1063"/>
      <c r="BP297" s="1066"/>
      <c r="BQ297" s="1012"/>
      <c r="BR297" s="1051"/>
      <c r="BS297" s="1026"/>
      <c r="BT297" s="1023"/>
      <c r="BU297" s="1012"/>
      <c r="BV297" s="1029"/>
      <c r="BW297" s="1032"/>
      <c r="BX297" s="1020"/>
      <c r="BY297" s="1020"/>
      <c r="BZ297" s="1020"/>
      <c r="CA297" s="1020"/>
      <c r="CB297" s="1020"/>
      <c r="CC297" s="1020"/>
      <c r="CD297" s="1020"/>
      <c r="CE297" s="1020"/>
      <c r="CF297" s="1020"/>
      <c r="CG297" s="1042"/>
    </row>
    <row r="298" spans="2:85" s="783" customFormat="1" ht="15" customHeight="1" x14ac:dyDescent="0.25">
      <c r="B298" s="977"/>
      <c r="C298" s="978"/>
      <c r="D298" s="978"/>
      <c r="E298" s="978"/>
      <c r="F298" s="978"/>
      <c r="G298" s="978"/>
      <c r="H298" s="978"/>
      <c r="I298" s="978"/>
      <c r="J298" s="978"/>
      <c r="K298" s="1045"/>
      <c r="L298" s="1048"/>
      <c r="M298" s="1100"/>
      <c r="N298" s="1103"/>
      <c r="O298" s="1092"/>
      <c r="P298" s="1092"/>
      <c r="Q298" s="1089"/>
      <c r="R298" s="1032"/>
      <c r="S298" s="1014"/>
      <c r="T298" s="1016"/>
      <c r="U298" s="1016"/>
      <c r="V298" s="1078"/>
      <c r="W298" s="993"/>
      <c r="X298" s="996" t="s">
        <v>197</v>
      </c>
      <c r="Y298" s="998"/>
      <c r="Z298" s="1000"/>
      <c r="AA298" s="1003"/>
      <c r="AB298" s="1006"/>
      <c r="AC298" s="1009"/>
      <c r="AD298" s="1012"/>
      <c r="AE298" s="1051"/>
      <c r="AF298" s="1014"/>
      <c r="AG298" s="1016"/>
      <c r="AH298" s="1016"/>
      <c r="AI298" s="1078"/>
      <c r="AJ298" s="993"/>
      <c r="AK298" s="996" t="s">
        <v>197</v>
      </c>
      <c r="AL298" s="998"/>
      <c r="AM298" s="1000"/>
      <c r="AN298" s="1003"/>
      <c r="AO298" s="1006"/>
      <c r="AP298" s="1009"/>
      <c r="AQ298" s="1012"/>
      <c r="AR298" s="1051"/>
      <c r="AS298" s="1014"/>
      <c r="AT298" s="1016"/>
      <c r="AU298" s="1016"/>
      <c r="AV298" s="1078"/>
      <c r="AW298" s="993"/>
      <c r="AX298" s="996" t="s">
        <v>197</v>
      </c>
      <c r="AY298" s="998"/>
      <c r="AZ298" s="1000"/>
      <c r="BA298" s="1003"/>
      <c r="BB298" s="1006"/>
      <c r="BC298" s="1009"/>
      <c r="BD298" s="1012"/>
      <c r="BE298" s="1051"/>
      <c r="BF298" s="987"/>
      <c r="BG298" s="989"/>
      <c r="BH298" s="989"/>
      <c r="BI298" s="991"/>
      <c r="BJ298" s="993"/>
      <c r="BK298" s="996" t="s">
        <v>197</v>
      </c>
      <c r="BL298" s="1053"/>
      <c r="BM298" s="1057"/>
      <c r="BN298" s="1060"/>
      <c r="BO298" s="1063"/>
      <c r="BP298" s="1066"/>
      <c r="BQ298" s="1012"/>
      <c r="BR298" s="1051"/>
      <c r="BS298" s="1026"/>
      <c r="BT298" s="1023"/>
      <c r="BU298" s="1012"/>
      <c r="BV298" s="1029"/>
      <c r="BW298" s="1032"/>
      <c r="BX298" s="1020"/>
      <c r="BY298" s="1020"/>
      <c r="BZ298" s="1020"/>
      <c r="CA298" s="1020"/>
      <c r="CB298" s="1020"/>
      <c r="CC298" s="1020"/>
      <c r="CD298" s="1020"/>
      <c r="CE298" s="1020"/>
      <c r="CF298" s="1020"/>
      <c r="CG298" s="1042"/>
    </row>
    <row r="299" spans="2:85" s="783" customFormat="1" ht="15" customHeight="1" x14ac:dyDescent="0.25">
      <c r="B299" s="977"/>
      <c r="C299" s="978"/>
      <c r="D299" s="978"/>
      <c r="E299" s="978"/>
      <c r="F299" s="978"/>
      <c r="G299" s="978"/>
      <c r="H299" s="978"/>
      <c r="I299" s="978"/>
      <c r="J299" s="978"/>
      <c r="K299" s="1045"/>
      <c r="L299" s="1048"/>
      <c r="M299" s="1100"/>
      <c r="N299" s="1103"/>
      <c r="O299" s="1092"/>
      <c r="P299" s="1092"/>
      <c r="Q299" s="1089"/>
      <c r="R299" s="1032"/>
      <c r="S299" s="1014"/>
      <c r="T299" s="1016"/>
      <c r="U299" s="1016"/>
      <c r="V299" s="1078"/>
      <c r="W299" s="993"/>
      <c r="X299" s="996"/>
      <c r="Y299" s="998"/>
      <c r="Z299" s="1000"/>
      <c r="AA299" s="1003"/>
      <c r="AB299" s="1006"/>
      <c r="AC299" s="1009"/>
      <c r="AD299" s="1012"/>
      <c r="AE299" s="1051"/>
      <c r="AF299" s="1014"/>
      <c r="AG299" s="1016"/>
      <c r="AH299" s="1016"/>
      <c r="AI299" s="1078"/>
      <c r="AJ299" s="993"/>
      <c r="AK299" s="996"/>
      <c r="AL299" s="998"/>
      <c r="AM299" s="1000"/>
      <c r="AN299" s="1003"/>
      <c r="AO299" s="1006"/>
      <c r="AP299" s="1009"/>
      <c r="AQ299" s="1012"/>
      <c r="AR299" s="1051"/>
      <c r="AS299" s="1014"/>
      <c r="AT299" s="1016"/>
      <c r="AU299" s="1016"/>
      <c r="AV299" s="1078"/>
      <c r="AW299" s="993"/>
      <c r="AX299" s="996"/>
      <c r="AY299" s="998"/>
      <c r="AZ299" s="1000"/>
      <c r="BA299" s="1003"/>
      <c r="BB299" s="1006"/>
      <c r="BC299" s="1009"/>
      <c r="BD299" s="1012"/>
      <c r="BE299" s="1051"/>
      <c r="BF299" s="987"/>
      <c r="BG299" s="989"/>
      <c r="BH299" s="989"/>
      <c r="BI299" s="991"/>
      <c r="BJ299" s="993"/>
      <c r="BK299" s="996"/>
      <c r="BL299" s="1053"/>
      <c r="BM299" s="1057"/>
      <c r="BN299" s="1060"/>
      <c r="BO299" s="1063"/>
      <c r="BP299" s="1066"/>
      <c r="BQ299" s="1012"/>
      <c r="BR299" s="1051"/>
      <c r="BS299" s="1026"/>
      <c r="BT299" s="1023"/>
      <c r="BU299" s="1012"/>
      <c r="BV299" s="1029"/>
      <c r="BW299" s="1032"/>
      <c r="BX299" s="1020"/>
      <c r="BY299" s="1020"/>
      <c r="BZ299" s="1020"/>
      <c r="CA299" s="1020"/>
      <c r="CB299" s="1020"/>
      <c r="CC299" s="1020"/>
      <c r="CD299" s="1020"/>
      <c r="CE299" s="1020"/>
      <c r="CF299" s="1020"/>
      <c r="CG299" s="1042"/>
    </row>
    <row r="300" spans="2:85" s="783" customFormat="1" ht="15" customHeight="1" x14ac:dyDescent="0.25">
      <c r="B300" s="977"/>
      <c r="C300" s="978"/>
      <c r="D300" s="978"/>
      <c r="E300" s="978"/>
      <c r="F300" s="978"/>
      <c r="G300" s="978"/>
      <c r="H300" s="978"/>
      <c r="I300" s="978"/>
      <c r="J300" s="978"/>
      <c r="K300" s="1045"/>
      <c r="L300" s="1048"/>
      <c r="M300" s="1100"/>
      <c r="N300" s="1103"/>
      <c r="O300" s="1092"/>
      <c r="P300" s="1092"/>
      <c r="Q300" s="1089"/>
      <c r="R300" s="1032"/>
      <c r="S300" s="1014"/>
      <c r="T300" s="1016"/>
      <c r="U300" s="1016"/>
      <c r="V300" s="1078"/>
      <c r="W300" s="993"/>
      <c r="X300" s="996"/>
      <c r="Y300" s="998"/>
      <c r="Z300" s="1000"/>
      <c r="AA300" s="1003"/>
      <c r="AB300" s="1006"/>
      <c r="AC300" s="1009"/>
      <c r="AD300" s="1012"/>
      <c r="AE300" s="1051"/>
      <c r="AF300" s="1014"/>
      <c r="AG300" s="1016"/>
      <c r="AH300" s="1016"/>
      <c r="AI300" s="1078"/>
      <c r="AJ300" s="993"/>
      <c r="AK300" s="996"/>
      <c r="AL300" s="998"/>
      <c r="AM300" s="1000"/>
      <c r="AN300" s="1003"/>
      <c r="AO300" s="1006"/>
      <c r="AP300" s="1009"/>
      <c r="AQ300" s="1012"/>
      <c r="AR300" s="1051"/>
      <c r="AS300" s="1014"/>
      <c r="AT300" s="1016"/>
      <c r="AU300" s="1016"/>
      <c r="AV300" s="1078"/>
      <c r="AW300" s="993"/>
      <c r="AX300" s="996"/>
      <c r="AY300" s="998"/>
      <c r="AZ300" s="1000"/>
      <c r="BA300" s="1003"/>
      <c r="BB300" s="1006"/>
      <c r="BC300" s="1009"/>
      <c r="BD300" s="1012"/>
      <c r="BE300" s="1051"/>
      <c r="BF300" s="987"/>
      <c r="BG300" s="989"/>
      <c r="BH300" s="989"/>
      <c r="BI300" s="991"/>
      <c r="BJ300" s="993"/>
      <c r="BK300" s="996"/>
      <c r="BL300" s="1053"/>
      <c r="BM300" s="1057"/>
      <c r="BN300" s="1060"/>
      <c r="BO300" s="1063"/>
      <c r="BP300" s="1066"/>
      <c r="BQ300" s="1012"/>
      <c r="BR300" s="1051"/>
      <c r="BS300" s="1026"/>
      <c r="BT300" s="1023"/>
      <c r="BU300" s="1012"/>
      <c r="BV300" s="1029"/>
      <c r="BW300" s="1032"/>
      <c r="BX300" s="1020"/>
      <c r="BY300" s="1020"/>
      <c r="BZ300" s="1020"/>
      <c r="CA300" s="1020"/>
      <c r="CB300" s="1020"/>
      <c r="CC300" s="1020"/>
      <c r="CD300" s="1020"/>
      <c r="CE300" s="1020"/>
      <c r="CF300" s="1020"/>
      <c r="CG300" s="1042"/>
    </row>
    <row r="301" spans="2:85" s="783" customFormat="1" ht="15.75" customHeight="1" thickBot="1" x14ac:dyDescent="0.3">
      <c r="B301" s="980"/>
      <c r="C301" s="981"/>
      <c r="D301" s="981"/>
      <c r="E301" s="981"/>
      <c r="F301" s="981"/>
      <c r="G301" s="981"/>
      <c r="H301" s="981"/>
      <c r="I301" s="981"/>
      <c r="J301" s="981"/>
      <c r="K301" s="1045"/>
      <c r="L301" s="1049"/>
      <c r="M301" s="1101"/>
      <c r="N301" s="1104"/>
      <c r="O301" s="1093"/>
      <c r="P301" s="1093"/>
      <c r="Q301" s="1090"/>
      <c r="R301" s="1032"/>
      <c r="S301" s="1015"/>
      <c r="T301" s="1017"/>
      <c r="U301" s="1017"/>
      <c r="V301" s="1079"/>
      <c r="W301" s="994"/>
      <c r="X301" s="1068"/>
      <c r="Y301" s="1069"/>
      <c r="Z301" s="1001"/>
      <c r="AA301" s="1004"/>
      <c r="AB301" s="1007"/>
      <c r="AC301" s="1010"/>
      <c r="AD301" s="1013"/>
      <c r="AE301" s="1051"/>
      <c r="AF301" s="1015"/>
      <c r="AG301" s="1017"/>
      <c r="AH301" s="1017"/>
      <c r="AI301" s="1079"/>
      <c r="AJ301" s="994"/>
      <c r="AK301" s="1068"/>
      <c r="AL301" s="1069"/>
      <c r="AM301" s="1001"/>
      <c r="AN301" s="1004"/>
      <c r="AO301" s="1007"/>
      <c r="AP301" s="1010"/>
      <c r="AQ301" s="1013"/>
      <c r="AR301" s="1051"/>
      <c r="AS301" s="1015"/>
      <c r="AT301" s="1017"/>
      <c r="AU301" s="1017"/>
      <c r="AV301" s="1079"/>
      <c r="AW301" s="994"/>
      <c r="AX301" s="1068"/>
      <c r="AY301" s="1069"/>
      <c r="AZ301" s="1001"/>
      <c r="BA301" s="1004"/>
      <c r="BB301" s="1007"/>
      <c r="BC301" s="1010"/>
      <c r="BD301" s="1013"/>
      <c r="BE301" s="1051"/>
      <c r="BF301" s="988"/>
      <c r="BG301" s="990"/>
      <c r="BH301" s="990"/>
      <c r="BI301" s="992"/>
      <c r="BJ301" s="994"/>
      <c r="BK301" s="1068"/>
      <c r="BL301" s="1054"/>
      <c r="BM301" s="1058"/>
      <c r="BN301" s="1061"/>
      <c r="BO301" s="1064"/>
      <c r="BP301" s="1067"/>
      <c r="BQ301" s="1013"/>
      <c r="BR301" s="1051"/>
      <c r="BS301" s="1027"/>
      <c r="BT301" s="1024"/>
      <c r="BU301" s="1013"/>
      <c r="BV301" s="1029"/>
      <c r="BW301" s="1032"/>
      <c r="BX301" s="1021"/>
      <c r="BY301" s="1021"/>
      <c r="BZ301" s="1021"/>
      <c r="CA301" s="1021"/>
      <c r="CB301" s="1021"/>
      <c r="CC301" s="1021"/>
      <c r="CD301" s="1021"/>
      <c r="CE301" s="1021"/>
      <c r="CF301" s="1021"/>
      <c r="CG301" s="1042"/>
    </row>
    <row r="302" spans="2:85" s="783" customFormat="1" ht="15" customHeight="1" x14ac:dyDescent="0.25">
      <c r="B302" s="974" t="s">
        <v>456</v>
      </c>
      <c r="C302" s="975"/>
      <c r="D302" s="975"/>
      <c r="E302" s="975"/>
      <c r="F302" s="975"/>
      <c r="G302" s="975"/>
      <c r="H302" s="975"/>
      <c r="I302" s="975"/>
      <c r="J302" s="975"/>
      <c r="K302" s="1045"/>
      <c r="L302" s="1047"/>
      <c r="M302" s="1099">
        <v>136000</v>
      </c>
      <c r="N302" s="1102"/>
      <c r="O302" s="1091"/>
      <c r="P302" s="1091">
        <v>128500</v>
      </c>
      <c r="Q302" s="1088">
        <v>32554</v>
      </c>
      <c r="R302" s="1032"/>
      <c r="S302" s="1014"/>
      <c r="T302" s="1016"/>
      <c r="U302" s="1016"/>
      <c r="V302" s="1078"/>
      <c r="W302" s="993">
        <f>SUM(S302:V313)</f>
        <v>0</v>
      </c>
      <c r="X302" s="995" t="s">
        <v>195</v>
      </c>
      <c r="Y302" s="997"/>
      <c r="Z302" s="999"/>
      <c r="AA302" s="1002"/>
      <c r="AB302" s="1005"/>
      <c r="AC302" s="1008"/>
      <c r="AD302" s="1011">
        <f>SUM(Z302:AC313)</f>
        <v>0</v>
      </c>
      <c r="AE302" s="1051"/>
      <c r="AF302" s="1014"/>
      <c r="AG302" s="1016"/>
      <c r="AH302" s="1016"/>
      <c r="AI302" s="1078"/>
      <c r="AJ302" s="993">
        <f>SUM(AF302:AI313)</f>
        <v>0</v>
      </c>
      <c r="AK302" s="995" t="s">
        <v>195</v>
      </c>
      <c r="AL302" s="997"/>
      <c r="AM302" s="999"/>
      <c r="AN302" s="1002"/>
      <c r="AO302" s="1005"/>
      <c r="AP302" s="1008"/>
      <c r="AQ302" s="1011">
        <f>SUM(AM302:AP313)</f>
        <v>0</v>
      </c>
      <c r="AR302" s="1051"/>
      <c r="AS302" s="1014"/>
      <c r="AT302" s="1016"/>
      <c r="AU302" s="1016"/>
      <c r="AV302" s="1078"/>
      <c r="AW302" s="993">
        <f>SUM(AS302:AV313)</f>
        <v>0</v>
      </c>
      <c r="AX302" s="995" t="s">
        <v>195</v>
      </c>
      <c r="AY302" s="997"/>
      <c r="AZ302" s="999"/>
      <c r="BA302" s="1002"/>
      <c r="BB302" s="1005"/>
      <c r="BC302" s="1008">
        <v>128500</v>
      </c>
      <c r="BD302" s="1011">
        <f>SUM(AZ302:BC313)</f>
        <v>128500</v>
      </c>
      <c r="BE302" s="1051"/>
      <c r="BF302" s="987"/>
      <c r="BG302" s="989"/>
      <c r="BH302" s="989"/>
      <c r="BI302" s="991"/>
      <c r="BJ302" s="993">
        <f>SUM(BF302:BI313)</f>
        <v>0</v>
      </c>
      <c r="BK302" s="995" t="s">
        <v>195</v>
      </c>
      <c r="BL302" s="1055"/>
      <c r="BM302" s="1056">
        <v>7500</v>
      </c>
      <c r="BN302" s="1062">
        <v>0</v>
      </c>
      <c r="BO302" s="1062">
        <v>0</v>
      </c>
      <c r="BP302" s="1065">
        <v>0</v>
      </c>
      <c r="BQ302" s="1011">
        <f>SUM(BM302:BP313)</f>
        <v>7500</v>
      </c>
      <c r="BR302" s="1051"/>
      <c r="BS302" s="1025"/>
      <c r="BT302" s="1022">
        <f>SUM(W302,AJ302,AW302,BJ302)</f>
        <v>0</v>
      </c>
      <c r="BU302" s="1011">
        <f>SUM(AD302,AQ302,BD302,BQ302)</f>
        <v>136000</v>
      </c>
      <c r="BV302" s="1029"/>
      <c r="BW302" s="1032"/>
      <c r="BX302" s="1018"/>
      <c r="BY302" s="1018">
        <f>IFERROR(AD302/N302,0)</f>
        <v>0</v>
      </c>
      <c r="BZ302" s="1018"/>
      <c r="CA302" s="1018">
        <f>IFERROR(AQ302/O302,0)</f>
        <v>0</v>
      </c>
      <c r="CB302" s="1018"/>
      <c r="CC302" s="1018">
        <f>IFERROR(BD302/P302,0)</f>
        <v>1</v>
      </c>
      <c r="CD302" s="1018"/>
      <c r="CE302" s="1018">
        <f>IFERROR(BQ302/Q302,0)</f>
        <v>0.23038643484671623</v>
      </c>
      <c r="CF302" s="1018"/>
      <c r="CG302" s="1042"/>
    </row>
    <row r="303" spans="2:85" s="783" customFormat="1" ht="15" customHeight="1" x14ac:dyDescent="0.25">
      <c r="B303" s="977"/>
      <c r="C303" s="978"/>
      <c r="D303" s="978"/>
      <c r="E303" s="978"/>
      <c r="F303" s="978"/>
      <c r="G303" s="978"/>
      <c r="H303" s="978"/>
      <c r="I303" s="978"/>
      <c r="J303" s="978"/>
      <c r="K303" s="1045"/>
      <c r="L303" s="1048"/>
      <c r="M303" s="1100"/>
      <c r="N303" s="1103"/>
      <c r="O303" s="1092"/>
      <c r="P303" s="1092"/>
      <c r="Q303" s="1089"/>
      <c r="R303" s="1032"/>
      <c r="S303" s="1014"/>
      <c r="T303" s="1016"/>
      <c r="U303" s="1016"/>
      <c r="V303" s="1078"/>
      <c r="W303" s="993"/>
      <c r="X303" s="996"/>
      <c r="Y303" s="998"/>
      <c r="Z303" s="1000"/>
      <c r="AA303" s="1003"/>
      <c r="AB303" s="1006"/>
      <c r="AC303" s="1009"/>
      <c r="AD303" s="1012"/>
      <c r="AE303" s="1051"/>
      <c r="AF303" s="1014"/>
      <c r="AG303" s="1016"/>
      <c r="AH303" s="1016"/>
      <c r="AI303" s="1078"/>
      <c r="AJ303" s="993"/>
      <c r="AK303" s="996"/>
      <c r="AL303" s="998"/>
      <c r="AM303" s="1000"/>
      <c r="AN303" s="1003"/>
      <c r="AO303" s="1006"/>
      <c r="AP303" s="1009"/>
      <c r="AQ303" s="1012"/>
      <c r="AR303" s="1051"/>
      <c r="AS303" s="1014"/>
      <c r="AT303" s="1016"/>
      <c r="AU303" s="1016"/>
      <c r="AV303" s="1078"/>
      <c r="AW303" s="993"/>
      <c r="AX303" s="996"/>
      <c r="AY303" s="998"/>
      <c r="AZ303" s="1000"/>
      <c r="BA303" s="1003"/>
      <c r="BB303" s="1006"/>
      <c r="BC303" s="1009"/>
      <c r="BD303" s="1012"/>
      <c r="BE303" s="1051"/>
      <c r="BF303" s="987"/>
      <c r="BG303" s="989"/>
      <c r="BH303" s="989"/>
      <c r="BI303" s="991"/>
      <c r="BJ303" s="993"/>
      <c r="BK303" s="996"/>
      <c r="BL303" s="1053"/>
      <c r="BM303" s="1057"/>
      <c r="BN303" s="1063"/>
      <c r="BO303" s="1063"/>
      <c r="BP303" s="1066"/>
      <c r="BQ303" s="1012"/>
      <c r="BR303" s="1051"/>
      <c r="BS303" s="1026"/>
      <c r="BT303" s="1023"/>
      <c r="BU303" s="1012"/>
      <c r="BV303" s="1029"/>
      <c r="BW303" s="1032"/>
      <c r="BX303" s="1019"/>
      <c r="BY303" s="1019"/>
      <c r="BZ303" s="1019"/>
      <c r="CA303" s="1019"/>
      <c r="CB303" s="1019"/>
      <c r="CC303" s="1019"/>
      <c r="CD303" s="1019"/>
      <c r="CE303" s="1019"/>
      <c r="CF303" s="1019"/>
      <c r="CG303" s="1042"/>
    </row>
    <row r="304" spans="2:85" s="783" customFormat="1" ht="15" customHeight="1" x14ac:dyDescent="0.25">
      <c r="B304" s="977"/>
      <c r="C304" s="978"/>
      <c r="D304" s="978"/>
      <c r="E304" s="978"/>
      <c r="F304" s="978"/>
      <c r="G304" s="978"/>
      <c r="H304" s="978"/>
      <c r="I304" s="978"/>
      <c r="J304" s="978"/>
      <c r="K304" s="1045"/>
      <c r="L304" s="1048"/>
      <c r="M304" s="1100"/>
      <c r="N304" s="1103"/>
      <c r="O304" s="1092"/>
      <c r="P304" s="1092"/>
      <c r="Q304" s="1089"/>
      <c r="R304" s="1032"/>
      <c r="S304" s="1014"/>
      <c r="T304" s="1016"/>
      <c r="U304" s="1016"/>
      <c r="V304" s="1078"/>
      <c r="W304" s="993"/>
      <c r="X304" s="996"/>
      <c r="Y304" s="998"/>
      <c r="Z304" s="1000"/>
      <c r="AA304" s="1003"/>
      <c r="AB304" s="1006"/>
      <c r="AC304" s="1009"/>
      <c r="AD304" s="1012"/>
      <c r="AE304" s="1051"/>
      <c r="AF304" s="1014"/>
      <c r="AG304" s="1016"/>
      <c r="AH304" s="1016"/>
      <c r="AI304" s="1078"/>
      <c r="AJ304" s="993"/>
      <c r="AK304" s="996"/>
      <c r="AL304" s="998"/>
      <c r="AM304" s="1000"/>
      <c r="AN304" s="1003"/>
      <c r="AO304" s="1006"/>
      <c r="AP304" s="1009"/>
      <c r="AQ304" s="1012"/>
      <c r="AR304" s="1051"/>
      <c r="AS304" s="1014"/>
      <c r="AT304" s="1016"/>
      <c r="AU304" s="1016"/>
      <c r="AV304" s="1078"/>
      <c r="AW304" s="993"/>
      <c r="AX304" s="996"/>
      <c r="AY304" s="998"/>
      <c r="AZ304" s="1000"/>
      <c r="BA304" s="1003"/>
      <c r="BB304" s="1006"/>
      <c r="BC304" s="1009"/>
      <c r="BD304" s="1012"/>
      <c r="BE304" s="1051"/>
      <c r="BF304" s="987"/>
      <c r="BG304" s="989"/>
      <c r="BH304" s="989"/>
      <c r="BI304" s="991"/>
      <c r="BJ304" s="993"/>
      <c r="BK304" s="996"/>
      <c r="BL304" s="1053"/>
      <c r="BM304" s="1057"/>
      <c r="BN304" s="1063"/>
      <c r="BO304" s="1063"/>
      <c r="BP304" s="1066"/>
      <c r="BQ304" s="1012"/>
      <c r="BR304" s="1051"/>
      <c r="BS304" s="1026"/>
      <c r="BT304" s="1023"/>
      <c r="BU304" s="1012"/>
      <c r="BV304" s="1029"/>
      <c r="BW304" s="1032"/>
      <c r="BX304" s="1019"/>
      <c r="BY304" s="1019"/>
      <c r="BZ304" s="1019"/>
      <c r="CA304" s="1019"/>
      <c r="CB304" s="1019"/>
      <c r="CC304" s="1019"/>
      <c r="CD304" s="1019"/>
      <c r="CE304" s="1019"/>
      <c r="CF304" s="1019"/>
      <c r="CG304" s="1042"/>
    </row>
    <row r="305" spans="2:85" s="783" customFormat="1" ht="15" customHeight="1" x14ac:dyDescent="0.25">
      <c r="B305" s="977"/>
      <c r="C305" s="978"/>
      <c r="D305" s="978"/>
      <c r="E305" s="978"/>
      <c r="F305" s="978"/>
      <c r="G305" s="978"/>
      <c r="H305" s="978"/>
      <c r="I305" s="978"/>
      <c r="J305" s="978"/>
      <c r="K305" s="1045"/>
      <c r="L305" s="1048"/>
      <c r="M305" s="1100"/>
      <c r="N305" s="1103"/>
      <c r="O305" s="1092"/>
      <c r="P305" s="1092"/>
      <c r="Q305" s="1089"/>
      <c r="R305" s="1032"/>
      <c r="S305" s="1014"/>
      <c r="T305" s="1016"/>
      <c r="U305" s="1016"/>
      <c r="V305" s="1078"/>
      <c r="W305" s="993"/>
      <c r="X305" s="996"/>
      <c r="Y305" s="998"/>
      <c r="Z305" s="1000"/>
      <c r="AA305" s="1003"/>
      <c r="AB305" s="1006"/>
      <c r="AC305" s="1009"/>
      <c r="AD305" s="1012"/>
      <c r="AE305" s="1051"/>
      <c r="AF305" s="1014"/>
      <c r="AG305" s="1016"/>
      <c r="AH305" s="1016"/>
      <c r="AI305" s="1078"/>
      <c r="AJ305" s="993"/>
      <c r="AK305" s="996"/>
      <c r="AL305" s="998"/>
      <c r="AM305" s="1000"/>
      <c r="AN305" s="1003"/>
      <c r="AO305" s="1006"/>
      <c r="AP305" s="1009"/>
      <c r="AQ305" s="1012"/>
      <c r="AR305" s="1051"/>
      <c r="AS305" s="1014"/>
      <c r="AT305" s="1016"/>
      <c r="AU305" s="1016"/>
      <c r="AV305" s="1078"/>
      <c r="AW305" s="993"/>
      <c r="AX305" s="996"/>
      <c r="AY305" s="998"/>
      <c r="AZ305" s="1000"/>
      <c r="BA305" s="1003"/>
      <c r="BB305" s="1006"/>
      <c r="BC305" s="1009"/>
      <c r="BD305" s="1012"/>
      <c r="BE305" s="1051"/>
      <c r="BF305" s="987"/>
      <c r="BG305" s="989"/>
      <c r="BH305" s="989"/>
      <c r="BI305" s="991"/>
      <c r="BJ305" s="993"/>
      <c r="BK305" s="996"/>
      <c r="BL305" s="1053"/>
      <c r="BM305" s="1057"/>
      <c r="BN305" s="1063"/>
      <c r="BO305" s="1063"/>
      <c r="BP305" s="1066"/>
      <c r="BQ305" s="1012"/>
      <c r="BR305" s="1051"/>
      <c r="BS305" s="1026"/>
      <c r="BT305" s="1023"/>
      <c r="BU305" s="1012"/>
      <c r="BV305" s="1029"/>
      <c r="BW305" s="1032"/>
      <c r="BX305" s="1019"/>
      <c r="BY305" s="1019"/>
      <c r="BZ305" s="1019"/>
      <c r="CA305" s="1019"/>
      <c r="CB305" s="1019"/>
      <c r="CC305" s="1019"/>
      <c r="CD305" s="1019"/>
      <c r="CE305" s="1019"/>
      <c r="CF305" s="1019"/>
      <c r="CG305" s="1042"/>
    </row>
    <row r="306" spans="2:85" s="783" customFormat="1" ht="15" customHeight="1" x14ac:dyDescent="0.25">
      <c r="B306" s="977"/>
      <c r="C306" s="978"/>
      <c r="D306" s="978"/>
      <c r="E306" s="978"/>
      <c r="F306" s="978"/>
      <c r="G306" s="978"/>
      <c r="H306" s="978"/>
      <c r="I306" s="978"/>
      <c r="J306" s="978"/>
      <c r="K306" s="1045"/>
      <c r="L306" s="1048"/>
      <c r="M306" s="1100"/>
      <c r="N306" s="1103"/>
      <c r="O306" s="1092"/>
      <c r="P306" s="1092"/>
      <c r="Q306" s="1089"/>
      <c r="R306" s="1032"/>
      <c r="S306" s="1014"/>
      <c r="T306" s="1016"/>
      <c r="U306" s="1016"/>
      <c r="V306" s="1078"/>
      <c r="W306" s="993"/>
      <c r="X306" s="996" t="s">
        <v>196</v>
      </c>
      <c r="Y306" s="998"/>
      <c r="Z306" s="1000"/>
      <c r="AA306" s="1003"/>
      <c r="AB306" s="1006"/>
      <c r="AC306" s="1009"/>
      <c r="AD306" s="1012"/>
      <c r="AE306" s="1051"/>
      <c r="AF306" s="1014"/>
      <c r="AG306" s="1016"/>
      <c r="AH306" s="1016"/>
      <c r="AI306" s="1078"/>
      <c r="AJ306" s="993"/>
      <c r="AK306" s="996" t="s">
        <v>196</v>
      </c>
      <c r="AL306" s="998"/>
      <c r="AM306" s="1000"/>
      <c r="AN306" s="1003"/>
      <c r="AO306" s="1006"/>
      <c r="AP306" s="1009"/>
      <c r="AQ306" s="1012"/>
      <c r="AR306" s="1051"/>
      <c r="AS306" s="1014"/>
      <c r="AT306" s="1016"/>
      <c r="AU306" s="1016"/>
      <c r="AV306" s="1078"/>
      <c r="AW306" s="993"/>
      <c r="AX306" s="996" t="s">
        <v>196</v>
      </c>
      <c r="AY306" s="998"/>
      <c r="AZ306" s="1000"/>
      <c r="BA306" s="1003"/>
      <c r="BB306" s="1006"/>
      <c r="BC306" s="1009"/>
      <c r="BD306" s="1012"/>
      <c r="BE306" s="1051"/>
      <c r="BF306" s="987"/>
      <c r="BG306" s="989"/>
      <c r="BH306" s="989"/>
      <c r="BI306" s="991"/>
      <c r="BJ306" s="993"/>
      <c r="BK306" s="996" t="s">
        <v>196</v>
      </c>
      <c r="BL306" s="1053"/>
      <c r="BM306" s="1057"/>
      <c r="BN306" s="1063"/>
      <c r="BO306" s="1063"/>
      <c r="BP306" s="1066"/>
      <c r="BQ306" s="1012"/>
      <c r="BR306" s="1051"/>
      <c r="BS306" s="1026"/>
      <c r="BT306" s="1023"/>
      <c r="BU306" s="1012"/>
      <c r="BV306" s="1029"/>
      <c r="BW306" s="1032"/>
      <c r="BX306" s="1019"/>
      <c r="BY306" s="1019"/>
      <c r="BZ306" s="1019"/>
      <c r="CA306" s="1019"/>
      <c r="CB306" s="1019"/>
      <c r="CC306" s="1019"/>
      <c r="CD306" s="1019"/>
      <c r="CE306" s="1019"/>
      <c r="CF306" s="1019"/>
      <c r="CG306" s="1042"/>
    </row>
    <row r="307" spans="2:85" s="783" customFormat="1" ht="15" customHeight="1" x14ac:dyDescent="0.25">
      <c r="B307" s="977"/>
      <c r="C307" s="978"/>
      <c r="D307" s="978"/>
      <c r="E307" s="978"/>
      <c r="F307" s="978"/>
      <c r="G307" s="978"/>
      <c r="H307" s="978"/>
      <c r="I307" s="978"/>
      <c r="J307" s="978"/>
      <c r="K307" s="1045"/>
      <c r="L307" s="1048"/>
      <c r="M307" s="1100"/>
      <c r="N307" s="1103"/>
      <c r="O307" s="1092"/>
      <c r="P307" s="1092"/>
      <c r="Q307" s="1089"/>
      <c r="R307" s="1032"/>
      <c r="S307" s="1014"/>
      <c r="T307" s="1016"/>
      <c r="U307" s="1016"/>
      <c r="V307" s="1078"/>
      <c r="W307" s="993"/>
      <c r="X307" s="996"/>
      <c r="Y307" s="998"/>
      <c r="Z307" s="1000"/>
      <c r="AA307" s="1003"/>
      <c r="AB307" s="1006"/>
      <c r="AC307" s="1009"/>
      <c r="AD307" s="1012"/>
      <c r="AE307" s="1051"/>
      <c r="AF307" s="1014"/>
      <c r="AG307" s="1016"/>
      <c r="AH307" s="1016"/>
      <c r="AI307" s="1078"/>
      <c r="AJ307" s="993"/>
      <c r="AK307" s="996"/>
      <c r="AL307" s="998"/>
      <c r="AM307" s="1000"/>
      <c r="AN307" s="1003"/>
      <c r="AO307" s="1006"/>
      <c r="AP307" s="1009"/>
      <c r="AQ307" s="1012"/>
      <c r="AR307" s="1051"/>
      <c r="AS307" s="1014"/>
      <c r="AT307" s="1016"/>
      <c r="AU307" s="1016"/>
      <c r="AV307" s="1078"/>
      <c r="AW307" s="993"/>
      <c r="AX307" s="996"/>
      <c r="AY307" s="998"/>
      <c r="AZ307" s="1000"/>
      <c r="BA307" s="1003"/>
      <c r="BB307" s="1006"/>
      <c r="BC307" s="1009"/>
      <c r="BD307" s="1012"/>
      <c r="BE307" s="1051"/>
      <c r="BF307" s="987"/>
      <c r="BG307" s="989"/>
      <c r="BH307" s="989"/>
      <c r="BI307" s="991"/>
      <c r="BJ307" s="993"/>
      <c r="BK307" s="996"/>
      <c r="BL307" s="1053"/>
      <c r="BM307" s="1057"/>
      <c r="BN307" s="1063"/>
      <c r="BO307" s="1063"/>
      <c r="BP307" s="1066"/>
      <c r="BQ307" s="1012"/>
      <c r="BR307" s="1051"/>
      <c r="BS307" s="1026"/>
      <c r="BT307" s="1023"/>
      <c r="BU307" s="1012"/>
      <c r="BV307" s="1029"/>
      <c r="BW307" s="1032"/>
      <c r="BX307" s="1019"/>
      <c r="BY307" s="1019"/>
      <c r="BZ307" s="1019"/>
      <c r="CA307" s="1019"/>
      <c r="CB307" s="1019"/>
      <c r="CC307" s="1019"/>
      <c r="CD307" s="1019"/>
      <c r="CE307" s="1019"/>
      <c r="CF307" s="1019"/>
      <c r="CG307" s="1042"/>
    </row>
    <row r="308" spans="2:85" s="783" customFormat="1" ht="15" customHeight="1" x14ac:dyDescent="0.25">
      <c r="B308" s="977"/>
      <c r="C308" s="978"/>
      <c r="D308" s="978"/>
      <c r="E308" s="978"/>
      <c r="F308" s="978"/>
      <c r="G308" s="978"/>
      <c r="H308" s="978"/>
      <c r="I308" s="978"/>
      <c r="J308" s="978"/>
      <c r="K308" s="1045"/>
      <c r="L308" s="1048"/>
      <c r="M308" s="1100"/>
      <c r="N308" s="1103"/>
      <c r="O308" s="1092"/>
      <c r="P308" s="1092"/>
      <c r="Q308" s="1089"/>
      <c r="R308" s="1032"/>
      <c r="S308" s="1014"/>
      <c r="T308" s="1016"/>
      <c r="U308" s="1016"/>
      <c r="V308" s="1078"/>
      <c r="W308" s="993"/>
      <c r="X308" s="996"/>
      <c r="Y308" s="998"/>
      <c r="Z308" s="1000"/>
      <c r="AA308" s="1003"/>
      <c r="AB308" s="1006"/>
      <c r="AC308" s="1009"/>
      <c r="AD308" s="1012"/>
      <c r="AE308" s="1051"/>
      <c r="AF308" s="1014"/>
      <c r="AG308" s="1016"/>
      <c r="AH308" s="1016"/>
      <c r="AI308" s="1078"/>
      <c r="AJ308" s="993"/>
      <c r="AK308" s="996"/>
      <c r="AL308" s="998"/>
      <c r="AM308" s="1000"/>
      <c r="AN308" s="1003"/>
      <c r="AO308" s="1006"/>
      <c r="AP308" s="1009"/>
      <c r="AQ308" s="1012"/>
      <c r="AR308" s="1051"/>
      <c r="AS308" s="1014"/>
      <c r="AT308" s="1016"/>
      <c r="AU308" s="1016"/>
      <c r="AV308" s="1078"/>
      <c r="AW308" s="993"/>
      <c r="AX308" s="996"/>
      <c r="AY308" s="998"/>
      <c r="AZ308" s="1000"/>
      <c r="BA308" s="1003"/>
      <c r="BB308" s="1006"/>
      <c r="BC308" s="1009"/>
      <c r="BD308" s="1012"/>
      <c r="BE308" s="1051"/>
      <c r="BF308" s="987"/>
      <c r="BG308" s="989"/>
      <c r="BH308" s="989"/>
      <c r="BI308" s="991"/>
      <c r="BJ308" s="993"/>
      <c r="BK308" s="996"/>
      <c r="BL308" s="1053"/>
      <c r="BM308" s="1057"/>
      <c r="BN308" s="1063"/>
      <c r="BO308" s="1063"/>
      <c r="BP308" s="1066"/>
      <c r="BQ308" s="1012"/>
      <c r="BR308" s="1051"/>
      <c r="BS308" s="1026"/>
      <c r="BT308" s="1023"/>
      <c r="BU308" s="1012"/>
      <c r="BV308" s="1029"/>
      <c r="BW308" s="1032"/>
      <c r="BX308" s="1019"/>
      <c r="BY308" s="1019"/>
      <c r="BZ308" s="1019"/>
      <c r="CA308" s="1019"/>
      <c r="CB308" s="1019"/>
      <c r="CC308" s="1019"/>
      <c r="CD308" s="1019"/>
      <c r="CE308" s="1019"/>
      <c r="CF308" s="1019"/>
      <c r="CG308" s="1042"/>
    </row>
    <row r="309" spans="2:85" s="783" customFormat="1" ht="15" customHeight="1" x14ac:dyDescent="0.25">
      <c r="B309" s="977"/>
      <c r="C309" s="978"/>
      <c r="D309" s="978"/>
      <c r="E309" s="978"/>
      <c r="F309" s="978"/>
      <c r="G309" s="978"/>
      <c r="H309" s="978"/>
      <c r="I309" s="978"/>
      <c r="J309" s="978"/>
      <c r="K309" s="1045"/>
      <c r="L309" s="1048"/>
      <c r="M309" s="1100"/>
      <c r="N309" s="1103"/>
      <c r="O309" s="1092"/>
      <c r="P309" s="1092"/>
      <c r="Q309" s="1089"/>
      <c r="R309" s="1032"/>
      <c r="S309" s="1014"/>
      <c r="T309" s="1016"/>
      <c r="U309" s="1016"/>
      <c r="V309" s="1078"/>
      <c r="W309" s="993"/>
      <c r="X309" s="996"/>
      <c r="Y309" s="998"/>
      <c r="Z309" s="1000"/>
      <c r="AA309" s="1003"/>
      <c r="AB309" s="1006"/>
      <c r="AC309" s="1009"/>
      <c r="AD309" s="1012"/>
      <c r="AE309" s="1051"/>
      <c r="AF309" s="1014"/>
      <c r="AG309" s="1016"/>
      <c r="AH309" s="1016"/>
      <c r="AI309" s="1078"/>
      <c r="AJ309" s="993"/>
      <c r="AK309" s="996"/>
      <c r="AL309" s="998"/>
      <c r="AM309" s="1000"/>
      <c r="AN309" s="1003"/>
      <c r="AO309" s="1006"/>
      <c r="AP309" s="1009"/>
      <c r="AQ309" s="1012"/>
      <c r="AR309" s="1051"/>
      <c r="AS309" s="1014"/>
      <c r="AT309" s="1016"/>
      <c r="AU309" s="1016"/>
      <c r="AV309" s="1078"/>
      <c r="AW309" s="993"/>
      <c r="AX309" s="996"/>
      <c r="AY309" s="998"/>
      <c r="AZ309" s="1000"/>
      <c r="BA309" s="1003"/>
      <c r="BB309" s="1006"/>
      <c r="BC309" s="1009"/>
      <c r="BD309" s="1012"/>
      <c r="BE309" s="1051"/>
      <c r="BF309" s="987"/>
      <c r="BG309" s="989"/>
      <c r="BH309" s="989"/>
      <c r="BI309" s="991"/>
      <c r="BJ309" s="993"/>
      <c r="BK309" s="996"/>
      <c r="BL309" s="1053"/>
      <c r="BM309" s="1057"/>
      <c r="BN309" s="1063"/>
      <c r="BO309" s="1063"/>
      <c r="BP309" s="1066"/>
      <c r="BQ309" s="1012"/>
      <c r="BR309" s="1051"/>
      <c r="BS309" s="1026"/>
      <c r="BT309" s="1023"/>
      <c r="BU309" s="1012"/>
      <c r="BV309" s="1029"/>
      <c r="BW309" s="1032"/>
      <c r="BX309" s="1020"/>
      <c r="BY309" s="1020"/>
      <c r="BZ309" s="1020"/>
      <c r="CA309" s="1020"/>
      <c r="CB309" s="1020"/>
      <c r="CC309" s="1020"/>
      <c r="CD309" s="1020"/>
      <c r="CE309" s="1020"/>
      <c r="CF309" s="1020"/>
      <c r="CG309" s="1042"/>
    </row>
    <row r="310" spans="2:85" s="783" customFormat="1" ht="15" customHeight="1" x14ac:dyDescent="0.25">
      <c r="B310" s="977"/>
      <c r="C310" s="978"/>
      <c r="D310" s="978"/>
      <c r="E310" s="978"/>
      <c r="F310" s="978"/>
      <c r="G310" s="978"/>
      <c r="H310" s="978"/>
      <c r="I310" s="978"/>
      <c r="J310" s="978"/>
      <c r="K310" s="1045"/>
      <c r="L310" s="1048"/>
      <c r="M310" s="1100"/>
      <c r="N310" s="1103"/>
      <c r="O310" s="1092"/>
      <c r="P310" s="1092"/>
      <c r="Q310" s="1089"/>
      <c r="R310" s="1032"/>
      <c r="S310" s="1014"/>
      <c r="T310" s="1016"/>
      <c r="U310" s="1016"/>
      <c r="V310" s="1078"/>
      <c r="W310" s="993"/>
      <c r="X310" s="996" t="s">
        <v>197</v>
      </c>
      <c r="Y310" s="998"/>
      <c r="Z310" s="1000"/>
      <c r="AA310" s="1003"/>
      <c r="AB310" s="1006"/>
      <c r="AC310" s="1009"/>
      <c r="AD310" s="1012"/>
      <c r="AE310" s="1051"/>
      <c r="AF310" s="1014"/>
      <c r="AG310" s="1016"/>
      <c r="AH310" s="1016"/>
      <c r="AI310" s="1078"/>
      <c r="AJ310" s="993"/>
      <c r="AK310" s="996" t="s">
        <v>197</v>
      </c>
      <c r="AL310" s="998"/>
      <c r="AM310" s="1000"/>
      <c r="AN310" s="1003"/>
      <c r="AO310" s="1006"/>
      <c r="AP310" s="1009"/>
      <c r="AQ310" s="1012"/>
      <c r="AR310" s="1051"/>
      <c r="AS310" s="1014"/>
      <c r="AT310" s="1016"/>
      <c r="AU310" s="1016"/>
      <c r="AV310" s="1078"/>
      <c r="AW310" s="993"/>
      <c r="AX310" s="996" t="s">
        <v>197</v>
      </c>
      <c r="AY310" s="998"/>
      <c r="AZ310" s="1000"/>
      <c r="BA310" s="1003"/>
      <c r="BB310" s="1006"/>
      <c r="BC310" s="1009"/>
      <c r="BD310" s="1012"/>
      <c r="BE310" s="1051"/>
      <c r="BF310" s="987"/>
      <c r="BG310" s="989"/>
      <c r="BH310" s="989"/>
      <c r="BI310" s="991"/>
      <c r="BJ310" s="993"/>
      <c r="BK310" s="996" t="s">
        <v>197</v>
      </c>
      <c r="BL310" s="1053"/>
      <c r="BM310" s="1057"/>
      <c r="BN310" s="1063"/>
      <c r="BO310" s="1063"/>
      <c r="BP310" s="1066"/>
      <c r="BQ310" s="1012"/>
      <c r="BR310" s="1051"/>
      <c r="BS310" s="1026"/>
      <c r="BT310" s="1023"/>
      <c r="BU310" s="1012"/>
      <c r="BV310" s="1029"/>
      <c r="BW310" s="1032"/>
      <c r="BX310" s="1020"/>
      <c r="BY310" s="1020"/>
      <c r="BZ310" s="1020"/>
      <c r="CA310" s="1020"/>
      <c r="CB310" s="1020"/>
      <c r="CC310" s="1020"/>
      <c r="CD310" s="1020"/>
      <c r="CE310" s="1020"/>
      <c r="CF310" s="1020"/>
      <c r="CG310" s="1042"/>
    </row>
    <row r="311" spans="2:85" s="783" customFormat="1" ht="15" customHeight="1" x14ac:dyDescent="0.25">
      <c r="B311" s="977"/>
      <c r="C311" s="978"/>
      <c r="D311" s="978"/>
      <c r="E311" s="978"/>
      <c r="F311" s="978"/>
      <c r="G311" s="978"/>
      <c r="H311" s="978"/>
      <c r="I311" s="978"/>
      <c r="J311" s="978"/>
      <c r="K311" s="1045"/>
      <c r="L311" s="1048"/>
      <c r="M311" s="1100"/>
      <c r="N311" s="1103"/>
      <c r="O311" s="1092"/>
      <c r="P311" s="1092"/>
      <c r="Q311" s="1089"/>
      <c r="R311" s="1032"/>
      <c r="S311" s="1014"/>
      <c r="T311" s="1016"/>
      <c r="U311" s="1016"/>
      <c r="V311" s="1078"/>
      <c r="W311" s="993"/>
      <c r="X311" s="996"/>
      <c r="Y311" s="998"/>
      <c r="Z311" s="1000"/>
      <c r="AA311" s="1003"/>
      <c r="AB311" s="1006"/>
      <c r="AC311" s="1009"/>
      <c r="AD311" s="1012"/>
      <c r="AE311" s="1051"/>
      <c r="AF311" s="1014"/>
      <c r="AG311" s="1016"/>
      <c r="AH311" s="1016"/>
      <c r="AI311" s="1078"/>
      <c r="AJ311" s="993"/>
      <c r="AK311" s="996"/>
      <c r="AL311" s="998"/>
      <c r="AM311" s="1000"/>
      <c r="AN311" s="1003"/>
      <c r="AO311" s="1006"/>
      <c r="AP311" s="1009"/>
      <c r="AQ311" s="1012"/>
      <c r="AR311" s="1051"/>
      <c r="AS311" s="1014"/>
      <c r="AT311" s="1016"/>
      <c r="AU311" s="1016"/>
      <c r="AV311" s="1078"/>
      <c r="AW311" s="993"/>
      <c r="AX311" s="996"/>
      <c r="AY311" s="998"/>
      <c r="AZ311" s="1000"/>
      <c r="BA311" s="1003"/>
      <c r="BB311" s="1006"/>
      <c r="BC311" s="1009"/>
      <c r="BD311" s="1012"/>
      <c r="BE311" s="1051"/>
      <c r="BF311" s="987"/>
      <c r="BG311" s="989"/>
      <c r="BH311" s="989"/>
      <c r="BI311" s="991"/>
      <c r="BJ311" s="993"/>
      <c r="BK311" s="996"/>
      <c r="BL311" s="1053"/>
      <c r="BM311" s="1057"/>
      <c r="BN311" s="1063"/>
      <c r="BO311" s="1063"/>
      <c r="BP311" s="1066"/>
      <c r="BQ311" s="1012"/>
      <c r="BR311" s="1051"/>
      <c r="BS311" s="1026"/>
      <c r="BT311" s="1023"/>
      <c r="BU311" s="1012"/>
      <c r="BV311" s="1029"/>
      <c r="BW311" s="1032"/>
      <c r="BX311" s="1020"/>
      <c r="BY311" s="1020"/>
      <c r="BZ311" s="1020"/>
      <c r="CA311" s="1020"/>
      <c r="CB311" s="1020"/>
      <c r="CC311" s="1020"/>
      <c r="CD311" s="1020"/>
      <c r="CE311" s="1020"/>
      <c r="CF311" s="1020"/>
      <c r="CG311" s="1042"/>
    </row>
    <row r="312" spans="2:85" s="783" customFormat="1" ht="15" customHeight="1" x14ac:dyDescent="0.25">
      <c r="B312" s="977"/>
      <c r="C312" s="978"/>
      <c r="D312" s="978"/>
      <c r="E312" s="978"/>
      <c r="F312" s="978"/>
      <c r="G312" s="978"/>
      <c r="H312" s="978"/>
      <c r="I312" s="978"/>
      <c r="J312" s="978"/>
      <c r="K312" s="1045"/>
      <c r="L312" s="1048"/>
      <c r="M312" s="1100"/>
      <c r="N312" s="1103"/>
      <c r="O312" s="1092"/>
      <c r="P312" s="1092"/>
      <c r="Q312" s="1089"/>
      <c r="R312" s="1032"/>
      <c r="S312" s="1014"/>
      <c r="T312" s="1016"/>
      <c r="U312" s="1016"/>
      <c r="V312" s="1078"/>
      <c r="W312" s="993"/>
      <c r="X312" s="996"/>
      <c r="Y312" s="998"/>
      <c r="Z312" s="1000"/>
      <c r="AA312" s="1003"/>
      <c r="AB312" s="1006"/>
      <c r="AC312" s="1009"/>
      <c r="AD312" s="1012"/>
      <c r="AE312" s="1051"/>
      <c r="AF312" s="1014"/>
      <c r="AG312" s="1016"/>
      <c r="AH312" s="1016"/>
      <c r="AI312" s="1078"/>
      <c r="AJ312" s="993"/>
      <c r="AK312" s="996"/>
      <c r="AL312" s="998"/>
      <c r="AM312" s="1000"/>
      <c r="AN312" s="1003"/>
      <c r="AO312" s="1006"/>
      <c r="AP312" s="1009"/>
      <c r="AQ312" s="1012"/>
      <c r="AR312" s="1051"/>
      <c r="AS312" s="1014"/>
      <c r="AT312" s="1016"/>
      <c r="AU312" s="1016"/>
      <c r="AV312" s="1078"/>
      <c r="AW312" s="993"/>
      <c r="AX312" s="996"/>
      <c r="AY312" s="998"/>
      <c r="AZ312" s="1000"/>
      <c r="BA312" s="1003"/>
      <c r="BB312" s="1006"/>
      <c r="BC312" s="1009"/>
      <c r="BD312" s="1012"/>
      <c r="BE312" s="1051"/>
      <c r="BF312" s="987"/>
      <c r="BG312" s="989"/>
      <c r="BH312" s="989"/>
      <c r="BI312" s="991"/>
      <c r="BJ312" s="993"/>
      <c r="BK312" s="996"/>
      <c r="BL312" s="1053"/>
      <c r="BM312" s="1057"/>
      <c r="BN312" s="1063"/>
      <c r="BO312" s="1063"/>
      <c r="BP312" s="1066"/>
      <c r="BQ312" s="1012"/>
      <c r="BR312" s="1051"/>
      <c r="BS312" s="1026"/>
      <c r="BT312" s="1023"/>
      <c r="BU312" s="1012"/>
      <c r="BV312" s="1029"/>
      <c r="BW312" s="1032"/>
      <c r="BX312" s="1020"/>
      <c r="BY312" s="1020"/>
      <c r="BZ312" s="1020"/>
      <c r="CA312" s="1020"/>
      <c r="CB312" s="1020"/>
      <c r="CC312" s="1020"/>
      <c r="CD312" s="1020"/>
      <c r="CE312" s="1020"/>
      <c r="CF312" s="1020"/>
      <c r="CG312" s="1042"/>
    </row>
    <row r="313" spans="2:85" s="783" customFormat="1" ht="15.75" customHeight="1" thickBot="1" x14ac:dyDescent="0.3">
      <c r="B313" s="980"/>
      <c r="C313" s="981"/>
      <c r="D313" s="981"/>
      <c r="E313" s="981"/>
      <c r="F313" s="981"/>
      <c r="G313" s="981"/>
      <c r="H313" s="981"/>
      <c r="I313" s="981"/>
      <c r="J313" s="981"/>
      <c r="K313" s="1045"/>
      <c r="L313" s="1049"/>
      <c r="M313" s="1101"/>
      <c r="N313" s="1104"/>
      <c r="O313" s="1093"/>
      <c r="P313" s="1093"/>
      <c r="Q313" s="1090"/>
      <c r="R313" s="1032"/>
      <c r="S313" s="1015"/>
      <c r="T313" s="1017"/>
      <c r="U313" s="1017"/>
      <c r="V313" s="1079"/>
      <c r="W313" s="994"/>
      <c r="X313" s="1068"/>
      <c r="Y313" s="1069"/>
      <c r="Z313" s="1001"/>
      <c r="AA313" s="1004"/>
      <c r="AB313" s="1007"/>
      <c r="AC313" s="1010"/>
      <c r="AD313" s="1013"/>
      <c r="AE313" s="1051"/>
      <c r="AF313" s="1015"/>
      <c r="AG313" s="1017"/>
      <c r="AH313" s="1017"/>
      <c r="AI313" s="1079"/>
      <c r="AJ313" s="994"/>
      <c r="AK313" s="1068"/>
      <c r="AL313" s="1069"/>
      <c r="AM313" s="1001"/>
      <c r="AN313" s="1004"/>
      <c r="AO313" s="1007"/>
      <c r="AP313" s="1010"/>
      <c r="AQ313" s="1013"/>
      <c r="AR313" s="1051"/>
      <c r="AS313" s="1015"/>
      <c r="AT313" s="1017"/>
      <c r="AU313" s="1017"/>
      <c r="AV313" s="1079"/>
      <c r="AW313" s="994"/>
      <c r="AX313" s="1068"/>
      <c r="AY313" s="1069"/>
      <c r="AZ313" s="1001"/>
      <c r="BA313" s="1004"/>
      <c r="BB313" s="1007"/>
      <c r="BC313" s="1010"/>
      <c r="BD313" s="1013"/>
      <c r="BE313" s="1051"/>
      <c r="BF313" s="988"/>
      <c r="BG313" s="990"/>
      <c r="BH313" s="990"/>
      <c r="BI313" s="992"/>
      <c r="BJ313" s="994"/>
      <c r="BK313" s="1068"/>
      <c r="BL313" s="1054"/>
      <c r="BM313" s="1058"/>
      <c r="BN313" s="1064"/>
      <c r="BO313" s="1064"/>
      <c r="BP313" s="1067"/>
      <c r="BQ313" s="1013"/>
      <c r="BR313" s="1051"/>
      <c r="BS313" s="1027"/>
      <c r="BT313" s="1024"/>
      <c r="BU313" s="1013"/>
      <c r="BV313" s="1029"/>
      <c r="BW313" s="1032"/>
      <c r="BX313" s="1021"/>
      <c r="BY313" s="1021"/>
      <c r="BZ313" s="1021"/>
      <c r="CA313" s="1021"/>
      <c r="CB313" s="1021"/>
      <c r="CC313" s="1021"/>
      <c r="CD313" s="1021"/>
      <c r="CE313" s="1021"/>
      <c r="CF313" s="1021"/>
      <c r="CG313" s="1042"/>
    </row>
    <row r="314" spans="2:85" s="783" customFormat="1" ht="15" customHeight="1" x14ac:dyDescent="0.25">
      <c r="B314" s="974" t="s">
        <v>227</v>
      </c>
      <c r="C314" s="975"/>
      <c r="D314" s="975"/>
      <c r="E314" s="975"/>
      <c r="F314" s="975"/>
      <c r="G314" s="975"/>
      <c r="H314" s="975"/>
      <c r="I314" s="975"/>
      <c r="J314" s="975"/>
      <c r="K314" s="1045"/>
      <c r="L314" s="1047"/>
      <c r="M314" s="1099">
        <v>0</v>
      </c>
      <c r="N314" s="1102"/>
      <c r="O314" s="1091"/>
      <c r="P314" s="1091">
        <v>0</v>
      </c>
      <c r="Q314" s="1088" t="s">
        <v>520</v>
      </c>
      <c r="R314" s="1032"/>
      <c r="S314" s="1014"/>
      <c r="T314" s="1016"/>
      <c r="U314" s="1016"/>
      <c r="V314" s="1078"/>
      <c r="W314" s="993">
        <f>SUM(S314:V325)</f>
        <v>0</v>
      </c>
      <c r="X314" s="995" t="s">
        <v>195</v>
      </c>
      <c r="Y314" s="997"/>
      <c r="Z314" s="999"/>
      <c r="AA314" s="1002"/>
      <c r="AB314" s="1005"/>
      <c r="AC314" s="1008"/>
      <c r="AD314" s="1011">
        <f>SUM(Z314:AC325)</f>
        <v>0</v>
      </c>
      <c r="AE314" s="1051"/>
      <c r="AF314" s="1014"/>
      <c r="AG314" s="1016"/>
      <c r="AH314" s="1016"/>
      <c r="AI314" s="1078"/>
      <c r="AJ314" s="993">
        <f>SUM(AF314:AI325)</f>
        <v>0</v>
      </c>
      <c r="AK314" s="995" t="s">
        <v>195</v>
      </c>
      <c r="AL314" s="997"/>
      <c r="AM314" s="999"/>
      <c r="AN314" s="1002"/>
      <c r="AO314" s="1005"/>
      <c r="AP314" s="1008"/>
      <c r="AQ314" s="1011">
        <f>SUM(AM314:AP325)</f>
        <v>0</v>
      </c>
      <c r="AR314" s="1051"/>
      <c r="AS314" s="1014"/>
      <c r="AT314" s="1016"/>
      <c r="AU314" s="1016"/>
      <c r="AV314" s="1078"/>
      <c r="AW314" s="993">
        <f>SUM(AS314:AV325)</f>
        <v>0</v>
      </c>
      <c r="AX314" s="995" t="s">
        <v>195</v>
      </c>
      <c r="AY314" s="997"/>
      <c r="AZ314" s="999"/>
      <c r="BA314" s="1002"/>
      <c r="BB314" s="1005"/>
      <c r="BC314" s="1008">
        <v>0</v>
      </c>
      <c r="BD314" s="1011">
        <f>SUM(AZ314:BC325)</f>
        <v>0</v>
      </c>
      <c r="BE314" s="1051"/>
      <c r="BF314" s="987"/>
      <c r="BG314" s="989"/>
      <c r="BH314" s="989"/>
      <c r="BI314" s="991"/>
      <c r="BJ314" s="993">
        <f>SUM(BF314:BI325)</f>
        <v>0</v>
      </c>
      <c r="BK314" s="995" t="s">
        <v>195</v>
      </c>
      <c r="BL314" s="1055"/>
      <c r="BM314" s="1056"/>
      <c r="BN314" s="1059"/>
      <c r="BO314" s="1062"/>
      <c r="BP314" s="1065"/>
      <c r="BQ314" s="1011">
        <f>SUM(BM314:BP325)</f>
        <v>0</v>
      </c>
      <c r="BR314" s="1051"/>
      <c r="BS314" s="1025"/>
      <c r="BT314" s="1022">
        <f>SUM(W314,AJ314,AW314,BJ314)</f>
        <v>0</v>
      </c>
      <c r="BU314" s="1011">
        <f>SUM(AD314,AQ314,BD314,BQ314)</f>
        <v>0</v>
      </c>
      <c r="BV314" s="1029"/>
      <c r="BW314" s="1032"/>
      <c r="BX314" s="1018"/>
      <c r="BY314" s="1018">
        <f>IFERROR(AD314/N314,0)</f>
        <v>0</v>
      </c>
      <c r="BZ314" s="1018"/>
      <c r="CA314" s="1018">
        <f>IFERROR(AQ314/O314,0)</f>
        <v>0</v>
      </c>
      <c r="CB314" s="1018"/>
      <c r="CC314" s="1018">
        <f>IFERROR(BD314/P314,0)</f>
        <v>0</v>
      </c>
      <c r="CD314" s="1018"/>
      <c r="CE314" s="1018">
        <f>IFERROR(BQ314/Q314,0)</f>
        <v>0</v>
      </c>
      <c r="CF314" s="1018"/>
      <c r="CG314" s="1042"/>
    </row>
    <row r="315" spans="2:85" s="783" customFormat="1" ht="15" customHeight="1" x14ac:dyDescent="0.25">
      <c r="B315" s="977"/>
      <c r="C315" s="978"/>
      <c r="D315" s="978"/>
      <c r="E315" s="978"/>
      <c r="F315" s="978"/>
      <c r="G315" s="978"/>
      <c r="H315" s="978"/>
      <c r="I315" s="978"/>
      <c r="J315" s="978"/>
      <c r="K315" s="1045"/>
      <c r="L315" s="1048"/>
      <c r="M315" s="1100"/>
      <c r="N315" s="1103"/>
      <c r="O315" s="1092"/>
      <c r="P315" s="1092"/>
      <c r="Q315" s="1089"/>
      <c r="R315" s="1032"/>
      <c r="S315" s="1014"/>
      <c r="T315" s="1016"/>
      <c r="U315" s="1016"/>
      <c r="V315" s="1078"/>
      <c r="W315" s="993"/>
      <c r="X315" s="996"/>
      <c r="Y315" s="998"/>
      <c r="Z315" s="1000"/>
      <c r="AA315" s="1003"/>
      <c r="AB315" s="1006"/>
      <c r="AC315" s="1009"/>
      <c r="AD315" s="1012"/>
      <c r="AE315" s="1051"/>
      <c r="AF315" s="1014"/>
      <c r="AG315" s="1016"/>
      <c r="AH315" s="1016"/>
      <c r="AI315" s="1078"/>
      <c r="AJ315" s="993"/>
      <c r="AK315" s="996"/>
      <c r="AL315" s="998"/>
      <c r="AM315" s="1000"/>
      <c r="AN315" s="1003"/>
      <c r="AO315" s="1006"/>
      <c r="AP315" s="1009"/>
      <c r="AQ315" s="1012"/>
      <c r="AR315" s="1051"/>
      <c r="AS315" s="1014"/>
      <c r="AT315" s="1016"/>
      <c r="AU315" s="1016"/>
      <c r="AV315" s="1078"/>
      <c r="AW315" s="993"/>
      <c r="AX315" s="996"/>
      <c r="AY315" s="998"/>
      <c r="AZ315" s="1000"/>
      <c r="BA315" s="1003"/>
      <c r="BB315" s="1006"/>
      <c r="BC315" s="1009"/>
      <c r="BD315" s="1012"/>
      <c r="BE315" s="1051"/>
      <c r="BF315" s="987"/>
      <c r="BG315" s="989"/>
      <c r="BH315" s="989"/>
      <c r="BI315" s="991"/>
      <c r="BJ315" s="993"/>
      <c r="BK315" s="996"/>
      <c r="BL315" s="1053"/>
      <c r="BM315" s="1057"/>
      <c r="BN315" s="1060"/>
      <c r="BO315" s="1063"/>
      <c r="BP315" s="1066"/>
      <c r="BQ315" s="1012"/>
      <c r="BR315" s="1051"/>
      <c r="BS315" s="1026"/>
      <c r="BT315" s="1023"/>
      <c r="BU315" s="1012"/>
      <c r="BV315" s="1029"/>
      <c r="BW315" s="1032"/>
      <c r="BX315" s="1019"/>
      <c r="BY315" s="1019"/>
      <c r="BZ315" s="1019"/>
      <c r="CA315" s="1019"/>
      <c r="CB315" s="1019"/>
      <c r="CC315" s="1019"/>
      <c r="CD315" s="1019"/>
      <c r="CE315" s="1019"/>
      <c r="CF315" s="1019"/>
      <c r="CG315" s="1042"/>
    </row>
    <row r="316" spans="2:85" s="783" customFormat="1" ht="15" customHeight="1" x14ac:dyDescent="0.25">
      <c r="B316" s="977"/>
      <c r="C316" s="978"/>
      <c r="D316" s="978"/>
      <c r="E316" s="978"/>
      <c r="F316" s="978"/>
      <c r="G316" s="978"/>
      <c r="H316" s="978"/>
      <c r="I316" s="978"/>
      <c r="J316" s="978"/>
      <c r="K316" s="1045"/>
      <c r="L316" s="1048"/>
      <c r="M316" s="1100"/>
      <c r="N316" s="1103"/>
      <c r="O316" s="1092"/>
      <c r="P316" s="1092"/>
      <c r="Q316" s="1089"/>
      <c r="R316" s="1032"/>
      <c r="S316" s="1014"/>
      <c r="T316" s="1016"/>
      <c r="U316" s="1016"/>
      <c r="V316" s="1078"/>
      <c r="W316" s="993"/>
      <c r="X316" s="996"/>
      <c r="Y316" s="998"/>
      <c r="Z316" s="1000"/>
      <c r="AA316" s="1003"/>
      <c r="AB316" s="1006"/>
      <c r="AC316" s="1009"/>
      <c r="AD316" s="1012"/>
      <c r="AE316" s="1051"/>
      <c r="AF316" s="1014"/>
      <c r="AG316" s="1016"/>
      <c r="AH316" s="1016"/>
      <c r="AI316" s="1078"/>
      <c r="AJ316" s="993"/>
      <c r="AK316" s="996"/>
      <c r="AL316" s="998"/>
      <c r="AM316" s="1000"/>
      <c r="AN316" s="1003"/>
      <c r="AO316" s="1006"/>
      <c r="AP316" s="1009"/>
      <c r="AQ316" s="1012"/>
      <c r="AR316" s="1051"/>
      <c r="AS316" s="1014"/>
      <c r="AT316" s="1016"/>
      <c r="AU316" s="1016"/>
      <c r="AV316" s="1078"/>
      <c r="AW316" s="993"/>
      <c r="AX316" s="996"/>
      <c r="AY316" s="998"/>
      <c r="AZ316" s="1000"/>
      <c r="BA316" s="1003"/>
      <c r="BB316" s="1006"/>
      <c r="BC316" s="1009"/>
      <c r="BD316" s="1012"/>
      <c r="BE316" s="1051"/>
      <c r="BF316" s="987"/>
      <c r="BG316" s="989"/>
      <c r="BH316" s="989"/>
      <c r="BI316" s="991"/>
      <c r="BJ316" s="993"/>
      <c r="BK316" s="996"/>
      <c r="BL316" s="1053"/>
      <c r="BM316" s="1057"/>
      <c r="BN316" s="1060"/>
      <c r="BO316" s="1063"/>
      <c r="BP316" s="1066"/>
      <c r="BQ316" s="1012"/>
      <c r="BR316" s="1051"/>
      <c r="BS316" s="1026"/>
      <c r="BT316" s="1023"/>
      <c r="BU316" s="1012"/>
      <c r="BV316" s="1029"/>
      <c r="BW316" s="1032"/>
      <c r="BX316" s="1019"/>
      <c r="BY316" s="1019"/>
      <c r="BZ316" s="1019"/>
      <c r="CA316" s="1019"/>
      <c r="CB316" s="1019"/>
      <c r="CC316" s="1019"/>
      <c r="CD316" s="1019"/>
      <c r="CE316" s="1019"/>
      <c r="CF316" s="1019"/>
      <c r="CG316" s="1042"/>
    </row>
    <row r="317" spans="2:85" s="783" customFormat="1" ht="15" customHeight="1" x14ac:dyDescent="0.25">
      <c r="B317" s="977"/>
      <c r="C317" s="978"/>
      <c r="D317" s="978"/>
      <c r="E317" s="978"/>
      <c r="F317" s="978"/>
      <c r="G317" s="978"/>
      <c r="H317" s="978"/>
      <c r="I317" s="978"/>
      <c r="J317" s="978"/>
      <c r="K317" s="1045"/>
      <c r="L317" s="1048"/>
      <c r="M317" s="1100"/>
      <c r="N317" s="1103"/>
      <c r="O317" s="1092"/>
      <c r="P317" s="1092"/>
      <c r="Q317" s="1089"/>
      <c r="R317" s="1032"/>
      <c r="S317" s="1014"/>
      <c r="T317" s="1016"/>
      <c r="U317" s="1016"/>
      <c r="V317" s="1078"/>
      <c r="W317" s="993"/>
      <c r="X317" s="996"/>
      <c r="Y317" s="998"/>
      <c r="Z317" s="1000"/>
      <c r="AA317" s="1003"/>
      <c r="AB317" s="1006"/>
      <c r="AC317" s="1009"/>
      <c r="AD317" s="1012"/>
      <c r="AE317" s="1051"/>
      <c r="AF317" s="1014"/>
      <c r="AG317" s="1016"/>
      <c r="AH317" s="1016"/>
      <c r="AI317" s="1078"/>
      <c r="AJ317" s="993"/>
      <c r="AK317" s="996"/>
      <c r="AL317" s="998"/>
      <c r="AM317" s="1000"/>
      <c r="AN317" s="1003"/>
      <c r="AO317" s="1006"/>
      <c r="AP317" s="1009"/>
      <c r="AQ317" s="1012"/>
      <c r="AR317" s="1051"/>
      <c r="AS317" s="1014"/>
      <c r="AT317" s="1016"/>
      <c r="AU317" s="1016"/>
      <c r="AV317" s="1078"/>
      <c r="AW317" s="993"/>
      <c r="AX317" s="996"/>
      <c r="AY317" s="998"/>
      <c r="AZ317" s="1000"/>
      <c r="BA317" s="1003"/>
      <c r="BB317" s="1006"/>
      <c r="BC317" s="1009"/>
      <c r="BD317" s="1012"/>
      <c r="BE317" s="1051"/>
      <c r="BF317" s="987"/>
      <c r="BG317" s="989"/>
      <c r="BH317" s="989"/>
      <c r="BI317" s="991"/>
      <c r="BJ317" s="993"/>
      <c r="BK317" s="996"/>
      <c r="BL317" s="1053"/>
      <c r="BM317" s="1057"/>
      <c r="BN317" s="1060"/>
      <c r="BO317" s="1063"/>
      <c r="BP317" s="1066"/>
      <c r="BQ317" s="1012"/>
      <c r="BR317" s="1051"/>
      <c r="BS317" s="1026"/>
      <c r="BT317" s="1023"/>
      <c r="BU317" s="1012"/>
      <c r="BV317" s="1029"/>
      <c r="BW317" s="1032"/>
      <c r="BX317" s="1019"/>
      <c r="BY317" s="1019"/>
      <c r="BZ317" s="1019"/>
      <c r="CA317" s="1019"/>
      <c r="CB317" s="1019"/>
      <c r="CC317" s="1019"/>
      <c r="CD317" s="1019"/>
      <c r="CE317" s="1019"/>
      <c r="CF317" s="1019"/>
      <c r="CG317" s="1042"/>
    </row>
    <row r="318" spans="2:85" s="783" customFormat="1" ht="15" customHeight="1" x14ac:dyDescent="0.25">
      <c r="B318" s="977"/>
      <c r="C318" s="978"/>
      <c r="D318" s="978"/>
      <c r="E318" s="978"/>
      <c r="F318" s="978"/>
      <c r="G318" s="978"/>
      <c r="H318" s="978"/>
      <c r="I318" s="978"/>
      <c r="J318" s="978"/>
      <c r="K318" s="1045"/>
      <c r="L318" s="1048"/>
      <c r="M318" s="1100"/>
      <c r="N318" s="1103"/>
      <c r="O318" s="1092"/>
      <c r="P318" s="1092"/>
      <c r="Q318" s="1089"/>
      <c r="R318" s="1032"/>
      <c r="S318" s="1014"/>
      <c r="T318" s="1016"/>
      <c r="U318" s="1016"/>
      <c r="V318" s="1078"/>
      <c r="W318" s="993"/>
      <c r="X318" s="996" t="s">
        <v>196</v>
      </c>
      <c r="Y318" s="998"/>
      <c r="Z318" s="1000"/>
      <c r="AA318" s="1003"/>
      <c r="AB318" s="1006"/>
      <c r="AC318" s="1009"/>
      <c r="AD318" s="1012"/>
      <c r="AE318" s="1051"/>
      <c r="AF318" s="1014"/>
      <c r="AG318" s="1016"/>
      <c r="AH318" s="1016"/>
      <c r="AI318" s="1078"/>
      <c r="AJ318" s="993"/>
      <c r="AK318" s="996" t="s">
        <v>196</v>
      </c>
      <c r="AL318" s="998"/>
      <c r="AM318" s="1000"/>
      <c r="AN318" s="1003"/>
      <c r="AO318" s="1006"/>
      <c r="AP318" s="1009"/>
      <c r="AQ318" s="1012"/>
      <c r="AR318" s="1051"/>
      <c r="AS318" s="1014"/>
      <c r="AT318" s="1016"/>
      <c r="AU318" s="1016"/>
      <c r="AV318" s="1078"/>
      <c r="AW318" s="993"/>
      <c r="AX318" s="996" t="s">
        <v>196</v>
      </c>
      <c r="AY318" s="998"/>
      <c r="AZ318" s="1000"/>
      <c r="BA318" s="1003"/>
      <c r="BB318" s="1006"/>
      <c r="BC318" s="1009"/>
      <c r="BD318" s="1012"/>
      <c r="BE318" s="1051"/>
      <c r="BF318" s="987"/>
      <c r="BG318" s="989"/>
      <c r="BH318" s="989"/>
      <c r="BI318" s="991"/>
      <c r="BJ318" s="993"/>
      <c r="BK318" s="996" t="s">
        <v>196</v>
      </c>
      <c r="BL318" s="1053"/>
      <c r="BM318" s="1057"/>
      <c r="BN318" s="1060"/>
      <c r="BO318" s="1063"/>
      <c r="BP318" s="1066"/>
      <c r="BQ318" s="1012"/>
      <c r="BR318" s="1051"/>
      <c r="BS318" s="1026"/>
      <c r="BT318" s="1023"/>
      <c r="BU318" s="1012"/>
      <c r="BV318" s="1029"/>
      <c r="BW318" s="1032"/>
      <c r="BX318" s="1019"/>
      <c r="BY318" s="1019"/>
      <c r="BZ318" s="1019"/>
      <c r="CA318" s="1019"/>
      <c r="CB318" s="1019"/>
      <c r="CC318" s="1019"/>
      <c r="CD318" s="1019"/>
      <c r="CE318" s="1019"/>
      <c r="CF318" s="1019"/>
      <c r="CG318" s="1042"/>
    </row>
    <row r="319" spans="2:85" s="783" customFormat="1" ht="15" customHeight="1" x14ac:dyDescent="0.25">
      <c r="B319" s="977"/>
      <c r="C319" s="978"/>
      <c r="D319" s="978"/>
      <c r="E319" s="978"/>
      <c r="F319" s="978"/>
      <c r="G319" s="978"/>
      <c r="H319" s="978"/>
      <c r="I319" s="978"/>
      <c r="J319" s="978"/>
      <c r="K319" s="1045"/>
      <c r="L319" s="1048"/>
      <c r="M319" s="1100"/>
      <c r="N319" s="1103"/>
      <c r="O319" s="1092"/>
      <c r="P319" s="1092"/>
      <c r="Q319" s="1089"/>
      <c r="R319" s="1032"/>
      <c r="S319" s="1014"/>
      <c r="T319" s="1016"/>
      <c r="U319" s="1016"/>
      <c r="V319" s="1078"/>
      <c r="W319" s="993"/>
      <c r="X319" s="996"/>
      <c r="Y319" s="998"/>
      <c r="Z319" s="1000"/>
      <c r="AA319" s="1003"/>
      <c r="AB319" s="1006"/>
      <c r="AC319" s="1009"/>
      <c r="AD319" s="1012"/>
      <c r="AE319" s="1051"/>
      <c r="AF319" s="1014"/>
      <c r="AG319" s="1016"/>
      <c r="AH319" s="1016"/>
      <c r="AI319" s="1078"/>
      <c r="AJ319" s="993"/>
      <c r="AK319" s="996"/>
      <c r="AL319" s="998"/>
      <c r="AM319" s="1000"/>
      <c r="AN319" s="1003"/>
      <c r="AO319" s="1006"/>
      <c r="AP319" s="1009"/>
      <c r="AQ319" s="1012"/>
      <c r="AR319" s="1051"/>
      <c r="AS319" s="1014"/>
      <c r="AT319" s="1016"/>
      <c r="AU319" s="1016"/>
      <c r="AV319" s="1078"/>
      <c r="AW319" s="993"/>
      <c r="AX319" s="996"/>
      <c r="AY319" s="998"/>
      <c r="AZ319" s="1000"/>
      <c r="BA319" s="1003"/>
      <c r="BB319" s="1006"/>
      <c r="BC319" s="1009"/>
      <c r="BD319" s="1012"/>
      <c r="BE319" s="1051"/>
      <c r="BF319" s="987"/>
      <c r="BG319" s="989"/>
      <c r="BH319" s="989"/>
      <c r="BI319" s="991"/>
      <c r="BJ319" s="993"/>
      <c r="BK319" s="996"/>
      <c r="BL319" s="1053"/>
      <c r="BM319" s="1057"/>
      <c r="BN319" s="1060"/>
      <c r="BO319" s="1063"/>
      <c r="BP319" s="1066"/>
      <c r="BQ319" s="1012"/>
      <c r="BR319" s="1051"/>
      <c r="BS319" s="1026"/>
      <c r="BT319" s="1023"/>
      <c r="BU319" s="1012"/>
      <c r="BV319" s="1029"/>
      <c r="BW319" s="1032"/>
      <c r="BX319" s="1019"/>
      <c r="BY319" s="1019"/>
      <c r="BZ319" s="1019"/>
      <c r="CA319" s="1019"/>
      <c r="CB319" s="1019"/>
      <c r="CC319" s="1019"/>
      <c r="CD319" s="1019"/>
      <c r="CE319" s="1019"/>
      <c r="CF319" s="1019"/>
      <c r="CG319" s="1042"/>
    </row>
    <row r="320" spans="2:85" s="783" customFormat="1" ht="15" customHeight="1" x14ac:dyDescent="0.25">
      <c r="B320" s="977"/>
      <c r="C320" s="978"/>
      <c r="D320" s="978"/>
      <c r="E320" s="978"/>
      <c r="F320" s="978"/>
      <c r="G320" s="978"/>
      <c r="H320" s="978"/>
      <c r="I320" s="978"/>
      <c r="J320" s="978"/>
      <c r="K320" s="1045"/>
      <c r="L320" s="1048"/>
      <c r="M320" s="1100"/>
      <c r="N320" s="1103"/>
      <c r="O320" s="1092"/>
      <c r="P320" s="1092"/>
      <c r="Q320" s="1089"/>
      <c r="R320" s="1032"/>
      <c r="S320" s="1014"/>
      <c r="T320" s="1016"/>
      <c r="U320" s="1016"/>
      <c r="V320" s="1078"/>
      <c r="W320" s="993"/>
      <c r="X320" s="996"/>
      <c r="Y320" s="998"/>
      <c r="Z320" s="1000"/>
      <c r="AA320" s="1003"/>
      <c r="AB320" s="1006"/>
      <c r="AC320" s="1009"/>
      <c r="AD320" s="1012"/>
      <c r="AE320" s="1051"/>
      <c r="AF320" s="1014"/>
      <c r="AG320" s="1016"/>
      <c r="AH320" s="1016"/>
      <c r="AI320" s="1078"/>
      <c r="AJ320" s="993"/>
      <c r="AK320" s="996"/>
      <c r="AL320" s="998"/>
      <c r="AM320" s="1000"/>
      <c r="AN320" s="1003"/>
      <c r="AO320" s="1006"/>
      <c r="AP320" s="1009"/>
      <c r="AQ320" s="1012"/>
      <c r="AR320" s="1051"/>
      <c r="AS320" s="1014"/>
      <c r="AT320" s="1016"/>
      <c r="AU320" s="1016"/>
      <c r="AV320" s="1078"/>
      <c r="AW320" s="993"/>
      <c r="AX320" s="996"/>
      <c r="AY320" s="998"/>
      <c r="AZ320" s="1000"/>
      <c r="BA320" s="1003"/>
      <c r="BB320" s="1006"/>
      <c r="BC320" s="1009"/>
      <c r="BD320" s="1012"/>
      <c r="BE320" s="1051"/>
      <c r="BF320" s="987"/>
      <c r="BG320" s="989"/>
      <c r="BH320" s="989"/>
      <c r="BI320" s="991"/>
      <c r="BJ320" s="993"/>
      <c r="BK320" s="996"/>
      <c r="BL320" s="1053"/>
      <c r="BM320" s="1057"/>
      <c r="BN320" s="1060"/>
      <c r="BO320" s="1063"/>
      <c r="BP320" s="1066"/>
      <c r="BQ320" s="1012"/>
      <c r="BR320" s="1051"/>
      <c r="BS320" s="1026"/>
      <c r="BT320" s="1023"/>
      <c r="BU320" s="1012"/>
      <c r="BV320" s="1029"/>
      <c r="BW320" s="1032"/>
      <c r="BX320" s="1019"/>
      <c r="BY320" s="1019"/>
      <c r="BZ320" s="1019"/>
      <c r="CA320" s="1019"/>
      <c r="CB320" s="1019"/>
      <c r="CC320" s="1019"/>
      <c r="CD320" s="1019"/>
      <c r="CE320" s="1019"/>
      <c r="CF320" s="1019"/>
      <c r="CG320" s="1042"/>
    </row>
    <row r="321" spans="2:85" s="783" customFormat="1" ht="15" customHeight="1" x14ac:dyDescent="0.25">
      <c r="B321" s="977"/>
      <c r="C321" s="978"/>
      <c r="D321" s="978"/>
      <c r="E321" s="978"/>
      <c r="F321" s="978"/>
      <c r="G321" s="978"/>
      <c r="H321" s="978"/>
      <c r="I321" s="978"/>
      <c r="J321" s="978"/>
      <c r="K321" s="1045"/>
      <c r="L321" s="1048"/>
      <c r="M321" s="1100"/>
      <c r="N321" s="1103"/>
      <c r="O321" s="1092"/>
      <c r="P321" s="1092"/>
      <c r="Q321" s="1089"/>
      <c r="R321" s="1032"/>
      <c r="S321" s="1014"/>
      <c r="T321" s="1016"/>
      <c r="U321" s="1016"/>
      <c r="V321" s="1078"/>
      <c r="W321" s="993"/>
      <c r="X321" s="996"/>
      <c r="Y321" s="998"/>
      <c r="Z321" s="1000"/>
      <c r="AA321" s="1003"/>
      <c r="AB321" s="1006"/>
      <c r="AC321" s="1009"/>
      <c r="AD321" s="1012"/>
      <c r="AE321" s="1051"/>
      <c r="AF321" s="1014"/>
      <c r="AG321" s="1016"/>
      <c r="AH321" s="1016"/>
      <c r="AI321" s="1078"/>
      <c r="AJ321" s="993"/>
      <c r="AK321" s="996"/>
      <c r="AL321" s="998"/>
      <c r="AM321" s="1000"/>
      <c r="AN321" s="1003"/>
      <c r="AO321" s="1006"/>
      <c r="AP321" s="1009"/>
      <c r="AQ321" s="1012"/>
      <c r="AR321" s="1051"/>
      <c r="AS321" s="1014"/>
      <c r="AT321" s="1016"/>
      <c r="AU321" s="1016"/>
      <c r="AV321" s="1078"/>
      <c r="AW321" s="993"/>
      <c r="AX321" s="996"/>
      <c r="AY321" s="998"/>
      <c r="AZ321" s="1000"/>
      <c r="BA321" s="1003"/>
      <c r="BB321" s="1006"/>
      <c r="BC321" s="1009"/>
      <c r="BD321" s="1012"/>
      <c r="BE321" s="1051"/>
      <c r="BF321" s="987"/>
      <c r="BG321" s="989"/>
      <c r="BH321" s="989"/>
      <c r="BI321" s="991"/>
      <c r="BJ321" s="993"/>
      <c r="BK321" s="996"/>
      <c r="BL321" s="1053"/>
      <c r="BM321" s="1057"/>
      <c r="BN321" s="1060"/>
      <c r="BO321" s="1063"/>
      <c r="BP321" s="1066"/>
      <c r="BQ321" s="1012"/>
      <c r="BR321" s="1051"/>
      <c r="BS321" s="1026"/>
      <c r="BT321" s="1023"/>
      <c r="BU321" s="1012"/>
      <c r="BV321" s="1029"/>
      <c r="BW321" s="1032"/>
      <c r="BX321" s="1020"/>
      <c r="BY321" s="1020"/>
      <c r="BZ321" s="1020"/>
      <c r="CA321" s="1020"/>
      <c r="CB321" s="1020"/>
      <c r="CC321" s="1020"/>
      <c r="CD321" s="1020"/>
      <c r="CE321" s="1020"/>
      <c r="CF321" s="1020"/>
      <c r="CG321" s="1042"/>
    </row>
    <row r="322" spans="2:85" s="783" customFormat="1" ht="15" customHeight="1" x14ac:dyDescent="0.25">
      <c r="B322" s="977"/>
      <c r="C322" s="978"/>
      <c r="D322" s="978"/>
      <c r="E322" s="978"/>
      <c r="F322" s="978"/>
      <c r="G322" s="978"/>
      <c r="H322" s="978"/>
      <c r="I322" s="978"/>
      <c r="J322" s="978"/>
      <c r="K322" s="1045"/>
      <c r="L322" s="1048"/>
      <c r="M322" s="1100"/>
      <c r="N322" s="1103"/>
      <c r="O322" s="1092"/>
      <c r="P322" s="1092"/>
      <c r="Q322" s="1089"/>
      <c r="R322" s="1032"/>
      <c r="S322" s="1014"/>
      <c r="T322" s="1016"/>
      <c r="U322" s="1016"/>
      <c r="V322" s="1078"/>
      <c r="W322" s="993"/>
      <c r="X322" s="996" t="s">
        <v>197</v>
      </c>
      <c r="Y322" s="998"/>
      <c r="Z322" s="1000"/>
      <c r="AA322" s="1003"/>
      <c r="AB322" s="1006"/>
      <c r="AC322" s="1009"/>
      <c r="AD322" s="1012"/>
      <c r="AE322" s="1051"/>
      <c r="AF322" s="1014"/>
      <c r="AG322" s="1016"/>
      <c r="AH322" s="1016"/>
      <c r="AI322" s="1078"/>
      <c r="AJ322" s="993"/>
      <c r="AK322" s="996" t="s">
        <v>197</v>
      </c>
      <c r="AL322" s="998"/>
      <c r="AM322" s="1000"/>
      <c r="AN322" s="1003"/>
      <c r="AO322" s="1006"/>
      <c r="AP322" s="1009"/>
      <c r="AQ322" s="1012"/>
      <c r="AR322" s="1051"/>
      <c r="AS322" s="1014"/>
      <c r="AT322" s="1016"/>
      <c r="AU322" s="1016"/>
      <c r="AV322" s="1078"/>
      <c r="AW322" s="993"/>
      <c r="AX322" s="996" t="s">
        <v>197</v>
      </c>
      <c r="AY322" s="998"/>
      <c r="AZ322" s="1000"/>
      <c r="BA322" s="1003"/>
      <c r="BB322" s="1006"/>
      <c r="BC322" s="1009"/>
      <c r="BD322" s="1012"/>
      <c r="BE322" s="1051"/>
      <c r="BF322" s="987"/>
      <c r="BG322" s="989"/>
      <c r="BH322" s="989"/>
      <c r="BI322" s="991"/>
      <c r="BJ322" s="993"/>
      <c r="BK322" s="996" t="s">
        <v>197</v>
      </c>
      <c r="BL322" s="1053"/>
      <c r="BM322" s="1057"/>
      <c r="BN322" s="1060"/>
      <c r="BO322" s="1063"/>
      <c r="BP322" s="1066"/>
      <c r="BQ322" s="1012"/>
      <c r="BR322" s="1051"/>
      <c r="BS322" s="1026"/>
      <c r="BT322" s="1023"/>
      <c r="BU322" s="1012"/>
      <c r="BV322" s="1029"/>
      <c r="BW322" s="1032"/>
      <c r="BX322" s="1020"/>
      <c r="BY322" s="1020"/>
      <c r="BZ322" s="1020"/>
      <c r="CA322" s="1020"/>
      <c r="CB322" s="1020"/>
      <c r="CC322" s="1020"/>
      <c r="CD322" s="1020"/>
      <c r="CE322" s="1020"/>
      <c r="CF322" s="1020"/>
      <c r="CG322" s="1042"/>
    </row>
    <row r="323" spans="2:85" s="783" customFormat="1" ht="15" customHeight="1" x14ac:dyDescent="0.25">
      <c r="B323" s="977"/>
      <c r="C323" s="978"/>
      <c r="D323" s="978"/>
      <c r="E323" s="978"/>
      <c r="F323" s="978"/>
      <c r="G323" s="978"/>
      <c r="H323" s="978"/>
      <c r="I323" s="978"/>
      <c r="J323" s="978"/>
      <c r="K323" s="1045"/>
      <c r="L323" s="1048"/>
      <c r="M323" s="1100"/>
      <c r="N323" s="1103"/>
      <c r="O323" s="1092"/>
      <c r="P323" s="1092"/>
      <c r="Q323" s="1089"/>
      <c r="R323" s="1032"/>
      <c r="S323" s="1014"/>
      <c r="T323" s="1016"/>
      <c r="U323" s="1016"/>
      <c r="V323" s="1078"/>
      <c r="W323" s="993"/>
      <c r="X323" s="996"/>
      <c r="Y323" s="998"/>
      <c r="Z323" s="1000"/>
      <c r="AA323" s="1003"/>
      <c r="AB323" s="1006"/>
      <c r="AC323" s="1009"/>
      <c r="AD323" s="1012"/>
      <c r="AE323" s="1051"/>
      <c r="AF323" s="1014"/>
      <c r="AG323" s="1016"/>
      <c r="AH323" s="1016"/>
      <c r="AI323" s="1078"/>
      <c r="AJ323" s="993"/>
      <c r="AK323" s="996"/>
      <c r="AL323" s="998"/>
      <c r="AM323" s="1000"/>
      <c r="AN323" s="1003"/>
      <c r="AO323" s="1006"/>
      <c r="AP323" s="1009"/>
      <c r="AQ323" s="1012"/>
      <c r="AR323" s="1051"/>
      <c r="AS323" s="1014"/>
      <c r="AT323" s="1016"/>
      <c r="AU323" s="1016"/>
      <c r="AV323" s="1078"/>
      <c r="AW323" s="993"/>
      <c r="AX323" s="996"/>
      <c r="AY323" s="998"/>
      <c r="AZ323" s="1000"/>
      <c r="BA323" s="1003"/>
      <c r="BB323" s="1006"/>
      <c r="BC323" s="1009"/>
      <c r="BD323" s="1012"/>
      <c r="BE323" s="1051"/>
      <c r="BF323" s="987"/>
      <c r="BG323" s="989"/>
      <c r="BH323" s="989"/>
      <c r="BI323" s="991"/>
      <c r="BJ323" s="993"/>
      <c r="BK323" s="996"/>
      <c r="BL323" s="1053"/>
      <c r="BM323" s="1057"/>
      <c r="BN323" s="1060"/>
      <c r="BO323" s="1063"/>
      <c r="BP323" s="1066"/>
      <c r="BQ323" s="1012"/>
      <c r="BR323" s="1051"/>
      <c r="BS323" s="1026"/>
      <c r="BT323" s="1023"/>
      <c r="BU323" s="1012"/>
      <c r="BV323" s="1029"/>
      <c r="BW323" s="1032"/>
      <c r="BX323" s="1020"/>
      <c r="BY323" s="1020"/>
      <c r="BZ323" s="1020"/>
      <c r="CA323" s="1020"/>
      <c r="CB323" s="1020"/>
      <c r="CC323" s="1020"/>
      <c r="CD323" s="1020"/>
      <c r="CE323" s="1020"/>
      <c r="CF323" s="1020"/>
      <c r="CG323" s="1042"/>
    </row>
    <row r="324" spans="2:85" s="783" customFormat="1" ht="15" customHeight="1" x14ac:dyDescent="0.25">
      <c r="B324" s="977"/>
      <c r="C324" s="978"/>
      <c r="D324" s="978"/>
      <c r="E324" s="978"/>
      <c r="F324" s="978"/>
      <c r="G324" s="978"/>
      <c r="H324" s="978"/>
      <c r="I324" s="978"/>
      <c r="J324" s="978"/>
      <c r="K324" s="1045"/>
      <c r="L324" s="1048"/>
      <c r="M324" s="1100"/>
      <c r="N324" s="1103"/>
      <c r="O324" s="1092"/>
      <c r="P324" s="1092"/>
      <c r="Q324" s="1089"/>
      <c r="R324" s="1032"/>
      <c r="S324" s="1014"/>
      <c r="T324" s="1016"/>
      <c r="U324" s="1016"/>
      <c r="V324" s="1078"/>
      <c r="W324" s="993"/>
      <c r="X324" s="996"/>
      <c r="Y324" s="998"/>
      <c r="Z324" s="1000"/>
      <c r="AA324" s="1003"/>
      <c r="AB324" s="1006"/>
      <c r="AC324" s="1009"/>
      <c r="AD324" s="1012"/>
      <c r="AE324" s="1051"/>
      <c r="AF324" s="1014"/>
      <c r="AG324" s="1016"/>
      <c r="AH324" s="1016"/>
      <c r="AI324" s="1078"/>
      <c r="AJ324" s="993"/>
      <c r="AK324" s="996"/>
      <c r="AL324" s="998"/>
      <c r="AM324" s="1000"/>
      <c r="AN324" s="1003"/>
      <c r="AO324" s="1006"/>
      <c r="AP324" s="1009"/>
      <c r="AQ324" s="1012"/>
      <c r="AR324" s="1051"/>
      <c r="AS324" s="1014"/>
      <c r="AT324" s="1016"/>
      <c r="AU324" s="1016"/>
      <c r="AV324" s="1078"/>
      <c r="AW324" s="993"/>
      <c r="AX324" s="996"/>
      <c r="AY324" s="998"/>
      <c r="AZ324" s="1000"/>
      <c r="BA324" s="1003"/>
      <c r="BB324" s="1006"/>
      <c r="BC324" s="1009"/>
      <c r="BD324" s="1012"/>
      <c r="BE324" s="1051"/>
      <c r="BF324" s="987"/>
      <c r="BG324" s="989"/>
      <c r="BH324" s="989"/>
      <c r="BI324" s="991"/>
      <c r="BJ324" s="993"/>
      <c r="BK324" s="996"/>
      <c r="BL324" s="1053"/>
      <c r="BM324" s="1057"/>
      <c r="BN324" s="1060"/>
      <c r="BO324" s="1063"/>
      <c r="BP324" s="1066"/>
      <c r="BQ324" s="1012"/>
      <c r="BR324" s="1051"/>
      <c r="BS324" s="1026"/>
      <c r="BT324" s="1023"/>
      <c r="BU324" s="1012"/>
      <c r="BV324" s="1029"/>
      <c r="BW324" s="1032"/>
      <c r="BX324" s="1020"/>
      <c r="BY324" s="1020"/>
      <c r="BZ324" s="1020"/>
      <c r="CA324" s="1020"/>
      <c r="CB324" s="1020"/>
      <c r="CC324" s="1020"/>
      <c r="CD324" s="1020"/>
      <c r="CE324" s="1020"/>
      <c r="CF324" s="1020"/>
      <c r="CG324" s="1042"/>
    </row>
    <row r="325" spans="2:85" s="783" customFormat="1" ht="15" customHeight="1" thickBot="1" x14ac:dyDescent="0.3">
      <c r="B325" s="980"/>
      <c r="C325" s="981"/>
      <c r="D325" s="981"/>
      <c r="E325" s="981"/>
      <c r="F325" s="981"/>
      <c r="G325" s="981"/>
      <c r="H325" s="981"/>
      <c r="I325" s="981"/>
      <c r="J325" s="981"/>
      <c r="K325" s="1046"/>
      <c r="L325" s="1049"/>
      <c r="M325" s="1101"/>
      <c r="N325" s="1104"/>
      <c r="O325" s="1093"/>
      <c r="P325" s="1093"/>
      <c r="Q325" s="1090"/>
      <c r="R325" s="1033"/>
      <c r="S325" s="1015"/>
      <c r="T325" s="1017"/>
      <c r="U325" s="1017"/>
      <c r="V325" s="1079"/>
      <c r="W325" s="994"/>
      <c r="X325" s="1068"/>
      <c r="Y325" s="1069"/>
      <c r="Z325" s="1001"/>
      <c r="AA325" s="1004"/>
      <c r="AB325" s="1007"/>
      <c r="AC325" s="1010"/>
      <c r="AD325" s="1013"/>
      <c r="AE325" s="1052"/>
      <c r="AF325" s="1015"/>
      <c r="AG325" s="1017"/>
      <c r="AH325" s="1017"/>
      <c r="AI325" s="1079"/>
      <c r="AJ325" s="994"/>
      <c r="AK325" s="1068"/>
      <c r="AL325" s="1069"/>
      <c r="AM325" s="1001"/>
      <c r="AN325" s="1004"/>
      <c r="AO325" s="1007"/>
      <c r="AP325" s="1010"/>
      <c r="AQ325" s="1013"/>
      <c r="AR325" s="1052"/>
      <c r="AS325" s="1015"/>
      <c r="AT325" s="1017"/>
      <c r="AU325" s="1017"/>
      <c r="AV325" s="1079"/>
      <c r="AW325" s="994"/>
      <c r="AX325" s="1068"/>
      <c r="AY325" s="1069"/>
      <c r="AZ325" s="1001"/>
      <c r="BA325" s="1004"/>
      <c r="BB325" s="1007"/>
      <c r="BC325" s="1010"/>
      <c r="BD325" s="1013"/>
      <c r="BE325" s="1052"/>
      <c r="BF325" s="988"/>
      <c r="BG325" s="990"/>
      <c r="BH325" s="990"/>
      <c r="BI325" s="992"/>
      <c r="BJ325" s="994"/>
      <c r="BK325" s="1068"/>
      <c r="BL325" s="1054"/>
      <c r="BM325" s="1058"/>
      <c r="BN325" s="1061"/>
      <c r="BO325" s="1064"/>
      <c r="BP325" s="1067"/>
      <c r="BQ325" s="1013"/>
      <c r="BR325" s="1052"/>
      <c r="BS325" s="1027"/>
      <c r="BT325" s="1024"/>
      <c r="BU325" s="1013"/>
      <c r="BV325" s="1030"/>
      <c r="BW325" s="1033"/>
      <c r="BX325" s="1021"/>
      <c r="BY325" s="1021"/>
      <c r="BZ325" s="1021"/>
      <c r="CA325" s="1021"/>
      <c r="CB325" s="1021"/>
      <c r="CC325" s="1021"/>
      <c r="CD325" s="1021"/>
      <c r="CE325" s="1021"/>
      <c r="CF325" s="1021"/>
      <c r="CG325" s="1043"/>
    </row>
    <row r="326" spans="2:85" s="783" customFormat="1" ht="15" customHeight="1" x14ac:dyDescent="0.25">
      <c r="B326" s="974" t="s">
        <v>458</v>
      </c>
      <c r="C326" s="975"/>
      <c r="D326" s="975"/>
      <c r="E326" s="975"/>
      <c r="F326" s="975"/>
      <c r="G326" s="975"/>
      <c r="H326" s="975"/>
      <c r="I326" s="975"/>
      <c r="J326" s="976"/>
      <c r="K326" s="983">
        <f>SUM(K8,K62,K116,K170,K212,K278)</f>
        <v>2136540.7400000002</v>
      </c>
      <c r="Q326" s="786"/>
      <c r="X326" s="785"/>
      <c r="Y326" s="814"/>
      <c r="AD326" s="786"/>
      <c r="AK326" s="785"/>
      <c r="AL326" s="814"/>
      <c r="AX326" s="785"/>
      <c r="AY326" s="814"/>
      <c r="BK326" s="785"/>
      <c r="BL326" s="814"/>
      <c r="BV326" s="1763">
        <f>SUM(BV8,BV62,BV116,BV170,BV212,BV278)</f>
        <v>2088656.58</v>
      </c>
    </row>
    <row r="327" spans="2:85" s="783" customFormat="1" ht="15" customHeight="1" x14ac:dyDescent="0.25">
      <c r="B327" s="977"/>
      <c r="C327" s="978"/>
      <c r="D327" s="978"/>
      <c r="E327" s="978"/>
      <c r="F327" s="978"/>
      <c r="G327" s="978"/>
      <c r="H327" s="978"/>
      <c r="I327" s="978"/>
      <c r="J327" s="979"/>
      <c r="K327" s="984"/>
      <c r="Q327" s="786"/>
      <c r="X327" s="785"/>
      <c r="Y327" s="814"/>
      <c r="AD327" s="786"/>
      <c r="AK327" s="785"/>
      <c r="AL327" s="814"/>
      <c r="AX327" s="785"/>
      <c r="AY327" s="814"/>
      <c r="BK327" s="785"/>
      <c r="BL327" s="814"/>
      <c r="BV327" s="1764"/>
    </row>
    <row r="328" spans="2:85" s="783" customFormat="1" ht="15" customHeight="1" x14ac:dyDescent="0.25">
      <c r="B328" s="977"/>
      <c r="C328" s="978"/>
      <c r="D328" s="978"/>
      <c r="E328" s="978"/>
      <c r="F328" s="978"/>
      <c r="G328" s="978"/>
      <c r="H328" s="978"/>
      <c r="I328" s="978"/>
      <c r="J328" s="979"/>
      <c r="K328" s="984"/>
      <c r="Q328" s="786"/>
      <c r="X328" s="785"/>
      <c r="Y328" s="814"/>
      <c r="AD328" s="786"/>
      <c r="AK328" s="785"/>
      <c r="AL328" s="814"/>
      <c r="AX328" s="785"/>
      <c r="AY328" s="814"/>
      <c r="BK328" s="785"/>
      <c r="BL328" s="814"/>
      <c r="BV328" s="1767">
        <v>149557.85</v>
      </c>
    </row>
    <row r="329" spans="2:85" s="783" customFormat="1" ht="15" customHeight="1" x14ac:dyDescent="0.25">
      <c r="B329" s="977"/>
      <c r="C329" s="978"/>
      <c r="D329" s="978"/>
      <c r="E329" s="978"/>
      <c r="F329" s="978"/>
      <c r="G329" s="978"/>
      <c r="H329" s="978"/>
      <c r="I329" s="978"/>
      <c r="J329" s="979"/>
      <c r="K329" s="984"/>
      <c r="Q329" s="786"/>
      <c r="X329" s="785"/>
      <c r="Y329" s="814"/>
      <c r="AD329" s="786"/>
      <c r="AK329" s="785"/>
      <c r="AL329" s="814"/>
      <c r="AX329" s="785"/>
      <c r="AY329" s="814"/>
      <c r="BK329" s="785"/>
      <c r="BL329" s="814"/>
      <c r="BV329" s="1767"/>
    </row>
    <row r="330" spans="2:85" s="783" customFormat="1" ht="23.25" customHeight="1" x14ac:dyDescent="0.25">
      <c r="B330" s="977"/>
      <c r="C330" s="978"/>
      <c r="D330" s="978"/>
      <c r="E330" s="978"/>
      <c r="F330" s="978"/>
      <c r="G330" s="978"/>
      <c r="H330" s="978"/>
      <c r="I330" s="978"/>
      <c r="J330" s="979"/>
      <c r="K330" s="984"/>
      <c r="Q330" s="786"/>
      <c r="X330" s="785"/>
      <c r="Y330" s="814"/>
      <c r="AD330" s="786"/>
      <c r="AK330" s="785"/>
      <c r="AL330" s="814"/>
      <c r="AX330" s="785"/>
      <c r="AY330" s="814"/>
      <c r="BK330" s="785"/>
      <c r="BL330" s="814"/>
      <c r="BV330" s="835">
        <f>SUM(BV326:BV329)</f>
        <v>2238214.4300000002</v>
      </c>
    </row>
    <row r="331" spans="2:85" s="783" customFormat="1" ht="15" customHeight="1" thickBot="1" x14ac:dyDescent="0.3">
      <c r="B331" s="980"/>
      <c r="C331" s="981"/>
      <c r="D331" s="981"/>
      <c r="E331" s="981"/>
      <c r="F331" s="981"/>
      <c r="G331" s="981"/>
      <c r="H331" s="981"/>
      <c r="I331" s="981"/>
      <c r="J331" s="982"/>
      <c r="K331" s="985"/>
      <c r="Q331" s="786"/>
      <c r="X331" s="785"/>
      <c r="Y331" s="814"/>
      <c r="AD331" s="786"/>
      <c r="AK331" s="785"/>
      <c r="AL331" s="814"/>
      <c r="AX331" s="785"/>
      <c r="AY331" s="814"/>
      <c r="BK331" s="785"/>
      <c r="BL331" s="814"/>
    </row>
    <row r="332" spans="2:85" s="783" customFormat="1" ht="21.75" customHeight="1" x14ac:dyDescent="0.25">
      <c r="B332" s="974" t="s">
        <v>457</v>
      </c>
      <c r="C332" s="975"/>
      <c r="D332" s="975"/>
      <c r="E332" s="975"/>
      <c r="F332" s="975"/>
      <c r="G332" s="975"/>
      <c r="H332" s="975"/>
      <c r="I332" s="975"/>
      <c r="J332" s="975"/>
      <c r="K332" s="986">
        <f>K326*0.07</f>
        <v>149557.85180000003</v>
      </c>
      <c r="Q332" s="786"/>
      <c r="X332" s="785"/>
      <c r="Y332" s="814"/>
      <c r="AD332" s="786"/>
      <c r="AK332" s="785"/>
      <c r="AL332" s="814"/>
      <c r="AX332" s="785"/>
      <c r="AY332" s="814"/>
      <c r="BK332" s="785"/>
      <c r="BL332" s="814"/>
      <c r="BV332" s="836">
        <f>BV326/K326</f>
        <v>0.97758799581794997</v>
      </c>
    </row>
    <row r="333" spans="2:85" s="783" customFormat="1" ht="15" customHeight="1" x14ac:dyDescent="0.25">
      <c r="B333" s="977"/>
      <c r="C333" s="978"/>
      <c r="D333" s="978"/>
      <c r="E333" s="978"/>
      <c r="F333" s="978"/>
      <c r="G333" s="978"/>
      <c r="H333" s="978"/>
      <c r="I333" s="978"/>
      <c r="J333" s="978"/>
      <c r="K333" s="984"/>
      <c r="Q333" s="786"/>
      <c r="X333" s="785"/>
      <c r="Y333" s="814"/>
      <c r="AD333" s="786"/>
      <c r="AK333" s="785"/>
      <c r="AL333" s="814"/>
      <c r="AX333" s="785"/>
      <c r="AY333" s="814"/>
      <c r="BK333" s="785"/>
      <c r="BL333" s="814"/>
    </row>
    <row r="334" spans="2:85" s="783" customFormat="1" ht="15" customHeight="1" x14ac:dyDescent="0.25">
      <c r="B334" s="977"/>
      <c r="C334" s="978"/>
      <c r="D334" s="978"/>
      <c r="E334" s="978"/>
      <c r="F334" s="978"/>
      <c r="G334" s="978"/>
      <c r="H334" s="978"/>
      <c r="I334" s="978"/>
      <c r="J334" s="978"/>
      <c r="K334" s="984"/>
      <c r="Q334" s="786"/>
      <c r="X334" s="785"/>
      <c r="Y334" s="814"/>
      <c r="AD334" s="786"/>
      <c r="AK334" s="785"/>
      <c r="AL334" s="814"/>
      <c r="AX334" s="785"/>
      <c r="AY334" s="814"/>
      <c r="BK334" s="785"/>
      <c r="BL334" s="814"/>
    </row>
    <row r="335" spans="2:85" s="783" customFormat="1" ht="15" customHeight="1" x14ac:dyDescent="0.25">
      <c r="B335" s="977"/>
      <c r="C335" s="978"/>
      <c r="D335" s="978"/>
      <c r="E335" s="978"/>
      <c r="F335" s="978"/>
      <c r="G335" s="978"/>
      <c r="H335" s="978"/>
      <c r="I335" s="978"/>
      <c r="J335" s="978"/>
      <c r="K335" s="984"/>
      <c r="Q335" s="786"/>
      <c r="X335" s="785"/>
      <c r="Y335" s="814"/>
      <c r="AD335" s="786"/>
      <c r="AK335" s="785"/>
      <c r="AL335" s="814"/>
      <c r="AX335" s="785"/>
      <c r="AY335" s="814"/>
      <c r="BK335" s="785"/>
      <c r="BL335" s="814"/>
    </row>
    <row r="336" spans="2:85" s="783" customFormat="1" ht="15" customHeight="1" x14ac:dyDescent="0.25">
      <c r="B336" s="977"/>
      <c r="C336" s="978"/>
      <c r="D336" s="978"/>
      <c r="E336" s="978"/>
      <c r="F336" s="978"/>
      <c r="G336" s="978"/>
      <c r="H336" s="978"/>
      <c r="I336" s="978"/>
      <c r="J336" s="978"/>
      <c r="K336" s="984"/>
      <c r="Q336" s="786"/>
      <c r="X336" s="785"/>
      <c r="Y336" s="814"/>
      <c r="AD336" s="786"/>
      <c r="AK336" s="785"/>
      <c r="AL336" s="814"/>
      <c r="AX336" s="785"/>
      <c r="AY336" s="814"/>
      <c r="BK336" s="785"/>
      <c r="BL336" s="814"/>
    </row>
    <row r="337" spans="2:64" s="783" customFormat="1" ht="15.75" customHeight="1" thickBot="1" x14ac:dyDescent="0.3">
      <c r="B337" s="980"/>
      <c r="C337" s="981"/>
      <c r="D337" s="981"/>
      <c r="E337" s="981"/>
      <c r="F337" s="981"/>
      <c r="G337" s="981"/>
      <c r="H337" s="981"/>
      <c r="I337" s="981"/>
      <c r="J337" s="981"/>
      <c r="K337" s="985"/>
      <c r="Q337" s="786"/>
      <c r="X337" s="785"/>
      <c r="Y337" s="814"/>
      <c r="AD337" s="786"/>
      <c r="AK337" s="785"/>
      <c r="AL337" s="814"/>
      <c r="AX337" s="785"/>
      <c r="AY337" s="814"/>
      <c r="BK337" s="785"/>
      <c r="BL337" s="814"/>
    </row>
    <row r="338" spans="2:64" x14ac:dyDescent="0.3">
      <c r="K338" s="1765">
        <f>SUM(K326:K337)</f>
        <v>2286098.5918000001</v>
      </c>
    </row>
    <row r="339" spans="2:64" x14ac:dyDescent="0.3">
      <c r="K339" s="1766"/>
    </row>
  </sheetData>
  <sheetProtection algorithmName="SHA-512" hashValue="1fH5G82EQya480spnsb9wcx9IYFoxSxkMk5JBsmnJ+Dnnf2ae3brEg+87g0uNYtGE5iDxKTkq4GVAvMp9R9o8g==" saltValue="FHkwW3mTvOqEP+Akm6cbbQ==" spinCount="100000" sheet="1" objects="1" scenarios="1" selectLockedCells="1" selectUnlockedCells="1"/>
  <mergeCells count="2247">
    <mergeCell ref="CE98:CE109"/>
    <mergeCell ref="BF114:BJ114"/>
    <mergeCell ref="CD210:CE210"/>
    <mergeCell ref="S208:BV208"/>
    <mergeCell ref="B57:Q57"/>
    <mergeCell ref="S57:BV57"/>
    <mergeCell ref="BX57:CG57"/>
    <mergeCell ref="BG86:BG97"/>
    <mergeCell ref="AO86:AO97"/>
    <mergeCell ref="AN86:AN97"/>
    <mergeCell ref="BX111:CG111"/>
    <mergeCell ref="CC86:CC97"/>
    <mergeCell ref="BU6:BU7"/>
    <mergeCell ref="BV326:BV327"/>
    <mergeCell ref="K338:K339"/>
    <mergeCell ref="BV328:BV329"/>
    <mergeCell ref="BU212:BU223"/>
    <mergeCell ref="BU224:BU235"/>
    <mergeCell ref="BU236:BU259"/>
    <mergeCell ref="BU260:BU271"/>
    <mergeCell ref="BU278:BU289"/>
    <mergeCell ref="BU290:BU301"/>
    <mergeCell ref="BU302:BU313"/>
    <mergeCell ref="BU314:BU325"/>
    <mergeCell ref="BU116:BU127"/>
    <mergeCell ref="BU128:BU151"/>
    <mergeCell ref="BU152:BU163"/>
    <mergeCell ref="BU62:BU85"/>
    <mergeCell ref="BU86:BU97"/>
    <mergeCell ref="BU98:BU109"/>
    <mergeCell ref="BU8:BU19"/>
    <mergeCell ref="BU20:BU31"/>
    <mergeCell ref="BU32:BU43"/>
    <mergeCell ref="BU44:BU55"/>
    <mergeCell ref="BT168:BT169"/>
    <mergeCell ref="AF210:AJ210"/>
    <mergeCell ref="R4:R55"/>
    <mergeCell ref="AE5:AE55"/>
    <mergeCell ref="AR5:AR55"/>
    <mergeCell ref="BE5:BE55"/>
    <mergeCell ref="BR5:BR55"/>
    <mergeCell ref="BW4:BW55"/>
    <mergeCell ref="BW57:BW109"/>
    <mergeCell ref="BR59:BR109"/>
    <mergeCell ref="BE59:BE109"/>
    <mergeCell ref="AR59:AR109"/>
    <mergeCell ref="AE59:AE109"/>
    <mergeCell ref="R57:R109"/>
    <mergeCell ref="BW111:BW163"/>
    <mergeCell ref="BR113:BR163"/>
    <mergeCell ref="BE113:BE163"/>
    <mergeCell ref="AR113:AR163"/>
    <mergeCell ref="AM116:AM127"/>
    <mergeCell ref="AX114:AY115"/>
    <mergeCell ref="AE113:AE163"/>
    <mergeCell ref="BT114:BT115"/>
    <mergeCell ref="BV114:BV115"/>
    <mergeCell ref="BI86:BI97"/>
    <mergeCell ref="BL98:BL101"/>
    <mergeCell ref="S111:BV111"/>
    <mergeCell ref="BT86:BT97"/>
    <mergeCell ref="BT98:BT109"/>
    <mergeCell ref="BK60:BL61"/>
    <mergeCell ref="BK62:BK65"/>
    <mergeCell ref="BX116:BX127"/>
    <mergeCell ref="BZ116:BZ127"/>
    <mergeCell ref="BL120:BL123"/>
    <mergeCell ref="CE86:CE97"/>
    <mergeCell ref="CC98:CC109"/>
    <mergeCell ref="BL116:BL119"/>
    <mergeCell ref="BM116:BM127"/>
    <mergeCell ref="BX165:CG165"/>
    <mergeCell ref="B207:Q207"/>
    <mergeCell ref="S207:BV207"/>
    <mergeCell ref="BX207:CG207"/>
    <mergeCell ref="BV168:BV169"/>
    <mergeCell ref="CD168:CE168"/>
    <mergeCell ref="R165:R205"/>
    <mergeCell ref="AE167:AE205"/>
    <mergeCell ref="AR167:AR205"/>
    <mergeCell ref="BE167:BE205"/>
    <mergeCell ref="BR167:BR205"/>
    <mergeCell ref="BW165:BW205"/>
    <mergeCell ref="B206:CG206"/>
    <mergeCell ref="BW207:BW271"/>
    <mergeCell ref="BR209:BR271"/>
    <mergeCell ref="BE209:BE271"/>
    <mergeCell ref="AR209:AR271"/>
    <mergeCell ref="AE209:AE271"/>
    <mergeCell ref="R207:R271"/>
    <mergeCell ref="J168:J169"/>
    <mergeCell ref="BK86:BK89"/>
    <mergeCell ref="N168:Q168"/>
    <mergeCell ref="S168:W168"/>
    <mergeCell ref="J210:J211"/>
    <mergeCell ref="B111:Q111"/>
    <mergeCell ref="L210:L211"/>
    <mergeCell ref="M210:M211"/>
    <mergeCell ref="N210:Q210"/>
    <mergeCell ref="B165:Q165"/>
    <mergeCell ref="BB86:BB97"/>
    <mergeCell ref="AZ98:AZ109"/>
    <mergeCell ref="BA98:BA109"/>
    <mergeCell ref="BB98:BB109"/>
    <mergeCell ref="AS86:AS97"/>
    <mergeCell ref="AA98:AA109"/>
    <mergeCell ref="AB98:AB109"/>
    <mergeCell ref="AC98:AC109"/>
    <mergeCell ref="AD98:AD109"/>
    <mergeCell ref="AK98:AK101"/>
    <mergeCell ref="AL98:AL101"/>
    <mergeCell ref="S209:AD209"/>
    <mergeCell ref="AF209:AQ209"/>
    <mergeCell ref="S210:W210"/>
    <mergeCell ref="X210:Y211"/>
    <mergeCell ref="Z210:AD210"/>
    <mergeCell ref="S165:BV165"/>
    <mergeCell ref="BJ86:BJ97"/>
    <mergeCell ref="BI98:BI109"/>
    <mergeCell ref="BJ98:BJ109"/>
    <mergeCell ref="BK98:BK101"/>
    <mergeCell ref="BK102:BK105"/>
    <mergeCell ref="BL102:BL105"/>
    <mergeCell ref="R111:R163"/>
    <mergeCell ref="BL86:BL89"/>
    <mergeCell ref="AN182:AN193"/>
    <mergeCell ref="AO182:AO193"/>
    <mergeCell ref="BF86:BF97"/>
    <mergeCell ref="CA86:CA97"/>
    <mergeCell ref="CA98:CA109"/>
    <mergeCell ref="BL106:BL109"/>
    <mergeCell ref="AT86:AT97"/>
    <mergeCell ref="AU86:AU97"/>
    <mergeCell ref="AV86:AV97"/>
    <mergeCell ref="AW86:AW97"/>
    <mergeCell ref="AV98:AV109"/>
    <mergeCell ref="AW98:AW109"/>
    <mergeCell ref="B164:CG164"/>
    <mergeCell ref="BS86:BS97"/>
    <mergeCell ref="BS98:BS109"/>
    <mergeCell ref="S113:AD113"/>
    <mergeCell ref="AF113:AQ113"/>
    <mergeCell ref="AS113:BD113"/>
    <mergeCell ref="BF113:BQ113"/>
    <mergeCell ref="BS113:BS115"/>
    <mergeCell ref="BT113:BV113"/>
    <mergeCell ref="J114:J115"/>
    <mergeCell ref="L114:L115"/>
    <mergeCell ref="M114:M115"/>
    <mergeCell ref="N114:Q114"/>
    <mergeCell ref="S114:W114"/>
    <mergeCell ref="X114:Y115"/>
    <mergeCell ref="AY120:AY123"/>
    <mergeCell ref="BK120:BK123"/>
    <mergeCell ref="AM114:AQ114"/>
    <mergeCell ref="AS114:AW114"/>
    <mergeCell ref="BK114:BL115"/>
    <mergeCell ref="BM114:BQ114"/>
    <mergeCell ref="BZ140:BZ151"/>
    <mergeCell ref="AF98:AF109"/>
    <mergeCell ref="M168:M169"/>
    <mergeCell ref="G208:J209"/>
    <mergeCell ref="K208:Q209"/>
    <mergeCell ref="CD114:CE114"/>
    <mergeCell ref="BZ128:BZ139"/>
    <mergeCell ref="BX128:BX139"/>
    <mergeCell ref="CD116:CD127"/>
    <mergeCell ref="CD128:CD139"/>
    <mergeCell ref="AO170:AO181"/>
    <mergeCell ref="AP170:AP181"/>
    <mergeCell ref="AP182:AP193"/>
    <mergeCell ref="AQ182:AQ193"/>
    <mergeCell ref="BC182:BC193"/>
    <mergeCell ref="CB116:CB127"/>
    <mergeCell ref="CB114:CC114"/>
    <mergeCell ref="BZ114:CA114"/>
    <mergeCell ref="AS167:BD167"/>
    <mergeCell ref="BK124:BK127"/>
    <mergeCell ref="BL124:BL127"/>
    <mergeCell ref="BI116:BI127"/>
    <mergeCell ref="BJ116:BJ127"/>
    <mergeCell ref="BK116:BK119"/>
    <mergeCell ref="AX116:AX119"/>
    <mergeCell ref="AY116:AY119"/>
    <mergeCell ref="AZ116:AZ127"/>
    <mergeCell ref="BA116:BA127"/>
    <mergeCell ref="BB116:BB127"/>
    <mergeCell ref="AQ170:AQ181"/>
    <mergeCell ref="BC170:BC181"/>
    <mergeCell ref="AN152:AN163"/>
    <mergeCell ref="AN170:AN181"/>
    <mergeCell ref="BF167:BQ167"/>
    <mergeCell ref="CE62:CE85"/>
    <mergeCell ref="BK90:BK93"/>
    <mergeCell ref="BL90:BL93"/>
    <mergeCell ref="BK94:BK97"/>
    <mergeCell ref="BL94:BL97"/>
    <mergeCell ref="BH74:BH85"/>
    <mergeCell ref="BH86:BH97"/>
    <mergeCell ref="BI62:BI73"/>
    <mergeCell ref="BJ62:BJ73"/>
    <mergeCell ref="BI74:BI85"/>
    <mergeCell ref="N62:N85"/>
    <mergeCell ref="CD60:CE60"/>
    <mergeCell ref="G112:J113"/>
    <mergeCell ref="K112:Q113"/>
    <mergeCell ref="S112:BV112"/>
    <mergeCell ref="AK210:AL211"/>
    <mergeCell ref="AM210:AQ210"/>
    <mergeCell ref="AS210:AW210"/>
    <mergeCell ref="AX210:AY211"/>
    <mergeCell ref="AZ210:BD210"/>
    <mergeCell ref="BF210:BJ210"/>
    <mergeCell ref="BK210:BL211"/>
    <mergeCell ref="BM210:BQ210"/>
    <mergeCell ref="BT210:BT211"/>
    <mergeCell ref="BV210:BV211"/>
    <mergeCell ref="BF209:BQ209"/>
    <mergeCell ref="BS209:BS211"/>
    <mergeCell ref="BT209:BV209"/>
    <mergeCell ref="BS167:BS169"/>
    <mergeCell ref="BT167:BV167"/>
    <mergeCell ref="AS209:BD209"/>
    <mergeCell ref="L168:L169"/>
    <mergeCell ref="AK62:AK65"/>
    <mergeCell ref="BC62:BC85"/>
    <mergeCell ref="BL70:BL73"/>
    <mergeCell ref="BK74:BK77"/>
    <mergeCell ref="BT60:BT61"/>
    <mergeCell ref="BV60:BV61"/>
    <mergeCell ref="AX62:AX65"/>
    <mergeCell ref="AZ86:AZ97"/>
    <mergeCell ref="BA86:BA97"/>
    <mergeCell ref="BC86:BC97"/>
    <mergeCell ref="BH62:BH73"/>
    <mergeCell ref="BF62:BF73"/>
    <mergeCell ref="BK106:BK109"/>
    <mergeCell ref="BS59:BS61"/>
    <mergeCell ref="BT59:BV59"/>
    <mergeCell ref="BF74:BF85"/>
    <mergeCell ref="AX86:AX89"/>
    <mergeCell ref="AY86:AY89"/>
    <mergeCell ref="AX90:AX93"/>
    <mergeCell ref="AY90:AY93"/>
    <mergeCell ref="AK90:AK93"/>
    <mergeCell ref="AL90:AL93"/>
    <mergeCell ref="AX94:AX97"/>
    <mergeCell ref="AY94:AY97"/>
    <mergeCell ref="AX98:AX101"/>
    <mergeCell ref="AY98:AY101"/>
    <mergeCell ref="BM60:BQ60"/>
    <mergeCell ref="S2:BV2"/>
    <mergeCell ref="BY86:BY97"/>
    <mergeCell ref="BY98:BY109"/>
    <mergeCell ref="CD62:CD73"/>
    <mergeCell ref="CD74:CD85"/>
    <mergeCell ref="CD86:CD97"/>
    <mergeCell ref="CD98:CD109"/>
    <mergeCell ref="BY62:BY85"/>
    <mergeCell ref="CA62:CA85"/>
    <mergeCell ref="CC62:CC85"/>
    <mergeCell ref="BM62:BM85"/>
    <mergeCell ref="BN62:BN85"/>
    <mergeCell ref="BO62:BO85"/>
    <mergeCell ref="BP62:BP85"/>
    <mergeCell ref="BQ62:BQ85"/>
    <mergeCell ref="BM86:BM97"/>
    <mergeCell ref="BN86:BN97"/>
    <mergeCell ref="BO86:BO97"/>
    <mergeCell ref="BP86:BP97"/>
    <mergeCell ref="BQ86:BQ97"/>
    <mergeCell ref="BM98:BM109"/>
    <mergeCell ref="BN98:BN109"/>
    <mergeCell ref="BO98:BO109"/>
    <mergeCell ref="BP98:BP109"/>
    <mergeCell ref="BQ98:BQ109"/>
    <mergeCell ref="BD62:BD85"/>
    <mergeCell ref="X86:X89"/>
    <mergeCell ref="Y86:Y89"/>
    <mergeCell ref="X90:X93"/>
    <mergeCell ref="Y90:Y93"/>
    <mergeCell ref="X94:X97"/>
    <mergeCell ref="Y94:Y97"/>
    <mergeCell ref="S60:W60"/>
    <mergeCell ref="X60:Y61"/>
    <mergeCell ref="Z60:AD60"/>
    <mergeCell ref="AF60:AJ60"/>
    <mergeCell ref="AK60:AL61"/>
    <mergeCell ref="AM60:AQ60"/>
    <mergeCell ref="AS60:AW60"/>
    <mergeCell ref="AX60:AY61"/>
    <mergeCell ref="AZ60:BD60"/>
    <mergeCell ref="AS74:AS85"/>
    <mergeCell ref="AT74:AT85"/>
    <mergeCell ref="X74:X77"/>
    <mergeCell ref="Y74:Y77"/>
    <mergeCell ref="X78:X81"/>
    <mergeCell ref="AX70:AX73"/>
    <mergeCell ref="BB62:BB85"/>
    <mergeCell ref="AV74:AV85"/>
    <mergeCell ref="BA62:BA85"/>
    <mergeCell ref="AX74:AX77"/>
    <mergeCell ref="AY74:AY77"/>
    <mergeCell ref="AX78:AX81"/>
    <mergeCell ref="AY78:AY81"/>
    <mergeCell ref="AX82:AX85"/>
    <mergeCell ref="AY82:AY85"/>
    <mergeCell ref="AZ62:AZ85"/>
    <mergeCell ref="AT62:AT73"/>
    <mergeCell ref="AW74:AW85"/>
    <mergeCell ref="AG62:AG73"/>
    <mergeCell ref="AH62:AH73"/>
    <mergeCell ref="W74:W85"/>
    <mergeCell ref="AC62:AC85"/>
    <mergeCell ref="AB62:AB85"/>
    <mergeCell ref="N8:N19"/>
    <mergeCell ref="O8:O19"/>
    <mergeCell ref="K58:Q59"/>
    <mergeCell ref="L60:L61"/>
    <mergeCell ref="M60:M61"/>
    <mergeCell ref="N60:Q60"/>
    <mergeCell ref="L20:L31"/>
    <mergeCell ref="L32:L43"/>
    <mergeCell ref="M62:M85"/>
    <mergeCell ref="M86:M97"/>
    <mergeCell ref="N86:N97"/>
    <mergeCell ref="O86:O97"/>
    <mergeCell ref="P86:P97"/>
    <mergeCell ref="AD86:AD97"/>
    <mergeCell ref="AK94:AK97"/>
    <mergeCell ref="AL94:AL97"/>
    <mergeCell ref="AU74:AU85"/>
    <mergeCell ref="AK86:AK89"/>
    <mergeCell ref="AL86:AL89"/>
    <mergeCell ref="X70:X73"/>
    <mergeCell ref="Y70:Y73"/>
    <mergeCell ref="AI74:AI85"/>
    <mergeCell ref="AJ74:AJ85"/>
    <mergeCell ref="AJ86:AJ97"/>
    <mergeCell ref="AM86:AM97"/>
    <mergeCell ref="W86:W97"/>
    <mergeCell ref="M8:M19"/>
    <mergeCell ref="S8:S43"/>
    <mergeCell ref="AD44:AD55"/>
    <mergeCell ref="O62:O85"/>
    <mergeCell ref="S58:BV58"/>
    <mergeCell ref="S59:AD59"/>
    <mergeCell ref="CC8:CC19"/>
    <mergeCell ref="AL62:AL65"/>
    <mergeCell ref="AK66:AK69"/>
    <mergeCell ref="AL66:AL69"/>
    <mergeCell ref="AK70:AK73"/>
    <mergeCell ref="AL70:AL73"/>
    <mergeCell ref="AK74:AK77"/>
    <mergeCell ref="AL74:AL77"/>
    <mergeCell ref="AK78:AK81"/>
    <mergeCell ref="AL78:AL81"/>
    <mergeCell ref="AK82:AK85"/>
    <mergeCell ref="AL82:AL85"/>
    <mergeCell ref="BL62:BL65"/>
    <mergeCell ref="BK66:BK69"/>
    <mergeCell ref="BL66:BL69"/>
    <mergeCell ref="AU62:AU73"/>
    <mergeCell ref="AV62:AV73"/>
    <mergeCell ref="AY62:AY65"/>
    <mergeCell ref="AX66:AX69"/>
    <mergeCell ref="AY66:AY69"/>
    <mergeCell ref="BS62:BS73"/>
    <mergeCell ref="BS74:BS85"/>
    <mergeCell ref="BL74:BL77"/>
    <mergeCell ref="BK78:BK81"/>
    <mergeCell ref="BL78:BL81"/>
    <mergeCell ref="BK82:BK85"/>
    <mergeCell ref="BL82:BL85"/>
    <mergeCell ref="BT62:BT73"/>
    <mergeCell ref="BT74:BT85"/>
    <mergeCell ref="B56:CG56"/>
    <mergeCell ref="BS32:BS43"/>
    <mergeCell ref="BK44:BK47"/>
    <mergeCell ref="CC44:CC55"/>
    <mergeCell ref="BX58:CG58"/>
    <mergeCell ref="AF74:AF85"/>
    <mergeCell ref="AF62:AF73"/>
    <mergeCell ref="CD8:CD43"/>
    <mergeCell ref="BV8:BV55"/>
    <mergeCell ref="AW62:AW73"/>
    <mergeCell ref="AS62:AS73"/>
    <mergeCell ref="BK70:BK73"/>
    <mergeCell ref="BX60:BY60"/>
    <mergeCell ref="BZ60:CA60"/>
    <mergeCell ref="CB60:CC60"/>
    <mergeCell ref="CB44:CB55"/>
    <mergeCell ref="AP32:AP43"/>
    <mergeCell ref="CA8:CA19"/>
    <mergeCell ref="CA20:CA31"/>
    <mergeCell ref="CA32:CA43"/>
    <mergeCell ref="BI8:BI43"/>
    <mergeCell ref="BJ8:BJ43"/>
    <mergeCell ref="BK20:BK31"/>
    <mergeCell ref="BF60:BJ60"/>
    <mergeCell ref="AY70:AY73"/>
    <mergeCell ref="CC20:CC31"/>
    <mergeCell ref="CC32:CC43"/>
    <mergeCell ref="BL44:BL47"/>
    <mergeCell ref="BK48:BK51"/>
    <mergeCell ref="BL48:BL51"/>
    <mergeCell ref="BA32:BA43"/>
    <mergeCell ref="BB32:BB43"/>
    <mergeCell ref="BC8:BC19"/>
    <mergeCell ref="CB62:CB73"/>
    <mergeCell ref="BX62:BX73"/>
    <mergeCell ref="L260:L271"/>
    <mergeCell ref="BX260:BX271"/>
    <mergeCell ref="BZ260:BZ271"/>
    <mergeCell ref="L152:L163"/>
    <mergeCell ref="P98:P109"/>
    <mergeCell ref="Q98:Q109"/>
    <mergeCell ref="S116:S127"/>
    <mergeCell ref="V140:V151"/>
    <mergeCell ref="S140:S151"/>
    <mergeCell ref="V152:V163"/>
    <mergeCell ref="N98:N109"/>
    <mergeCell ref="W128:W139"/>
    <mergeCell ref="V128:V139"/>
    <mergeCell ref="W140:W151"/>
    <mergeCell ref="M116:M127"/>
    <mergeCell ref="M128:M151"/>
    <mergeCell ref="Q116:Q127"/>
    <mergeCell ref="AW116:AW127"/>
    <mergeCell ref="AT116:AT127"/>
    <mergeCell ref="AU116:AU127"/>
    <mergeCell ref="AV116:AV127"/>
    <mergeCell ref="AL144:AL147"/>
    <mergeCell ref="B110:CG110"/>
    <mergeCell ref="F128:F139"/>
    <mergeCell ref="E128:E139"/>
    <mergeCell ref="X124:X127"/>
    <mergeCell ref="Y116:Y119"/>
    <mergeCell ref="Y120:Y123"/>
    <mergeCell ref="Y124:Y127"/>
    <mergeCell ref="N152:N163"/>
    <mergeCell ref="O152:O163"/>
    <mergeCell ref="Z98:Z109"/>
    <mergeCell ref="CF260:CF271"/>
    <mergeCell ref="AI212:AI223"/>
    <mergeCell ref="AM212:AM223"/>
    <mergeCell ref="BD236:BD259"/>
    <mergeCell ref="AX244:AX247"/>
    <mergeCell ref="AY244:AY247"/>
    <mergeCell ref="AS248:AS259"/>
    <mergeCell ref="AT248:AT259"/>
    <mergeCell ref="AU248:AU259"/>
    <mergeCell ref="BG98:BG109"/>
    <mergeCell ref="AG116:AG127"/>
    <mergeCell ref="AO116:AO127"/>
    <mergeCell ref="AJ128:AJ139"/>
    <mergeCell ref="BF98:BF109"/>
    <mergeCell ref="BD98:BD109"/>
    <mergeCell ref="AH98:AH109"/>
    <mergeCell ref="AH116:AH127"/>
    <mergeCell ref="BH140:BH151"/>
    <mergeCell ref="BV62:BV109"/>
    <mergeCell ref="BJ74:BJ85"/>
    <mergeCell ref="AJ116:AJ127"/>
    <mergeCell ref="AN116:AN127"/>
    <mergeCell ref="AU98:AU109"/>
    <mergeCell ref="BH116:BH127"/>
    <mergeCell ref="BG128:BG139"/>
    <mergeCell ref="BF116:BF127"/>
    <mergeCell ref="AL116:AL119"/>
    <mergeCell ref="AS116:AS127"/>
    <mergeCell ref="CF140:CF151"/>
    <mergeCell ref="CB140:CB151"/>
    <mergeCell ref="BG62:BG73"/>
    <mergeCell ref="BG74:BG85"/>
    <mergeCell ref="CG212:CG271"/>
    <mergeCell ref="L224:L235"/>
    <mergeCell ref="AO260:AO271"/>
    <mergeCell ref="AP260:AP271"/>
    <mergeCell ref="AQ260:AQ271"/>
    <mergeCell ref="BC260:BC271"/>
    <mergeCell ref="BD260:BD271"/>
    <mergeCell ref="BF260:BF271"/>
    <mergeCell ref="BG260:BG271"/>
    <mergeCell ref="BH260:BH271"/>
    <mergeCell ref="BZ248:BZ259"/>
    <mergeCell ref="CB248:CB259"/>
    <mergeCell ref="CF248:CF259"/>
    <mergeCell ref="AJ260:AJ271"/>
    <mergeCell ref="AM260:AM271"/>
    <mergeCell ref="AN260:AN271"/>
    <mergeCell ref="CF224:CF235"/>
    <mergeCell ref="CB224:CB235"/>
    <mergeCell ref="CF236:CF247"/>
    <mergeCell ref="BI236:BI247"/>
    <mergeCell ref="BJ236:BJ247"/>
    <mergeCell ref="BK236:BK239"/>
    <mergeCell ref="BL236:BL239"/>
    <mergeCell ref="BM236:BM259"/>
    <mergeCell ref="CB236:CB247"/>
    <mergeCell ref="BG224:BG235"/>
    <mergeCell ref="BH224:BH235"/>
    <mergeCell ref="BZ224:BZ235"/>
    <mergeCell ref="AM224:AM235"/>
    <mergeCell ref="BF212:BF223"/>
    <mergeCell ref="BG212:BG223"/>
    <mergeCell ref="BX224:BX235"/>
    <mergeCell ref="C260:C271"/>
    <mergeCell ref="D260:D271"/>
    <mergeCell ref="E260:E271"/>
    <mergeCell ref="F260:F271"/>
    <mergeCell ref="G260:G271"/>
    <mergeCell ref="H260:H271"/>
    <mergeCell ref="I260:I271"/>
    <mergeCell ref="K212:K271"/>
    <mergeCell ref="S260:S271"/>
    <mergeCell ref="T260:T271"/>
    <mergeCell ref="U260:U271"/>
    <mergeCell ref="V260:V271"/>
    <mergeCell ref="W260:W271"/>
    <mergeCell ref="AF260:AF271"/>
    <mergeCell ref="AG260:AG271"/>
    <mergeCell ref="AH260:AH271"/>
    <mergeCell ref="AI260:AI271"/>
    <mergeCell ref="V236:V247"/>
    <mergeCell ref="W236:W247"/>
    <mergeCell ref="AF236:AF247"/>
    <mergeCell ref="AG236:AG247"/>
    <mergeCell ref="AH236:AH247"/>
    <mergeCell ref="AI236:AI247"/>
    <mergeCell ref="S236:S247"/>
    <mergeCell ref="L236:L259"/>
    <mergeCell ref="T236:T247"/>
    <mergeCell ref="U236:U247"/>
    <mergeCell ref="C248:C259"/>
    <mergeCell ref="D248:D259"/>
    <mergeCell ref="E248:E259"/>
    <mergeCell ref="F248:F259"/>
    <mergeCell ref="G248:G259"/>
    <mergeCell ref="H248:H259"/>
    <mergeCell ref="I248:I259"/>
    <mergeCell ref="T248:T259"/>
    <mergeCell ref="U248:U259"/>
    <mergeCell ref="V248:V259"/>
    <mergeCell ref="W248:W259"/>
    <mergeCell ref="AF248:AF259"/>
    <mergeCell ref="AG248:AG259"/>
    <mergeCell ref="AH248:AH259"/>
    <mergeCell ref="AI248:AI259"/>
    <mergeCell ref="AJ248:AJ259"/>
    <mergeCell ref="BZ236:BZ247"/>
    <mergeCell ref="AJ236:AJ247"/>
    <mergeCell ref="BF248:BF259"/>
    <mergeCell ref="BG248:BG259"/>
    <mergeCell ref="BH248:BH259"/>
    <mergeCell ref="BX248:BX259"/>
    <mergeCell ref="BF236:BF247"/>
    <mergeCell ref="BG236:BG247"/>
    <mergeCell ref="BH236:BH247"/>
    <mergeCell ref="AS236:AS247"/>
    <mergeCell ref="AT236:AT247"/>
    <mergeCell ref="AU236:AU247"/>
    <mergeCell ref="AV236:AV247"/>
    <mergeCell ref="AW236:AW247"/>
    <mergeCell ref="AX236:AX239"/>
    <mergeCell ref="AY236:AY239"/>
    <mergeCell ref="AZ236:AZ259"/>
    <mergeCell ref="BA236:BA259"/>
    <mergeCell ref="BB236:BB259"/>
    <mergeCell ref="BC236:BC259"/>
    <mergeCell ref="BX236:BX247"/>
    <mergeCell ref="C224:C235"/>
    <mergeCell ref="D224:D235"/>
    <mergeCell ref="E224:E235"/>
    <mergeCell ref="F224:F235"/>
    <mergeCell ref="G224:G235"/>
    <mergeCell ref="H224:H235"/>
    <mergeCell ref="I224:I235"/>
    <mergeCell ref="S224:S235"/>
    <mergeCell ref="T224:T235"/>
    <mergeCell ref="U224:U235"/>
    <mergeCell ref="V224:V235"/>
    <mergeCell ref="W224:W235"/>
    <mergeCell ref="AF224:AF235"/>
    <mergeCell ref="AG224:AG235"/>
    <mergeCell ref="AH224:AH235"/>
    <mergeCell ref="AI224:AI235"/>
    <mergeCell ref="AJ224:AJ235"/>
    <mergeCell ref="C212:C223"/>
    <mergeCell ref="D212:D223"/>
    <mergeCell ref="E212:E223"/>
    <mergeCell ref="F212:F223"/>
    <mergeCell ref="G212:G223"/>
    <mergeCell ref="H212:H223"/>
    <mergeCell ref="I212:I223"/>
    <mergeCell ref="G210:G211"/>
    <mergeCell ref="H210:H211"/>
    <mergeCell ref="I210:I211"/>
    <mergeCell ref="B212:B271"/>
    <mergeCell ref="BX208:CG208"/>
    <mergeCell ref="BX210:BY210"/>
    <mergeCell ref="BZ210:CA210"/>
    <mergeCell ref="CB210:CC210"/>
    <mergeCell ref="B208:B211"/>
    <mergeCell ref="C208:C211"/>
    <mergeCell ref="D208:D211"/>
    <mergeCell ref="E208:F211"/>
    <mergeCell ref="AN224:AN235"/>
    <mergeCell ref="AO224:AO235"/>
    <mergeCell ref="AP224:AP235"/>
    <mergeCell ref="AQ224:AQ235"/>
    <mergeCell ref="BC224:BC235"/>
    <mergeCell ref="BH212:BH223"/>
    <mergeCell ref="BX212:BX223"/>
    <mergeCell ref="AG212:AG223"/>
    <mergeCell ref="AH212:AH223"/>
    <mergeCell ref="CF212:CF223"/>
    <mergeCell ref="BD224:BD235"/>
    <mergeCell ref="BF224:BF235"/>
    <mergeCell ref="AJ212:AJ223"/>
    <mergeCell ref="J236:J247"/>
    <mergeCell ref="J248:J259"/>
    <mergeCell ref="J260:J271"/>
    <mergeCell ref="BZ212:BZ223"/>
    <mergeCell ref="CB212:CB223"/>
    <mergeCell ref="U212:U223"/>
    <mergeCell ref="C236:C247"/>
    <mergeCell ref="D236:D247"/>
    <mergeCell ref="E236:E247"/>
    <mergeCell ref="F236:F247"/>
    <mergeCell ref="G236:G247"/>
    <mergeCell ref="H236:H247"/>
    <mergeCell ref="I236:I247"/>
    <mergeCell ref="AN212:AN223"/>
    <mergeCell ref="AO212:AO223"/>
    <mergeCell ref="AP212:AP223"/>
    <mergeCell ref="AQ212:AQ223"/>
    <mergeCell ref="BC212:BC223"/>
    <mergeCell ref="BD212:BD223"/>
    <mergeCell ref="L212:L223"/>
    <mergeCell ref="S212:S223"/>
    <mergeCell ref="T212:T223"/>
    <mergeCell ref="V212:V223"/>
    <mergeCell ref="W212:W223"/>
    <mergeCell ref="AF212:AF223"/>
    <mergeCell ref="AM236:AM259"/>
    <mergeCell ref="AN236:AN259"/>
    <mergeCell ref="AO236:AO259"/>
    <mergeCell ref="AP236:AP259"/>
    <mergeCell ref="AQ236:AQ259"/>
    <mergeCell ref="AK256:AK259"/>
    <mergeCell ref="AL256:AL259"/>
    <mergeCell ref="CB98:CB109"/>
    <mergeCell ref="CB86:CB97"/>
    <mergeCell ref="BX114:BY114"/>
    <mergeCell ref="CG116:CG163"/>
    <mergeCell ref="CF128:CF139"/>
    <mergeCell ref="T128:T139"/>
    <mergeCell ref="AG128:AG139"/>
    <mergeCell ref="AI152:AI163"/>
    <mergeCell ref="AO152:AO163"/>
    <mergeCell ref="T140:T151"/>
    <mergeCell ref="BC152:BC163"/>
    <mergeCell ref="BF128:BF139"/>
    <mergeCell ref="AJ98:AJ109"/>
    <mergeCell ref="CF152:CF163"/>
    <mergeCell ref="CF116:CF127"/>
    <mergeCell ref="CB152:CB163"/>
    <mergeCell ref="BZ152:BZ163"/>
    <mergeCell ref="BX152:BX163"/>
    <mergeCell ref="BX98:BX109"/>
    <mergeCell ref="BZ86:BZ97"/>
    <mergeCell ref="BX140:BX151"/>
    <mergeCell ref="BT152:BT163"/>
    <mergeCell ref="BL128:BL131"/>
    <mergeCell ref="BM128:BM151"/>
    <mergeCell ref="BN128:BN151"/>
    <mergeCell ref="BO128:BO151"/>
    <mergeCell ref="BP128:BP151"/>
    <mergeCell ref="BQ128:BQ151"/>
    <mergeCell ref="BK132:BK135"/>
    <mergeCell ref="BL132:BL135"/>
    <mergeCell ref="BK136:BK139"/>
    <mergeCell ref="BL136:BL139"/>
    <mergeCell ref="BZ62:BZ73"/>
    <mergeCell ref="BX86:BX97"/>
    <mergeCell ref="BX74:BX85"/>
    <mergeCell ref="AP116:AP127"/>
    <mergeCell ref="AQ116:AQ127"/>
    <mergeCell ref="AI116:AI127"/>
    <mergeCell ref="AK116:AK119"/>
    <mergeCell ref="AX120:AX123"/>
    <mergeCell ref="AF116:AF127"/>
    <mergeCell ref="AX102:AX105"/>
    <mergeCell ref="AY102:AY105"/>
    <mergeCell ref="AX106:AX109"/>
    <mergeCell ref="AY106:AY109"/>
    <mergeCell ref="AF168:AJ168"/>
    <mergeCell ref="AK168:AL169"/>
    <mergeCell ref="AM168:AQ168"/>
    <mergeCell ref="AS168:AW168"/>
    <mergeCell ref="AX168:AY169"/>
    <mergeCell ref="AZ168:BD168"/>
    <mergeCell ref="BF168:BJ168"/>
    <mergeCell ref="AK148:AK151"/>
    <mergeCell ref="BP152:BP163"/>
    <mergeCell ref="BQ152:BQ163"/>
    <mergeCell ref="BK156:BK159"/>
    <mergeCell ref="BL156:BL159"/>
    <mergeCell ref="BK160:BK163"/>
    <mergeCell ref="BL160:BL163"/>
    <mergeCell ref="BS128:BS139"/>
    <mergeCell ref="BS140:BS151"/>
    <mergeCell ref="BS152:BS163"/>
    <mergeCell ref="BT128:BT139"/>
    <mergeCell ref="BT140:BT151"/>
    <mergeCell ref="W194:W205"/>
    <mergeCell ref="U182:U193"/>
    <mergeCell ref="V182:V193"/>
    <mergeCell ref="W182:W193"/>
    <mergeCell ref="X106:X109"/>
    <mergeCell ref="Y106:Y109"/>
    <mergeCell ref="AF182:AF193"/>
    <mergeCell ref="AG98:AG109"/>
    <mergeCell ref="BD116:BD127"/>
    <mergeCell ref="X98:X101"/>
    <mergeCell ref="Y98:Y101"/>
    <mergeCell ref="X102:X105"/>
    <mergeCell ref="Y102:Y105"/>
    <mergeCell ref="AK102:AK105"/>
    <mergeCell ref="Z114:AD114"/>
    <mergeCell ref="AF114:AJ114"/>
    <mergeCell ref="AK114:AL115"/>
    <mergeCell ref="AJ182:AJ193"/>
    <mergeCell ref="AK120:AK123"/>
    <mergeCell ref="AL120:AL123"/>
    <mergeCell ref="AH152:AH163"/>
    <mergeCell ref="AL124:AL127"/>
    <mergeCell ref="AL136:AL139"/>
    <mergeCell ref="AK140:AK143"/>
    <mergeCell ref="AL140:AL143"/>
    <mergeCell ref="AL148:AL151"/>
    <mergeCell ref="AK152:AK155"/>
    <mergeCell ref="AL152:AL155"/>
    <mergeCell ref="AK156:AK159"/>
    <mergeCell ref="AL156:AL159"/>
    <mergeCell ref="AK160:AK163"/>
    <mergeCell ref="X128:X131"/>
    <mergeCell ref="D170:D181"/>
    <mergeCell ref="E170:E181"/>
    <mergeCell ref="F170:F181"/>
    <mergeCell ref="I170:I181"/>
    <mergeCell ref="H128:H139"/>
    <mergeCell ref="I140:I151"/>
    <mergeCell ref="I152:I163"/>
    <mergeCell ref="G166:J167"/>
    <mergeCell ref="H194:H205"/>
    <mergeCell ref="D182:D193"/>
    <mergeCell ref="E182:E193"/>
    <mergeCell ref="F182:F193"/>
    <mergeCell ref="G182:G193"/>
    <mergeCell ref="E166:F169"/>
    <mergeCell ref="G194:G205"/>
    <mergeCell ref="D152:D163"/>
    <mergeCell ref="E152:E163"/>
    <mergeCell ref="F152:F163"/>
    <mergeCell ref="I128:I139"/>
    <mergeCell ref="H140:H151"/>
    <mergeCell ref="G152:G163"/>
    <mergeCell ref="F140:F151"/>
    <mergeCell ref="G128:G139"/>
    <mergeCell ref="G140:G151"/>
    <mergeCell ref="H182:H193"/>
    <mergeCell ref="I182:I193"/>
    <mergeCell ref="H170:H181"/>
    <mergeCell ref="G168:G169"/>
    <mergeCell ref="H168:H169"/>
    <mergeCell ref="I168:I169"/>
    <mergeCell ref="L170:L181"/>
    <mergeCell ref="B166:B169"/>
    <mergeCell ref="C166:C169"/>
    <mergeCell ref="B116:B163"/>
    <mergeCell ref="C152:C163"/>
    <mergeCell ref="K116:K163"/>
    <mergeCell ref="K166:Q167"/>
    <mergeCell ref="I194:I205"/>
    <mergeCell ref="D128:D139"/>
    <mergeCell ref="N194:N205"/>
    <mergeCell ref="O194:O205"/>
    <mergeCell ref="P194:P205"/>
    <mergeCell ref="Q194:Q205"/>
    <mergeCell ref="J170:J181"/>
    <mergeCell ref="C182:C193"/>
    <mergeCell ref="G170:G181"/>
    <mergeCell ref="E116:E127"/>
    <mergeCell ref="F116:F127"/>
    <mergeCell ref="G116:G127"/>
    <mergeCell ref="C194:C205"/>
    <mergeCell ref="D194:D205"/>
    <mergeCell ref="E194:E205"/>
    <mergeCell ref="F194:F205"/>
    <mergeCell ref="D166:D169"/>
    <mergeCell ref="C128:C139"/>
    <mergeCell ref="E140:E151"/>
    <mergeCell ref="D140:D151"/>
    <mergeCell ref="O116:O127"/>
    <mergeCell ref="P116:P127"/>
    <mergeCell ref="C140:C151"/>
    <mergeCell ref="B170:B205"/>
    <mergeCell ref="C170:C181"/>
    <mergeCell ref="I114:I115"/>
    <mergeCell ref="I116:I127"/>
    <mergeCell ref="H114:H115"/>
    <mergeCell ref="L116:L127"/>
    <mergeCell ref="L128:L151"/>
    <mergeCell ref="W152:W163"/>
    <mergeCell ref="S152:S163"/>
    <mergeCell ref="T152:T163"/>
    <mergeCell ref="U152:U163"/>
    <mergeCell ref="T116:T127"/>
    <mergeCell ref="J182:J193"/>
    <mergeCell ref="J194:J205"/>
    <mergeCell ref="V170:V181"/>
    <mergeCell ref="W170:W181"/>
    <mergeCell ref="S194:S205"/>
    <mergeCell ref="T194:T205"/>
    <mergeCell ref="K170:K205"/>
    <mergeCell ref="S170:S181"/>
    <mergeCell ref="T170:T181"/>
    <mergeCell ref="M182:M193"/>
    <mergeCell ref="M194:M205"/>
    <mergeCell ref="L182:L193"/>
    <mergeCell ref="L194:L205"/>
    <mergeCell ref="J116:J127"/>
    <mergeCell ref="J128:J139"/>
    <mergeCell ref="J140:J151"/>
    <mergeCell ref="J152:J163"/>
    <mergeCell ref="U170:U181"/>
    <mergeCell ref="H152:H163"/>
    <mergeCell ref="U194:U205"/>
    <mergeCell ref="V194:V205"/>
    <mergeCell ref="M152:M163"/>
    <mergeCell ref="X168:Y169"/>
    <mergeCell ref="Z168:AD168"/>
    <mergeCell ref="BN116:BN127"/>
    <mergeCell ref="AY132:AY135"/>
    <mergeCell ref="AX136:AX139"/>
    <mergeCell ref="AY136:AY139"/>
    <mergeCell ref="BL152:BL155"/>
    <mergeCell ref="BM152:BM163"/>
    <mergeCell ref="BN152:BN163"/>
    <mergeCell ref="BO152:BO163"/>
    <mergeCell ref="S182:S193"/>
    <mergeCell ref="T182:T193"/>
    <mergeCell ref="X132:X135"/>
    <mergeCell ref="AJ140:AJ151"/>
    <mergeCell ref="AF152:AF163"/>
    <mergeCell ref="AG152:AG163"/>
    <mergeCell ref="X170:X173"/>
    <mergeCell ref="Y170:Y173"/>
    <mergeCell ref="X174:X177"/>
    <mergeCell ref="Y174:Y177"/>
    <mergeCell ref="X178:X181"/>
    <mergeCell ref="Y178:Y181"/>
    <mergeCell ref="X182:X185"/>
    <mergeCell ref="X148:X151"/>
    <mergeCell ref="Y148:Y151"/>
    <mergeCell ref="Z128:Z151"/>
    <mergeCell ref="AA128:AA151"/>
    <mergeCell ref="AB128:AB151"/>
    <mergeCell ref="AC128:AC151"/>
    <mergeCell ref="AJ170:AJ181"/>
    <mergeCell ref="BK168:BL169"/>
    <mergeCell ref="BM168:BQ168"/>
    <mergeCell ref="S166:BV166"/>
    <mergeCell ref="S167:AD167"/>
    <mergeCell ref="AF167:AQ167"/>
    <mergeCell ref="AC152:AC163"/>
    <mergeCell ref="AD152:AD163"/>
    <mergeCell ref="X156:X159"/>
    <mergeCell ref="Y156:Y159"/>
    <mergeCell ref="X160:X163"/>
    <mergeCell ref="Y160:Y163"/>
    <mergeCell ref="AK128:AK131"/>
    <mergeCell ref="AL128:AL131"/>
    <mergeCell ref="AM128:AM151"/>
    <mergeCell ref="AX128:AX131"/>
    <mergeCell ref="AY128:AY131"/>
    <mergeCell ref="AZ128:AZ151"/>
    <mergeCell ref="AG140:AG151"/>
    <mergeCell ref="AF140:AF151"/>
    <mergeCell ref="AH128:AH139"/>
    <mergeCell ref="U140:U151"/>
    <mergeCell ref="U128:U139"/>
    <mergeCell ref="BV116:BV163"/>
    <mergeCell ref="BK144:BK147"/>
    <mergeCell ref="BK148:BK151"/>
    <mergeCell ref="AJ194:AJ205"/>
    <mergeCell ref="AM194:AM205"/>
    <mergeCell ref="AN194:AN205"/>
    <mergeCell ref="AI170:AI181"/>
    <mergeCell ref="BD170:BD181"/>
    <mergeCell ref="BG170:BG181"/>
    <mergeCell ref="AQ194:AQ205"/>
    <mergeCell ref="BC194:BC205"/>
    <mergeCell ref="AM182:AM193"/>
    <mergeCell ref="AI194:AI205"/>
    <mergeCell ref="AF194:AF205"/>
    <mergeCell ref="AG194:AG205"/>
    <mergeCell ref="AH194:AH205"/>
    <mergeCell ref="BF140:BF151"/>
    <mergeCell ref="BD152:BD163"/>
    <mergeCell ref="AN128:AN151"/>
    <mergeCell ref="AO128:AO151"/>
    <mergeCell ref="AP128:AP151"/>
    <mergeCell ref="AQ128:AQ151"/>
    <mergeCell ref="AL160:AL163"/>
    <mergeCell ref="AS128:AS139"/>
    <mergeCell ref="AT128:AT139"/>
    <mergeCell ref="AU128:AU139"/>
    <mergeCell ref="AV128:AV139"/>
    <mergeCell ref="AW128:AW139"/>
    <mergeCell ref="AG182:AG193"/>
    <mergeCell ref="AH182:AH193"/>
    <mergeCell ref="AF128:AF139"/>
    <mergeCell ref="AO194:AO205"/>
    <mergeCell ref="AP194:AP205"/>
    <mergeCell ref="AK144:AK147"/>
    <mergeCell ref="AX132:AX135"/>
    <mergeCell ref="B112:B115"/>
    <mergeCell ref="C112:C115"/>
    <mergeCell ref="D112:D115"/>
    <mergeCell ref="E112:F115"/>
    <mergeCell ref="G114:G115"/>
    <mergeCell ref="BC98:BC109"/>
    <mergeCell ref="AQ98:AQ109"/>
    <mergeCell ref="AP98:AP109"/>
    <mergeCell ref="AO98:AO109"/>
    <mergeCell ref="G98:G109"/>
    <mergeCell ref="F98:F109"/>
    <mergeCell ref="E98:E109"/>
    <mergeCell ref="H98:H109"/>
    <mergeCell ref="W98:W109"/>
    <mergeCell ref="V98:V109"/>
    <mergeCell ref="U98:U109"/>
    <mergeCell ref="S128:S139"/>
    <mergeCell ref="V116:V127"/>
    <mergeCell ref="W116:W127"/>
    <mergeCell ref="AZ114:BD114"/>
    <mergeCell ref="AD116:AD127"/>
    <mergeCell ref="AC116:AC127"/>
    <mergeCell ref="AB116:AB127"/>
    <mergeCell ref="AA116:AA127"/>
    <mergeCell ref="Z116:Z127"/>
    <mergeCell ref="X116:X119"/>
    <mergeCell ref="X120:X123"/>
    <mergeCell ref="S98:S109"/>
    <mergeCell ref="AK124:AK127"/>
    <mergeCell ref="AX124:AX127"/>
    <mergeCell ref="AY124:AY127"/>
    <mergeCell ref="N116:N127"/>
    <mergeCell ref="L98:L109"/>
    <mergeCell ref="L62:L85"/>
    <mergeCell ref="K62:K109"/>
    <mergeCell ref="AI98:AI109"/>
    <mergeCell ref="M98:M109"/>
    <mergeCell ref="AL102:AL105"/>
    <mergeCell ref="AK106:AK109"/>
    <mergeCell ref="AL106:AL109"/>
    <mergeCell ref="P152:P163"/>
    <mergeCell ref="Q152:Q163"/>
    <mergeCell ref="Q128:Q151"/>
    <mergeCell ref="P128:P151"/>
    <mergeCell ref="O128:O151"/>
    <mergeCell ref="N128:N151"/>
    <mergeCell ref="AD128:AD151"/>
    <mergeCell ref="X152:X155"/>
    <mergeCell ref="Y152:Y155"/>
    <mergeCell ref="Z152:Z163"/>
    <mergeCell ref="AA152:AA163"/>
    <mergeCell ref="AB152:AB163"/>
    <mergeCell ref="AK132:AK135"/>
    <mergeCell ref="AL132:AL135"/>
    <mergeCell ref="AK136:AK139"/>
    <mergeCell ref="Y128:Y131"/>
    <mergeCell ref="AI128:AI139"/>
    <mergeCell ref="Y132:Y135"/>
    <mergeCell ref="X136:X139"/>
    <mergeCell ref="Y136:Y139"/>
    <mergeCell ref="X140:X143"/>
    <mergeCell ref="Y140:Y143"/>
    <mergeCell ref="X144:X147"/>
    <mergeCell ref="Y144:Y147"/>
    <mergeCell ref="J62:J73"/>
    <mergeCell ref="AS98:AS109"/>
    <mergeCell ref="F44:F55"/>
    <mergeCell ref="J98:J109"/>
    <mergeCell ref="G58:J59"/>
    <mergeCell ref="Z86:Z97"/>
    <mergeCell ref="AA86:AA97"/>
    <mergeCell ref="AB86:AB97"/>
    <mergeCell ref="AC86:AC97"/>
    <mergeCell ref="S44:S55"/>
    <mergeCell ref="T44:T55"/>
    <mergeCell ref="U44:U55"/>
    <mergeCell ref="H44:H55"/>
    <mergeCell ref="I44:I55"/>
    <mergeCell ref="AT98:AT109"/>
    <mergeCell ref="AZ44:AZ55"/>
    <mergeCell ref="BA44:BA55"/>
    <mergeCell ref="J44:J55"/>
    <mergeCell ref="F62:F73"/>
    <mergeCell ref="G62:G73"/>
    <mergeCell ref="H62:H73"/>
    <mergeCell ref="I62:I73"/>
    <mergeCell ref="S62:S73"/>
    <mergeCell ref="T62:T73"/>
    <mergeCell ref="AJ62:AJ73"/>
    <mergeCell ref="AI62:AI73"/>
    <mergeCell ref="Q86:Q97"/>
    <mergeCell ref="O98:O109"/>
    <mergeCell ref="J86:J97"/>
    <mergeCell ref="AF86:AF97"/>
    <mergeCell ref="U86:U97"/>
    <mergeCell ref="AC44:AC55"/>
    <mergeCell ref="J60:J61"/>
    <mergeCell ref="E4:F7"/>
    <mergeCell ref="I6:I7"/>
    <mergeCell ref="J6:J7"/>
    <mergeCell ref="AW8:AW43"/>
    <mergeCell ref="AJ8:AJ43"/>
    <mergeCell ref="AV8:AV43"/>
    <mergeCell ref="AU8:AU43"/>
    <mergeCell ref="AS8:AS43"/>
    <mergeCell ref="AT8:AT43"/>
    <mergeCell ref="G6:G7"/>
    <mergeCell ref="I8:I43"/>
    <mergeCell ref="G8:G43"/>
    <mergeCell ref="H8:H43"/>
    <mergeCell ref="H6:H7"/>
    <mergeCell ref="T74:T85"/>
    <mergeCell ref="U62:U73"/>
    <mergeCell ref="P32:P43"/>
    <mergeCell ref="Q32:Q43"/>
    <mergeCell ref="N44:N55"/>
    <mergeCell ref="O44:O55"/>
    <mergeCell ref="P44:P55"/>
    <mergeCell ref="Q44:Q55"/>
    <mergeCell ref="G4:J5"/>
    <mergeCell ref="G44:G55"/>
    <mergeCell ref="L6:L7"/>
    <mergeCell ref="M6:M7"/>
    <mergeCell ref="K4:Q5"/>
    <mergeCell ref="N6:Q6"/>
    <mergeCell ref="Q62:Q85"/>
    <mergeCell ref="W44:W55"/>
    <mergeCell ref="AF44:AF55"/>
    <mergeCell ref="K8:K55"/>
    <mergeCell ref="L44:L55"/>
    <mergeCell ref="D74:D85"/>
    <mergeCell ref="W8:W43"/>
    <mergeCell ref="M44:M55"/>
    <mergeCell ref="N20:N31"/>
    <mergeCell ref="O20:O31"/>
    <mergeCell ref="P20:P31"/>
    <mergeCell ref="Q20:Q31"/>
    <mergeCell ref="N32:N43"/>
    <mergeCell ref="O32:O43"/>
    <mergeCell ref="L8:L19"/>
    <mergeCell ref="Z8:Z19"/>
    <mergeCell ref="AA8:AA19"/>
    <mergeCell ref="BF8:BF43"/>
    <mergeCell ref="BG8:BG43"/>
    <mergeCell ref="BH8:BH43"/>
    <mergeCell ref="AB8:AB19"/>
    <mergeCell ref="AC8:AC19"/>
    <mergeCell ref="Z20:Z31"/>
    <mergeCell ref="AA20:AA31"/>
    <mergeCell ref="AB20:AB31"/>
    <mergeCell ref="AC20:AC31"/>
    <mergeCell ref="Z32:Z43"/>
    <mergeCell ref="P8:P19"/>
    <mergeCell ref="Q8:Q19"/>
    <mergeCell ref="M20:M31"/>
    <mergeCell ref="M32:M43"/>
    <mergeCell ref="BC44:BC55"/>
    <mergeCell ref="AQ20:AQ31"/>
    <mergeCell ref="AM32:AM43"/>
    <mergeCell ref="AN32:AN43"/>
    <mergeCell ref="BB44:BB55"/>
    <mergeCell ref="BF44:BF55"/>
    <mergeCell ref="BG44:BG55"/>
    <mergeCell ref="Y82:Y85"/>
    <mergeCell ref="X62:X65"/>
    <mergeCell ref="Y62:Y65"/>
    <mergeCell ref="X66:X69"/>
    <mergeCell ref="Y66:Y69"/>
    <mergeCell ref="AA62:AA85"/>
    <mergeCell ref="Z62:Z85"/>
    <mergeCell ref="V44:V55"/>
    <mergeCell ref="AO44:AO55"/>
    <mergeCell ref="AP44:AP55"/>
    <mergeCell ref="AQ44:AQ55"/>
    <mergeCell ref="Y52:Y55"/>
    <mergeCell ref="Z44:Z55"/>
    <mergeCell ref="AA44:AA55"/>
    <mergeCell ref="X44:X47"/>
    <mergeCell ref="Y44:Y47"/>
    <mergeCell ref="X48:X51"/>
    <mergeCell ref="Y48:Y51"/>
    <mergeCell ref="X52:X55"/>
    <mergeCell ref="AB44:AB55"/>
    <mergeCell ref="X82:X85"/>
    <mergeCell ref="AG44:AG55"/>
    <mergeCell ref="AH44:AH55"/>
    <mergeCell ref="AF59:AQ59"/>
    <mergeCell ref="AS59:BD59"/>
    <mergeCell ref="BF59:BQ59"/>
    <mergeCell ref="AM44:AM55"/>
    <mergeCell ref="AN44:AN55"/>
    <mergeCell ref="AD62:AD85"/>
    <mergeCell ref="B62:B109"/>
    <mergeCell ref="C98:C109"/>
    <mergeCell ref="D98:D109"/>
    <mergeCell ref="I98:I109"/>
    <mergeCell ref="V86:V97"/>
    <mergeCell ref="T98:T109"/>
    <mergeCell ref="D86:D97"/>
    <mergeCell ref="F74:F85"/>
    <mergeCell ref="G74:G85"/>
    <mergeCell ref="E86:E97"/>
    <mergeCell ref="F86:F97"/>
    <mergeCell ref="G86:G97"/>
    <mergeCell ref="H86:H97"/>
    <mergeCell ref="I86:I97"/>
    <mergeCell ref="T86:T97"/>
    <mergeCell ref="S86:S97"/>
    <mergeCell ref="G60:G61"/>
    <mergeCell ref="H60:H61"/>
    <mergeCell ref="C62:C73"/>
    <mergeCell ref="U74:U85"/>
    <mergeCell ref="V74:V85"/>
    <mergeCell ref="I74:I85"/>
    <mergeCell ref="C86:C97"/>
    <mergeCell ref="L86:L97"/>
    <mergeCell ref="I60:I61"/>
    <mergeCell ref="C74:C85"/>
    <mergeCell ref="D62:D73"/>
    <mergeCell ref="E62:E73"/>
    <mergeCell ref="E74:E85"/>
    <mergeCell ref="E58:F61"/>
    <mergeCell ref="P62:P85"/>
    <mergeCell ref="J74:J85"/>
    <mergeCell ref="CG170:CG205"/>
    <mergeCell ref="BX170:BX181"/>
    <mergeCell ref="BZ170:BZ181"/>
    <mergeCell ref="CB170:CB181"/>
    <mergeCell ref="CF170:CF181"/>
    <mergeCell ref="BX194:BX205"/>
    <mergeCell ref="BZ194:BZ205"/>
    <mergeCell ref="BX168:BY168"/>
    <mergeCell ref="BZ168:CA168"/>
    <mergeCell ref="CB168:CC168"/>
    <mergeCell ref="BX166:CG166"/>
    <mergeCell ref="CF182:CF193"/>
    <mergeCell ref="BH170:BH181"/>
    <mergeCell ref="BF170:BF181"/>
    <mergeCell ref="AP152:AP163"/>
    <mergeCell ref="BZ98:BZ109"/>
    <mergeCell ref="AQ86:AQ97"/>
    <mergeCell ref="AP86:AP97"/>
    <mergeCell ref="BS116:BS127"/>
    <mergeCell ref="BT116:BT127"/>
    <mergeCell ref="BO116:BO127"/>
    <mergeCell ref="BP116:BP127"/>
    <mergeCell ref="BQ116:BQ127"/>
    <mergeCell ref="BI128:BI139"/>
    <mergeCell ref="BJ128:BJ139"/>
    <mergeCell ref="BK128:BK131"/>
    <mergeCell ref="BL140:BL143"/>
    <mergeCell ref="BL144:BL147"/>
    <mergeCell ref="BL148:BL151"/>
    <mergeCell ref="BG140:BG151"/>
    <mergeCell ref="BJ152:BJ163"/>
    <mergeCell ref="BK152:BK155"/>
    <mergeCell ref="C4:C7"/>
    <mergeCell ref="CB194:CB205"/>
    <mergeCell ref="CF194:CF205"/>
    <mergeCell ref="BX182:BX193"/>
    <mergeCell ref="CB182:CB193"/>
    <mergeCell ref="C116:C127"/>
    <mergeCell ref="D116:D127"/>
    <mergeCell ref="BZ182:BZ193"/>
    <mergeCell ref="BH152:BH163"/>
    <mergeCell ref="BH128:BH139"/>
    <mergeCell ref="BF152:BF163"/>
    <mergeCell ref="BC116:BC127"/>
    <mergeCell ref="CB128:CB139"/>
    <mergeCell ref="H74:H85"/>
    <mergeCell ref="AG74:AG85"/>
    <mergeCell ref="AH74:AH85"/>
    <mergeCell ref="V62:V73"/>
    <mergeCell ref="C8:C43"/>
    <mergeCell ref="D8:D43"/>
    <mergeCell ref="F8:F43"/>
    <mergeCell ref="E8:E43"/>
    <mergeCell ref="AG86:AG97"/>
    <mergeCell ref="AN98:AN109"/>
    <mergeCell ref="AM98:AM109"/>
    <mergeCell ref="AH86:AH97"/>
    <mergeCell ref="AI86:AI97"/>
    <mergeCell ref="BH98:BH109"/>
    <mergeCell ref="BZ74:BZ85"/>
    <mergeCell ref="CB74:CB85"/>
    <mergeCell ref="CF74:CF85"/>
    <mergeCell ref="CF86:CF97"/>
    <mergeCell ref="CF62:CF73"/>
    <mergeCell ref="B8:B55"/>
    <mergeCell ref="C44:C55"/>
    <mergeCell ref="D44:D55"/>
    <mergeCell ref="E44:E55"/>
    <mergeCell ref="B3:CG3"/>
    <mergeCell ref="BY44:BY55"/>
    <mergeCell ref="AQ152:AQ163"/>
    <mergeCell ref="B4:B7"/>
    <mergeCell ref="D4:D7"/>
    <mergeCell ref="W62:W73"/>
    <mergeCell ref="S74:S85"/>
    <mergeCell ref="Y78:Y81"/>
    <mergeCell ref="AM62:AM85"/>
    <mergeCell ref="AN62:AN85"/>
    <mergeCell ref="AO62:AO85"/>
    <mergeCell ref="AP62:AP85"/>
    <mergeCell ref="AQ62:AQ85"/>
    <mergeCell ref="BD86:BD97"/>
    <mergeCell ref="H116:H127"/>
    <mergeCell ref="U116:U127"/>
    <mergeCell ref="BX112:CG112"/>
    <mergeCell ref="BG116:BG127"/>
    <mergeCell ref="CG62:CG109"/>
    <mergeCell ref="CF98:CF109"/>
    <mergeCell ref="BX6:BY6"/>
    <mergeCell ref="AM8:AM19"/>
    <mergeCell ref="AN8:AN19"/>
    <mergeCell ref="AO8:AO19"/>
    <mergeCell ref="AP8:AP19"/>
    <mergeCell ref="B58:B61"/>
    <mergeCell ref="C58:C61"/>
    <mergeCell ref="D58:D61"/>
    <mergeCell ref="CF44:CF55"/>
    <mergeCell ref="BX44:BX55"/>
    <mergeCell ref="BZ44:BZ55"/>
    <mergeCell ref="CA44:CA55"/>
    <mergeCell ref="AQ32:AQ43"/>
    <mergeCell ref="AZ8:AZ19"/>
    <mergeCell ref="BA8:BA19"/>
    <mergeCell ref="BB8:BB19"/>
    <mergeCell ref="BC20:BC31"/>
    <mergeCell ref="BD20:BD31"/>
    <mergeCell ref="AZ32:AZ43"/>
    <mergeCell ref="BC32:BC43"/>
    <mergeCell ref="BD32:BD43"/>
    <mergeCell ref="AK48:AK51"/>
    <mergeCell ref="AL48:AL51"/>
    <mergeCell ref="AK52:AK55"/>
    <mergeCell ref="AL52:AL55"/>
    <mergeCell ref="BO32:BO43"/>
    <mergeCell ref="AQ8:AQ19"/>
    <mergeCell ref="AM20:AM31"/>
    <mergeCell ref="AN20:AN31"/>
    <mergeCell ref="AO20:AO31"/>
    <mergeCell ref="AP20:AP31"/>
    <mergeCell ref="AX52:AX55"/>
    <mergeCell ref="AX8:AX19"/>
    <mergeCell ref="AO32:AO43"/>
    <mergeCell ref="BL20:BL31"/>
    <mergeCell ref="BK32:BK43"/>
    <mergeCell ref="BY8:BY19"/>
    <mergeCell ref="BY20:BY31"/>
    <mergeCell ref="BY32:BY43"/>
    <mergeCell ref="BD44:BD55"/>
    <mergeCell ref="BX2:CG2"/>
    <mergeCell ref="T8:T43"/>
    <mergeCell ref="U8:U43"/>
    <mergeCell ref="V8:V43"/>
    <mergeCell ref="AI8:AI43"/>
    <mergeCell ref="AH8:AH43"/>
    <mergeCell ref="AG8:AG43"/>
    <mergeCell ref="AF8:AF43"/>
    <mergeCell ref="BX4:CG4"/>
    <mergeCell ref="BS8:BS19"/>
    <mergeCell ref="CE8:CE19"/>
    <mergeCell ref="CE20:CE31"/>
    <mergeCell ref="CE32:CE43"/>
    <mergeCell ref="J8:J43"/>
    <mergeCell ref="X6:Y7"/>
    <mergeCell ref="B2:Q2"/>
    <mergeCell ref="AK44:AK47"/>
    <mergeCell ref="AL44:AL47"/>
    <mergeCell ref="AS44:AS55"/>
    <mergeCell ref="AT44:AT55"/>
    <mergeCell ref="AU44:AU55"/>
    <mergeCell ref="S4:BV4"/>
    <mergeCell ref="BT6:BT7"/>
    <mergeCell ref="BS5:BS7"/>
    <mergeCell ref="BT5:BV5"/>
    <mergeCell ref="BT8:BT43"/>
    <mergeCell ref="BS44:BS55"/>
    <mergeCell ref="BN20:BN31"/>
    <mergeCell ref="BO20:BO31"/>
    <mergeCell ref="BP20:BP31"/>
    <mergeCell ref="BN32:BN43"/>
    <mergeCell ref="BT44:BT55"/>
    <mergeCell ref="CG8:CG55"/>
    <mergeCell ref="BZ6:CA6"/>
    <mergeCell ref="CB6:CC6"/>
    <mergeCell ref="CD6:CE6"/>
    <mergeCell ref="BK52:BK55"/>
    <mergeCell ref="BL52:BL55"/>
    <mergeCell ref="BM44:BM55"/>
    <mergeCell ref="BN44:BN55"/>
    <mergeCell ref="BO44:BO55"/>
    <mergeCell ref="BP44:BP55"/>
    <mergeCell ref="BQ44:BQ55"/>
    <mergeCell ref="BQ32:BQ43"/>
    <mergeCell ref="BM32:BM43"/>
    <mergeCell ref="BL32:BL43"/>
    <mergeCell ref="BV6:BV7"/>
    <mergeCell ref="AY8:AY19"/>
    <mergeCell ref="AX20:AX31"/>
    <mergeCell ref="AY20:AY31"/>
    <mergeCell ref="AX32:AX43"/>
    <mergeCell ref="AY32:AY43"/>
    <mergeCell ref="BK8:BK19"/>
    <mergeCell ref="BL8:BL19"/>
    <mergeCell ref="BI44:BI55"/>
    <mergeCell ref="BX8:BX43"/>
    <mergeCell ref="BZ8:BZ43"/>
    <mergeCell ref="CB8:CB43"/>
    <mergeCell ref="CF8:CF43"/>
    <mergeCell ref="BP32:BP43"/>
    <mergeCell ref="BJ44:BJ55"/>
    <mergeCell ref="CD44:CD55"/>
    <mergeCell ref="CE44:CE55"/>
    <mergeCell ref="BS20:BS31"/>
    <mergeCell ref="S5:AD5"/>
    <mergeCell ref="S6:W6"/>
    <mergeCell ref="Z6:AD6"/>
    <mergeCell ref="AF5:AQ5"/>
    <mergeCell ref="AF6:AJ6"/>
    <mergeCell ref="AK6:AL7"/>
    <mergeCell ref="AM6:AQ6"/>
    <mergeCell ref="AS5:BD5"/>
    <mergeCell ref="AS6:AW6"/>
    <mergeCell ref="AX6:AY7"/>
    <mergeCell ref="AZ6:BD6"/>
    <mergeCell ref="BF5:BQ5"/>
    <mergeCell ref="BF6:BJ6"/>
    <mergeCell ref="BK6:BL7"/>
    <mergeCell ref="BM6:BQ6"/>
    <mergeCell ref="BQ8:BQ19"/>
    <mergeCell ref="BQ20:BQ31"/>
    <mergeCell ref="BM8:BM19"/>
    <mergeCell ref="BM20:BM31"/>
    <mergeCell ref="X8:X19"/>
    <mergeCell ref="X20:X31"/>
    <mergeCell ref="BN8:BN19"/>
    <mergeCell ref="BO8:BO19"/>
    <mergeCell ref="BP8:BP19"/>
    <mergeCell ref="AD8:AD19"/>
    <mergeCell ref="AD20:AD31"/>
    <mergeCell ref="BA20:BA31"/>
    <mergeCell ref="BB20:BB31"/>
    <mergeCell ref="X32:X43"/>
    <mergeCell ref="BH44:BH55"/>
    <mergeCell ref="BD8:BD19"/>
    <mergeCell ref="AZ20:AZ31"/>
    <mergeCell ref="AX140:AX143"/>
    <mergeCell ref="AY140:AY143"/>
    <mergeCell ref="AX144:AX147"/>
    <mergeCell ref="AY144:AY147"/>
    <mergeCell ref="AX148:AX151"/>
    <mergeCell ref="AY148:AY151"/>
    <mergeCell ref="AM152:AM163"/>
    <mergeCell ref="AI140:AI151"/>
    <mergeCell ref="AH140:AH151"/>
    <mergeCell ref="AJ152:AJ163"/>
    <mergeCell ref="AV44:AV55"/>
    <mergeCell ref="AW44:AW55"/>
    <mergeCell ref="AX44:AX47"/>
    <mergeCell ref="AY44:AY47"/>
    <mergeCell ref="AX48:AX51"/>
    <mergeCell ref="AY48:AY51"/>
    <mergeCell ref="Y8:Y19"/>
    <mergeCell ref="Y20:Y31"/>
    <mergeCell ref="Y32:Y43"/>
    <mergeCell ref="AK8:AK19"/>
    <mergeCell ref="AL8:AL19"/>
    <mergeCell ref="AK20:AK31"/>
    <mergeCell ref="AL20:AL31"/>
    <mergeCell ref="AK32:AK43"/>
    <mergeCell ref="AL32:AL43"/>
    <mergeCell ref="AC32:AC43"/>
    <mergeCell ref="AA32:AA43"/>
    <mergeCell ref="AI44:AI55"/>
    <mergeCell ref="AD32:AD43"/>
    <mergeCell ref="AB32:AB43"/>
    <mergeCell ref="AY52:AY55"/>
    <mergeCell ref="AJ44:AJ55"/>
    <mergeCell ref="BJ140:BJ151"/>
    <mergeCell ref="BK140:BK143"/>
    <mergeCell ref="BG152:BG163"/>
    <mergeCell ref="AS152:AS163"/>
    <mergeCell ref="AT152:AT163"/>
    <mergeCell ref="AU152:AU163"/>
    <mergeCell ref="AV152:AV163"/>
    <mergeCell ref="AW152:AW163"/>
    <mergeCell ref="AX152:AX155"/>
    <mergeCell ref="AY152:AY155"/>
    <mergeCell ref="AZ152:AZ163"/>
    <mergeCell ref="BA152:BA163"/>
    <mergeCell ref="BB152:BB163"/>
    <mergeCell ref="AX156:AX159"/>
    <mergeCell ref="AY156:AY159"/>
    <mergeCell ref="AX160:AX163"/>
    <mergeCell ref="AY160:AY163"/>
    <mergeCell ref="AS140:AS151"/>
    <mergeCell ref="AT140:AT151"/>
    <mergeCell ref="AU140:AU151"/>
    <mergeCell ref="AV140:AV151"/>
    <mergeCell ref="AW140:AW151"/>
    <mergeCell ref="BI152:BI163"/>
    <mergeCell ref="BI140:BI151"/>
    <mergeCell ref="BA128:BA151"/>
    <mergeCell ref="BB128:BB151"/>
    <mergeCell ref="BC128:BC151"/>
    <mergeCell ref="BD128:BD151"/>
    <mergeCell ref="CD140:CD151"/>
    <mergeCell ref="CD152:CD163"/>
    <mergeCell ref="BY116:BY127"/>
    <mergeCell ref="CA116:CA127"/>
    <mergeCell ref="CC116:CC127"/>
    <mergeCell ref="CE116:CE127"/>
    <mergeCell ref="BY128:BY151"/>
    <mergeCell ref="CA128:CA151"/>
    <mergeCell ref="CC128:CC151"/>
    <mergeCell ref="CE128:CE151"/>
    <mergeCell ref="BY152:BY163"/>
    <mergeCell ref="CA152:CA163"/>
    <mergeCell ref="CC152:CC163"/>
    <mergeCell ref="CE152:CE163"/>
    <mergeCell ref="M170:M181"/>
    <mergeCell ref="N170:N181"/>
    <mergeCell ref="O170:O181"/>
    <mergeCell ref="P170:P181"/>
    <mergeCell ref="Q170:Q181"/>
    <mergeCell ref="Z170:Z181"/>
    <mergeCell ref="AA170:AA181"/>
    <mergeCell ref="AB170:AB181"/>
    <mergeCell ref="AC170:AC181"/>
    <mergeCell ref="AD170:AD181"/>
    <mergeCell ref="AS170:AS181"/>
    <mergeCell ref="AT170:AT181"/>
    <mergeCell ref="AU170:AU181"/>
    <mergeCell ref="AV170:AV181"/>
    <mergeCell ref="AW170:AW181"/>
    <mergeCell ref="AX170:AX173"/>
    <mergeCell ref="CE170:CE181"/>
    <mergeCell ref="BM170:BM181"/>
    <mergeCell ref="Y182:Y185"/>
    <mergeCell ref="X186:X189"/>
    <mergeCell ref="Y186:Y189"/>
    <mergeCell ref="X190:X193"/>
    <mergeCell ref="Y190:Y193"/>
    <mergeCell ref="X194:X197"/>
    <mergeCell ref="Y194:Y197"/>
    <mergeCell ref="X198:X201"/>
    <mergeCell ref="Y198:Y201"/>
    <mergeCell ref="X202:X205"/>
    <mergeCell ref="Y202:Y205"/>
    <mergeCell ref="Z182:Z193"/>
    <mergeCell ref="AA182:AA193"/>
    <mergeCell ref="AB182:AB193"/>
    <mergeCell ref="AC182:AC193"/>
    <mergeCell ref="AD182:AD193"/>
    <mergeCell ref="Z194:Z205"/>
    <mergeCell ref="AA194:AA205"/>
    <mergeCell ref="AB194:AB205"/>
    <mergeCell ref="AC194:AC205"/>
    <mergeCell ref="AD194:AD205"/>
    <mergeCell ref="AI182:AI193"/>
    <mergeCell ref="AF170:AF181"/>
    <mergeCell ref="AG170:AG181"/>
    <mergeCell ref="AH170:AH181"/>
    <mergeCell ref="BI170:BI181"/>
    <mergeCell ref="BJ170:BJ181"/>
    <mergeCell ref="BK170:BK173"/>
    <mergeCell ref="BI194:BI205"/>
    <mergeCell ref="BJ194:BJ205"/>
    <mergeCell ref="BK194:BK197"/>
    <mergeCell ref="BA170:BA181"/>
    <mergeCell ref="BB170:BB181"/>
    <mergeCell ref="AX174:AX177"/>
    <mergeCell ref="AY174:AY177"/>
    <mergeCell ref="AX178:AX181"/>
    <mergeCell ref="AY178:AY181"/>
    <mergeCell ref="AS182:AS193"/>
    <mergeCell ref="AT182:AT193"/>
    <mergeCell ref="AU182:AU193"/>
    <mergeCell ref="AV182:AV193"/>
    <mergeCell ref="AW182:AW193"/>
    <mergeCell ref="AX182:AX185"/>
    <mergeCell ref="AY182:AY185"/>
    <mergeCell ref="AY170:AY173"/>
    <mergeCell ref="AZ170:AZ181"/>
    <mergeCell ref="AK170:AK173"/>
    <mergeCell ref="AL170:AL173"/>
    <mergeCell ref="AK174:AK177"/>
    <mergeCell ref="AL174:AL177"/>
    <mergeCell ref="AK178:AK181"/>
    <mergeCell ref="AL178:AL181"/>
    <mergeCell ref="AK182:AK185"/>
    <mergeCell ref="AY190:AY193"/>
    <mergeCell ref="BH182:BH193"/>
    <mergeCell ref="BG182:BG193"/>
    <mergeCell ref="BD194:BD205"/>
    <mergeCell ref="BG194:BG205"/>
    <mergeCell ref="BH194:BH205"/>
    <mergeCell ref="BK178:BK181"/>
    <mergeCell ref="BI182:BI193"/>
    <mergeCell ref="BJ182:BJ193"/>
    <mergeCell ref="BK182:BK185"/>
    <mergeCell ref="BL182:BL185"/>
    <mergeCell ref="AL186:AL189"/>
    <mergeCell ref="AK190:AK193"/>
    <mergeCell ref="AL190:AL193"/>
    <mergeCell ref="AK194:AK197"/>
    <mergeCell ref="AL194:AL197"/>
    <mergeCell ref="AK198:AK201"/>
    <mergeCell ref="AL198:AL201"/>
    <mergeCell ref="AK202:AK205"/>
    <mergeCell ref="AL202:AL205"/>
    <mergeCell ref="AL182:AL185"/>
    <mergeCell ref="AK186:AK189"/>
    <mergeCell ref="AM170:AM181"/>
    <mergeCell ref="BK174:BK177"/>
    <mergeCell ref="BL174:BL177"/>
    <mergeCell ref="BL170:BL173"/>
    <mergeCell ref="BM182:BM193"/>
    <mergeCell ref="BN182:BN193"/>
    <mergeCell ref="BO182:BO193"/>
    <mergeCell ref="BP182:BP193"/>
    <mergeCell ref="BQ182:BQ193"/>
    <mergeCell ref="BK186:BK189"/>
    <mergeCell ref="BL186:BL189"/>
    <mergeCell ref="BK190:BK193"/>
    <mergeCell ref="BL190:BL193"/>
    <mergeCell ref="BF194:BF205"/>
    <mergeCell ref="BD182:BD193"/>
    <mergeCell ref="BF182:BF193"/>
    <mergeCell ref="AS194:AS205"/>
    <mergeCell ref="AT194:AT205"/>
    <mergeCell ref="AU194:AU205"/>
    <mergeCell ref="AV194:AV205"/>
    <mergeCell ref="AW194:AW205"/>
    <mergeCell ref="AX194:AX197"/>
    <mergeCell ref="AY194:AY197"/>
    <mergeCell ref="AZ194:AZ205"/>
    <mergeCell ref="BA194:BA205"/>
    <mergeCell ref="BB194:BB205"/>
    <mergeCell ref="AX198:AX201"/>
    <mergeCell ref="AY198:AY201"/>
    <mergeCell ref="AX202:AX205"/>
    <mergeCell ref="AY202:AY205"/>
    <mergeCell ref="AZ182:AZ193"/>
    <mergeCell ref="BA182:BA193"/>
    <mergeCell ref="BB182:BB193"/>
    <mergeCell ref="AX186:AX189"/>
    <mergeCell ref="AY186:AY189"/>
    <mergeCell ref="AX190:AX193"/>
    <mergeCell ref="CE182:CE193"/>
    <mergeCell ref="CE194:CE205"/>
    <mergeCell ref="BO194:BO205"/>
    <mergeCell ref="BP194:BP205"/>
    <mergeCell ref="BQ194:BQ205"/>
    <mergeCell ref="BS170:BS181"/>
    <mergeCell ref="BS182:BS193"/>
    <mergeCell ref="BS194:BS205"/>
    <mergeCell ref="CD170:CD181"/>
    <mergeCell ref="CD182:CD193"/>
    <mergeCell ref="CD194:CD205"/>
    <mergeCell ref="BY170:BY181"/>
    <mergeCell ref="BY182:BY193"/>
    <mergeCell ref="BY194:BY205"/>
    <mergeCell ref="CA170:CA181"/>
    <mergeCell ref="CA182:CA193"/>
    <mergeCell ref="CA194:CA205"/>
    <mergeCell ref="CC170:CC181"/>
    <mergeCell ref="CC182:CC193"/>
    <mergeCell ref="CC194:CC205"/>
    <mergeCell ref="BT194:BT205"/>
    <mergeCell ref="BV170:BV205"/>
    <mergeCell ref="BN170:BN181"/>
    <mergeCell ref="BO170:BO181"/>
    <mergeCell ref="BP170:BP181"/>
    <mergeCell ref="BQ170:BQ181"/>
    <mergeCell ref="BT170:BT181"/>
    <mergeCell ref="J212:J223"/>
    <mergeCell ref="J224:J235"/>
    <mergeCell ref="M212:M223"/>
    <mergeCell ref="N212:N223"/>
    <mergeCell ref="O212:O223"/>
    <mergeCell ref="P212:P223"/>
    <mergeCell ref="Q212:Q223"/>
    <mergeCell ref="N224:N235"/>
    <mergeCell ref="O224:O235"/>
    <mergeCell ref="P224:P235"/>
    <mergeCell ref="Q224:Q235"/>
    <mergeCell ref="M224:M235"/>
    <mergeCell ref="AD212:AD223"/>
    <mergeCell ref="AD224:AD235"/>
    <mergeCell ref="BL194:BL197"/>
    <mergeCell ref="BM194:BM205"/>
    <mergeCell ref="BN194:BN205"/>
    <mergeCell ref="BK198:BK201"/>
    <mergeCell ref="BL198:BL201"/>
    <mergeCell ref="BK202:BK205"/>
    <mergeCell ref="BL202:BL205"/>
    <mergeCell ref="BB212:BB223"/>
    <mergeCell ref="AX216:AX219"/>
    <mergeCell ref="AY216:AY219"/>
    <mergeCell ref="AX220:AX223"/>
    <mergeCell ref="AY220:AY223"/>
    <mergeCell ref="AS224:AS235"/>
    <mergeCell ref="AT224:AT235"/>
    <mergeCell ref="AU224:AU235"/>
    <mergeCell ref="AV224:AV235"/>
    <mergeCell ref="AW224:AW235"/>
    <mergeCell ref="AX224:AX227"/>
    <mergeCell ref="BT182:BT193"/>
    <mergeCell ref="BL178:BL181"/>
    <mergeCell ref="BU170:BU181"/>
    <mergeCell ref="BU182:BU193"/>
    <mergeCell ref="BU194:BU205"/>
    <mergeCell ref="S248:S259"/>
    <mergeCell ref="X212:X215"/>
    <mergeCell ref="Y212:Y215"/>
    <mergeCell ref="X216:X219"/>
    <mergeCell ref="Y216:Y219"/>
    <mergeCell ref="X220:X223"/>
    <mergeCell ref="Y220:Y223"/>
    <mergeCell ref="X224:X227"/>
    <mergeCell ref="Y224:Y227"/>
    <mergeCell ref="X228:X231"/>
    <mergeCell ref="Y228:Y231"/>
    <mergeCell ref="X232:X235"/>
    <mergeCell ref="Y232:Y235"/>
    <mergeCell ref="X236:X239"/>
    <mergeCell ref="Y236:Y239"/>
    <mergeCell ref="X240:X243"/>
    <mergeCell ref="Y240:Y243"/>
    <mergeCell ref="X244:X247"/>
    <mergeCell ref="Y244:Y247"/>
    <mergeCell ref="X248:X251"/>
    <mergeCell ref="Y248:Y251"/>
    <mergeCell ref="X252:X255"/>
    <mergeCell ref="Y252:Y255"/>
    <mergeCell ref="X256:X259"/>
    <mergeCell ref="Y256:Y259"/>
    <mergeCell ref="AZ212:AZ223"/>
    <mergeCell ref="BA212:BA223"/>
    <mergeCell ref="AL268:AL271"/>
    <mergeCell ref="AK240:AK243"/>
    <mergeCell ref="AL240:AL243"/>
    <mergeCell ref="AK244:AK247"/>
    <mergeCell ref="AL244:AL247"/>
    <mergeCell ref="AK248:AK251"/>
    <mergeCell ref="AL248:AL251"/>
    <mergeCell ref="AK252:AK255"/>
    <mergeCell ref="AL252:AL255"/>
    <mergeCell ref="X260:X263"/>
    <mergeCell ref="Y260:Y263"/>
    <mergeCell ref="X264:X267"/>
    <mergeCell ref="Y264:Y267"/>
    <mergeCell ref="X268:X271"/>
    <mergeCell ref="Y268:Y271"/>
    <mergeCell ref="Z212:Z223"/>
    <mergeCell ref="AA212:AA223"/>
    <mergeCell ref="AB212:AB223"/>
    <mergeCell ref="AC212:AC223"/>
    <mergeCell ref="Z224:Z235"/>
    <mergeCell ref="AA224:AA235"/>
    <mergeCell ref="AB224:AB235"/>
    <mergeCell ref="AC224:AC235"/>
    <mergeCell ref="Z236:Z259"/>
    <mergeCell ref="AA236:AA259"/>
    <mergeCell ref="AB236:AB259"/>
    <mergeCell ref="AC236:AC259"/>
    <mergeCell ref="AS260:AS271"/>
    <mergeCell ref="AT260:AT271"/>
    <mergeCell ref="AU260:AU271"/>
    <mergeCell ref="AV260:AV271"/>
    <mergeCell ref="AW260:AW271"/>
    <mergeCell ref="AX260:AX263"/>
    <mergeCell ref="AY260:AY263"/>
    <mergeCell ref="AZ260:AZ271"/>
    <mergeCell ref="BA260:BA271"/>
    <mergeCell ref="AD260:AD271"/>
    <mergeCell ref="Z260:Z271"/>
    <mergeCell ref="AA260:AA271"/>
    <mergeCell ref="AB260:AB271"/>
    <mergeCell ref="AC260:AC271"/>
    <mergeCell ref="AD236:AD259"/>
    <mergeCell ref="AV248:AV259"/>
    <mergeCell ref="AW248:AW259"/>
    <mergeCell ref="AK212:AK215"/>
    <mergeCell ref="AL212:AL215"/>
    <mergeCell ref="AK216:AK219"/>
    <mergeCell ref="AL216:AL219"/>
    <mergeCell ref="AK220:AK223"/>
    <mergeCell ref="AL220:AL223"/>
    <mergeCell ref="AK224:AK227"/>
    <mergeCell ref="AL224:AL227"/>
    <mergeCell ref="AK228:AK231"/>
    <mergeCell ref="AL228:AL231"/>
    <mergeCell ref="AK232:AK235"/>
    <mergeCell ref="AL232:AL235"/>
    <mergeCell ref="AK236:AK239"/>
    <mergeCell ref="AL236:AL239"/>
    <mergeCell ref="AK264:AK267"/>
    <mergeCell ref="AL264:AL267"/>
    <mergeCell ref="AK268:AK271"/>
    <mergeCell ref="AK260:AK263"/>
    <mergeCell ref="AL260:AL263"/>
    <mergeCell ref="BI260:BI271"/>
    <mergeCell ref="BJ260:BJ271"/>
    <mergeCell ref="BK260:BK263"/>
    <mergeCell ref="BL260:BL263"/>
    <mergeCell ref="BM260:BM271"/>
    <mergeCell ref="BJ212:BJ223"/>
    <mergeCell ref="BK212:BK215"/>
    <mergeCell ref="BL212:BL215"/>
    <mergeCell ref="BM212:BM223"/>
    <mergeCell ref="AY224:AY227"/>
    <mergeCell ref="AZ224:AZ235"/>
    <mergeCell ref="BA224:BA235"/>
    <mergeCell ref="BB224:BB235"/>
    <mergeCell ref="AX228:AX231"/>
    <mergeCell ref="AY228:AY231"/>
    <mergeCell ref="AX264:AX267"/>
    <mergeCell ref="AY264:AY267"/>
    <mergeCell ref="AX268:AX271"/>
    <mergeCell ref="AY268:AY271"/>
    <mergeCell ref="AX248:AX251"/>
    <mergeCell ref="AY248:AY251"/>
    <mergeCell ref="AX252:AX255"/>
    <mergeCell ref="AY252:AY255"/>
    <mergeCell ref="AX256:AX259"/>
    <mergeCell ref="AY256:AY259"/>
    <mergeCell ref="AX232:AX235"/>
    <mergeCell ref="AY232:AY235"/>
    <mergeCell ref="BK232:BK235"/>
    <mergeCell ref="BL232:BL235"/>
    <mergeCell ref="BK264:BK267"/>
    <mergeCell ref="BL264:BL267"/>
    <mergeCell ref="BK268:BK271"/>
    <mergeCell ref="AS212:AS223"/>
    <mergeCell ref="AT212:AT223"/>
    <mergeCell ref="AU212:AU223"/>
    <mergeCell ref="AV212:AV223"/>
    <mergeCell ref="AW212:AW223"/>
    <mergeCell ref="AX212:AX215"/>
    <mergeCell ref="AY212:AY215"/>
    <mergeCell ref="AX240:AX243"/>
    <mergeCell ref="AY240:AY243"/>
    <mergeCell ref="CC212:CC223"/>
    <mergeCell ref="BO236:BO259"/>
    <mergeCell ref="BP236:BP259"/>
    <mergeCell ref="BQ236:BQ259"/>
    <mergeCell ref="BK240:BK243"/>
    <mergeCell ref="BL240:BL243"/>
    <mergeCell ref="BK244:BK247"/>
    <mergeCell ref="BL244:BL247"/>
    <mergeCell ref="BI248:BI259"/>
    <mergeCell ref="BJ248:BJ259"/>
    <mergeCell ref="BK248:BK251"/>
    <mergeCell ref="BL248:BL251"/>
    <mergeCell ref="BK252:BK255"/>
    <mergeCell ref="BL252:BL255"/>
    <mergeCell ref="BK256:BK259"/>
    <mergeCell ref="BL256:BL259"/>
    <mergeCell ref="BI212:BI223"/>
    <mergeCell ref="BN224:BN235"/>
    <mergeCell ref="BO224:BO235"/>
    <mergeCell ref="BP224:BP235"/>
    <mergeCell ref="BQ224:BQ235"/>
    <mergeCell ref="BK228:BK231"/>
    <mergeCell ref="BL228:BL231"/>
    <mergeCell ref="BN236:BN259"/>
    <mergeCell ref="BJ224:BJ235"/>
    <mergeCell ref="BK224:BK227"/>
    <mergeCell ref="BL224:BL227"/>
    <mergeCell ref="BM224:BM235"/>
    <mergeCell ref="CE212:CE223"/>
    <mergeCell ref="BY224:BY235"/>
    <mergeCell ref="CA224:CA235"/>
    <mergeCell ref="CC224:CC235"/>
    <mergeCell ref="CE224:CE235"/>
    <mergeCell ref="BY236:BY259"/>
    <mergeCell ref="CA236:CA259"/>
    <mergeCell ref="CC236:CC259"/>
    <mergeCell ref="CE236:CE259"/>
    <mergeCell ref="BY260:BY271"/>
    <mergeCell ref="CA260:CA271"/>
    <mergeCell ref="CC260:CC271"/>
    <mergeCell ref="CE260:CE271"/>
    <mergeCell ref="BS212:BS223"/>
    <mergeCell ref="BS224:BS235"/>
    <mergeCell ref="BS236:BS247"/>
    <mergeCell ref="BS248:BS259"/>
    <mergeCell ref="BS260:BS271"/>
    <mergeCell ref="BT212:BT223"/>
    <mergeCell ref="BT224:BT235"/>
    <mergeCell ref="CB260:CB271"/>
    <mergeCell ref="BT236:BT247"/>
    <mergeCell ref="BT248:BT259"/>
    <mergeCell ref="BT260:BT271"/>
    <mergeCell ref="BV212:BV271"/>
    <mergeCell ref="CD212:CD223"/>
    <mergeCell ref="CD224:CD235"/>
    <mergeCell ref="CD236:CD247"/>
    <mergeCell ref="CD248:CD259"/>
    <mergeCell ref="CD260:CD271"/>
    <mergeCell ref="BY212:BY223"/>
    <mergeCell ref="CA212:CA223"/>
    <mergeCell ref="M236:M259"/>
    <mergeCell ref="N236:N259"/>
    <mergeCell ref="O236:O259"/>
    <mergeCell ref="P236:P259"/>
    <mergeCell ref="Q236:Q259"/>
    <mergeCell ref="M260:M271"/>
    <mergeCell ref="N182:N193"/>
    <mergeCell ref="O182:O193"/>
    <mergeCell ref="P182:P193"/>
    <mergeCell ref="Q182:Q193"/>
    <mergeCell ref="N260:N271"/>
    <mergeCell ref="BN212:BN223"/>
    <mergeCell ref="BO212:BO223"/>
    <mergeCell ref="BP212:BP223"/>
    <mergeCell ref="BQ212:BQ223"/>
    <mergeCell ref="BK216:BK219"/>
    <mergeCell ref="BL216:BL219"/>
    <mergeCell ref="BK220:BK223"/>
    <mergeCell ref="BL220:BL223"/>
    <mergeCell ref="BI224:BI235"/>
    <mergeCell ref="O260:O271"/>
    <mergeCell ref="P260:P271"/>
    <mergeCell ref="Q260:Q271"/>
    <mergeCell ref="BN260:BN271"/>
    <mergeCell ref="BO260:BO271"/>
    <mergeCell ref="BP260:BP271"/>
    <mergeCell ref="BQ260:BQ271"/>
    <mergeCell ref="BL268:BL271"/>
    <mergeCell ref="BB260:BB271"/>
    <mergeCell ref="M302:M313"/>
    <mergeCell ref="N302:N313"/>
    <mergeCell ref="O302:O313"/>
    <mergeCell ref="P302:P313"/>
    <mergeCell ref="Q302:Q313"/>
    <mergeCell ref="M314:M325"/>
    <mergeCell ref="N314:N325"/>
    <mergeCell ref="B273:Q273"/>
    <mergeCell ref="B274:B277"/>
    <mergeCell ref="C274:C277"/>
    <mergeCell ref="D274:D277"/>
    <mergeCell ref="E274:F277"/>
    <mergeCell ref="G274:J275"/>
    <mergeCell ref="K274:Q275"/>
    <mergeCell ref="G276:G277"/>
    <mergeCell ref="H276:H277"/>
    <mergeCell ref="I276:I277"/>
    <mergeCell ref="J276:J277"/>
    <mergeCell ref="L276:L277"/>
    <mergeCell ref="M276:M277"/>
    <mergeCell ref="N276:Q276"/>
    <mergeCell ref="M278:M289"/>
    <mergeCell ref="N278:N289"/>
    <mergeCell ref="O278:O289"/>
    <mergeCell ref="P278:P289"/>
    <mergeCell ref="Q278:Q289"/>
    <mergeCell ref="M290:M301"/>
    <mergeCell ref="N290:N301"/>
    <mergeCell ref="O290:O301"/>
    <mergeCell ref="P290:P301"/>
    <mergeCell ref="BS275:BS277"/>
    <mergeCell ref="BT275:BV275"/>
    <mergeCell ref="BT276:BT277"/>
    <mergeCell ref="BV276:BV277"/>
    <mergeCell ref="AR275:AR325"/>
    <mergeCell ref="AS278:AS289"/>
    <mergeCell ref="AT278:AT289"/>
    <mergeCell ref="AM302:AM313"/>
    <mergeCell ref="AN302:AN313"/>
    <mergeCell ref="AO302:AO313"/>
    <mergeCell ref="AP302:AP313"/>
    <mergeCell ref="AQ302:AQ313"/>
    <mergeCell ref="AK306:AK309"/>
    <mergeCell ref="AL306:AL309"/>
    <mergeCell ref="AK310:AK313"/>
    <mergeCell ref="AL310:AL313"/>
    <mergeCell ref="BC290:BC301"/>
    <mergeCell ref="BD290:BD301"/>
    <mergeCell ref="AW278:AW289"/>
    <mergeCell ref="AM314:AM325"/>
    <mergeCell ref="AN314:AN325"/>
    <mergeCell ref="AO314:AO325"/>
    <mergeCell ref="AP314:AP325"/>
    <mergeCell ref="AQ314:AQ325"/>
    <mergeCell ref="AK318:AK321"/>
    <mergeCell ref="AL318:AL321"/>
    <mergeCell ref="AK322:AK325"/>
    <mergeCell ref="AL322:AL325"/>
    <mergeCell ref="AV302:AV313"/>
    <mergeCell ref="AW302:AW313"/>
    <mergeCell ref="AS314:AS325"/>
    <mergeCell ref="AT314:AT325"/>
    <mergeCell ref="AG278:AG289"/>
    <mergeCell ref="AH278:AH289"/>
    <mergeCell ref="AI278:AI289"/>
    <mergeCell ref="AJ278:AJ289"/>
    <mergeCell ref="AK278:AK281"/>
    <mergeCell ref="AL278:AL281"/>
    <mergeCell ref="AM278:AM289"/>
    <mergeCell ref="AN278:AN289"/>
    <mergeCell ref="AC278:AC289"/>
    <mergeCell ref="AD278:AD289"/>
    <mergeCell ref="AK298:AK301"/>
    <mergeCell ref="AL298:AL301"/>
    <mergeCell ref="AV314:AV325"/>
    <mergeCell ref="Q290:Q301"/>
    <mergeCell ref="O314:O325"/>
    <mergeCell ref="AF275:AQ275"/>
    <mergeCell ref="AF276:AJ276"/>
    <mergeCell ref="AK276:AL277"/>
    <mergeCell ref="AM276:AQ276"/>
    <mergeCell ref="AS275:BD275"/>
    <mergeCell ref="AS276:AW276"/>
    <mergeCell ref="AX276:AY277"/>
    <mergeCell ref="AZ276:BD276"/>
    <mergeCell ref="AF314:AF325"/>
    <mergeCell ref="AG314:AG325"/>
    <mergeCell ref="AL294:AL297"/>
    <mergeCell ref="AU290:AU301"/>
    <mergeCell ref="AV290:AV301"/>
    <mergeCell ref="P314:P325"/>
    <mergeCell ref="Q314:Q325"/>
    <mergeCell ref="R273:R325"/>
    <mergeCell ref="S278:S289"/>
    <mergeCell ref="T278:T289"/>
    <mergeCell ref="U278:U289"/>
    <mergeCell ref="V278:V289"/>
    <mergeCell ref="W278:W289"/>
    <mergeCell ref="X278:X281"/>
    <mergeCell ref="Y278:Y281"/>
    <mergeCell ref="Z278:Z289"/>
    <mergeCell ref="AA278:AA289"/>
    <mergeCell ref="AB278:AB289"/>
    <mergeCell ref="X282:X285"/>
    <mergeCell ref="Y282:Y285"/>
    <mergeCell ref="X286:X289"/>
    <mergeCell ref="Y286:Y289"/>
    <mergeCell ref="S290:S301"/>
    <mergeCell ref="T290:T301"/>
    <mergeCell ref="U290:U301"/>
    <mergeCell ref="V290:V301"/>
    <mergeCell ref="W290:W301"/>
    <mergeCell ref="X290:X293"/>
    <mergeCell ref="Y290:Y293"/>
    <mergeCell ref="Z290:Z301"/>
    <mergeCell ref="AA290:AA301"/>
    <mergeCell ref="AB290:AB301"/>
    <mergeCell ref="AH314:AH325"/>
    <mergeCell ref="AI314:AI325"/>
    <mergeCell ref="AU278:AU289"/>
    <mergeCell ref="AV278:AV289"/>
    <mergeCell ref="AF278:AF289"/>
    <mergeCell ref="S314:S325"/>
    <mergeCell ref="T314:T325"/>
    <mergeCell ref="U314:U325"/>
    <mergeCell ref="V314:V325"/>
    <mergeCell ref="S273:BV273"/>
    <mergeCell ref="S274:BV274"/>
    <mergeCell ref="S275:AD275"/>
    <mergeCell ref="W314:W325"/>
    <mergeCell ref="X314:X317"/>
    <mergeCell ref="Y314:Y317"/>
    <mergeCell ref="Z314:Z325"/>
    <mergeCell ref="AA314:AA325"/>
    <mergeCell ref="AB314:AB325"/>
    <mergeCell ref="AC314:AC325"/>
    <mergeCell ref="AD314:AD325"/>
    <mergeCell ref="X318:X321"/>
    <mergeCell ref="Y318:Y321"/>
    <mergeCell ref="X322:X325"/>
    <mergeCell ref="Y322:Y325"/>
    <mergeCell ref="AE275:AE325"/>
    <mergeCell ref="X294:X297"/>
    <mergeCell ref="Y294:Y297"/>
    <mergeCell ref="X298:X301"/>
    <mergeCell ref="Y298:Y301"/>
    <mergeCell ref="Y306:Y309"/>
    <mergeCell ref="X310:X313"/>
    <mergeCell ref="Y310:Y313"/>
    <mergeCell ref="S276:W276"/>
    <mergeCell ref="X276:Y277"/>
    <mergeCell ref="Z276:AD276"/>
    <mergeCell ref="AD302:AD313"/>
    <mergeCell ref="X306:X309"/>
    <mergeCell ref="S302:S313"/>
    <mergeCell ref="T302:T313"/>
    <mergeCell ref="U302:U313"/>
    <mergeCell ref="V302:V313"/>
    <mergeCell ref="W302:W313"/>
    <mergeCell ref="X302:X305"/>
    <mergeCell ref="Y302:Y305"/>
    <mergeCell ref="AO278:AO289"/>
    <mergeCell ref="AP278:AP289"/>
    <mergeCell ref="AQ278:AQ289"/>
    <mergeCell ref="AK282:AK285"/>
    <mergeCell ref="AL282:AL285"/>
    <mergeCell ref="AK286:AK289"/>
    <mergeCell ref="AL286:AL289"/>
    <mergeCell ref="AF290:AF301"/>
    <mergeCell ref="AG290:AG301"/>
    <mergeCell ref="AH290:AH301"/>
    <mergeCell ref="AI290:AI301"/>
    <mergeCell ref="AJ290:AJ301"/>
    <mergeCell ref="AK290:AK293"/>
    <mergeCell ref="AL290:AL293"/>
    <mergeCell ref="AM290:AM301"/>
    <mergeCell ref="AN290:AN301"/>
    <mergeCell ref="AO290:AO301"/>
    <mergeCell ref="AP290:AP301"/>
    <mergeCell ref="AQ290:AQ301"/>
    <mergeCell ref="AK294:AK297"/>
    <mergeCell ref="AC290:AC301"/>
    <mergeCell ref="AD290:AD301"/>
    <mergeCell ref="AW314:AW325"/>
    <mergeCell ref="AX314:AX317"/>
    <mergeCell ref="AY314:AY317"/>
    <mergeCell ref="AZ314:AZ325"/>
    <mergeCell ref="BA314:BA325"/>
    <mergeCell ref="BB314:BB325"/>
    <mergeCell ref="AS302:AS313"/>
    <mergeCell ref="AT302:AT313"/>
    <mergeCell ref="AU302:AU313"/>
    <mergeCell ref="Z302:Z313"/>
    <mergeCell ref="AA302:AA313"/>
    <mergeCell ref="AB302:AB313"/>
    <mergeCell ref="AC302:AC313"/>
    <mergeCell ref="AF302:AF313"/>
    <mergeCell ref="AG302:AG313"/>
    <mergeCell ref="AH302:AH313"/>
    <mergeCell ref="AI302:AI313"/>
    <mergeCell ref="AJ302:AJ313"/>
    <mergeCell ref="AK302:AK305"/>
    <mergeCell ref="AL302:AL305"/>
    <mergeCell ref="AZ290:AZ301"/>
    <mergeCell ref="BA290:BA301"/>
    <mergeCell ref="BB290:BB301"/>
    <mergeCell ref="AX294:AX297"/>
    <mergeCell ref="AY294:AY297"/>
    <mergeCell ref="AX298:AX301"/>
    <mergeCell ref="AY298:AY301"/>
    <mergeCell ref="AJ314:AJ325"/>
    <mergeCell ref="AK314:AK317"/>
    <mergeCell ref="AL314:AL317"/>
    <mergeCell ref="AU314:AU325"/>
    <mergeCell ref="BK318:BK321"/>
    <mergeCell ref="BL318:BL321"/>
    <mergeCell ref="BK322:BK325"/>
    <mergeCell ref="BL322:BL325"/>
    <mergeCell ref="BC314:BC325"/>
    <mergeCell ref="BD314:BD325"/>
    <mergeCell ref="AX318:AX321"/>
    <mergeCell ref="AY318:AY321"/>
    <mergeCell ref="AX322:AX325"/>
    <mergeCell ref="AY322:AY325"/>
    <mergeCell ref="BK282:BK285"/>
    <mergeCell ref="BL282:BL285"/>
    <mergeCell ref="BK286:BK289"/>
    <mergeCell ref="BL286:BL289"/>
    <mergeCell ref="BF290:BF301"/>
    <mergeCell ref="BG290:BG301"/>
    <mergeCell ref="BH290:BH301"/>
    <mergeCell ref="BI290:BI301"/>
    <mergeCell ref="BJ290:BJ301"/>
    <mergeCell ref="BK290:BK293"/>
    <mergeCell ref="BL290:BL293"/>
    <mergeCell ref="BE275:BE325"/>
    <mergeCell ref="BF275:BQ275"/>
    <mergeCell ref="BF276:BJ276"/>
    <mergeCell ref="BK276:BL277"/>
    <mergeCell ref="BM276:BQ276"/>
    <mergeCell ref="BC278:BC289"/>
    <mergeCell ref="BD278:BD289"/>
    <mergeCell ref="AX282:AX285"/>
    <mergeCell ref="AY282:AY285"/>
    <mergeCell ref="AX286:AX289"/>
    <mergeCell ref="AY286:AY289"/>
    <mergeCell ref="AX310:AX313"/>
    <mergeCell ref="AY310:AY313"/>
    <mergeCell ref="BK302:BK305"/>
    <mergeCell ref="AX290:AX293"/>
    <mergeCell ref="BL302:BL305"/>
    <mergeCell ref="BM302:BM313"/>
    <mergeCell ref="BN302:BN313"/>
    <mergeCell ref="BO302:BO313"/>
    <mergeCell ref="BP302:BP313"/>
    <mergeCell ref="BQ302:BQ313"/>
    <mergeCell ref="BK306:BK309"/>
    <mergeCell ref="BL306:BL309"/>
    <mergeCell ref="BK310:BK313"/>
    <mergeCell ref="BL310:BL313"/>
    <mergeCell ref="BM278:BM289"/>
    <mergeCell ref="BN278:BN289"/>
    <mergeCell ref="BO278:BO289"/>
    <mergeCell ref="BP278:BP289"/>
    <mergeCell ref="BQ278:BQ289"/>
    <mergeCell ref="AX278:AX281"/>
    <mergeCell ref="AY278:AY281"/>
    <mergeCell ref="AZ278:AZ289"/>
    <mergeCell ref="BA278:BA289"/>
    <mergeCell ref="BB278:BB289"/>
    <mergeCell ref="BL314:BL317"/>
    <mergeCell ref="BK278:BK281"/>
    <mergeCell ref="BL278:BL281"/>
    <mergeCell ref="BK314:BK317"/>
    <mergeCell ref="BM290:BM301"/>
    <mergeCell ref="BN290:BN301"/>
    <mergeCell ref="BO290:BO301"/>
    <mergeCell ref="BP290:BP301"/>
    <mergeCell ref="BQ290:BQ301"/>
    <mergeCell ref="BK294:BK297"/>
    <mergeCell ref="BL294:BL297"/>
    <mergeCell ref="BK298:BK301"/>
    <mergeCell ref="BM314:BM325"/>
    <mergeCell ref="BN314:BN325"/>
    <mergeCell ref="BO314:BO325"/>
    <mergeCell ref="BP314:BP325"/>
    <mergeCell ref="BQ314:BQ325"/>
    <mergeCell ref="CF302:CF313"/>
    <mergeCell ref="CF314:CF325"/>
    <mergeCell ref="CG278:CG325"/>
    <mergeCell ref="B278:J289"/>
    <mergeCell ref="B290:J301"/>
    <mergeCell ref="B302:J313"/>
    <mergeCell ref="B314:J325"/>
    <mergeCell ref="K278:K325"/>
    <mergeCell ref="L278:L289"/>
    <mergeCell ref="L290:L301"/>
    <mergeCell ref="L302:L313"/>
    <mergeCell ref="L314:L325"/>
    <mergeCell ref="BZ278:BZ289"/>
    <mergeCell ref="CA278:CA289"/>
    <mergeCell ref="BZ290:BZ301"/>
    <mergeCell ref="CA290:CA301"/>
    <mergeCell ref="BZ302:BZ313"/>
    <mergeCell ref="CA302:CA313"/>
    <mergeCell ref="BZ314:BZ325"/>
    <mergeCell ref="CA314:CA325"/>
    <mergeCell ref="CB278:CB289"/>
    <mergeCell ref="CC278:CC289"/>
    <mergeCell ref="CB290:CB301"/>
    <mergeCell ref="CC290:CC301"/>
    <mergeCell ref="CB302:CB313"/>
    <mergeCell ref="CC302:CC313"/>
    <mergeCell ref="CB314:CB325"/>
    <mergeCell ref="CC314:CC325"/>
    <mergeCell ref="CD278:CD289"/>
    <mergeCell ref="CE278:CE289"/>
    <mergeCell ref="BR275:BR325"/>
    <mergeCell ref="BL298:BL301"/>
    <mergeCell ref="CD290:CD301"/>
    <mergeCell ref="CE290:CE301"/>
    <mergeCell ref="CD302:CD313"/>
    <mergeCell ref="CE302:CE313"/>
    <mergeCell ref="CD314:CD325"/>
    <mergeCell ref="CE314:CE325"/>
    <mergeCell ref="BT278:BT289"/>
    <mergeCell ref="BS290:BS301"/>
    <mergeCell ref="BT290:BT301"/>
    <mergeCell ref="BS302:BS313"/>
    <mergeCell ref="BT302:BT313"/>
    <mergeCell ref="BS314:BS325"/>
    <mergeCell ref="BT314:BT325"/>
    <mergeCell ref="BV278:BV325"/>
    <mergeCell ref="BW273:BW325"/>
    <mergeCell ref="BX278:BX289"/>
    <mergeCell ref="BY278:BY289"/>
    <mergeCell ref="BX290:BX301"/>
    <mergeCell ref="BS278:BS289"/>
    <mergeCell ref="BX302:BX313"/>
    <mergeCell ref="BX314:BX325"/>
    <mergeCell ref="BY290:BY301"/>
    <mergeCell ref="BY302:BY313"/>
    <mergeCell ref="BY314:BY325"/>
    <mergeCell ref="BX273:CG273"/>
    <mergeCell ref="BX274:CG274"/>
    <mergeCell ref="BX276:BY276"/>
    <mergeCell ref="BZ276:CA276"/>
    <mergeCell ref="CB276:CC276"/>
    <mergeCell ref="CD276:CE276"/>
    <mergeCell ref="CF278:CF289"/>
    <mergeCell ref="CF290:CF301"/>
    <mergeCell ref="B326:J331"/>
    <mergeCell ref="K326:K331"/>
    <mergeCell ref="B332:J337"/>
    <mergeCell ref="K332:K337"/>
    <mergeCell ref="BF278:BF289"/>
    <mergeCell ref="BG278:BG289"/>
    <mergeCell ref="BH278:BH289"/>
    <mergeCell ref="BI278:BI289"/>
    <mergeCell ref="BJ278:BJ289"/>
    <mergeCell ref="AX302:AX305"/>
    <mergeCell ref="AY302:AY305"/>
    <mergeCell ref="AZ302:AZ313"/>
    <mergeCell ref="BA302:BA313"/>
    <mergeCell ref="BB302:BB313"/>
    <mergeCell ref="BC302:BC313"/>
    <mergeCell ref="BD302:BD313"/>
    <mergeCell ref="AX306:AX309"/>
    <mergeCell ref="AY306:AY309"/>
    <mergeCell ref="BF314:BF325"/>
    <mergeCell ref="BG314:BG325"/>
    <mergeCell ref="BH314:BH325"/>
    <mergeCell ref="BI314:BI325"/>
    <mergeCell ref="BJ314:BJ325"/>
    <mergeCell ref="BF302:BF313"/>
    <mergeCell ref="BG302:BG313"/>
    <mergeCell ref="BH302:BH313"/>
    <mergeCell ref="BI302:BI313"/>
    <mergeCell ref="BJ302:BJ313"/>
    <mergeCell ref="AS290:AS301"/>
    <mergeCell ref="AT290:AT301"/>
    <mergeCell ref="AW290:AW301"/>
    <mergeCell ref="AY290:AY293"/>
  </mergeCells>
  <conditionalFormatting sqref="BY260 CC44:CC50">
    <cfRule type="cellIs" dxfId="407" priority="779" operator="between">
      <formula>1.01</formula>
      <formula>2</formula>
    </cfRule>
    <cfRule type="cellIs" dxfId="406" priority="780" operator="between">
      <formula>0.75</formula>
      <formula>1</formula>
    </cfRule>
    <cfRule type="cellIs" dxfId="405" priority="781" operator="between">
      <formula>0.5</formula>
      <formula>0.749</formula>
    </cfRule>
    <cfRule type="cellIs" dxfId="404" priority="782" operator="between">
      <formula>0</formula>
      <formula>0.499</formula>
    </cfRule>
  </conditionalFormatting>
  <conditionalFormatting sqref="CB44:CB50">
    <cfRule type="cellIs" dxfId="403" priority="755" operator="between">
      <formula>1.01</formula>
      <formula>2</formula>
    </cfRule>
    <cfRule type="cellIs" dxfId="402" priority="756" operator="between">
      <formula>0.75</formula>
      <formula>1</formula>
    </cfRule>
    <cfRule type="cellIs" dxfId="401" priority="757" operator="between">
      <formula>0.5</formula>
      <formula>0.749</formula>
    </cfRule>
    <cfRule type="cellIs" dxfId="400" priority="758" operator="between">
      <formula>0</formula>
      <formula>0.499</formula>
    </cfRule>
  </conditionalFormatting>
  <conditionalFormatting sqref="CG170">
    <cfRule type="cellIs" dxfId="399" priority="651" operator="between">
      <formula>1.01</formula>
      <formula>2</formula>
    </cfRule>
    <cfRule type="cellIs" dxfId="398" priority="652" operator="between">
      <formula>0.75</formula>
      <formula>1</formula>
    </cfRule>
    <cfRule type="cellIs" dxfId="397" priority="653" operator="between">
      <formula>0.5</formula>
      <formula>0.749</formula>
    </cfRule>
    <cfRule type="cellIs" dxfId="396" priority="654" operator="between">
      <formula>0</formula>
      <formula>0.499</formula>
    </cfRule>
  </conditionalFormatting>
  <conditionalFormatting sqref="BX170 BX182 BX194">
    <cfRule type="cellIs" dxfId="395" priority="671" operator="between">
      <formula>1.01</formula>
      <formula>2</formula>
    </cfRule>
    <cfRule type="cellIs" dxfId="394" priority="672" operator="between">
      <formula>0.75</formula>
      <formula>1</formula>
    </cfRule>
    <cfRule type="cellIs" dxfId="393" priority="673" operator="between">
      <formula>0.5</formula>
      <formula>0.749</formula>
    </cfRule>
    <cfRule type="cellIs" dxfId="392" priority="674" operator="between">
      <formula>0</formula>
      <formula>0.499</formula>
    </cfRule>
  </conditionalFormatting>
  <conditionalFormatting sqref="CB170 CB182 CB194">
    <cfRule type="cellIs" dxfId="391" priority="655" operator="between">
      <formula>1.01</formula>
      <formula>2</formula>
    </cfRule>
    <cfRule type="cellIs" dxfId="390" priority="656" operator="between">
      <formula>0.75</formula>
      <formula>1</formula>
    </cfRule>
    <cfRule type="cellIs" dxfId="389" priority="657" operator="between">
      <formula>0.5</formula>
      <formula>0.749</formula>
    </cfRule>
    <cfRule type="cellIs" dxfId="388" priority="658" operator="between">
      <formula>0</formula>
      <formula>0.499</formula>
    </cfRule>
  </conditionalFormatting>
  <conditionalFormatting sqref="BZ170 BZ182 BZ194">
    <cfRule type="cellIs" dxfId="387" priority="663" operator="between">
      <formula>1.01</formula>
      <formula>2</formula>
    </cfRule>
    <cfRule type="cellIs" dxfId="386" priority="664" operator="between">
      <formula>0.75</formula>
      <formula>1</formula>
    </cfRule>
    <cfRule type="cellIs" dxfId="385" priority="665" operator="between">
      <formula>0.5</formula>
      <formula>0.749</formula>
    </cfRule>
    <cfRule type="cellIs" dxfId="384" priority="666" operator="between">
      <formula>0</formula>
      <formula>0.499</formula>
    </cfRule>
  </conditionalFormatting>
  <conditionalFormatting sqref="BX62:BX69 BX74:BX81 BX86:BX93 BX98:BX105">
    <cfRule type="cellIs" dxfId="383" priority="739" operator="between">
      <formula>1.01</formula>
      <formula>2</formula>
    </cfRule>
    <cfRule type="cellIs" dxfId="382" priority="740" operator="between">
      <formula>0.75</formula>
      <formula>1</formula>
    </cfRule>
    <cfRule type="cellIs" dxfId="381" priority="741" operator="between">
      <formula>0.5</formula>
      <formula>0.749</formula>
    </cfRule>
    <cfRule type="cellIs" dxfId="380" priority="742" operator="between">
      <formula>0</formula>
      <formula>0.499</formula>
    </cfRule>
  </conditionalFormatting>
  <conditionalFormatting sqref="CF116:CF120 CF128:CF132 CF152:CF156">
    <cfRule type="cellIs" dxfId="379" priority="679" operator="between">
      <formula>1.01</formula>
      <formula>2</formula>
    </cfRule>
    <cfRule type="cellIs" dxfId="378" priority="680" operator="between">
      <formula>0.75</formula>
      <formula>1</formula>
    </cfRule>
    <cfRule type="cellIs" dxfId="377" priority="681" operator="between">
      <formula>0.5</formula>
      <formula>0.749</formula>
    </cfRule>
    <cfRule type="cellIs" dxfId="376" priority="682" operator="between">
      <formula>0</formula>
      <formula>0.499</formula>
    </cfRule>
  </conditionalFormatting>
  <conditionalFormatting sqref="BY170 BY182 BY194">
    <cfRule type="cellIs" dxfId="375" priority="675" operator="between">
      <formula>1.01</formula>
      <formula>2</formula>
    </cfRule>
    <cfRule type="cellIs" dxfId="374" priority="676" operator="between">
      <formula>0.75</formula>
      <formula>1</formula>
    </cfRule>
    <cfRule type="cellIs" dxfId="373" priority="677" operator="between">
      <formula>0.5</formula>
      <formula>0.749</formula>
    </cfRule>
    <cfRule type="cellIs" dxfId="372" priority="678" operator="between">
      <formula>0</formula>
      <formula>0.499</formula>
    </cfRule>
  </conditionalFormatting>
  <conditionalFormatting sqref="CB116:CB120 CB128:CB132 CB152:CB156">
    <cfRule type="cellIs" dxfId="371" priority="687" operator="between">
      <formula>1.01</formula>
      <formula>2</formula>
    </cfRule>
    <cfRule type="cellIs" dxfId="370" priority="688" operator="between">
      <formula>0.75</formula>
      <formula>1</formula>
    </cfRule>
    <cfRule type="cellIs" dxfId="369" priority="689" operator="between">
      <formula>0.5</formula>
      <formula>0.749</formula>
    </cfRule>
    <cfRule type="cellIs" dxfId="368" priority="690" operator="between">
      <formula>0</formula>
      <formula>0.499</formula>
    </cfRule>
  </conditionalFormatting>
  <conditionalFormatting sqref="CG116:CG120">
    <cfRule type="cellIs" dxfId="367" priority="683" operator="between">
      <formula>1.01</formula>
      <formula>2</formula>
    </cfRule>
    <cfRule type="cellIs" dxfId="366" priority="684" operator="between">
      <formula>0.75</formula>
      <formula>1</formula>
    </cfRule>
    <cfRule type="cellIs" dxfId="365" priority="685" operator="between">
      <formula>0.5</formula>
      <formula>0.749</formula>
    </cfRule>
    <cfRule type="cellIs" dxfId="364" priority="686" operator="between">
      <formula>0</formula>
      <formula>0.499</formula>
    </cfRule>
  </conditionalFormatting>
  <conditionalFormatting sqref="BZ116:BZ120 BZ128:BZ132 BZ140:BZ144 BZ152:BZ156">
    <cfRule type="cellIs" dxfId="363" priority="695" operator="between">
      <formula>1.01</formula>
      <formula>2</formula>
    </cfRule>
    <cfRule type="cellIs" dxfId="362" priority="696" operator="between">
      <formula>0.75</formula>
      <formula>1</formula>
    </cfRule>
    <cfRule type="cellIs" dxfId="361" priority="697" operator="between">
      <formula>0.5</formula>
      <formula>0.749</formula>
    </cfRule>
    <cfRule type="cellIs" dxfId="360" priority="698" operator="between">
      <formula>0</formula>
      <formula>0.499</formula>
    </cfRule>
  </conditionalFormatting>
  <conditionalFormatting sqref="CG62:CG69">
    <cfRule type="cellIs" dxfId="359" priority="719" operator="between">
      <formula>1.01</formula>
      <formula>2</formula>
    </cfRule>
    <cfRule type="cellIs" dxfId="358" priority="720" operator="between">
      <formula>0.75</formula>
      <formula>1</formula>
    </cfRule>
    <cfRule type="cellIs" dxfId="357" priority="721" operator="between">
      <formula>0.5</formula>
      <formula>0.749</formula>
    </cfRule>
    <cfRule type="cellIs" dxfId="356" priority="722" operator="between">
      <formula>0</formula>
      <formula>0.499</formula>
    </cfRule>
  </conditionalFormatting>
  <conditionalFormatting sqref="BZ212:BZ218 BZ224:BZ230 BZ236:BZ242 BZ248:BZ254 BZ260:BZ266">
    <cfRule type="cellIs" dxfId="355" priority="547" operator="between">
      <formula>1.01</formula>
      <formula>2</formula>
    </cfRule>
    <cfRule type="cellIs" dxfId="354" priority="548" operator="between">
      <formula>0.75</formula>
      <formula>1</formula>
    </cfRule>
    <cfRule type="cellIs" dxfId="353" priority="549" operator="between">
      <formula>0.5</formula>
      <formula>0.749</formula>
    </cfRule>
    <cfRule type="cellIs" dxfId="352" priority="550" operator="between">
      <formula>0</formula>
      <formula>0.499</formula>
    </cfRule>
  </conditionalFormatting>
  <conditionalFormatting sqref="BY62">
    <cfRule type="cellIs" dxfId="351" priority="743" operator="between">
      <formula>1.01</formula>
      <formula>2</formula>
    </cfRule>
    <cfRule type="cellIs" dxfId="350" priority="744" operator="between">
      <formula>0.75</formula>
      <formula>1</formula>
    </cfRule>
    <cfRule type="cellIs" dxfId="349" priority="745" operator="between">
      <formula>0.5</formula>
      <formula>0.749</formula>
    </cfRule>
    <cfRule type="cellIs" dxfId="348" priority="746" operator="between">
      <formula>0</formula>
      <formula>0.499</formula>
    </cfRule>
  </conditionalFormatting>
  <conditionalFormatting sqref="BX116:BX120 BX128:BX132 BX140:BX144 BX152:BX156">
    <cfRule type="cellIs" dxfId="347" priority="703" operator="between">
      <formula>1.01</formula>
      <formula>2</formula>
    </cfRule>
    <cfRule type="cellIs" dxfId="346" priority="704" operator="between">
      <formula>0.75</formula>
      <formula>1</formula>
    </cfRule>
    <cfRule type="cellIs" dxfId="345" priority="705" operator="between">
      <formula>0.5</formula>
      <formula>0.749</formula>
    </cfRule>
    <cfRule type="cellIs" dxfId="344" priority="706" operator="between">
      <formula>0</formula>
      <formula>0.499</formula>
    </cfRule>
  </conditionalFormatting>
  <conditionalFormatting sqref="BY116">
    <cfRule type="cellIs" dxfId="343" priority="707" operator="between">
      <formula>1.01</formula>
      <formula>2</formula>
    </cfRule>
    <cfRule type="cellIs" dxfId="342" priority="708" operator="between">
      <formula>0.75</formula>
      <formula>1</formula>
    </cfRule>
    <cfRule type="cellIs" dxfId="341" priority="709" operator="between">
      <formula>0.5</formula>
      <formula>0.749</formula>
    </cfRule>
    <cfRule type="cellIs" dxfId="340" priority="710" operator="between">
      <formula>0</formula>
      <formula>0.499</formula>
    </cfRule>
  </conditionalFormatting>
  <conditionalFormatting sqref="BY128">
    <cfRule type="cellIs" dxfId="339" priority="591" operator="between">
      <formula>1.01</formula>
      <formula>2</formula>
    </cfRule>
    <cfRule type="cellIs" dxfId="338" priority="592" operator="between">
      <formula>0.75</formula>
      <formula>1</formula>
    </cfRule>
    <cfRule type="cellIs" dxfId="337" priority="593" operator="between">
      <formula>0.5</formula>
      <formula>0.749</formula>
    </cfRule>
    <cfRule type="cellIs" dxfId="336" priority="594" operator="between">
      <formula>0</formula>
      <formula>0.499</formula>
    </cfRule>
  </conditionalFormatting>
  <conditionalFormatting sqref="BY212 BY224">
    <cfRule type="cellIs" dxfId="335" priority="559" operator="between">
      <formula>1.01</formula>
      <formula>2</formula>
    </cfRule>
    <cfRule type="cellIs" dxfId="334" priority="560" operator="between">
      <formula>0.75</formula>
      <formula>1</formula>
    </cfRule>
    <cfRule type="cellIs" dxfId="333" priority="561" operator="between">
      <formula>0.5</formula>
      <formula>0.749</formula>
    </cfRule>
    <cfRule type="cellIs" dxfId="332" priority="562" operator="between">
      <formula>0</formula>
      <formula>0.499</formula>
    </cfRule>
  </conditionalFormatting>
  <conditionalFormatting sqref="BX212:BX218 BX224:BX230 BX236:BX242 BX248:BX254 BX260:BX266">
    <cfRule type="cellIs" dxfId="331" priority="555" operator="between">
      <formula>1.01</formula>
      <formula>2</formula>
    </cfRule>
    <cfRule type="cellIs" dxfId="330" priority="556" operator="between">
      <formula>0.75</formula>
      <formula>1</formula>
    </cfRule>
    <cfRule type="cellIs" dxfId="329" priority="557" operator="between">
      <formula>0.5</formula>
      <formula>0.749</formula>
    </cfRule>
    <cfRule type="cellIs" dxfId="328" priority="558" operator="between">
      <formula>0</formula>
      <formula>0.499</formula>
    </cfRule>
  </conditionalFormatting>
  <conditionalFormatting sqref="CF212:CF218 CF260:CF266">
    <cfRule type="cellIs" dxfId="327" priority="531" operator="between">
      <formula>1.01</formula>
      <formula>2</formula>
    </cfRule>
    <cfRule type="cellIs" dxfId="326" priority="532" operator="between">
      <formula>0.75</formula>
      <formula>1</formula>
    </cfRule>
    <cfRule type="cellIs" dxfId="325" priority="533" operator="between">
      <formula>0.5</formula>
      <formula>0.749</formula>
    </cfRule>
    <cfRule type="cellIs" dxfId="324" priority="534" operator="between">
      <formula>0</formula>
      <formula>0.499</formula>
    </cfRule>
  </conditionalFormatting>
  <conditionalFormatting sqref="CB212:CB218 CB224:CB230 CB260:CB266">
    <cfRule type="cellIs" dxfId="323" priority="539" operator="between">
      <formula>1.01</formula>
      <formula>2</formula>
    </cfRule>
    <cfRule type="cellIs" dxfId="322" priority="540" operator="between">
      <formula>0.75</formula>
      <formula>1</formula>
    </cfRule>
    <cfRule type="cellIs" dxfId="321" priority="541" operator="between">
      <formula>0.5</formula>
      <formula>0.749</formula>
    </cfRule>
    <cfRule type="cellIs" dxfId="320" priority="542" operator="between">
      <formula>0</formula>
      <formula>0.499</formula>
    </cfRule>
  </conditionalFormatting>
  <conditionalFormatting sqref="CG212:CG218">
    <cfRule type="cellIs" dxfId="319" priority="535" operator="between">
      <formula>1.01</formula>
      <formula>2</formula>
    </cfRule>
    <cfRule type="cellIs" dxfId="318" priority="536" operator="between">
      <formula>0.75</formula>
      <formula>1</formula>
    </cfRule>
    <cfRule type="cellIs" dxfId="317" priority="537" operator="between">
      <formula>0.5</formula>
      <formula>0.749</formula>
    </cfRule>
    <cfRule type="cellIs" dxfId="316" priority="538" operator="between">
      <formula>0</formula>
      <formula>0.499</formula>
    </cfRule>
  </conditionalFormatting>
  <conditionalFormatting sqref="BY236">
    <cfRule type="cellIs" dxfId="315" priority="527" operator="between">
      <formula>1.01</formula>
      <formula>2</formula>
    </cfRule>
    <cfRule type="cellIs" dxfId="314" priority="528" operator="between">
      <formula>0.75</formula>
      <formula>1</formula>
    </cfRule>
    <cfRule type="cellIs" dxfId="313" priority="529" operator="between">
      <formula>0.5</formula>
      <formula>0.749</formula>
    </cfRule>
    <cfRule type="cellIs" dxfId="312" priority="530" operator="between">
      <formula>0</formula>
      <formula>0.499</formula>
    </cfRule>
  </conditionalFormatting>
  <conditionalFormatting sqref="BX8 BX44">
    <cfRule type="cellIs" dxfId="311" priority="471" operator="between">
      <formula>1.01</formula>
      <formula>2</formula>
    </cfRule>
    <cfRule type="cellIs" dxfId="310" priority="472" operator="between">
      <formula>0.75</formula>
      <formula>1</formula>
    </cfRule>
    <cfRule type="cellIs" dxfId="309" priority="473" operator="between">
      <formula>0.5</formula>
      <formula>0.749</formula>
    </cfRule>
    <cfRule type="cellIs" dxfId="308" priority="474" operator="between">
      <formula>0</formula>
      <formula>0.499</formula>
    </cfRule>
  </conditionalFormatting>
  <conditionalFormatting sqref="CD8 CD44">
    <cfRule type="cellIs" dxfId="307" priority="369" operator="between">
      <formula>1.01</formula>
      <formula>2</formula>
    </cfRule>
    <cfRule type="cellIs" dxfId="306" priority="370" operator="between">
      <formula>0.75</formula>
      <formula>1</formula>
    </cfRule>
    <cfRule type="cellIs" dxfId="305" priority="371" operator="between">
      <formula>0.5</formula>
      <formula>0.749</formula>
    </cfRule>
    <cfRule type="cellIs" dxfId="304" priority="372" operator="between">
      <formula>0</formula>
      <formula>0.499</formula>
    </cfRule>
  </conditionalFormatting>
  <conditionalFormatting sqref="BY44 BY20 BY32">
    <cfRule type="cellIs" dxfId="303" priority="429" operator="between">
      <formula>1.01</formula>
      <formula>2</formula>
    </cfRule>
    <cfRule type="cellIs" dxfId="302" priority="430" operator="between">
      <formula>0.75</formula>
      <formula>1</formula>
    </cfRule>
    <cfRule type="cellIs" dxfId="301" priority="431" operator="between">
      <formula>0.5</formula>
      <formula>0.749</formula>
    </cfRule>
    <cfRule type="cellIs" dxfId="300" priority="432" operator="between">
      <formula>0</formula>
      <formula>0.499</formula>
    </cfRule>
  </conditionalFormatting>
  <conditionalFormatting sqref="CE8 CE44 CE20 CE32">
    <cfRule type="cellIs" dxfId="299" priority="357" operator="between">
      <formula>1.01</formula>
      <formula>2</formula>
    </cfRule>
    <cfRule type="cellIs" dxfId="298" priority="358" operator="between">
      <formula>0.75</formula>
      <formula>1</formula>
    </cfRule>
    <cfRule type="cellIs" dxfId="297" priority="359" operator="between">
      <formula>0.5</formula>
      <formula>0.749</formula>
    </cfRule>
    <cfRule type="cellIs" dxfId="296" priority="360" operator="between">
      <formula>0</formula>
      <formula>0.499</formula>
    </cfRule>
  </conditionalFormatting>
  <conditionalFormatting sqref="BZ44">
    <cfRule type="cellIs" dxfId="295" priority="417" operator="between">
      <formula>1.01</formula>
      <formula>2</formula>
    </cfRule>
    <cfRule type="cellIs" dxfId="294" priority="418" operator="between">
      <formula>0.75</formula>
      <formula>1</formula>
    </cfRule>
    <cfRule type="cellIs" dxfId="293" priority="419" operator="between">
      <formula>0.5</formula>
      <formula>0.749</formula>
    </cfRule>
    <cfRule type="cellIs" dxfId="292" priority="420" operator="between">
      <formula>0</formula>
      <formula>0.499</formula>
    </cfRule>
  </conditionalFormatting>
  <conditionalFormatting sqref="CF8 CF44">
    <cfRule type="cellIs" dxfId="291" priority="345" operator="between">
      <formula>1.01</formula>
      <formula>2</formula>
    </cfRule>
    <cfRule type="cellIs" dxfId="290" priority="346" operator="between">
      <formula>0.75</formula>
      <formula>1</formula>
    </cfRule>
    <cfRule type="cellIs" dxfId="289" priority="347" operator="between">
      <formula>0.5</formula>
      <formula>0.749</formula>
    </cfRule>
    <cfRule type="cellIs" dxfId="288" priority="348" operator="between">
      <formula>0</formula>
      <formula>0.499</formula>
    </cfRule>
  </conditionalFormatting>
  <conditionalFormatting sqref="CA8 CA44 CA20 CA32">
    <cfRule type="cellIs" dxfId="287" priority="405" operator="between">
      <formula>1.01</formula>
      <formula>2</formula>
    </cfRule>
    <cfRule type="cellIs" dxfId="286" priority="406" operator="between">
      <formula>0.75</formula>
      <formula>1</formula>
    </cfRule>
    <cfRule type="cellIs" dxfId="285" priority="407" operator="between">
      <formula>0.5</formula>
      <formula>0.749</formula>
    </cfRule>
    <cfRule type="cellIs" dxfId="284" priority="408" operator="between">
      <formula>0</formula>
      <formula>0.499</formula>
    </cfRule>
  </conditionalFormatting>
  <conditionalFormatting sqref="CG8">
    <cfRule type="cellIs" dxfId="283" priority="333" operator="between">
      <formula>1.01</formula>
      <formula>2</formula>
    </cfRule>
    <cfRule type="cellIs" dxfId="282" priority="334" operator="between">
      <formula>0.75</formula>
      <formula>1</formula>
    </cfRule>
    <cfRule type="cellIs" dxfId="281" priority="335" operator="between">
      <formula>0.5</formula>
      <formula>0.749</formula>
    </cfRule>
    <cfRule type="cellIs" dxfId="280" priority="336" operator="between">
      <formula>0</formula>
      <formula>0.499</formula>
    </cfRule>
  </conditionalFormatting>
  <conditionalFormatting sqref="CB8">
    <cfRule type="cellIs" dxfId="279" priority="393" operator="between">
      <formula>1.01</formula>
      <formula>2</formula>
    </cfRule>
    <cfRule type="cellIs" dxfId="278" priority="394" operator="between">
      <formula>0.75</formula>
      <formula>1</formula>
    </cfRule>
    <cfRule type="cellIs" dxfId="277" priority="395" operator="between">
      <formula>0.5</formula>
      <formula>0.749</formula>
    </cfRule>
    <cfRule type="cellIs" dxfId="276" priority="396" operator="between">
      <formula>0</formula>
      <formula>0.499</formula>
    </cfRule>
  </conditionalFormatting>
  <conditionalFormatting sqref="BZ8">
    <cfRule type="cellIs" dxfId="275" priority="317" operator="between">
      <formula>1.01</formula>
      <formula>2</formula>
    </cfRule>
    <cfRule type="cellIs" dxfId="274" priority="318" operator="between">
      <formula>0.75</formula>
      <formula>1</formula>
    </cfRule>
    <cfRule type="cellIs" dxfId="273" priority="319" operator="between">
      <formula>0.5</formula>
      <formula>0.749</formula>
    </cfRule>
    <cfRule type="cellIs" dxfId="272" priority="320" operator="between">
      <formula>0</formula>
      <formula>0.499</formula>
    </cfRule>
  </conditionalFormatting>
  <conditionalFormatting sqref="CC8 CC20 CC32">
    <cfRule type="cellIs" dxfId="271" priority="381" operator="between">
      <formula>1.01</formula>
      <formula>2</formula>
    </cfRule>
    <cfRule type="cellIs" dxfId="270" priority="382" operator="between">
      <formula>0.75</formula>
      <formula>1</formula>
    </cfRule>
    <cfRule type="cellIs" dxfId="269" priority="383" operator="between">
      <formula>0.5</formula>
      <formula>0.749</formula>
    </cfRule>
    <cfRule type="cellIs" dxfId="268" priority="384" operator="between">
      <formula>0</formula>
      <formula>0.499</formula>
    </cfRule>
  </conditionalFormatting>
  <conditionalFormatting sqref="BY86 BY98">
    <cfRule type="cellIs" dxfId="267" priority="309" operator="between">
      <formula>1.01</formula>
      <formula>2</formula>
    </cfRule>
    <cfRule type="cellIs" dxfId="266" priority="310" operator="between">
      <formula>0.75</formula>
      <formula>1</formula>
    </cfRule>
    <cfRule type="cellIs" dxfId="265" priority="311" operator="between">
      <formula>0.5</formula>
      <formula>0.749</formula>
    </cfRule>
    <cfRule type="cellIs" dxfId="264" priority="312" operator="between">
      <formula>0</formula>
      <formula>0.499</formula>
    </cfRule>
  </conditionalFormatting>
  <conditionalFormatting sqref="CB62:CB69 CB74:CB81 CB86:CB93 CB98:CB105">
    <cfRule type="cellIs" dxfId="263" priority="297" operator="between">
      <formula>1.01</formula>
      <formula>2</formula>
    </cfRule>
    <cfRule type="cellIs" dxfId="262" priority="298" operator="between">
      <formula>0.75</formula>
      <formula>1</formula>
    </cfRule>
    <cfRule type="cellIs" dxfId="261" priority="299" operator="between">
      <formula>0.5</formula>
      <formula>0.749</formula>
    </cfRule>
    <cfRule type="cellIs" dxfId="260" priority="300" operator="between">
      <formula>0</formula>
      <formula>0.499</formula>
    </cfRule>
  </conditionalFormatting>
  <conditionalFormatting sqref="CD62:CD69 CD74:CD81 CD86:CD93 CD98:CD105">
    <cfRule type="cellIs" dxfId="259" priority="293" operator="between">
      <formula>1.01</formula>
      <formula>2</formula>
    </cfRule>
    <cfRule type="cellIs" dxfId="258" priority="294" operator="between">
      <formula>0.75</formula>
      <formula>1</formula>
    </cfRule>
    <cfRule type="cellIs" dxfId="257" priority="295" operator="between">
      <formula>0.5</formula>
      <formula>0.749</formula>
    </cfRule>
    <cfRule type="cellIs" dxfId="256" priority="296" operator="between">
      <formula>0</formula>
      <formula>0.499</formula>
    </cfRule>
  </conditionalFormatting>
  <conditionalFormatting sqref="CA62">
    <cfRule type="cellIs" dxfId="255" priority="281" operator="between">
      <formula>1.01</formula>
      <formula>2</formula>
    </cfRule>
    <cfRule type="cellIs" dxfId="254" priority="282" operator="between">
      <formula>0.75</formula>
      <formula>1</formula>
    </cfRule>
    <cfRule type="cellIs" dxfId="253" priority="283" operator="between">
      <formula>0.5</formula>
      <formula>0.749</formula>
    </cfRule>
    <cfRule type="cellIs" dxfId="252" priority="284" operator="between">
      <formula>0</formula>
      <formula>0.499</formula>
    </cfRule>
  </conditionalFormatting>
  <conditionalFormatting sqref="CE62">
    <cfRule type="cellIs" dxfId="251" priority="273" operator="between">
      <formula>1.01</formula>
      <formula>2</formula>
    </cfRule>
    <cfRule type="cellIs" dxfId="250" priority="274" operator="between">
      <formula>0.75</formula>
      <formula>1</formula>
    </cfRule>
    <cfRule type="cellIs" dxfId="249" priority="275" operator="between">
      <formula>0.5</formula>
      <formula>0.749</formula>
    </cfRule>
    <cfRule type="cellIs" dxfId="248" priority="276" operator="between">
      <formula>0</formula>
      <formula>0.499</formula>
    </cfRule>
  </conditionalFormatting>
  <conditionalFormatting sqref="CA86">
    <cfRule type="cellIs" dxfId="247" priority="269" operator="between">
      <formula>1.01</formula>
      <formula>2</formula>
    </cfRule>
    <cfRule type="cellIs" dxfId="246" priority="270" operator="between">
      <formula>0.75</formula>
      <formula>1</formula>
    </cfRule>
    <cfRule type="cellIs" dxfId="245" priority="271" operator="between">
      <formula>0.5</formula>
      <formula>0.749</formula>
    </cfRule>
    <cfRule type="cellIs" dxfId="244" priority="272" operator="between">
      <formula>0</formula>
      <formula>0.499</formula>
    </cfRule>
  </conditionalFormatting>
  <conditionalFormatting sqref="BZ62:BZ69 BZ74:BZ81 BZ86:BZ93 BZ98:BZ105">
    <cfRule type="cellIs" dxfId="243" priority="301" operator="between">
      <formula>1.01</formula>
      <formula>2</formula>
    </cfRule>
    <cfRule type="cellIs" dxfId="242" priority="302" operator="between">
      <formula>0.75</formula>
      <formula>1</formula>
    </cfRule>
    <cfRule type="cellIs" dxfId="241" priority="303" operator="between">
      <formula>0.5</formula>
      <formula>0.749</formula>
    </cfRule>
    <cfRule type="cellIs" dxfId="240" priority="304" operator="between">
      <formula>0</formula>
      <formula>0.499</formula>
    </cfRule>
  </conditionalFormatting>
  <conditionalFormatting sqref="CF62:CF69 CF74:CF81 CF86:CF93 CF98:CF105">
    <cfRule type="cellIs" dxfId="239" priority="289" operator="between">
      <formula>1.01</formula>
      <formula>2</formula>
    </cfRule>
    <cfRule type="cellIs" dxfId="238" priority="290" operator="between">
      <formula>0.75</formula>
      <formula>1</formula>
    </cfRule>
    <cfRule type="cellIs" dxfId="237" priority="291" operator="between">
      <formula>0.5</formula>
      <formula>0.749</formula>
    </cfRule>
    <cfRule type="cellIs" dxfId="236" priority="292" operator="between">
      <formula>0</formula>
      <formula>0.499</formula>
    </cfRule>
  </conditionalFormatting>
  <conditionalFormatting sqref="CC62">
    <cfRule type="cellIs" dxfId="235" priority="277" operator="between">
      <formula>1.01</formula>
      <formula>2</formula>
    </cfRule>
    <cfRule type="cellIs" dxfId="234" priority="278" operator="between">
      <formula>0.75</formula>
      <formula>1</formula>
    </cfRule>
    <cfRule type="cellIs" dxfId="233" priority="279" operator="between">
      <formula>0.5</formula>
      <formula>0.749</formula>
    </cfRule>
    <cfRule type="cellIs" dxfId="232" priority="280" operator="between">
      <formula>0</formula>
      <formula>0.499</formula>
    </cfRule>
  </conditionalFormatting>
  <conditionalFormatting sqref="CC86 CC98">
    <cfRule type="cellIs" dxfId="231" priority="265" operator="between">
      <formula>1.01</formula>
      <formula>2</formula>
    </cfRule>
    <cfRule type="cellIs" dxfId="230" priority="266" operator="between">
      <formula>0.75</formula>
      <formula>1</formula>
    </cfRule>
    <cfRule type="cellIs" dxfId="229" priority="267" operator="between">
      <formula>0.5</formula>
      <formula>0.749</formula>
    </cfRule>
    <cfRule type="cellIs" dxfId="228" priority="268" operator="between">
      <formula>0</formula>
      <formula>0.499</formula>
    </cfRule>
  </conditionalFormatting>
  <conditionalFormatting sqref="CE86 CE98">
    <cfRule type="cellIs" dxfId="227" priority="261" operator="between">
      <formula>1.01</formula>
      <formula>2</formula>
    </cfRule>
    <cfRule type="cellIs" dxfId="226" priority="262" operator="between">
      <formula>0.75</formula>
      <formula>1</formula>
    </cfRule>
    <cfRule type="cellIs" dxfId="225" priority="263" operator="between">
      <formula>0.5</formula>
      <formula>0.749</formula>
    </cfRule>
    <cfRule type="cellIs" dxfId="224" priority="264" operator="between">
      <formula>0</formula>
      <formula>0.499</formula>
    </cfRule>
  </conditionalFormatting>
  <conditionalFormatting sqref="CA98">
    <cfRule type="cellIs" dxfId="223" priority="257" operator="between">
      <formula>1.01</formula>
      <formula>2</formula>
    </cfRule>
    <cfRule type="cellIs" dxfId="222" priority="258" operator="between">
      <formula>0.75</formula>
      <formula>1</formula>
    </cfRule>
    <cfRule type="cellIs" dxfId="221" priority="259" operator="between">
      <formula>0.5</formula>
      <formula>0.749</formula>
    </cfRule>
    <cfRule type="cellIs" dxfId="220" priority="260" operator="between">
      <formula>0</formula>
      <formula>0.499</formula>
    </cfRule>
  </conditionalFormatting>
  <conditionalFormatting sqref="CD116:CD120 CD128:CD132 CD140:CD144 CD152:CD156">
    <cfRule type="cellIs" dxfId="219" priority="245" operator="between">
      <formula>1.01</formula>
      <formula>2</formula>
    </cfRule>
    <cfRule type="cellIs" dxfId="218" priority="246" operator="between">
      <formula>0.75</formula>
      <formula>1</formula>
    </cfRule>
    <cfRule type="cellIs" dxfId="217" priority="247" operator="between">
      <formula>0.5</formula>
      <formula>0.749</formula>
    </cfRule>
    <cfRule type="cellIs" dxfId="216" priority="248" operator="between">
      <formula>0</formula>
      <formula>0.499</formula>
    </cfRule>
  </conditionalFormatting>
  <conditionalFormatting sqref="CA116">
    <cfRule type="cellIs" dxfId="215" priority="241" operator="between">
      <formula>1.01</formula>
      <formula>2</formula>
    </cfRule>
    <cfRule type="cellIs" dxfId="214" priority="242" operator="between">
      <formula>0.75</formula>
      <formula>1</formula>
    </cfRule>
    <cfRule type="cellIs" dxfId="213" priority="243" operator="between">
      <formula>0.5</formula>
      <formula>0.749</formula>
    </cfRule>
    <cfRule type="cellIs" dxfId="212" priority="244" operator="between">
      <formula>0</formula>
      <formula>0.499</formula>
    </cfRule>
  </conditionalFormatting>
  <conditionalFormatting sqref="CC116">
    <cfRule type="cellIs" dxfId="211" priority="237" operator="between">
      <formula>1.01</formula>
      <formula>2</formula>
    </cfRule>
    <cfRule type="cellIs" dxfId="210" priority="238" operator="between">
      <formula>0.75</formula>
      <formula>1</formula>
    </cfRule>
    <cfRule type="cellIs" dxfId="209" priority="239" operator="between">
      <formula>0.5</formula>
      <formula>0.749</formula>
    </cfRule>
    <cfRule type="cellIs" dxfId="208" priority="240" operator="between">
      <formula>0</formula>
      <formula>0.499</formula>
    </cfRule>
  </conditionalFormatting>
  <conditionalFormatting sqref="CE116">
    <cfRule type="cellIs" dxfId="207" priority="233" operator="between">
      <formula>1.01</formula>
      <formula>2</formula>
    </cfRule>
    <cfRule type="cellIs" dxfId="206" priority="234" operator="between">
      <formula>0.75</formula>
      <formula>1</formula>
    </cfRule>
    <cfRule type="cellIs" dxfId="205" priority="235" operator="between">
      <formula>0.5</formula>
      <formula>0.749</formula>
    </cfRule>
    <cfRule type="cellIs" dxfId="204" priority="236" operator="between">
      <formula>0</formula>
      <formula>0.499</formula>
    </cfRule>
  </conditionalFormatting>
  <conditionalFormatting sqref="CE152">
    <cfRule type="cellIs" dxfId="203" priority="201" operator="between">
      <formula>1.01</formula>
      <formula>2</formula>
    </cfRule>
    <cfRule type="cellIs" dxfId="202" priority="202" operator="between">
      <formula>0.75</formula>
      <formula>1</formula>
    </cfRule>
    <cfRule type="cellIs" dxfId="201" priority="203" operator="between">
      <formula>0.5</formula>
      <formula>0.749</formula>
    </cfRule>
    <cfRule type="cellIs" dxfId="200" priority="204" operator="between">
      <formula>0</formula>
      <formula>0.499</formula>
    </cfRule>
  </conditionalFormatting>
  <conditionalFormatting sqref="CA128">
    <cfRule type="cellIs" dxfId="199" priority="225" operator="between">
      <formula>1.01</formula>
      <formula>2</formula>
    </cfRule>
    <cfRule type="cellIs" dxfId="198" priority="226" operator="between">
      <formula>0.75</formula>
      <formula>1</formula>
    </cfRule>
    <cfRule type="cellIs" dxfId="197" priority="227" operator="between">
      <formula>0.5</formula>
      <formula>0.749</formula>
    </cfRule>
    <cfRule type="cellIs" dxfId="196" priority="228" operator="between">
      <formula>0</formula>
      <formula>0.499</formula>
    </cfRule>
  </conditionalFormatting>
  <conditionalFormatting sqref="CC128">
    <cfRule type="cellIs" dxfId="195" priority="221" operator="between">
      <formula>1.01</formula>
      <formula>2</formula>
    </cfRule>
    <cfRule type="cellIs" dxfId="194" priority="222" operator="between">
      <formula>0.75</formula>
      <formula>1</formula>
    </cfRule>
    <cfRule type="cellIs" dxfId="193" priority="223" operator="between">
      <formula>0.5</formula>
      <formula>0.749</formula>
    </cfRule>
    <cfRule type="cellIs" dxfId="192" priority="224" operator="between">
      <formula>0</formula>
      <formula>0.499</formula>
    </cfRule>
  </conditionalFormatting>
  <conditionalFormatting sqref="CE128">
    <cfRule type="cellIs" dxfId="191" priority="217" operator="between">
      <formula>1.01</formula>
      <formula>2</formula>
    </cfRule>
    <cfRule type="cellIs" dxfId="190" priority="218" operator="between">
      <formula>0.75</formula>
      <formula>1</formula>
    </cfRule>
    <cfRule type="cellIs" dxfId="189" priority="219" operator="between">
      <formula>0.5</formula>
      <formula>0.749</formula>
    </cfRule>
    <cfRule type="cellIs" dxfId="188" priority="220" operator="between">
      <formula>0</formula>
      <formula>0.499</formula>
    </cfRule>
  </conditionalFormatting>
  <conditionalFormatting sqref="BY152">
    <cfRule type="cellIs" dxfId="187" priority="213" operator="between">
      <formula>1.01</formula>
      <formula>2</formula>
    </cfRule>
    <cfRule type="cellIs" dxfId="186" priority="214" operator="between">
      <formula>0.75</formula>
      <formula>1</formula>
    </cfRule>
    <cfRule type="cellIs" dxfId="185" priority="215" operator="between">
      <formula>0.5</formula>
      <formula>0.749</formula>
    </cfRule>
    <cfRule type="cellIs" dxfId="184" priority="216" operator="between">
      <formula>0</formula>
      <formula>0.499</formula>
    </cfRule>
  </conditionalFormatting>
  <conditionalFormatting sqref="CA152">
    <cfRule type="cellIs" dxfId="183" priority="209" operator="between">
      <formula>1.01</formula>
      <formula>2</formula>
    </cfRule>
    <cfRule type="cellIs" dxfId="182" priority="210" operator="between">
      <formula>0.75</formula>
      <formula>1</formula>
    </cfRule>
    <cfRule type="cellIs" dxfId="181" priority="211" operator="between">
      <formula>0.5</formula>
      <formula>0.749</formula>
    </cfRule>
    <cfRule type="cellIs" dxfId="180" priority="212" operator="between">
      <formula>0</formula>
      <formula>0.499</formula>
    </cfRule>
  </conditionalFormatting>
  <conditionalFormatting sqref="CC152">
    <cfRule type="cellIs" dxfId="179" priority="205" operator="between">
      <formula>1.01</formula>
      <formula>2</formula>
    </cfRule>
    <cfRule type="cellIs" dxfId="178" priority="206" operator="between">
      <formula>0.75</formula>
      <formula>1</formula>
    </cfRule>
    <cfRule type="cellIs" dxfId="177" priority="207" operator="between">
      <formula>0.5</formula>
      <formula>0.749</formula>
    </cfRule>
    <cfRule type="cellIs" dxfId="176" priority="208" operator="between">
      <formula>0</formula>
      <formula>0.499</formula>
    </cfRule>
  </conditionalFormatting>
  <conditionalFormatting sqref="CE260">
    <cfRule type="cellIs" dxfId="175" priority="97" operator="between">
      <formula>1.01</formula>
      <formula>2</formula>
    </cfRule>
    <cfRule type="cellIs" dxfId="174" priority="98" operator="between">
      <formula>0.75</formula>
      <formula>1</formula>
    </cfRule>
    <cfRule type="cellIs" dxfId="173" priority="99" operator="between">
      <formula>0.5</formula>
      <formula>0.749</formula>
    </cfRule>
    <cfRule type="cellIs" dxfId="172" priority="100" operator="between">
      <formula>0</formula>
      <formula>0.499</formula>
    </cfRule>
  </conditionalFormatting>
  <conditionalFormatting sqref="CD170 CD182 CD194">
    <cfRule type="cellIs" dxfId="171" priority="197" operator="between">
      <formula>1.01</formula>
      <formula>2</formula>
    </cfRule>
    <cfRule type="cellIs" dxfId="170" priority="198" operator="between">
      <formula>0.75</formula>
      <formula>1</formula>
    </cfRule>
    <cfRule type="cellIs" dxfId="169" priority="199" operator="between">
      <formula>0.5</formula>
      <formula>0.749</formula>
    </cfRule>
    <cfRule type="cellIs" dxfId="168" priority="200" operator="between">
      <formula>0</formula>
      <formula>0.499</formula>
    </cfRule>
  </conditionalFormatting>
  <conditionalFormatting sqref="CF170 CF182">
    <cfRule type="cellIs" dxfId="167" priority="193" operator="between">
      <formula>1.01</formula>
      <formula>2</formula>
    </cfRule>
    <cfRule type="cellIs" dxfId="166" priority="194" operator="between">
      <formula>0.75</formula>
      <formula>1</formula>
    </cfRule>
    <cfRule type="cellIs" dxfId="165" priority="195" operator="between">
      <formula>0.5</formula>
      <formula>0.749</formula>
    </cfRule>
    <cfRule type="cellIs" dxfId="164" priority="196" operator="between">
      <formula>0</formula>
      <formula>0.499</formula>
    </cfRule>
  </conditionalFormatting>
  <conditionalFormatting sqref="CC212 CC224">
    <cfRule type="cellIs" dxfId="163" priority="137" operator="between">
      <formula>1.01</formula>
      <formula>2</formula>
    </cfRule>
    <cfRule type="cellIs" dxfId="162" priority="138" operator="between">
      <formula>0.75</formula>
      <formula>1</formula>
    </cfRule>
    <cfRule type="cellIs" dxfId="161" priority="139" operator="between">
      <formula>0.5</formula>
      <formula>0.749</formula>
    </cfRule>
    <cfRule type="cellIs" dxfId="160" priority="140" operator="between">
      <formula>0</formula>
      <formula>0.499</formula>
    </cfRule>
  </conditionalFormatting>
  <conditionalFormatting sqref="CE170 CE182 CE194">
    <cfRule type="cellIs" dxfId="159" priority="157" operator="between">
      <formula>1.01</formula>
      <formula>2</formula>
    </cfRule>
    <cfRule type="cellIs" dxfId="158" priority="158" operator="between">
      <formula>0.75</formula>
      <formula>1</formula>
    </cfRule>
    <cfRule type="cellIs" dxfId="157" priority="159" operator="between">
      <formula>0.5</formula>
      <formula>0.749</formula>
    </cfRule>
    <cfRule type="cellIs" dxfId="156" priority="160" operator="between">
      <formula>0</formula>
      <formula>0.499</formula>
    </cfRule>
  </conditionalFormatting>
  <conditionalFormatting sqref="CA170 CA182 CA194">
    <cfRule type="cellIs" dxfId="155" priority="181" operator="between">
      <formula>1.01</formula>
      <formula>2</formula>
    </cfRule>
    <cfRule type="cellIs" dxfId="154" priority="182" operator="between">
      <formula>0.75</formula>
      <formula>1</formula>
    </cfRule>
    <cfRule type="cellIs" dxfId="153" priority="183" operator="between">
      <formula>0.5</formula>
      <formula>0.749</formula>
    </cfRule>
    <cfRule type="cellIs" dxfId="152" priority="184" operator="between">
      <formula>0</formula>
      <formula>0.499</formula>
    </cfRule>
  </conditionalFormatting>
  <conditionalFormatting sqref="CD212:CD218 CD224:CD230 CD236:CD242 CD248:CD254 CD260:CD266">
    <cfRule type="cellIs" dxfId="151" priority="145" operator="between">
      <formula>1.01</formula>
      <formula>2</formula>
    </cfRule>
    <cfRule type="cellIs" dxfId="150" priority="146" operator="between">
      <formula>0.75</formula>
      <formula>1</formula>
    </cfRule>
    <cfRule type="cellIs" dxfId="149" priority="147" operator="between">
      <formula>0.5</formula>
      <formula>0.749</formula>
    </cfRule>
    <cfRule type="cellIs" dxfId="148" priority="148" operator="between">
      <formula>0</formula>
      <formula>0.499</formula>
    </cfRule>
  </conditionalFormatting>
  <conditionalFormatting sqref="CC170 CC182 CC194">
    <cfRule type="cellIs" dxfId="147" priority="169" operator="between">
      <formula>1.01</formula>
      <formula>2</formula>
    </cfRule>
    <cfRule type="cellIs" dxfId="146" priority="170" operator="between">
      <formula>0.75</formula>
      <formula>1</formula>
    </cfRule>
    <cfRule type="cellIs" dxfId="145" priority="171" operator="between">
      <formula>0.5</formula>
      <formula>0.749</formula>
    </cfRule>
    <cfRule type="cellIs" dxfId="144" priority="172" operator="between">
      <formula>0</formula>
      <formula>0.499</formula>
    </cfRule>
  </conditionalFormatting>
  <conditionalFormatting sqref="CE212 CE224">
    <cfRule type="cellIs" dxfId="143" priority="133" operator="between">
      <formula>1.01</formula>
      <formula>2</formula>
    </cfRule>
    <cfRule type="cellIs" dxfId="142" priority="134" operator="between">
      <formula>0.75</formula>
      <formula>1</formula>
    </cfRule>
    <cfRule type="cellIs" dxfId="141" priority="135" operator="between">
      <formula>0.5</formula>
      <formula>0.749</formula>
    </cfRule>
    <cfRule type="cellIs" dxfId="140" priority="136" operator="between">
      <formula>0</formula>
      <formula>0.499</formula>
    </cfRule>
  </conditionalFormatting>
  <conditionalFormatting sqref="CC260">
    <cfRule type="cellIs" dxfId="139" priority="101" operator="between">
      <formula>1.01</formula>
      <formula>2</formula>
    </cfRule>
    <cfRule type="cellIs" dxfId="138" priority="102" operator="between">
      <formula>0.75</formula>
      <formula>1</formula>
    </cfRule>
    <cfRule type="cellIs" dxfId="137" priority="103" operator="between">
      <formula>0.5</formula>
      <formula>0.749</formula>
    </cfRule>
    <cfRule type="cellIs" dxfId="136" priority="104" operator="between">
      <formula>0</formula>
      <formula>0.499</formula>
    </cfRule>
  </conditionalFormatting>
  <conditionalFormatting sqref="CA212 CA224">
    <cfRule type="cellIs" dxfId="135" priority="141" operator="between">
      <formula>1.01</formula>
      <formula>2</formula>
    </cfRule>
    <cfRule type="cellIs" dxfId="134" priority="142" operator="between">
      <formula>0.75</formula>
      <formula>1</formula>
    </cfRule>
    <cfRule type="cellIs" dxfId="133" priority="143" operator="between">
      <formula>0.5</formula>
      <formula>0.749</formula>
    </cfRule>
    <cfRule type="cellIs" dxfId="132" priority="144" operator="between">
      <formula>0</formula>
      <formula>0.499</formula>
    </cfRule>
  </conditionalFormatting>
  <conditionalFormatting sqref="CC236">
    <cfRule type="cellIs" dxfId="131" priority="113" operator="between">
      <formula>1.01</formula>
      <formula>2</formula>
    </cfRule>
    <cfRule type="cellIs" dxfId="130" priority="114" operator="between">
      <formula>0.75</formula>
      <formula>1</formula>
    </cfRule>
    <cfRule type="cellIs" dxfId="129" priority="115" operator="between">
      <formula>0.5</formula>
      <formula>0.749</formula>
    </cfRule>
    <cfRule type="cellIs" dxfId="128" priority="116" operator="between">
      <formula>0</formula>
      <formula>0.499</formula>
    </cfRule>
  </conditionalFormatting>
  <conditionalFormatting sqref="CE236">
    <cfRule type="cellIs" dxfId="127" priority="109" operator="between">
      <formula>1.01</formula>
      <formula>2</formula>
    </cfRule>
    <cfRule type="cellIs" dxfId="126" priority="110" operator="between">
      <formula>0.75</formula>
      <formula>1</formula>
    </cfRule>
    <cfRule type="cellIs" dxfId="125" priority="111" operator="between">
      <formula>0.5</formula>
      <formula>0.749</formula>
    </cfRule>
    <cfRule type="cellIs" dxfId="124" priority="112" operator="between">
      <formula>0</formula>
      <formula>0.499</formula>
    </cfRule>
  </conditionalFormatting>
  <conditionalFormatting sqref="CA236">
    <cfRule type="cellIs" dxfId="123" priority="117" operator="between">
      <formula>1.01</formula>
      <formula>2</formula>
    </cfRule>
    <cfRule type="cellIs" dxfId="122" priority="118" operator="between">
      <formula>0.75</formula>
      <formula>1</formula>
    </cfRule>
    <cfRule type="cellIs" dxfId="121" priority="119" operator="between">
      <formula>0.5</formula>
      <formula>0.749</formula>
    </cfRule>
    <cfRule type="cellIs" dxfId="120" priority="120" operator="between">
      <formula>0</formula>
      <formula>0.499</formula>
    </cfRule>
  </conditionalFormatting>
  <conditionalFormatting sqref="CA260">
    <cfRule type="cellIs" dxfId="119" priority="105" operator="between">
      <formula>1.01</formula>
      <formula>2</formula>
    </cfRule>
    <cfRule type="cellIs" dxfId="118" priority="106" operator="between">
      <formula>0.75</formula>
      <formula>1</formula>
    </cfRule>
    <cfRule type="cellIs" dxfId="117" priority="107" operator="between">
      <formula>0.5</formula>
      <formula>0.749</formula>
    </cfRule>
    <cfRule type="cellIs" dxfId="116" priority="108" operator="between">
      <formula>0</formula>
      <formula>0.499</formula>
    </cfRule>
  </conditionalFormatting>
  <conditionalFormatting sqref="BX278:BX284 BX290:BX296 BX302:BX308 BX314:BX320">
    <cfRule type="cellIs" dxfId="115" priority="93" operator="between">
      <formula>1.01</formula>
      <formula>2</formula>
    </cfRule>
    <cfRule type="cellIs" dxfId="114" priority="94" operator="between">
      <formula>0.75</formula>
      <formula>1</formula>
    </cfRule>
    <cfRule type="cellIs" dxfId="113" priority="95" operator="between">
      <formula>0.5</formula>
      <formula>0.749</formula>
    </cfRule>
    <cfRule type="cellIs" dxfId="112" priority="96" operator="between">
      <formula>0</formula>
      <formula>0.499</formula>
    </cfRule>
  </conditionalFormatting>
  <conditionalFormatting sqref="BY278:BY284 BY290:BY296 BY302:BY308 BY314:BY320">
    <cfRule type="cellIs" dxfId="111" priority="89" operator="between">
      <formula>1.01</formula>
      <formula>2</formula>
    </cfRule>
    <cfRule type="cellIs" dxfId="110" priority="90" operator="between">
      <formula>0.75</formula>
      <formula>1</formula>
    </cfRule>
    <cfRule type="cellIs" dxfId="109" priority="91" operator="between">
      <formula>0.5</formula>
      <formula>0.749</formula>
    </cfRule>
    <cfRule type="cellIs" dxfId="108" priority="92" operator="between">
      <formula>0</formula>
      <formula>0.499</formula>
    </cfRule>
  </conditionalFormatting>
  <conditionalFormatting sqref="BZ278:BZ284 BZ290:BZ296 BZ302:BZ308 BZ314:BZ320">
    <cfRule type="cellIs" dxfId="107" priority="85" operator="between">
      <formula>1.01</formula>
      <formula>2</formula>
    </cfRule>
    <cfRule type="cellIs" dxfId="106" priority="86" operator="between">
      <formula>0.75</formula>
      <formula>1</formula>
    </cfRule>
    <cfRule type="cellIs" dxfId="105" priority="87" operator="between">
      <formula>0.5</formula>
      <formula>0.749</formula>
    </cfRule>
    <cfRule type="cellIs" dxfId="104" priority="88" operator="between">
      <formula>0</formula>
      <formula>0.499</formula>
    </cfRule>
  </conditionalFormatting>
  <conditionalFormatting sqref="CA278:CA284 CA290:CA296 CA302:CA308 CA314:CA320">
    <cfRule type="cellIs" dxfId="103" priority="81" operator="between">
      <formula>1.01</formula>
      <formula>2</formula>
    </cfRule>
    <cfRule type="cellIs" dxfId="102" priority="82" operator="between">
      <formula>0.75</formula>
      <formula>1</formula>
    </cfRule>
    <cfRule type="cellIs" dxfId="101" priority="83" operator="between">
      <formula>0.5</formula>
      <formula>0.749</formula>
    </cfRule>
    <cfRule type="cellIs" dxfId="100" priority="84" operator="between">
      <formula>0</formula>
      <formula>0.499</formula>
    </cfRule>
  </conditionalFormatting>
  <conditionalFormatting sqref="CB278:CB284 CB290:CB296 CB302:CB308 CB314:CB320">
    <cfRule type="cellIs" dxfId="99" priority="77" operator="between">
      <formula>1.01</formula>
      <formula>2</formula>
    </cfRule>
    <cfRule type="cellIs" dxfId="98" priority="78" operator="between">
      <formula>0.75</formula>
      <formula>1</formula>
    </cfRule>
    <cfRule type="cellIs" dxfId="97" priority="79" operator="between">
      <formula>0.5</formula>
      <formula>0.749</formula>
    </cfRule>
    <cfRule type="cellIs" dxfId="96" priority="80" operator="between">
      <formula>0</formula>
      <formula>0.499</formula>
    </cfRule>
  </conditionalFormatting>
  <conditionalFormatting sqref="CC278:CC284 CC290:CC296 CC302:CC308 CC314:CC320">
    <cfRule type="cellIs" dxfId="95" priority="73" operator="between">
      <formula>1.01</formula>
      <formula>2</formula>
    </cfRule>
    <cfRule type="cellIs" dxfId="94" priority="74" operator="between">
      <formula>0.75</formula>
      <formula>1</formula>
    </cfRule>
    <cfRule type="cellIs" dxfId="93" priority="75" operator="between">
      <formula>0.5</formula>
      <formula>0.749</formula>
    </cfRule>
    <cfRule type="cellIs" dxfId="92" priority="76" operator="between">
      <formula>0</formula>
      <formula>0.499</formula>
    </cfRule>
  </conditionalFormatting>
  <conditionalFormatting sqref="CD278:CD284 CD290:CD296 CD302:CD308 CD314:CD320">
    <cfRule type="cellIs" dxfId="91" priority="69" operator="between">
      <formula>1.01</formula>
      <formula>2</formula>
    </cfRule>
    <cfRule type="cellIs" dxfId="90" priority="70" operator="between">
      <formula>0.75</formula>
      <formula>1</formula>
    </cfRule>
    <cfRule type="cellIs" dxfId="89" priority="71" operator="between">
      <formula>0.5</formula>
      <formula>0.749</formula>
    </cfRule>
    <cfRule type="cellIs" dxfId="88" priority="72" operator="between">
      <formula>0</formula>
      <formula>0.499</formula>
    </cfRule>
  </conditionalFormatting>
  <conditionalFormatting sqref="CE278:CE284 CE290:CE296 CE302:CE308 CE314:CE320">
    <cfRule type="cellIs" dxfId="87" priority="65" operator="between">
      <formula>1.01</formula>
      <formula>2</formula>
    </cfRule>
    <cfRule type="cellIs" dxfId="86" priority="66" operator="between">
      <formula>0.75</formula>
      <formula>1</formula>
    </cfRule>
    <cfRule type="cellIs" dxfId="85" priority="67" operator="between">
      <formula>0.5</formula>
      <formula>0.749</formula>
    </cfRule>
    <cfRule type="cellIs" dxfId="84" priority="68" operator="between">
      <formula>0</formula>
      <formula>0.499</formula>
    </cfRule>
  </conditionalFormatting>
  <conditionalFormatting sqref="CF278:CF284 CF290:CF296 CF302:CF308 CF314:CF320">
    <cfRule type="cellIs" dxfId="83" priority="61" operator="between">
      <formula>1.01</formula>
      <formula>2</formula>
    </cfRule>
    <cfRule type="cellIs" dxfId="82" priority="62" operator="between">
      <formula>0.75</formula>
      <formula>1</formula>
    </cfRule>
    <cfRule type="cellIs" dxfId="81" priority="63" operator="between">
      <formula>0.5</formula>
      <formula>0.749</formula>
    </cfRule>
    <cfRule type="cellIs" dxfId="80" priority="64" operator="between">
      <formula>0</formula>
      <formula>0.499</formula>
    </cfRule>
  </conditionalFormatting>
  <conditionalFormatting sqref="CG278">
    <cfRule type="cellIs" dxfId="79" priority="57" operator="between">
      <formula>1.01</formula>
      <formula>2</formula>
    </cfRule>
    <cfRule type="cellIs" dxfId="78" priority="58" operator="between">
      <formula>0.75</formula>
      <formula>1</formula>
    </cfRule>
    <cfRule type="cellIs" dxfId="77" priority="59" operator="between">
      <formula>0.5</formula>
      <formula>0.749</formula>
    </cfRule>
    <cfRule type="cellIs" dxfId="76" priority="60" operator="between">
      <formula>0</formula>
      <formula>0.499</formula>
    </cfRule>
  </conditionalFormatting>
  <conditionalFormatting sqref="BY8">
    <cfRule type="cellIs" dxfId="75" priority="53" operator="between">
      <formula>1.01</formula>
      <formula>2</formula>
    </cfRule>
    <cfRule type="cellIs" dxfId="74" priority="54" operator="between">
      <formula>0.75</formula>
      <formula>1</formula>
    </cfRule>
    <cfRule type="cellIs" dxfId="73" priority="55" operator="between">
      <formula>0.5</formula>
      <formula>0.749</formula>
    </cfRule>
    <cfRule type="cellIs" dxfId="72" priority="56" operator="between">
      <formula>0</formula>
      <formula>0.499</formula>
    </cfRule>
  </conditionalFormatting>
  <conditionalFormatting sqref="BY8:BY19">
    <cfRule type="cellIs" dxfId="71" priority="50" operator="between">
      <formula>0.75</formula>
      <formula>1.002</formula>
    </cfRule>
    <cfRule type="cellIs" dxfId="70" priority="51" operator="between">
      <formula>0.75</formula>
      <formula>1.001</formula>
    </cfRule>
    <cfRule type="cellIs" dxfId="69" priority="52" operator="between">
      <formula>0.75</formula>
      <formula>1</formula>
    </cfRule>
  </conditionalFormatting>
  <conditionalFormatting sqref="CB224:CB235">
    <cfRule type="cellIs" dxfId="68" priority="49" operator="between">
      <formula>1</formula>
      <formula>8</formula>
    </cfRule>
  </conditionalFormatting>
  <conditionalFormatting sqref="CB236:CB242">
    <cfRule type="cellIs" dxfId="67" priority="45" operator="between">
      <formula>1.01</formula>
      <formula>2</formula>
    </cfRule>
    <cfRule type="cellIs" dxfId="66" priority="46" operator="between">
      <formula>0.75</formula>
      <formula>1</formula>
    </cfRule>
    <cfRule type="cellIs" dxfId="65" priority="47" operator="between">
      <formula>0.5</formula>
      <formula>0.749</formula>
    </cfRule>
    <cfRule type="cellIs" dxfId="64" priority="48" operator="between">
      <formula>0</formula>
      <formula>0.499</formula>
    </cfRule>
  </conditionalFormatting>
  <conditionalFormatting sqref="CB236:CB247">
    <cfRule type="cellIs" dxfId="63" priority="44" operator="between">
      <formula>1</formula>
      <formula>8</formula>
    </cfRule>
  </conditionalFormatting>
  <conditionalFormatting sqref="CB248:CB254">
    <cfRule type="cellIs" dxfId="62" priority="40" operator="between">
      <formula>1.01</formula>
      <formula>2</formula>
    </cfRule>
    <cfRule type="cellIs" dxfId="61" priority="41" operator="between">
      <formula>0.75</formula>
      <formula>1</formula>
    </cfRule>
    <cfRule type="cellIs" dxfId="60" priority="42" operator="between">
      <formula>0.5</formula>
      <formula>0.749</formula>
    </cfRule>
    <cfRule type="cellIs" dxfId="59" priority="43" operator="between">
      <formula>0</formula>
      <formula>0.499</formula>
    </cfRule>
  </conditionalFormatting>
  <conditionalFormatting sqref="CB248:CB259">
    <cfRule type="cellIs" dxfId="58" priority="39" operator="between">
      <formula>1</formula>
      <formula>8</formula>
    </cfRule>
  </conditionalFormatting>
  <conditionalFormatting sqref="CC260:CC271">
    <cfRule type="cellIs" dxfId="57" priority="38" operator="between">
      <formula>0.75</formula>
      <formula>1.002</formula>
    </cfRule>
  </conditionalFormatting>
  <conditionalFormatting sqref="CF194:CF200">
    <cfRule type="cellIs" dxfId="56" priority="34" operator="between">
      <formula>1.01</formula>
      <formula>2</formula>
    </cfRule>
    <cfRule type="cellIs" dxfId="55" priority="35" operator="between">
      <formula>0.75</formula>
      <formula>1</formula>
    </cfRule>
    <cfRule type="cellIs" dxfId="54" priority="36" operator="between">
      <formula>0.5</formula>
      <formula>0.749</formula>
    </cfRule>
    <cfRule type="cellIs" dxfId="53" priority="37" operator="between">
      <formula>0</formula>
      <formula>0.499</formula>
    </cfRule>
  </conditionalFormatting>
  <conditionalFormatting sqref="CF194:CF205">
    <cfRule type="cellIs" dxfId="52" priority="33" operator="between">
      <formula>1</formula>
      <formula>8</formula>
    </cfRule>
  </conditionalFormatting>
  <conditionalFormatting sqref="CF224:CF230">
    <cfRule type="cellIs" dxfId="51" priority="22" operator="between">
      <formula>1.01</formula>
      <formula>2</formula>
    </cfRule>
    <cfRule type="cellIs" dxfId="50" priority="23" operator="between">
      <formula>0.75</formula>
      <formula>1</formula>
    </cfRule>
    <cfRule type="cellIs" dxfId="49" priority="24" operator="between">
      <formula>0.5</formula>
      <formula>0.749</formula>
    </cfRule>
    <cfRule type="cellIs" dxfId="48" priority="25" operator="between">
      <formula>0</formula>
      <formula>0.499</formula>
    </cfRule>
  </conditionalFormatting>
  <conditionalFormatting sqref="CF224:CF235">
    <cfRule type="cellIs" dxfId="47" priority="21" operator="between">
      <formula>1</formula>
      <formula>8</formula>
    </cfRule>
  </conditionalFormatting>
  <conditionalFormatting sqref="CF236:CF242">
    <cfRule type="cellIs" dxfId="46" priority="17" operator="between">
      <formula>1.01</formula>
      <formula>2</formula>
    </cfRule>
    <cfRule type="cellIs" dxfId="45" priority="18" operator="between">
      <formula>0.75</formula>
      <formula>1</formula>
    </cfRule>
    <cfRule type="cellIs" dxfId="44" priority="19" operator="between">
      <formula>0.5</formula>
      <formula>0.749</formula>
    </cfRule>
    <cfRule type="cellIs" dxfId="43" priority="20" operator="between">
      <formula>0</formula>
      <formula>0.499</formula>
    </cfRule>
  </conditionalFormatting>
  <conditionalFormatting sqref="CF236:CF247">
    <cfRule type="cellIs" dxfId="42" priority="16" operator="between">
      <formula>1</formula>
      <formula>8</formula>
    </cfRule>
  </conditionalFormatting>
  <conditionalFormatting sqref="CF248:CF254">
    <cfRule type="cellIs" dxfId="41" priority="12" operator="between">
      <formula>1.01</formula>
      <formula>2</formula>
    </cfRule>
    <cfRule type="cellIs" dxfId="40" priority="13" operator="between">
      <formula>0.75</formula>
      <formula>1</formula>
    </cfRule>
    <cfRule type="cellIs" dxfId="39" priority="14" operator="between">
      <formula>0.5</formula>
      <formula>0.749</formula>
    </cfRule>
    <cfRule type="cellIs" dxfId="38" priority="15" operator="between">
      <formula>0</formula>
      <formula>0.499</formula>
    </cfRule>
  </conditionalFormatting>
  <conditionalFormatting sqref="CF248:CF259">
    <cfRule type="cellIs" dxfId="37" priority="11" operator="between">
      <formula>1</formula>
      <formula>8</formula>
    </cfRule>
  </conditionalFormatting>
  <conditionalFormatting sqref="CB140:CB146">
    <cfRule type="cellIs" dxfId="36" priority="7" operator="between">
      <formula>1.01</formula>
      <formula>2</formula>
    </cfRule>
    <cfRule type="cellIs" dxfId="35" priority="8" operator="between">
      <formula>0.75</formula>
      <formula>1</formula>
    </cfRule>
    <cfRule type="cellIs" dxfId="34" priority="9" operator="between">
      <formula>0.5</formula>
      <formula>0.749</formula>
    </cfRule>
    <cfRule type="cellIs" dxfId="33" priority="10" operator="between">
      <formula>0</formula>
      <formula>0.499</formula>
    </cfRule>
  </conditionalFormatting>
  <conditionalFormatting sqref="CB140:CB151">
    <cfRule type="cellIs" dxfId="32" priority="6" operator="between">
      <formula>1</formula>
      <formula>8</formula>
    </cfRule>
  </conditionalFormatting>
  <conditionalFormatting sqref="CF140:CF146">
    <cfRule type="cellIs" dxfId="31" priority="2" operator="between">
      <formula>1.01</formula>
      <formula>2</formula>
    </cfRule>
    <cfRule type="cellIs" dxfId="30" priority="3" operator="between">
      <formula>0.75</formula>
      <formula>1</formula>
    </cfRule>
    <cfRule type="cellIs" dxfId="29" priority="4" operator="between">
      <formula>0.5</formula>
      <formula>0.749</formula>
    </cfRule>
    <cfRule type="cellIs" dxfId="28" priority="5" operator="between">
      <formula>0</formula>
      <formula>0.499</formula>
    </cfRule>
  </conditionalFormatting>
  <conditionalFormatting sqref="CF140:CF151">
    <cfRule type="cellIs" dxfId="27" priority="1" operator="between">
      <formula>1</formula>
      <formula>8</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0"/>
    <pageSetUpPr fitToPage="1"/>
  </sheetPr>
  <dimension ref="A2:K225"/>
  <sheetViews>
    <sheetView showGridLines="0" showZeros="0" tabSelected="1" view="pageBreakPreview" topLeftCell="A28" zoomScale="60" zoomScaleNormal="80" workbookViewId="0">
      <selection activeCell="C35" sqref="C35:J35"/>
    </sheetView>
  </sheetViews>
  <sheetFormatPr defaultColWidth="9.140625" defaultRowHeight="15" x14ac:dyDescent="0.25"/>
  <cols>
    <col min="1" max="1" width="9.140625" style="2"/>
    <col min="2" max="2" width="30.7109375" style="2" customWidth="1"/>
    <col min="3" max="3" width="53.28515625" style="2" customWidth="1"/>
    <col min="4" max="7" width="23.140625" style="2" customWidth="1"/>
    <col min="8" max="8" width="22.42578125" style="2" customWidth="1"/>
    <col min="9" max="9" width="22.42578125" style="3" customWidth="1"/>
    <col min="10" max="10" width="30.28515625" style="2" customWidth="1"/>
    <col min="11" max="11" width="18.85546875" style="2" customWidth="1"/>
    <col min="12" max="12" width="9.140625" style="2"/>
    <col min="13" max="13" width="17.7109375" style="2" customWidth="1"/>
    <col min="14" max="14" width="26.42578125" style="2" customWidth="1"/>
    <col min="15" max="15" width="22.42578125" style="2" customWidth="1"/>
    <col min="16" max="16" width="29.7109375" style="2" customWidth="1"/>
    <col min="17" max="17" width="23.42578125" style="2" customWidth="1"/>
    <col min="18" max="18" width="18.42578125" style="2" customWidth="1"/>
    <col min="19" max="19" width="17.42578125" style="2" customWidth="1"/>
    <col min="20" max="20" width="25.140625" style="2" customWidth="1"/>
    <col min="21" max="16384" width="9.140625" style="2"/>
  </cols>
  <sheetData>
    <row r="2" spans="2:11" ht="47.25" customHeight="1" x14ac:dyDescent="0.7">
      <c r="B2" s="1794" t="s">
        <v>404</v>
      </c>
      <c r="C2" s="1794"/>
      <c r="D2" s="1794"/>
      <c r="E2" s="1794"/>
      <c r="F2" s="112"/>
      <c r="G2" s="112"/>
      <c r="H2" s="110"/>
      <c r="I2" s="111"/>
      <c r="J2" s="110"/>
    </row>
    <row r="3" spans="2:11" ht="15.75" x14ac:dyDescent="0.25">
      <c r="B3" s="109"/>
    </row>
    <row r="4" spans="2:11" ht="1.5" customHeight="1" thickBot="1" x14ac:dyDescent="0.3">
      <c r="B4" s="109"/>
    </row>
    <row r="5" spans="2:11" ht="36.75" customHeight="1" x14ac:dyDescent="0.55000000000000004">
      <c r="B5" s="108" t="s">
        <v>403</v>
      </c>
      <c r="C5" s="107"/>
      <c r="D5" s="107"/>
      <c r="E5" s="107"/>
      <c r="F5" s="107"/>
      <c r="G5" s="107"/>
      <c r="H5" s="106"/>
      <c r="I5" s="105"/>
      <c r="J5" s="104"/>
    </row>
    <row r="6" spans="2:11" ht="175.5" customHeight="1" thickBot="1" x14ac:dyDescent="0.4">
      <c r="B6" s="1795" t="s">
        <v>402</v>
      </c>
      <c r="C6" s="1796"/>
      <c r="D6" s="1796"/>
      <c r="E6" s="1796"/>
      <c r="F6" s="1796"/>
      <c r="G6" s="1796"/>
      <c r="H6" s="1796"/>
      <c r="I6" s="1797"/>
      <c r="J6" s="1798"/>
    </row>
    <row r="7" spans="2:11" ht="14.25" customHeight="1" thickBot="1" x14ac:dyDescent="0.3">
      <c r="B7" s="103"/>
    </row>
    <row r="8" spans="2:11" ht="15.75" hidden="1" thickBot="1" x14ac:dyDescent="0.3"/>
    <row r="9" spans="2:11" ht="27" customHeight="1" thickBot="1" x14ac:dyDescent="0.45">
      <c r="B9" s="1799" t="s">
        <v>401</v>
      </c>
      <c r="C9" s="1800"/>
      <c r="D9" s="1800"/>
      <c r="E9" s="1800"/>
      <c r="F9" s="1800"/>
      <c r="G9" s="1800"/>
      <c r="H9" s="1801"/>
      <c r="I9" s="102"/>
    </row>
    <row r="10" spans="2:11" ht="5.25" customHeight="1" x14ac:dyDescent="0.25"/>
    <row r="11" spans="2:11" ht="6.75" customHeight="1" x14ac:dyDescent="0.25">
      <c r="D11" s="101"/>
      <c r="E11" s="101"/>
      <c r="F11" s="101"/>
      <c r="G11" s="101"/>
      <c r="H11" s="4"/>
      <c r="I11" s="7"/>
      <c r="J11" s="5"/>
      <c r="K11" s="5"/>
    </row>
    <row r="12" spans="2:11" ht="131.25" customHeight="1" x14ac:dyDescent="0.25">
      <c r="B12" s="98" t="s">
        <v>400</v>
      </c>
      <c r="C12" s="98" t="s">
        <v>399</v>
      </c>
      <c r="D12" s="98" t="s">
        <v>398</v>
      </c>
      <c r="E12" s="98" t="s">
        <v>397</v>
      </c>
      <c r="F12" s="98" t="s">
        <v>396</v>
      </c>
      <c r="G12" s="39" t="s">
        <v>194</v>
      </c>
      <c r="H12" s="98" t="s">
        <v>395</v>
      </c>
      <c r="I12" s="98" t="s">
        <v>394</v>
      </c>
      <c r="J12" s="98" t="s">
        <v>393</v>
      </c>
      <c r="K12" s="97"/>
    </row>
    <row r="13" spans="2:11" ht="21" customHeight="1" x14ac:dyDescent="0.25">
      <c r="B13" s="98"/>
      <c r="C13" s="98"/>
      <c r="D13" s="100" t="s">
        <v>392</v>
      </c>
      <c r="E13" s="100" t="s">
        <v>391</v>
      </c>
      <c r="F13" s="100" t="s">
        <v>172</v>
      </c>
      <c r="G13" s="39"/>
      <c r="H13" s="98"/>
      <c r="I13" s="99"/>
      <c r="J13" s="98"/>
      <c r="K13" s="97"/>
    </row>
    <row r="14" spans="2:11" ht="51" customHeight="1" x14ac:dyDescent="0.25">
      <c r="B14" s="70" t="s">
        <v>390</v>
      </c>
      <c r="C14" s="1802" t="s">
        <v>389</v>
      </c>
      <c r="D14" s="1802"/>
      <c r="E14" s="1802"/>
      <c r="F14" s="1802"/>
      <c r="G14" s="1802"/>
      <c r="H14" s="1802"/>
      <c r="I14" s="1803"/>
      <c r="J14" s="1802"/>
      <c r="K14" s="87"/>
    </row>
    <row r="15" spans="2:11" ht="51" customHeight="1" x14ac:dyDescent="0.25">
      <c r="B15" s="70" t="s">
        <v>388</v>
      </c>
      <c r="C15" s="1804" t="s">
        <v>21</v>
      </c>
      <c r="D15" s="1805"/>
      <c r="E15" s="1805"/>
      <c r="F15" s="1805"/>
      <c r="G15" s="1805"/>
      <c r="H15" s="1805"/>
      <c r="I15" s="1805"/>
      <c r="J15" s="1806"/>
      <c r="K15" s="85"/>
    </row>
    <row r="16" spans="2:11" ht="84" customHeight="1" x14ac:dyDescent="0.25">
      <c r="B16" s="79" t="s">
        <v>387</v>
      </c>
      <c r="C16" s="84" t="s">
        <v>386</v>
      </c>
      <c r="D16" s="83">
        <f>'2. PRODUCTOS'!$M$8</f>
        <v>111500</v>
      </c>
      <c r="E16" s="83">
        <v>0</v>
      </c>
      <c r="F16" s="83">
        <v>0</v>
      </c>
      <c r="G16" s="76">
        <f t="shared" ref="G16:G23" si="0">SUM(D16:F16)</f>
        <v>111500</v>
      </c>
      <c r="H16" s="82">
        <v>0</v>
      </c>
      <c r="I16" s="81">
        <f>'2. PRODUCTOS'!$BU$8</f>
        <v>111500</v>
      </c>
      <c r="J16" s="80"/>
      <c r="K16" s="73"/>
    </row>
    <row r="17" spans="1:11" ht="74.25" customHeight="1" x14ac:dyDescent="0.25">
      <c r="B17" s="79" t="s">
        <v>385</v>
      </c>
      <c r="C17" s="84" t="s">
        <v>162</v>
      </c>
      <c r="D17" s="83">
        <f>'2. PRODUCTOS'!$M$20</f>
        <v>122516.74</v>
      </c>
      <c r="E17" s="83">
        <v>0</v>
      </c>
      <c r="F17" s="83">
        <v>0</v>
      </c>
      <c r="G17" s="76">
        <f t="shared" si="0"/>
        <v>122516.74</v>
      </c>
      <c r="H17" s="82">
        <v>0.3</v>
      </c>
      <c r="I17" s="81">
        <f>'2. PRODUCTOS'!$BU$20</f>
        <v>122516.74</v>
      </c>
      <c r="J17" s="80"/>
      <c r="K17" s="73"/>
    </row>
    <row r="18" spans="1:11" ht="90" customHeight="1" x14ac:dyDescent="0.25">
      <c r="B18" s="79" t="s">
        <v>384</v>
      </c>
      <c r="C18" s="84" t="s">
        <v>383</v>
      </c>
      <c r="D18" s="83">
        <f>'2. PRODUCTOS'!$M$32</f>
        <v>98800</v>
      </c>
      <c r="E18" s="83">
        <v>0</v>
      </c>
      <c r="F18" s="83">
        <v>0</v>
      </c>
      <c r="G18" s="76">
        <f t="shared" si="0"/>
        <v>98800</v>
      </c>
      <c r="H18" s="82">
        <v>0.2</v>
      </c>
      <c r="I18" s="81">
        <f>'2. PRODUCTOS'!$BU$32</f>
        <v>98000</v>
      </c>
      <c r="J18" s="80"/>
      <c r="K18" s="73"/>
    </row>
    <row r="19" spans="1:11" ht="76.5" customHeight="1" x14ac:dyDescent="0.25">
      <c r="B19" s="79" t="s">
        <v>382</v>
      </c>
      <c r="C19" s="84" t="s">
        <v>381</v>
      </c>
      <c r="D19" s="83">
        <f>'2. PRODUCTOS'!$M$44</f>
        <v>38000</v>
      </c>
      <c r="E19" s="83">
        <v>0</v>
      </c>
      <c r="F19" s="83">
        <v>0</v>
      </c>
      <c r="G19" s="76">
        <f t="shared" si="0"/>
        <v>38000</v>
      </c>
      <c r="H19" s="82">
        <v>0</v>
      </c>
      <c r="I19" s="81">
        <f>'2. PRODUCTOS'!$BU$44</f>
        <v>38000</v>
      </c>
      <c r="J19" s="80"/>
      <c r="K19" s="73"/>
    </row>
    <row r="20" spans="1:11" ht="15.75" hidden="1" x14ac:dyDescent="0.25">
      <c r="B20" s="79" t="s">
        <v>380</v>
      </c>
      <c r="C20" s="84"/>
      <c r="D20" s="83"/>
      <c r="E20" s="83"/>
      <c r="F20" s="83"/>
      <c r="G20" s="76">
        <f t="shared" si="0"/>
        <v>0</v>
      </c>
      <c r="H20" s="82"/>
      <c r="I20" s="81"/>
      <c r="J20" s="80"/>
      <c r="K20" s="73"/>
    </row>
    <row r="21" spans="1:11" ht="15.75" hidden="1" x14ac:dyDescent="0.25">
      <c r="B21" s="79" t="s">
        <v>379</v>
      </c>
      <c r="C21" s="84"/>
      <c r="D21" s="83"/>
      <c r="E21" s="83"/>
      <c r="F21" s="83"/>
      <c r="G21" s="76">
        <f t="shared" si="0"/>
        <v>0</v>
      </c>
      <c r="H21" s="82"/>
      <c r="I21" s="81"/>
      <c r="J21" s="80"/>
      <c r="K21" s="73"/>
    </row>
    <row r="22" spans="1:11" ht="15.75" hidden="1" x14ac:dyDescent="0.25">
      <c r="B22" s="79" t="s">
        <v>378</v>
      </c>
      <c r="C22" s="78"/>
      <c r="D22" s="77"/>
      <c r="E22" s="77"/>
      <c r="F22" s="77"/>
      <c r="G22" s="76">
        <f t="shared" si="0"/>
        <v>0</v>
      </c>
      <c r="H22" s="75"/>
      <c r="I22" s="74"/>
      <c r="J22" s="71"/>
      <c r="K22" s="73"/>
    </row>
    <row r="23" spans="1:11" ht="15.75" hidden="1" x14ac:dyDescent="0.25">
      <c r="A23" s="5"/>
      <c r="B23" s="79" t="s">
        <v>377</v>
      </c>
      <c r="C23" s="78"/>
      <c r="D23" s="77"/>
      <c r="E23" s="77"/>
      <c r="F23" s="77"/>
      <c r="G23" s="76">
        <f t="shared" si="0"/>
        <v>0</v>
      </c>
      <c r="H23" s="75"/>
      <c r="I23" s="74"/>
      <c r="J23" s="71"/>
      <c r="K23" s="4"/>
    </row>
    <row r="24" spans="1:11" ht="21" customHeight="1" x14ac:dyDescent="0.25">
      <c r="A24" s="5"/>
      <c r="C24" s="70" t="s">
        <v>234</v>
      </c>
      <c r="D24" s="72">
        <f>SUM(D16:D23)</f>
        <v>370816.74</v>
      </c>
      <c r="E24" s="72">
        <f>SUM(E16:E23)</f>
        <v>0</v>
      </c>
      <c r="F24" s="72">
        <f>SUM(F16:F23)</f>
        <v>0</v>
      </c>
      <c r="G24" s="72">
        <f>SUM(G16:G23)</f>
        <v>370816.74</v>
      </c>
      <c r="H24" s="58">
        <f>(H16*G16)+(H17*G17)+(H18*G18)+(H19*G19)+(H20*G20)+(H21*G21)+(H22*G22)+(H23*G23)</f>
        <v>56515.021999999997</v>
      </c>
      <c r="I24" s="58">
        <f>SUM(I16:I23)</f>
        <v>370016.74</v>
      </c>
      <c r="J24" s="71"/>
      <c r="K24" s="63"/>
    </row>
    <row r="25" spans="1:11" ht="51" customHeight="1" x14ac:dyDescent="0.25">
      <c r="A25" s="5"/>
      <c r="B25" s="70" t="s">
        <v>163</v>
      </c>
      <c r="C25" s="1792" t="s">
        <v>376</v>
      </c>
      <c r="D25" s="1792"/>
      <c r="E25" s="1792"/>
      <c r="F25" s="1792"/>
      <c r="G25" s="1792"/>
      <c r="H25" s="1792"/>
      <c r="I25" s="1793"/>
      <c r="J25" s="1792"/>
      <c r="K25" s="85"/>
    </row>
    <row r="26" spans="1:11" ht="123.75" customHeight="1" x14ac:dyDescent="0.25">
      <c r="A26" s="5"/>
      <c r="B26" s="79" t="s">
        <v>164</v>
      </c>
      <c r="C26" s="84" t="s">
        <v>376</v>
      </c>
      <c r="D26" s="83">
        <f>'2. PRODUCTOS'!$M$62</f>
        <v>137600</v>
      </c>
      <c r="E26" s="83">
        <v>0</v>
      </c>
      <c r="F26" s="83">
        <v>0</v>
      </c>
      <c r="G26" s="76">
        <f t="shared" ref="G26:G33" si="1">SUM(D26:F26)</f>
        <v>137600</v>
      </c>
      <c r="H26" s="82">
        <v>0.33</v>
      </c>
      <c r="I26" s="81">
        <f>'2. PRODUCTOS'!$BU$62</f>
        <v>137600</v>
      </c>
      <c r="J26" s="80"/>
      <c r="K26" s="73"/>
    </row>
    <row r="27" spans="1:11" ht="114.75" customHeight="1" x14ac:dyDescent="0.25">
      <c r="A27" s="5"/>
      <c r="B27" s="79" t="s">
        <v>165</v>
      </c>
      <c r="C27" s="84" t="s">
        <v>166</v>
      </c>
      <c r="D27" s="83">
        <f>'2. PRODUCTOS'!$M$86</f>
        <v>163000</v>
      </c>
      <c r="E27" s="83">
        <v>0</v>
      </c>
      <c r="F27" s="83">
        <v>0</v>
      </c>
      <c r="G27" s="76">
        <f t="shared" si="1"/>
        <v>163000</v>
      </c>
      <c r="H27" s="82"/>
      <c r="I27" s="81">
        <f>'2. PRODUCTOS'!$BU$86</f>
        <v>206000</v>
      </c>
      <c r="J27" s="80"/>
      <c r="K27" s="73"/>
    </row>
    <row r="28" spans="1:11" ht="76.5" customHeight="1" x14ac:dyDescent="0.25">
      <c r="A28" s="5"/>
      <c r="B28" s="79" t="s">
        <v>167</v>
      </c>
      <c r="C28" s="84" t="s">
        <v>375</v>
      </c>
      <c r="D28" s="83">
        <v>0</v>
      </c>
      <c r="E28" s="83">
        <f>'2. PRODUCTOS'!$M$98</f>
        <v>172240</v>
      </c>
      <c r="F28" s="83">
        <v>0</v>
      </c>
      <c r="G28" s="76">
        <f t="shared" si="1"/>
        <v>172240</v>
      </c>
      <c r="H28" s="82">
        <v>1</v>
      </c>
      <c r="I28" s="81">
        <f>'2. PRODUCTOS'!$BU$98</f>
        <v>172240</v>
      </c>
      <c r="J28" s="80"/>
      <c r="K28" s="73"/>
    </row>
    <row r="29" spans="1:11" ht="15.75" hidden="1" x14ac:dyDescent="0.25">
      <c r="A29" s="5"/>
      <c r="B29" s="79" t="s">
        <v>374</v>
      </c>
      <c r="C29" s="84"/>
      <c r="D29" s="83"/>
      <c r="E29" s="83"/>
      <c r="F29" s="83"/>
      <c r="G29" s="76">
        <f t="shared" si="1"/>
        <v>0</v>
      </c>
      <c r="H29" s="82"/>
      <c r="I29" s="81"/>
      <c r="J29" s="80"/>
      <c r="K29" s="73"/>
    </row>
    <row r="30" spans="1:11" ht="15.75" hidden="1" x14ac:dyDescent="0.25">
      <c r="A30" s="5"/>
      <c r="B30" s="79" t="s">
        <v>373</v>
      </c>
      <c r="C30" s="84"/>
      <c r="D30" s="83"/>
      <c r="E30" s="83"/>
      <c r="F30" s="83"/>
      <c r="G30" s="76">
        <f t="shared" si="1"/>
        <v>0</v>
      </c>
      <c r="H30" s="82"/>
      <c r="I30" s="81"/>
      <c r="J30" s="80"/>
      <c r="K30" s="73"/>
    </row>
    <row r="31" spans="1:11" ht="15.75" hidden="1" x14ac:dyDescent="0.25">
      <c r="A31" s="5"/>
      <c r="B31" s="79" t="s">
        <v>372</v>
      </c>
      <c r="C31" s="84"/>
      <c r="D31" s="83"/>
      <c r="E31" s="83"/>
      <c r="F31" s="83"/>
      <c r="G31" s="76">
        <f t="shared" si="1"/>
        <v>0</v>
      </c>
      <c r="H31" s="82"/>
      <c r="I31" s="81"/>
      <c r="J31" s="80"/>
      <c r="K31" s="73"/>
    </row>
    <row r="32" spans="1:11" ht="15.75" hidden="1" x14ac:dyDescent="0.25">
      <c r="A32" s="5"/>
      <c r="B32" s="79" t="s">
        <v>371</v>
      </c>
      <c r="C32" s="78"/>
      <c r="D32" s="77"/>
      <c r="E32" s="77"/>
      <c r="F32" s="77"/>
      <c r="G32" s="76">
        <f t="shared" si="1"/>
        <v>0</v>
      </c>
      <c r="H32" s="75"/>
      <c r="I32" s="74"/>
      <c r="J32" s="71"/>
      <c r="K32" s="73"/>
    </row>
    <row r="33" spans="1:11" ht="15.75" hidden="1" x14ac:dyDescent="0.25">
      <c r="A33" s="5"/>
      <c r="B33" s="79" t="s">
        <v>370</v>
      </c>
      <c r="C33" s="78"/>
      <c r="D33" s="77"/>
      <c r="E33" s="77"/>
      <c r="F33" s="77"/>
      <c r="G33" s="76">
        <f t="shared" si="1"/>
        <v>0</v>
      </c>
      <c r="H33" s="75"/>
      <c r="I33" s="74"/>
      <c r="J33" s="71"/>
      <c r="K33" s="73"/>
    </row>
    <row r="34" spans="1:11" ht="23.25" customHeight="1" x14ac:dyDescent="0.25">
      <c r="A34" s="5"/>
      <c r="C34" s="70" t="s">
        <v>234</v>
      </c>
      <c r="D34" s="86">
        <f>SUM(D26:D33)</f>
        <v>300600</v>
      </c>
      <c r="E34" s="86">
        <f>SUM(E26:E33)</f>
        <v>172240</v>
      </c>
      <c r="F34" s="86">
        <f>SUM(F26:F33)</f>
        <v>0</v>
      </c>
      <c r="G34" s="86">
        <f>SUM(G26:G33)</f>
        <v>472840</v>
      </c>
      <c r="H34" s="58">
        <f>(H26*G26)+(H27*G27)+(H28*G28)+(H29*G29)+(H30*G30)+(H31*G31)+(H32*G32)+(H33*G33)</f>
        <v>217648</v>
      </c>
      <c r="I34" s="58">
        <f>SUM(I26:I33)</f>
        <v>515840</v>
      </c>
      <c r="J34" s="71"/>
      <c r="K34" s="63"/>
    </row>
    <row r="35" spans="1:11" ht="51" customHeight="1" x14ac:dyDescent="0.25">
      <c r="A35" s="5"/>
      <c r="B35" s="70" t="s">
        <v>168</v>
      </c>
      <c r="C35" s="1792" t="s">
        <v>369</v>
      </c>
      <c r="D35" s="1792"/>
      <c r="E35" s="1792"/>
      <c r="F35" s="1792"/>
      <c r="G35" s="1792"/>
      <c r="H35" s="1792"/>
      <c r="I35" s="1793"/>
      <c r="J35" s="1792"/>
      <c r="K35" s="85"/>
    </row>
    <row r="36" spans="1:11" ht="64.5" customHeight="1" x14ac:dyDescent="0.25">
      <c r="A36" s="5"/>
      <c r="B36" s="79" t="s">
        <v>368</v>
      </c>
      <c r="C36" s="84" t="s">
        <v>169</v>
      </c>
      <c r="D36" s="83">
        <f>'2. PRODUCTOS'!$M$116</f>
        <v>57630</v>
      </c>
      <c r="E36" s="83">
        <v>0</v>
      </c>
      <c r="F36" s="83">
        <v>0</v>
      </c>
      <c r="G36" s="76">
        <f t="shared" ref="G36:G43" si="2">SUM(D36:F36)</f>
        <v>57630</v>
      </c>
      <c r="H36" s="82">
        <v>0.3</v>
      </c>
      <c r="I36" s="81">
        <f>'2. PRODUCTOS'!$BU$116</f>
        <v>57630</v>
      </c>
      <c r="J36" s="80"/>
      <c r="K36" s="73"/>
    </row>
    <row r="37" spans="1:11" ht="115.5" customHeight="1" x14ac:dyDescent="0.25">
      <c r="A37" s="5"/>
      <c r="B37" s="79" t="s">
        <v>367</v>
      </c>
      <c r="C37" s="84" t="s">
        <v>366</v>
      </c>
      <c r="D37" s="83">
        <f>'2. PRODUCTOS'!$M$128</f>
        <v>98653</v>
      </c>
      <c r="E37" s="83">
        <v>0</v>
      </c>
      <c r="F37" s="83">
        <v>0</v>
      </c>
      <c r="G37" s="76">
        <f t="shared" si="2"/>
        <v>98653</v>
      </c>
      <c r="H37" s="82">
        <v>0.3</v>
      </c>
      <c r="I37" s="81">
        <f>'2. PRODUCTOS'!$BU$128</f>
        <v>98653</v>
      </c>
      <c r="J37" s="80"/>
      <c r="K37" s="73"/>
    </row>
    <row r="38" spans="1:11" ht="58.5" customHeight="1" x14ac:dyDescent="0.25">
      <c r="A38" s="5"/>
      <c r="B38" s="79" t="s">
        <v>365</v>
      </c>
      <c r="C38" s="84" t="s">
        <v>364</v>
      </c>
      <c r="D38" s="83">
        <v>0</v>
      </c>
      <c r="E38" s="83">
        <f>'2. PRODUCTOS'!$M$152</f>
        <v>125600</v>
      </c>
      <c r="F38" s="83">
        <v>0</v>
      </c>
      <c r="G38" s="76">
        <f t="shared" si="2"/>
        <v>125600</v>
      </c>
      <c r="H38" s="82">
        <v>1</v>
      </c>
      <c r="I38" s="81">
        <f>'2. PRODUCTOS'!$BU$152</f>
        <v>125600</v>
      </c>
      <c r="J38" s="80"/>
      <c r="K38" s="73"/>
    </row>
    <row r="39" spans="1:11" ht="15.75" hidden="1" x14ac:dyDescent="0.25">
      <c r="A39" s="5"/>
      <c r="B39" s="79" t="s">
        <v>363</v>
      </c>
      <c r="C39" s="84"/>
      <c r="D39" s="83"/>
      <c r="E39" s="83"/>
      <c r="F39" s="83"/>
      <c r="G39" s="76">
        <f t="shared" si="2"/>
        <v>0</v>
      </c>
      <c r="H39" s="82"/>
      <c r="I39" s="81"/>
      <c r="J39" s="80"/>
      <c r="K39" s="73"/>
    </row>
    <row r="40" spans="1:11" s="5" customFormat="1" ht="15.75" hidden="1" x14ac:dyDescent="0.25">
      <c r="B40" s="79" t="s">
        <v>362</v>
      </c>
      <c r="C40" s="84"/>
      <c r="D40" s="83"/>
      <c r="E40" s="83"/>
      <c r="F40" s="83"/>
      <c r="G40" s="76">
        <f t="shared" si="2"/>
        <v>0</v>
      </c>
      <c r="H40" s="82"/>
      <c r="I40" s="81"/>
      <c r="J40" s="80"/>
      <c r="K40" s="73"/>
    </row>
    <row r="41" spans="1:11" s="5" customFormat="1" ht="15.75" hidden="1" x14ac:dyDescent="0.25">
      <c r="B41" s="79" t="s">
        <v>361</v>
      </c>
      <c r="C41" s="84"/>
      <c r="D41" s="83"/>
      <c r="E41" s="83"/>
      <c r="F41" s="83"/>
      <c r="G41" s="76">
        <f t="shared" si="2"/>
        <v>0</v>
      </c>
      <c r="H41" s="82"/>
      <c r="I41" s="81"/>
      <c r="J41" s="80"/>
      <c r="K41" s="73"/>
    </row>
    <row r="42" spans="1:11" s="5" customFormat="1" ht="15.75" hidden="1" x14ac:dyDescent="0.25">
      <c r="A42" s="2"/>
      <c r="B42" s="79" t="s">
        <v>360</v>
      </c>
      <c r="C42" s="78"/>
      <c r="D42" s="77"/>
      <c r="E42" s="77"/>
      <c r="F42" s="77"/>
      <c r="G42" s="76">
        <f t="shared" si="2"/>
        <v>0</v>
      </c>
      <c r="H42" s="75"/>
      <c r="I42" s="74"/>
      <c r="J42" s="71"/>
      <c r="K42" s="73"/>
    </row>
    <row r="43" spans="1:11" ht="15.75" hidden="1" x14ac:dyDescent="0.25">
      <c r="B43" s="79" t="s">
        <v>359</v>
      </c>
      <c r="C43" s="78"/>
      <c r="D43" s="77"/>
      <c r="E43" s="77"/>
      <c r="F43" s="77"/>
      <c r="G43" s="76">
        <f t="shared" si="2"/>
        <v>0</v>
      </c>
      <c r="H43" s="75"/>
      <c r="I43" s="74"/>
      <c r="J43" s="71"/>
      <c r="K43" s="73"/>
    </row>
    <row r="44" spans="1:11" ht="15.75" x14ac:dyDescent="0.25">
      <c r="C44" s="70" t="s">
        <v>234</v>
      </c>
      <c r="D44" s="86">
        <f>SUM(D36:D43)</f>
        <v>156283</v>
      </c>
      <c r="E44" s="86">
        <f>SUM(E36:E43)</f>
        <v>125600</v>
      </c>
      <c r="F44" s="86">
        <f>SUM(F36:F43)</f>
        <v>0</v>
      </c>
      <c r="G44" s="86">
        <f>SUM(G36:G43)</f>
        <v>281883</v>
      </c>
      <c r="H44" s="58">
        <f>(H36*G36)+(H37*G37)+(H38*G38)+(H39*G39)+(H40*G40)+(H41*G41)+(H42*G42)+(H43*G43)</f>
        <v>172484.9</v>
      </c>
      <c r="I44" s="58">
        <f>SUM(I36:I43)</f>
        <v>281883</v>
      </c>
      <c r="J44" s="71"/>
      <c r="K44" s="63"/>
    </row>
    <row r="45" spans="1:11" ht="51" customHeight="1" x14ac:dyDescent="0.25">
      <c r="B45" s="70" t="s">
        <v>170</v>
      </c>
      <c r="C45" s="1792" t="s">
        <v>33</v>
      </c>
      <c r="D45" s="1792"/>
      <c r="E45" s="1792"/>
      <c r="F45" s="1792"/>
      <c r="G45" s="1792"/>
      <c r="H45" s="1792"/>
      <c r="I45" s="1793"/>
      <c r="J45" s="1792"/>
      <c r="K45" s="85"/>
    </row>
    <row r="46" spans="1:11" ht="129" customHeight="1" x14ac:dyDescent="0.25">
      <c r="B46" s="79" t="s">
        <v>171</v>
      </c>
      <c r="C46" s="84" t="s">
        <v>358</v>
      </c>
      <c r="D46" s="83">
        <v>0</v>
      </c>
      <c r="E46" s="83">
        <v>0</v>
      </c>
      <c r="F46" s="83">
        <f>'2. PRODUCTOS'!$M$170</f>
        <v>217500</v>
      </c>
      <c r="G46" s="76">
        <f t="shared" ref="G46:G53" si="3">SUM(D46:F46)</f>
        <v>217500</v>
      </c>
      <c r="H46" s="82"/>
      <c r="I46" s="81">
        <f>'2. PRODUCTOS'!$BU$170</f>
        <v>189182.22999999998</v>
      </c>
      <c r="J46" s="80"/>
      <c r="K46" s="73"/>
    </row>
    <row r="47" spans="1:11" ht="94.5" customHeight="1" x14ac:dyDescent="0.25">
      <c r="B47" s="79" t="s">
        <v>173</v>
      </c>
      <c r="C47" s="84" t="s">
        <v>357</v>
      </c>
      <c r="D47" s="83">
        <v>0</v>
      </c>
      <c r="E47" s="83">
        <v>38500</v>
      </c>
      <c r="F47" s="83">
        <v>67000</v>
      </c>
      <c r="G47" s="76">
        <f t="shared" si="3"/>
        <v>105500</v>
      </c>
      <c r="H47" s="82">
        <v>1</v>
      </c>
      <c r="I47" s="81">
        <f>'2. PRODUCTOS'!$BU$182</f>
        <v>138690</v>
      </c>
      <c r="J47" s="96" t="s">
        <v>356</v>
      </c>
      <c r="K47" s="73"/>
    </row>
    <row r="48" spans="1:11" ht="31.5" x14ac:dyDescent="0.25">
      <c r="B48" s="79" t="s">
        <v>174</v>
      </c>
      <c r="C48" s="84" t="s">
        <v>355</v>
      </c>
      <c r="D48" s="83">
        <v>0</v>
      </c>
      <c r="E48" s="83">
        <v>34501</v>
      </c>
      <c r="F48" s="83">
        <v>0</v>
      </c>
      <c r="G48" s="76">
        <f t="shared" si="3"/>
        <v>34501</v>
      </c>
      <c r="H48" s="82">
        <v>1</v>
      </c>
      <c r="I48" s="81">
        <f>'2. PRODUCTOS'!$BU$194</f>
        <v>34501</v>
      </c>
      <c r="J48" s="80"/>
      <c r="K48" s="73"/>
    </row>
    <row r="49" spans="1:11" ht="15.75" hidden="1" x14ac:dyDescent="0.25">
      <c r="B49" s="79" t="s">
        <v>354</v>
      </c>
      <c r="C49" s="84"/>
      <c r="D49" s="83"/>
      <c r="E49" s="83"/>
      <c r="F49" s="83"/>
      <c r="G49" s="76">
        <f t="shared" si="3"/>
        <v>0</v>
      </c>
      <c r="H49" s="82"/>
      <c r="I49" s="81"/>
      <c r="J49" s="80"/>
      <c r="K49" s="73"/>
    </row>
    <row r="50" spans="1:11" ht="15.75" hidden="1" x14ac:dyDescent="0.25">
      <c r="B50" s="79" t="s">
        <v>353</v>
      </c>
      <c r="C50" s="84"/>
      <c r="D50" s="83"/>
      <c r="E50" s="83"/>
      <c r="F50" s="83"/>
      <c r="G50" s="76">
        <f t="shared" si="3"/>
        <v>0</v>
      </c>
      <c r="H50" s="82"/>
      <c r="I50" s="81"/>
      <c r="J50" s="80"/>
      <c r="K50" s="73"/>
    </row>
    <row r="51" spans="1:11" ht="15.75" hidden="1" x14ac:dyDescent="0.25">
      <c r="A51" s="5"/>
      <c r="B51" s="79" t="s">
        <v>352</v>
      </c>
      <c r="C51" s="84"/>
      <c r="D51" s="83"/>
      <c r="E51" s="83"/>
      <c r="F51" s="83"/>
      <c r="G51" s="76">
        <f t="shared" si="3"/>
        <v>0</v>
      </c>
      <c r="H51" s="82"/>
      <c r="I51" s="81"/>
      <c r="J51" s="80"/>
      <c r="K51" s="73"/>
    </row>
    <row r="52" spans="1:11" s="5" customFormat="1" ht="15.75" hidden="1" x14ac:dyDescent="0.25">
      <c r="A52" s="2"/>
      <c r="B52" s="79" t="s">
        <v>351</v>
      </c>
      <c r="C52" s="78"/>
      <c r="D52" s="77"/>
      <c r="E52" s="77"/>
      <c r="F52" s="77"/>
      <c r="G52" s="76">
        <f t="shared" si="3"/>
        <v>0</v>
      </c>
      <c r="H52" s="75"/>
      <c r="I52" s="74"/>
      <c r="J52" s="71"/>
      <c r="K52" s="73"/>
    </row>
    <row r="53" spans="1:11" ht="15.75" hidden="1" x14ac:dyDescent="0.25">
      <c r="B53" s="79" t="s">
        <v>350</v>
      </c>
      <c r="C53" s="78"/>
      <c r="D53" s="77"/>
      <c r="E53" s="77"/>
      <c r="F53" s="77"/>
      <c r="G53" s="76">
        <f t="shared" si="3"/>
        <v>0</v>
      </c>
      <c r="H53" s="75"/>
      <c r="I53" s="74"/>
      <c r="J53" s="71"/>
      <c r="K53" s="73"/>
    </row>
    <row r="54" spans="1:11" ht="15.75" x14ac:dyDescent="0.25">
      <c r="C54" s="70" t="s">
        <v>234</v>
      </c>
      <c r="D54" s="72">
        <f>SUM(D46:D53)</f>
        <v>0</v>
      </c>
      <c r="E54" s="72">
        <f>SUM(E46:E53)</f>
        <v>73001</v>
      </c>
      <c r="F54" s="72">
        <f>SUM(F46:F53)</f>
        <v>284500</v>
      </c>
      <c r="G54" s="72">
        <f>SUM(G46:G53)</f>
        <v>357501</v>
      </c>
      <c r="H54" s="58">
        <f>(H46*G46)+(H47*G47)+(H48*G48)+(H49*G49)+(H50*G50)+(H51*G51)+(H52*G52)+(H53*G53)</f>
        <v>140001</v>
      </c>
      <c r="I54" s="58">
        <f>SUM(I46:I53)</f>
        <v>362373.23</v>
      </c>
      <c r="J54" s="71"/>
      <c r="K54" s="63"/>
    </row>
    <row r="55" spans="1:11" ht="15.75" customHeight="1" x14ac:dyDescent="0.25">
      <c r="C55" s="95"/>
      <c r="D55" s="94"/>
      <c r="E55" s="94"/>
      <c r="F55" s="94"/>
      <c r="G55" s="94"/>
      <c r="H55" s="63"/>
      <c r="I55" s="63"/>
      <c r="J55" s="93"/>
      <c r="K55" s="63"/>
    </row>
    <row r="56" spans="1:11" ht="15.75" customHeight="1" x14ac:dyDescent="0.25">
      <c r="B56" s="45"/>
      <c r="C56" s="92"/>
      <c r="D56" s="91"/>
      <c r="E56" s="91"/>
      <c r="F56" s="91"/>
      <c r="G56" s="91"/>
      <c r="H56" s="91"/>
      <c r="I56" s="91"/>
      <c r="J56" s="91"/>
      <c r="K56" s="90"/>
    </row>
    <row r="57" spans="1:11" ht="51" customHeight="1" x14ac:dyDescent="0.25">
      <c r="B57" s="70" t="s">
        <v>349</v>
      </c>
      <c r="C57" s="1781" t="s">
        <v>348</v>
      </c>
      <c r="D57" s="1781"/>
      <c r="E57" s="1781"/>
      <c r="F57" s="1781"/>
      <c r="G57" s="1781"/>
      <c r="H57" s="1781"/>
      <c r="I57" s="1782"/>
      <c r="J57" s="1781"/>
      <c r="K57" s="85"/>
    </row>
    <row r="58" spans="1:11" ht="47.25" x14ac:dyDescent="0.25">
      <c r="B58" s="79" t="s">
        <v>347</v>
      </c>
      <c r="C58" s="84" t="s">
        <v>346</v>
      </c>
      <c r="D58" s="83">
        <v>112000</v>
      </c>
      <c r="E58" s="83">
        <v>0</v>
      </c>
      <c r="F58" s="83">
        <v>0</v>
      </c>
      <c r="G58" s="76">
        <f t="shared" ref="G58:G65" si="4">SUM(D58:F58)</f>
        <v>112000</v>
      </c>
      <c r="H58" s="82">
        <v>0.19</v>
      </c>
      <c r="I58" s="81">
        <f>'2. PRODUCTOS'!$BU$212</f>
        <v>95550</v>
      </c>
      <c r="J58" s="80"/>
      <c r="K58" s="73"/>
    </row>
    <row r="59" spans="1:11" ht="31.5" x14ac:dyDescent="0.25">
      <c r="B59" s="79" t="s">
        <v>345</v>
      </c>
      <c r="C59" s="84" t="s">
        <v>344</v>
      </c>
      <c r="D59" s="83">
        <v>128000</v>
      </c>
      <c r="E59" s="83">
        <v>0</v>
      </c>
      <c r="F59" s="83">
        <v>0</v>
      </c>
      <c r="G59" s="76">
        <f t="shared" si="4"/>
        <v>128000</v>
      </c>
      <c r="H59" s="82">
        <v>0.08</v>
      </c>
      <c r="I59" s="81">
        <f>'2. PRODUCTOS'!$BU$224</f>
        <v>101560.5</v>
      </c>
      <c r="J59" s="80"/>
      <c r="K59" s="73"/>
    </row>
    <row r="60" spans="1:11" ht="47.25" x14ac:dyDescent="0.25">
      <c r="B60" s="79" t="s">
        <v>343</v>
      </c>
      <c r="C60" s="84" t="s">
        <v>342</v>
      </c>
      <c r="D60" s="83">
        <v>0</v>
      </c>
      <c r="E60" s="83">
        <v>0</v>
      </c>
      <c r="F60" s="89">
        <v>57500</v>
      </c>
      <c r="G60" s="76">
        <f t="shared" si="4"/>
        <v>57500</v>
      </c>
      <c r="H60" s="82">
        <v>0.5</v>
      </c>
      <c r="I60" s="81">
        <f>'2. PRODUCTOS'!$BU$236</f>
        <v>5433.11</v>
      </c>
      <c r="J60" s="80"/>
      <c r="K60" s="73"/>
    </row>
    <row r="61" spans="1:11" ht="31.5" x14ac:dyDescent="0.25">
      <c r="B61" s="79" t="s">
        <v>341</v>
      </c>
      <c r="C61" s="84" t="s">
        <v>340</v>
      </c>
      <c r="D61" s="83">
        <v>0</v>
      </c>
      <c r="E61" s="83">
        <v>114000</v>
      </c>
      <c r="F61" s="83">
        <v>0</v>
      </c>
      <c r="G61" s="76">
        <f t="shared" si="4"/>
        <v>114000</v>
      </c>
      <c r="H61" s="82">
        <v>1</v>
      </c>
      <c r="I61" s="81">
        <f>'2. PRODUCTOS'!$BU$260</f>
        <v>114000</v>
      </c>
      <c r="J61" s="80"/>
      <c r="K61" s="73"/>
    </row>
    <row r="62" spans="1:11" ht="15.75" hidden="1" x14ac:dyDescent="0.25">
      <c r="B62" s="79" t="s">
        <v>339</v>
      </c>
      <c r="C62" s="84"/>
      <c r="D62" s="83"/>
      <c r="E62" s="83"/>
      <c r="F62" s="83"/>
      <c r="G62" s="76">
        <f t="shared" si="4"/>
        <v>0</v>
      </c>
      <c r="H62" s="82"/>
      <c r="I62" s="81"/>
      <c r="J62" s="80"/>
      <c r="K62" s="73"/>
    </row>
    <row r="63" spans="1:11" ht="15.75" hidden="1" x14ac:dyDescent="0.25">
      <c r="B63" s="79" t="s">
        <v>338</v>
      </c>
      <c r="C63" s="84"/>
      <c r="D63" s="83"/>
      <c r="E63" s="83"/>
      <c r="F63" s="83"/>
      <c r="G63" s="76">
        <f t="shared" si="4"/>
        <v>0</v>
      </c>
      <c r="H63" s="82"/>
      <c r="I63" s="81"/>
      <c r="J63" s="80"/>
      <c r="K63" s="73"/>
    </row>
    <row r="64" spans="1:11" ht="15.75" hidden="1" x14ac:dyDescent="0.25">
      <c r="A64" s="5"/>
      <c r="B64" s="79" t="s">
        <v>337</v>
      </c>
      <c r="C64" s="78"/>
      <c r="D64" s="77"/>
      <c r="E64" s="77"/>
      <c r="F64" s="77"/>
      <c r="G64" s="76">
        <f t="shared" si="4"/>
        <v>0</v>
      </c>
      <c r="H64" s="75"/>
      <c r="I64" s="74"/>
      <c r="J64" s="71"/>
      <c r="K64" s="73"/>
    </row>
    <row r="65" spans="1:11" s="5" customFormat="1" ht="15.75" hidden="1" x14ac:dyDescent="0.25">
      <c r="B65" s="79" t="s">
        <v>336</v>
      </c>
      <c r="C65" s="78"/>
      <c r="D65" s="77"/>
      <c r="E65" s="77"/>
      <c r="F65" s="77"/>
      <c r="G65" s="76">
        <f t="shared" si="4"/>
        <v>0</v>
      </c>
      <c r="H65" s="75"/>
      <c r="I65" s="74"/>
      <c r="J65" s="71"/>
      <c r="K65" s="73"/>
    </row>
    <row r="66" spans="1:11" s="5" customFormat="1" ht="15.75" x14ac:dyDescent="0.25">
      <c r="A66" s="2"/>
      <c r="B66" s="2"/>
      <c r="C66" s="70" t="s">
        <v>234</v>
      </c>
      <c r="D66" s="72">
        <f>SUM(D58:D65)</f>
        <v>240000</v>
      </c>
      <c r="E66" s="72">
        <f>SUM(E58:E65)</f>
        <v>114000</v>
      </c>
      <c r="F66" s="72">
        <f>SUM(F58:F65)</f>
        <v>57500</v>
      </c>
      <c r="G66" s="86">
        <f>SUM(G58:G65)</f>
        <v>411500</v>
      </c>
      <c r="H66" s="58">
        <f>(H58*G58)+(H59*G59)+(H60*G60)+(H61*G61)+(H62*G62)+(H63*G63)+(H64*G64)+(H65*G65)</f>
        <v>174270</v>
      </c>
      <c r="I66" s="58">
        <f>SUM(I58:I65)</f>
        <v>316543.61</v>
      </c>
      <c r="J66" s="71"/>
      <c r="K66" s="63"/>
    </row>
    <row r="67" spans="1:11" ht="51" hidden="1" customHeight="1" x14ac:dyDescent="0.25">
      <c r="B67" s="70" t="s">
        <v>335</v>
      </c>
      <c r="C67" s="1781"/>
      <c r="D67" s="1781"/>
      <c r="E67" s="1781"/>
      <c r="F67" s="1781"/>
      <c r="G67" s="1781"/>
      <c r="H67" s="1781"/>
      <c r="I67" s="1782"/>
      <c r="J67" s="1781"/>
      <c r="K67" s="85"/>
    </row>
    <row r="68" spans="1:11" ht="15.75" hidden="1" x14ac:dyDescent="0.25">
      <c r="B68" s="79" t="s">
        <v>334</v>
      </c>
      <c r="C68" s="84"/>
      <c r="D68" s="83"/>
      <c r="E68" s="83"/>
      <c r="F68" s="83"/>
      <c r="G68" s="76">
        <f t="shared" ref="G68:G75" si="5">SUM(D68:F68)</f>
        <v>0</v>
      </c>
      <c r="H68" s="82"/>
      <c r="I68" s="81"/>
      <c r="J68" s="80"/>
      <c r="K68" s="73"/>
    </row>
    <row r="69" spans="1:11" ht="15.75" hidden="1" x14ac:dyDescent="0.25">
      <c r="B69" s="79" t="s">
        <v>333</v>
      </c>
      <c r="C69" s="84"/>
      <c r="D69" s="83"/>
      <c r="E69" s="83"/>
      <c r="F69" s="83"/>
      <c r="G69" s="76">
        <f t="shared" si="5"/>
        <v>0</v>
      </c>
      <c r="H69" s="82"/>
      <c r="I69" s="81"/>
      <c r="J69" s="80"/>
      <c r="K69" s="73"/>
    </row>
    <row r="70" spans="1:11" ht="15.75" hidden="1" x14ac:dyDescent="0.25">
      <c r="B70" s="79" t="s">
        <v>332</v>
      </c>
      <c r="C70" s="84"/>
      <c r="D70" s="83"/>
      <c r="E70" s="83"/>
      <c r="F70" s="83"/>
      <c r="G70" s="76">
        <f t="shared" si="5"/>
        <v>0</v>
      </c>
      <c r="H70" s="82"/>
      <c r="I70" s="81"/>
      <c r="J70" s="80"/>
      <c r="K70" s="73"/>
    </row>
    <row r="71" spans="1:11" ht="15.75" hidden="1" x14ac:dyDescent="0.25">
      <c r="B71" s="79" t="s">
        <v>331</v>
      </c>
      <c r="C71" s="84"/>
      <c r="D71" s="83"/>
      <c r="E71" s="83"/>
      <c r="F71" s="83"/>
      <c r="G71" s="76">
        <f t="shared" si="5"/>
        <v>0</v>
      </c>
      <c r="H71" s="82"/>
      <c r="I71" s="81"/>
      <c r="J71" s="80"/>
      <c r="K71" s="73"/>
    </row>
    <row r="72" spans="1:11" ht="15.75" hidden="1" x14ac:dyDescent="0.25">
      <c r="B72" s="79" t="s">
        <v>330</v>
      </c>
      <c r="C72" s="84"/>
      <c r="D72" s="83"/>
      <c r="E72" s="83"/>
      <c r="F72" s="83"/>
      <c r="G72" s="76">
        <f t="shared" si="5"/>
        <v>0</v>
      </c>
      <c r="H72" s="82"/>
      <c r="I72" s="81"/>
      <c r="J72" s="80"/>
      <c r="K72" s="73"/>
    </row>
    <row r="73" spans="1:11" ht="15.75" hidden="1" x14ac:dyDescent="0.25">
      <c r="B73" s="79" t="s">
        <v>329</v>
      </c>
      <c r="C73" s="84"/>
      <c r="D73" s="83"/>
      <c r="E73" s="83"/>
      <c r="F73" s="83"/>
      <c r="G73" s="76">
        <f t="shared" si="5"/>
        <v>0</v>
      </c>
      <c r="H73" s="82"/>
      <c r="I73" s="81"/>
      <c r="J73" s="80"/>
      <c r="K73" s="73"/>
    </row>
    <row r="74" spans="1:11" ht="15.75" hidden="1" x14ac:dyDescent="0.25">
      <c r="B74" s="79" t="s">
        <v>328</v>
      </c>
      <c r="C74" s="78"/>
      <c r="D74" s="77"/>
      <c r="E74" s="77"/>
      <c r="F74" s="77"/>
      <c r="G74" s="76">
        <f t="shared" si="5"/>
        <v>0</v>
      </c>
      <c r="H74" s="75"/>
      <c r="I74" s="74"/>
      <c r="J74" s="71"/>
      <c r="K74" s="73"/>
    </row>
    <row r="75" spans="1:11" ht="15.75" hidden="1" x14ac:dyDescent="0.25">
      <c r="B75" s="79" t="s">
        <v>327</v>
      </c>
      <c r="C75" s="78"/>
      <c r="D75" s="77"/>
      <c r="E75" s="77"/>
      <c r="F75" s="77"/>
      <c r="G75" s="76">
        <f t="shared" si="5"/>
        <v>0</v>
      </c>
      <c r="H75" s="75"/>
      <c r="I75" s="74"/>
      <c r="J75" s="71"/>
      <c r="K75" s="73"/>
    </row>
    <row r="76" spans="1:11" ht="15.75" hidden="1" x14ac:dyDescent="0.25">
      <c r="C76" s="70" t="s">
        <v>234</v>
      </c>
      <c r="D76" s="86">
        <f>SUM(D68:D75)</f>
        <v>0</v>
      </c>
      <c r="E76" s="86">
        <f>SUM(E68:E75)</f>
        <v>0</v>
      </c>
      <c r="F76" s="86">
        <f>SUM(F68:F75)</f>
        <v>0</v>
      </c>
      <c r="G76" s="86">
        <f>SUM(G68:G75)</f>
        <v>0</v>
      </c>
      <c r="H76" s="58">
        <f>(H68*G68)+(H69*G69)+(H70*G70)+(H71*G71)+(H72*G72)+(H73*G73)+(H74*G74)+(H75*G75)</f>
        <v>0</v>
      </c>
      <c r="I76" s="60">
        <f>SUM(I68:I75)</f>
        <v>0</v>
      </c>
      <c r="J76" s="71"/>
      <c r="K76" s="63"/>
    </row>
    <row r="77" spans="1:11" ht="51" hidden="1" customHeight="1" x14ac:dyDescent="0.25">
      <c r="B77" s="70" t="s">
        <v>326</v>
      </c>
      <c r="C77" s="1781"/>
      <c r="D77" s="1781"/>
      <c r="E77" s="1781"/>
      <c r="F77" s="1781"/>
      <c r="G77" s="1781"/>
      <c r="H77" s="1781"/>
      <c r="I77" s="1782"/>
      <c r="J77" s="1781"/>
      <c r="K77" s="85"/>
    </row>
    <row r="78" spans="1:11" ht="15.75" hidden="1" x14ac:dyDescent="0.25">
      <c r="B78" s="79" t="s">
        <v>325</v>
      </c>
      <c r="C78" s="84"/>
      <c r="D78" s="83"/>
      <c r="E78" s="83"/>
      <c r="F78" s="83"/>
      <c r="G78" s="76">
        <f t="shared" ref="G78:G85" si="6">SUM(D78:F78)</f>
        <v>0</v>
      </c>
      <c r="H78" s="82"/>
      <c r="I78" s="81"/>
      <c r="J78" s="80"/>
      <c r="K78" s="73"/>
    </row>
    <row r="79" spans="1:11" ht="15.75" hidden="1" x14ac:dyDescent="0.25">
      <c r="B79" s="79" t="s">
        <v>324</v>
      </c>
      <c r="C79" s="84"/>
      <c r="D79" s="83"/>
      <c r="E79" s="83"/>
      <c r="F79" s="83"/>
      <c r="G79" s="76">
        <f t="shared" si="6"/>
        <v>0</v>
      </c>
      <c r="H79" s="82"/>
      <c r="I79" s="81"/>
      <c r="J79" s="80"/>
      <c r="K79" s="73"/>
    </row>
    <row r="80" spans="1:11" ht="15.75" hidden="1" x14ac:dyDescent="0.25">
      <c r="B80" s="79" t="s">
        <v>323</v>
      </c>
      <c r="C80" s="84"/>
      <c r="D80" s="83"/>
      <c r="E80" s="83"/>
      <c r="F80" s="83"/>
      <c r="G80" s="76">
        <f t="shared" si="6"/>
        <v>0</v>
      </c>
      <c r="H80" s="82"/>
      <c r="I80" s="81"/>
      <c r="J80" s="80"/>
      <c r="K80" s="73"/>
    </row>
    <row r="81" spans="1:11" ht="15.75" hidden="1" x14ac:dyDescent="0.25">
      <c r="A81" s="5"/>
      <c r="B81" s="79" t="s">
        <v>322</v>
      </c>
      <c r="C81" s="84"/>
      <c r="D81" s="83"/>
      <c r="E81" s="83"/>
      <c r="F81" s="83"/>
      <c r="G81" s="76">
        <f t="shared" si="6"/>
        <v>0</v>
      </c>
      <c r="H81" s="82"/>
      <c r="I81" s="81"/>
      <c r="J81" s="80"/>
      <c r="K81" s="73"/>
    </row>
    <row r="82" spans="1:11" s="5" customFormat="1" ht="15.75" hidden="1" x14ac:dyDescent="0.25">
      <c r="A82" s="2"/>
      <c r="B82" s="79" t="s">
        <v>321</v>
      </c>
      <c r="C82" s="84"/>
      <c r="D82" s="83"/>
      <c r="E82" s="83"/>
      <c r="F82" s="83"/>
      <c r="G82" s="76">
        <f t="shared" si="6"/>
        <v>0</v>
      </c>
      <c r="H82" s="82"/>
      <c r="I82" s="81"/>
      <c r="J82" s="80"/>
      <c r="K82" s="73"/>
    </row>
    <row r="83" spans="1:11" ht="15.75" hidden="1" x14ac:dyDescent="0.25">
      <c r="B83" s="79" t="s">
        <v>320</v>
      </c>
      <c r="C83" s="84"/>
      <c r="D83" s="83"/>
      <c r="E83" s="83"/>
      <c r="F83" s="83"/>
      <c r="G83" s="76">
        <f t="shared" si="6"/>
        <v>0</v>
      </c>
      <c r="H83" s="82"/>
      <c r="I83" s="81"/>
      <c r="J83" s="80"/>
      <c r="K83" s="73"/>
    </row>
    <row r="84" spans="1:11" ht="15.75" hidden="1" x14ac:dyDescent="0.25">
      <c r="B84" s="79" t="s">
        <v>319</v>
      </c>
      <c r="C84" s="78"/>
      <c r="D84" s="77"/>
      <c r="E84" s="77"/>
      <c r="F84" s="77"/>
      <c r="G84" s="76">
        <f t="shared" si="6"/>
        <v>0</v>
      </c>
      <c r="H84" s="75"/>
      <c r="I84" s="74"/>
      <c r="J84" s="71"/>
      <c r="K84" s="73"/>
    </row>
    <row r="85" spans="1:11" ht="15.75" hidden="1" x14ac:dyDescent="0.25">
      <c r="B85" s="79" t="s">
        <v>318</v>
      </c>
      <c r="C85" s="78"/>
      <c r="D85" s="77"/>
      <c r="E85" s="77"/>
      <c r="F85" s="77"/>
      <c r="G85" s="76">
        <f t="shared" si="6"/>
        <v>0</v>
      </c>
      <c r="H85" s="75"/>
      <c r="I85" s="74"/>
      <c r="J85" s="71"/>
      <c r="K85" s="73"/>
    </row>
    <row r="86" spans="1:11" ht="15.75" hidden="1" x14ac:dyDescent="0.25">
      <c r="C86" s="70" t="s">
        <v>234</v>
      </c>
      <c r="D86" s="86">
        <f>SUM(D78:D85)</f>
        <v>0</v>
      </c>
      <c r="E86" s="86">
        <f>SUM(E78:E85)</f>
        <v>0</v>
      </c>
      <c r="F86" s="86">
        <f>SUM(F78:F85)</f>
        <v>0</v>
      </c>
      <c r="G86" s="86">
        <f>SUM(G78:G85)</f>
        <v>0</v>
      </c>
      <c r="H86" s="58">
        <f>(H78*G78)+(H79*G79)+(H80*G80)+(H81*G81)+(H82*G82)+(H83*G83)+(H84*G84)+(H85*G85)</f>
        <v>0</v>
      </c>
      <c r="I86" s="60">
        <f>SUM(I78:I85)</f>
        <v>0</v>
      </c>
      <c r="J86" s="71"/>
      <c r="K86" s="63"/>
    </row>
    <row r="87" spans="1:11" ht="51" hidden="1" customHeight="1" x14ac:dyDescent="0.25">
      <c r="B87" s="70" t="s">
        <v>317</v>
      </c>
      <c r="C87" s="1781"/>
      <c r="D87" s="1781"/>
      <c r="E87" s="1781"/>
      <c r="F87" s="1781"/>
      <c r="G87" s="1781"/>
      <c r="H87" s="1781"/>
      <c r="I87" s="1782"/>
      <c r="J87" s="1781"/>
      <c r="K87" s="85"/>
    </row>
    <row r="88" spans="1:11" ht="15.75" hidden="1" x14ac:dyDescent="0.25">
      <c r="B88" s="79" t="s">
        <v>316</v>
      </c>
      <c r="C88" s="84"/>
      <c r="D88" s="83"/>
      <c r="E88" s="83"/>
      <c r="F88" s="83"/>
      <c r="G88" s="76">
        <f t="shared" ref="G88:G95" si="7">SUM(D88:F88)</f>
        <v>0</v>
      </c>
      <c r="H88" s="82"/>
      <c r="I88" s="81"/>
      <c r="J88" s="80"/>
      <c r="K88" s="73"/>
    </row>
    <row r="89" spans="1:11" ht="15.75" hidden="1" x14ac:dyDescent="0.25">
      <c r="B89" s="79" t="s">
        <v>315</v>
      </c>
      <c r="C89" s="84"/>
      <c r="D89" s="83"/>
      <c r="E89" s="83"/>
      <c r="F89" s="83"/>
      <c r="G89" s="76">
        <f t="shared" si="7"/>
        <v>0</v>
      </c>
      <c r="H89" s="82"/>
      <c r="I89" s="81"/>
      <c r="J89" s="80"/>
      <c r="K89" s="73"/>
    </row>
    <row r="90" spans="1:11" ht="15.75" hidden="1" x14ac:dyDescent="0.25">
      <c r="B90" s="79" t="s">
        <v>314</v>
      </c>
      <c r="C90" s="84"/>
      <c r="D90" s="83"/>
      <c r="E90" s="83"/>
      <c r="F90" s="83"/>
      <c r="G90" s="76">
        <f t="shared" si="7"/>
        <v>0</v>
      </c>
      <c r="H90" s="82"/>
      <c r="I90" s="81"/>
      <c r="J90" s="80"/>
      <c r="K90" s="73"/>
    </row>
    <row r="91" spans="1:11" ht="15.75" hidden="1" x14ac:dyDescent="0.25">
      <c r="B91" s="79" t="s">
        <v>313</v>
      </c>
      <c r="C91" s="84"/>
      <c r="D91" s="83"/>
      <c r="E91" s="83"/>
      <c r="F91" s="83"/>
      <c r="G91" s="76">
        <f t="shared" si="7"/>
        <v>0</v>
      </c>
      <c r="H91" s="82"/>
      <c r="I91" s="81"/>
      <c r="J91" s="80"/>
      <c r="K91" s="73"/>
    </row>
    <row r="92" spans="1:11" ht="15.75" hidden="1" x14ac:dyDescent="0.25">
      <c r="B92" s="79" t="s">
        <v>312</v>
      </c>
      <c r="C92" s="84"/>
      <c r="D92" s="83"/>
      <c r="E92" s="83"/>
      <c r="F92" s="83"/>
      <c r="G92" s="76">
        <f t="shared" si="7"/>
        <v>0</v>
      </c>
      <c r="H92" s="82"/>
      <c r="I92" s="81"/>
      <c r="J92" s="80"/>
      <c r="K92" s="73"/>
    </row>
    <row r="93" spans="1:11" ht="15.75" hidden="1" x14ac:dyDescent="0.25">
      <c r="B93" s="79" t="s">
        <v>311</v>
      </c>
      <c r="C93" s="84"/>
      <c r="D93" s="83"/>
      <c r="E93" s="83"/>
      <c r="F93" s="83"/>
      <c r="G93" s="76">
        <f t="shared" si="7"/>
        <v>0</v>
      </c>
      <c r="H93" s="82"/>
      <c r="I93" s="81"/>
      <c r="J93" s="80"/>
      <c r="K93" s="73"/>
    </row>
    <row r="94" spans="1:11" ht="15.75" hidden="1" x14ac:dyDescent="0.25">
      <c r="B94" s="79" t="s">
        <v>310</v>
      </c>
      <c r="C94" s="78"/>
      <c r="D94" s="77"/>
      <c r="E94" s="77"/>
      <c r="F94" s="77"/>
      <c r="G94" s="76">
        <f t="shared" si="7"/>
        <v>0</v>
      </c>
      <c r="H94" s="75"/>
      <c r="I94" s="74"/>
      <c r="J94" s="71"/>
      <c r="K94" s="73"/>
    </row>
    <row r="95" spans="1:11" ht="15.75" hidden="1" x14ac:dyDescent="0.25">
      <c r="B95" s="79" t="s">
        <v>309</v>
      </c>
      <c r="C95" s="78"/>
      <c r="D95" s="77"/>
      <c r="E95" s="77"/>
      <c r="F95" s="77"/>
      <c r="G95" s="76">
        <f t="shared" si="7"/>
        <v>0</v>
      </c>
      <c r="H95" s="75"/>
      <c r="I95" s="74"/>
      <c r="J95" s="71"/>
      <c r="K95" s="73"/>
    </row>
    <row r="96" spans="1:11" ht="15.75" hidden="1" x14ac:dyDescent="0.25">
      <c r="C96" s="70" t="s">
        <v>234</v>
      </c>
      <c r="D96" s="72">
        <f>SUM(D88:D95)</f>
        <v>0</v>
      </c>
      <c r="E96" s="72">
        <f>SUM(E88:E95)</f>
        <v>0</v>
      </c>
      <c r="F96" s="72">
        <f>SUM(F88:F95)</f>
        <v>0</v>
      </c>
      <c r="G96" s="72">
        <f>SUM(G88:G95)</f>
        <v>0</v>
      </c>
      <c r="H96" s="58">
        <f>(H88*G88)+(H89*G89)+(H90*G90)+(H91*G91)+(H92*G92)+(H93*G93)+(H94*G94)+(H95*G95)</f>
        <v>0</v>
      </c>
      <c r="I96" s="60">
        <f>SUM(I88:I95)</f>
        <v>0</v>
      </c>
      <c r="J96" s="71"/>
      <c r="K96" s="63"/>
    </row>
    <row r="97" spans="2:11" ht="15.75" hidden="1" customHeight="1" x14ac:dyDescent="0.25">
      <c r="B97" s="57"/>
      <c r="C97" s="45"/>
      <c r="D97" s="55"/>
      <c r="E97" s="55"/>
      <c r="F97" s="55"/>
      <c r="G97" s="55"/>
      <c r="H97" s="55"/>
      <c r="I97" s="55"/>
      <c r="J97" s="45"/>
      <c r="K97" s="46"/>
    </row>
    <row r="98" spans="2:11" ht="51" hidden="1" customHeight="1" x14ac:dyDescent="0.25">
      <c r="B98" s="70" t="s">
        <v>308</v>
      </c>
      <c r="C98" s="1790"/>
      <c r="D98" s="1790"/>
      <c r="E98" s="1790"/>
      <c r="F98" s="1790"/>
      <c r="G98" s="1790"/>
      <c r="H98" s="1790"/>
      <c r="I98" s="1791"/>
      <c r="J98" s="1790"/>
      <c r="K98" s="87"/>
    </row>
    <row r="99" spans="2:11" ht="51" hidden="1" customHeight="1" x14ac:dyDescent="0.25">
      <c r="B99" s="70" t="s">
        <v>307</v>
      </c>
      <c r="C99" s="1781"/>
      <c r="D99" s="1781"/>
      <c r="E99" s="1781"/>
      <c r="F99" s="1781"/>
      <c r="G99" s="1781"/>
      <c r="H99" s="1781"/>
      <c r="I99" s="1782"/>
      <c r="J99" s="1781"/>
      <c r="K99" s="85"/>
    </row>
    <row r="100" spans="2:11" ht="15.75" hidden="1" x14ac:dyDescent="0.25">
      <c r="B100" s="79" t="s">
        <v>306</v>
      </c>
      <c r="C100" s="84"/>
      <c r="D100" s="83"/>
      <c r="E100" s="83"/>
      <c r="F100" s="83"/>
      <c r="G100" s="76">
        <f t="shared" ref="G100:G107" si="8">SUM(D100:F100)</f>
        <v>0</v>
      </c>
      <c r="H100" s="82"/>
      <c r="I100" s="81"/>
      <c r="J100" s="80"/>
      <c r="K100" s="73"/>
    </row>
    <row r="101" spans="2:11" ht="15.75" hidden="1" x14ac:dyDescent="0.25">
      <c r="B101" s="79" t="s">
        <v>305</v>
      </c>
      <c r="C101" s="84"/>
      <c r="D101" s="83"/>
      <c r="E101" s="83"/>
      <c r="F101" s="83"/>
      <c r="G101" s="76">
        <f t="shared" si="8"/>
        <v>0</v>
      </c>
      <c r="H101" s="82"/>
      <c r="I101" s="81"/>
      <c r="J101" s="80"/>
      <c r="K101" s="73"/>
    </row>
    <row r="102" spans="2:11" ht="15.75" hidden="1" x14ac:dyDescent="0.25">
      <c r="B102" s="79" t="s">
        <v>304</v>
      </c>
      <c r="C102" s="84"/>
      <c r="D102" s="83"/>
      <c r="E102" s="83"/>
      <c r="F102" s="83"/>
      <c r="G102" s="76">
        <f t="shared" si="8"/>
        <v>0</v>
      </c>
      <c r="H102" s="82"/>
      <c r="I102" s="81"/>
      <c r="J102" s="80"/>
      <c r="K102" s="73"/>
    </row>
    <row r="103" spans="2:11" ht="15.75" hidden="1" x14ac:dyDescent="0.25">
      <c r="B103" s="79" t="s">
        <v>303</v>
      </c>
      <c r="C103" s="84"/>
      <c r="D103" s="83"/>
      <c r="E103" s="83"/>
      <c r="F103" s="83"/>
      <c r="G103" s="76">
        <f t="shared" si="8"/>
        <v>0</v>
      </c>
      <c r="H103" s="82"/>
      <c r="I103" s="81"/>
      <c r="J103" s="80"/>
      <c r="K103" s="73"/>
    </row>
    <row r="104" spans="2:11" ht="15.75" hidden="1" x14ac:dyDescent="0.25">
      <c r="B104" s="79" t="s">
        <v>302</v>
      </c>
      <c r="C104" s="84"/>
      <c r="D104" s="83"/>
      <c r="E104" s="83"/>
      <c r="F104" s="83"/>
      <c r="G104" s="76">
        <f t="shared" si="8"/>
        <v>0</v>
      </c>
      <c r="H104" s="82"/>
      <c r="I104" s="81"/>
      <c r="J104" s="80"/>
      <c r="K104" s="73"/>
    </row>
    <row r="105" spans="2:11" ht="15.75" hidden="1" x14ac:dyDescent="0.25">
      <c r="B105" s="79" t="s">
        <v>301</v>
      </c>
      <c r="C105" s="84"/>
      <c r="D105" s="83"/>
      <c r="E105" s="83"/>
      <c r="F105" s="83"/>
      <c r="G105" s="76">
        <f t="shared" si="8"/>
        <v>0</v>
      </c>
      <c r="H105" s="82"/>
      <c r="I105" s="81"/>
      <c r="J105" s="80"/>
      <c r="K105" s="73"/>
    </row>
    <row r="106" spans="2:11" ht="15.75" hidden="1" x14ac:dyDescent="0.25">
      <c r="B106" s="79" t="s">
        <v>300</v>
      </c>
      <c r="C106" s="78"/>
      <c r="D106" s="77"/>
      <c r="E106" s="77"/>
      <c r="F106" s="77"/>
      <c r="G106" s="76">
        <f t="shared" si="8"/>
        <v>0</v>
      </c>
      <c r="H106" s="75"/>
      <c r="I106" s="74"/>
      <c r="J106" s="71"/>
      <c r="K106" s="73"/>
    </row>
    <row r="107" spans="2:11" ht="15.75" hidden="1" x14ac:dyDescent="0.25">
      <c r="B107" s="79" t="s">
        <v>299</v>
      </c>
      <c r="C107" s="78"/>
      <c r="D107" s="77"/>
      <c r="E107" s="77"/>
      <c r="F107" s="77"/>
      <c r="G107" s="76">
        <f t="shared" si="8"/>
        <v>0</v>
      </c>
      <c r="H107" s="75"/>
      <c r="I107" s="74"/>
      <c r="J107" s="71"/>
      <c r="K107" s="73"/>
    </row>
    <row r="108" spans="2:11" ht="15.75" hidden="1" x14ac:dyDescent="0.25">
      <c r="C108" s="70" t="s">
        <v>234</v>
      </c>
      <c r="D108" s="72">
        <f>SUM(D100:D107)</f>
        <v>0</v>
      </c>
      <c r="E108" s="72">
        <f>SUM(E100:E107)</f>
        <v>0</v>
      </c>
      <c r="F108" s="72">
        <f>SUM(F100:F107)</f>
        <v>0</v>
      </c>
      <c r="G108" s="86">
        <f>SUM(G100:G107)</f>
        <v>0</v>
      </c>
      <c r="H108" s="58">
        <f>(H100*G100)+(H101*G101)+(H102*G102)+(H103*G103)+(H104*G104)+(H105*G105)+(H106*G106)+(H107*G107)</f>
        <v>0</v>
      </c>
      <c r="I108" s="60">
        <f>SUM(I100:I107)</f>
        <v>0</v>
      </c>
      <c r="J108" s="71"/>
      <c r="K108" s="63"/>
    </row>
    <row r="109" spans="2:11" ht="51" hidden="1" customHeight="1" x14ac:dyDescent="0.25">
      <c r="B109" s="70" t="s">
        <v>298</v>
      </c>
      <c r="C109" s="1781"/>
      <c r="D109" s="1781"/>
      <c r="E109" s="1781"/>
      <c r="F109" s="1781"/>
      <c r="G109" s="1781"/>
      <c r="H109" s="1781"/>
      <c r="I109" s="1782"/>
      <c r="J109" s="1781"/>
      <c r="K109" s="85"/>
    </row>
    <row r="110" spans="2:11" ht="15.75" hidden="1" x14ac:dyDescent="0.25">
      <c r="B110" s="79" t="s">
        <v>297</v>
      </c>
      <c r="C110" s="84"/>
      <c r="D110" s="83"/>
      <c r="E110" s="83"/>
      <c r="F110" s="83"/>
      <c r="G110" s="76">
        <f t="shared" ref="G110:G117" si="9">SUM(D110:F110)</f>
        <v>0</v>
      </c>
      <c r="H110" s="82"/>
      <c r="I110" s="81"/>
      <c r="J110" s="80"/>
      <c r="K110" s="73"/>
    </row>
    <row r="111" spans="2:11" ht="15.75" hidden="1" x14ac:dyDescent="0.25">
      <c r="B111" s="79" t="s">
        <v>296</v>
      </c>
      <c r="C111" s="84"/>
      <c r="D111" s="83"/>
      <c r="E111" s="83"/>
      <c r="F111" s="83"/>
      <c r="G111" s="76">
        <f t="shared" si="9"/>
        <v>0</v>
      </c>
      <c r="H111" s="82"/>
      <c r="I111" s="81"/>
      <c r="J111" s="80"/>
      <c r="K111" s="73"/>
    </row>
    <row r="112" spans="2:11" ht="15.75" hidden="1" x14ac:dyDescent="0.25">
      <c r="B112" s="79" t="s">
        <v>295</v>
      </c>
      <c r="C112" s="84"/>
      <c r="D112" s="83"/>
      <c r="E112" s="83"/>
      <c r="F112" s="83"/>
      <c r="G112" s="76">
        <f t="shared" si="9"/>
        <v>0</v>
      </c>
      <c r="H112" s="82"/>
      <c r="I112" s="81"/>
      <c r="J112" s="80"/>
      <c r="K112" s="73"/>
    </row>
    <row r="113" spans="2:11" ht="15.75" hidden="1" x14ac:dyDescent="0.25">
      <c r="B113" s="79" t="s">
        <v>294</v>
      </c>
      <c r="C113" s="84"/>
      <c r="D113" s="83"/>
      <c r="E113" s="83"/>
      <c r="F113" s="83"/>
      <c r="G113" s="76">
        <f t="shared" si="9"/>
        <v>0</v>
      </c>
      <c r="H113" s="82"/>
      <c r="I113" s="81"/>
      <c r="J113" s="80"/>
      <c r="K113" s="73"/>
    </row>
    <row r="114" spans="2:11" ht="15.75" hidden="1" x14ac:dyDescent="0.25">
      <c r="B114" s="79" t="s">
        <v>293</v>
      </c>
      <c r="C114" s="84"/>
      <c r="D114" s="83"/>
      <c r="E114" s="83"/>
      <c r="F114" s="83"/>
      <c r="G114" s="76">
        <f t="shared" si="9"/>
        <v>0</v>
      </c>
      <c r="H114" s="82"/>
      <c r="I114" s="81"/>
      <c r="J114" s="80"/>
      <c r="K114" s="73"/>
    </row>
    <row r="115" spans="2:11" ht="15.75" hidden="1" x14ac:dyDescent="0.25">
      <c r="B115" s="79" t="s">
        <v>292</v>
      </c>
      <c r="C115" s="84"/>
      <c r="D115" s="83"/>
      <c r="E115" s="83"/>
      <c r="F115" s="83"/>
      <c r="G115" s="76">
        <f t="shared" si="9"/>
        <v>0</v>
      </c>
      <c r="H115" s="82"/>
      <c r="I115" s="81"/>
      <c r="J115" s="80"/>
      <c r="K115" s="73"/>
    </row>
    <row r="116" spans="2:11" ht="15.75" hidden="1" x14ac:dyDescent="0.25">
      <c r="B116" s="79" t="s">
        <v>291</v>
      </c>
      <c r="C116" s="78"/>
      <c r="D116" s="77"/>
      <c r="E116" s="77"/>
      <c r="F116" s="77"/>
      <c r="G116" s="76">
        <f t="shared" si="9"/>
        <v>0</v>
      </c>
      <c r="H116" s="75"/>
      <c r="I116" s="74"/>
      <c r="J116" s="71"/>
      <c r="K116" s="73"/>
    </row>
    <row r="117" spans="2:11" ht="15.75" hidden="1" x14ac:dyDescent="0.25">
      <c r="B117" s="79" t="s">
        <v>290</v>
      </c>
      <c r="C117" s="78"/>
      <c r="D117" s="77"/>
      <c r="E117" s="77"/>
      <c r="F117" s="77"/>
      <c r="G117" s="76">
        <f t="shared" si="9"/>
        <v>0</v>
      </c>
      <c r="H117" s="75"/>
      <c r="I117" s="74"/>
      <c r="J117" s="71"/>
      <c r="K117" s="73"/>
    </row>
    <row r="118" spans="2:11" ht="15.75" hidden="1" x14ac:dyDescent="0.25">
      <c r="C118" s="70" t="s">
        <v>234</v>
      </c>
      <c r="D118" s="86">
        <f>SUM(D110:D117)</f>
        <v>0</v>
      </c>
      <c r="E118" s="86">
        <f>SUM(E110:E117)</f>
        <v>0</v>
      </c>
      <c r="F118" s="86">
        <f>SUM(F110:F117)</f>
        <v>0</v>
      </c>
      <c r="G118" s="86">
        <f>SUM(G110:G117)</f>
        <v>0</v>
      </c>
      <c r="H118" s="58">
        <f>(H110*G110)+(H111*G111)+(H112*G112)+(H113*G113)+(H114*G114)+(H115*G115)+(H116*G116)+(H117*G117)</f>
        <v>0</v>
      </c>
      <c r="I118" s="60">
        <f>SUM(I110:I117)</f>
        <v>0</v>
      </c>
      <c r="J118" s="71"/>
      <c r="K118" s="63"/>
    </row>
    <row r="119" spans="2:11" ht="51" hidden="1" customHeight="1" x14ac:dyDescent="0.25">
      <c r="B119" s="70" t="s">
        <v>289</v>
      </c>
      <c r="C119" s="1781"/>
      <c r="D119" s="1781"/>
      <c r="E119" s="1781"/>
      <c r="F119" s="1781"/>
      <c r="G119" s="1781"/>
      <c r="H119" s="1781"/>
      <c r="I119" s="1782"/>
      <c r="J119" s="1781"/>
      <c r="K119" s="85"/>
    </row>
    <row r="120" spans="2:11" ht="15.75" hidden="1" x14ac:dyDescent="0.25">
      <c r="B120" s="79" t="s">
        <v>288</v>
      </c>
      <c r="C120" s="84"/>
      <c r="D120" s="83"/>
      <c r="E120" s="83"/>
      <c r="F120" s="83"/>
      <c r="G120" s="76">
        <f t="shared" ref="G120:G127" si="10">SUM(D120:F120)</f>
        <v>0</v>
      </c>
      <c r="H120" s="82"/>
      <c r="I120" s="81"/>
      <c r="J120" s="80"/>
      <c r="K120" s="73"/>
    </row>
    <row r="121" spans="2:11" ht="15.75" hidden="1" x14ac:dyDescent="0.25">
      <c r="B121" s="79" t="s">
        <v>287</v>
      </c>
      <c r="C121" s="84"/>
      <c r="D121" s="83"/>
      <c r="E121" s="83"/>
      <c r="F121" s="83"/>
      <c r="G121" s="76">
        <f t="shared" si="10"/>
        <v>0</v>
      </c>
      <c r="H121" s="82"/>
      <c r="I121" s="81"/>
      <c r="J121" s="80"/>
      <c r="K121" s="73"/>
    </row>
    <row r="122" spans="2:11" ht="15.75" hidden="1" x14ac:dyDescent="0.25">
      <c r="B122" s="79" t="s">
        <v>286</v>
      </c>
      <c r="C122" s="84"/>
      <c r="D122" s="83"/>
      <c r="E122" s="83"/>
      <c r="F122" s="83"/>
      <c r="G122" s="76">
        <f t="shared" si="10"/>
        <v>0</v>
      </c>
      <c r="H122" s="82"/>
      <c r="I122" s="81"/>
      <c r="J122" s="80"/>
      <c r="K122" s="73"/>
    </row>
    <row r="123" spans="2:11" ht="15.75" hidden="1" x14ac:dyDescent="0.25">
      <c r="B123" s="79" t="s">
        <v>285</v>
      </c>
      <c r="C123" s="84"/>
      <c r="D123" s="83"/>
      <c r="E123" s="83"/>
      <c r="F123" s="83"/>
      <c r="G123" s="76">
        <f t="shared" si="10"/>
        <v>0</v>
      </c>
      <c r="H123" s="82"/>
      <c r="I123" s="81"/>
      <c r="J123" s="80"/>
      <c r="K123" s="73"/>
    </row>
    <row r="124" spans="2:11" ht="15.75" hidden="1" x14ac:dyDescent="0.25">
      <c r="B124" s="79" t="s">
        <v>284</v>
      </c>
      <c r="C124" s="84"/>
      <c r="D124" s="83"/>
      <c r="E124" s="83"/>
      <c r="F124" s="83"/>
      <c r="G124" s="76">
        <f t="shared" si="10"/>
        <v>0</v>
      </c>
      <c r="H124" s="82"/>
      <c r="I124" s="81"/>
      <c r="J124" s="80"/>
      <c r="K124" s="73"/>
    </row>
    <row r="125" spans="2:11" ht="15.75" hidden="1" x14ac:dyDescent="0.25">
      <c r="B125" s="79" t="s">
        <v>283</v>
      </c>
      <c r="C125" s="84"/>
      <c r="D125" s="83"/>
      <c r="E125" s="83"/>
      <c r="F125" s="83"/>
      <c r="G125" s="76">
        <f t="shared" si="10"/>
        <v>0</v>
      </c>
      <c r="H125" s="82"/>
      <c r="I125" s="81"/>
      <c r="J125" s="80"/>
      <c r="K125" s="73"/>
    </row>
    <row r="126" spans="2:11" ht="15.75" hidden="1" x14ac:dyDescent="0.25">
      <c r="B126" s="79" t="s">
        <v>282</v>
      </c>
      <c r="C126" s="78"/>
      <c r="D126" s="77"/>
      <c r="E126" s="77"/>
      <c r="F126" s="77"/>
      <c r="G126" s="76">
        <f t="shared" si="10"/>
        <v>0</v>
      </c>
      <c r="H126" s="75"/>
      <c r="I126" s="74"/>
      <c r="J126" s="71"/>
      <c r="K126" s="73"/>
    </row>
    <row r="127" spans="2:11" ht="15.75" hidden="1" x14ac:dyDescent="0.25">
      <c r="B127" s="79" t="s">
        <v>281</v>
      </c>
      <c r="C127" s="78"/>
      <c r="D127" s="77"/>
      <c r="E127" s="77"/>
      <c r="F127" s="77"/>
      <c r="G127" s="76">
        <f t="shared" si="10"/>
        <v>0</v>
      </c>
      <c r="H127" s="75"/>
      <c r="I127" s="74"/>
      <c r="J127" s="71"/>
      <c r="K127" s="73"/>
    </row>
    <row r="128" spans="2:11" ht="15.75" hidden="1" x14ac:dyDescent="0.25">
      <c r="C128" s="70" t="s">
        <v>234</v>
      </c>
      <c r="D128" s="86">
        <f>SUM(D120:D127)</f>
        <v>0</v>
      </c>
      <c r="E128" s="86">
        <f>SUM(E120:E127)</f>
        <v>0</v>
      </c>
      <c r="F128" s="86">
        <f>SUM(F120:F127)</f>
        <v>0</v>
      </c>
      <c r="G128" s="86">
        <f>SUM(G120:G127)</f>
        <v>0</v>
      </c>
      <c r="H128" s="58">
        <f>(H120*G120)+(H121*G121)+(H122*G122)+(H123*G123)+(H124*G124)+(H125*G125)+(H126*G126)+(H127*G127)</f>
        <v>0</v>
      </c>
      <c r="I128" s="60">
        <f>SUM(I120:I127)</f>
        <v>0</v>
      </c>
      <c r="J128" s="71"/>
      <c r="K128" s="63"/>
    </row>
    <row r="129" spans="2:11" ht="51" hidden="1" customHeight="1" x14ac:dyDescent="0.25">
      <c r="B129" s="70" t="s">
        <v>280</v>
      </c>
      <c r="C129" s="1781"/>
      <c r="D129" s="1781"/>
      <c r="E129" s="1781"/>
      <c r="F129" s="1781"/>
      <c r="G129" s="1781"/>
      <c r="H129" s="1781"/>
      <c r="I129" s="1782"/>
      <c r="J129" s="1781"/>
      <c r="K129" s="85"/>
    </row>
    <row r="130" spans="2:11" ht="15.75" hidden="1" x14ac:dyDescent="0.25">
      <c r="B130" s="79" t="s">
        <v>279</v>
      </c>
      <c r="C130" s="84"/>
      <c r="D130" s="83"/>
      <c r="E130" s="83"/>
      <c r="F130" s="83"/>
      <c r="G130" s="76">
        <f t="shared" ref="G130:G137" si="11">SUM(D130:F130)</f>
        <v>0</v>
      </c>
      <c r="H130" s="82"/>
      <c r="I130" s="81"/>
      <c r="J130" s="80"/>
      <c r="K130" s="73"/>
    </row>
    <row r="131" spans="2:11" ht="15.75" hidden="1" x14ac:dyDescent="0.25">
      <c r="B131" s="79" t="s">
        <v>278</v>
      </c>
      <c r="C131" s="84"/>
      <c r="D131" s="83"/>
      <c r="E131" s="83"/>
      <c r="F131" s="83"/>
      <c r="G131" s="76">
        <f t="shared" si="11"/>
        <v>0</v>
      </c>
      <c r="H131" s="82"/>
      <c r="I131" s="81"/>
      <c r="J131" s="80"/>
      <c r="K131" s="73"/>
    </row>
    <row r="132" spans="2:11" ht="15.75" hidden="1" x14ac:dyDescent="0.25">
      <c r="B132" s="79" t="s">
        <v>277</v>
      </c>
      <c r="C132" s="84"/>
      <c r="D132" s="83"/>
      <c r="E132" s="83"/>
      <c r="F132" s="83"/>
      <c r="G132" s="76">
        <f t="shared" si="11"/>
        <v>0</v>
      </c>
      <c r="H132" s="82"/>
      <c r="I132" s="81"/>
      <c r="J132" s="80"/>
      <c r="K132" s="73"/>
    </row>
    <row r="133" spans="2:11" ht="15.75" hidden="1" x14ac:dyDescent="0.25">
      <c r="B133" s="79" t="s">
        <v>276</v>
      </c>
      <c r="C133" s="84"/>
      <c r="D133" s="83"/>
      <c r="E133" s="83"/>
      <c r="F133" s="83"/>
      <c r="G133" s="76">
        <f t="shared" si="11"/>
        <v>0</v>
      </c>
      <c r="H133" s="82"/>
      <c r="I133" s="81"/>
      <c r="J133" s="80"/>
      <c r="K133" s="73"/>
    </row>
    <row r="134" spans="2:11" ht="15.75" hidden="1" x14ac:dyDescent="0.25">
      <c r="B134" s="79" t="s">
        <v>275</v>
      </c>
      <c r="C134" s="84"/>
      <c r="D134" s="83"/>
      <c r="E134" s="83"/>
      <c r="F134" s="83"/>
      <c r="G134" s="76">
        <f t="shared" si="11"/>
        <v>0</v>
      </c>
      <c r="H134" s="82"/>
      <c r="I134" s="81"/>
      <c r="J134" s="80"/>
      <c r="K134" s="73"/>
    </row>
    <row r="135" spans="2:11" ht="15.75" hidden="1" x14ac:dyDescent="0.25">
      <c r="B135" s="79" t="s">
        <v>274</v>
      </c>
      <c r="C135" s="84"/>
      <c r="D135" s="83"/>
      <c r="E135" s="83"/>
      <c r="F135" s="83"/>
      <c r="G135" s="76">
        <f t="shared" si="11"/>
        <v>0</v>
      </c>
      <c r="H135" s="82"/>
      <c r="I135" s="81"/>
      <c r="J135" s="80"/>
      <c r="K135" s="73"/>
    </row>
    <row r="136" spans="2:11" ht="15.75" hidden="1" x14ac:dyDescent="0.25">
      <c r="B136" s="79" t="s">
        <v>273</v>
      </c>
      <c r="C136" s="78"/>
      <c r="D136" s="77"/>
      <c r="E136" s="77"/>
      <c r="F136" s="77"/>
      <c r="G136" s="76">
        <f t="shared" si="11"/>
        <v>0</v>
      </c>
      <c r="H136" s="75"/>
      <c r="I136" s="74"/>
      <c r="J136" s="71"/>
      <c r="K136" s="73"/>
    </row>
    <row r="137" spans="2:11" ht="15.75" hidden="1" x14ac:dyDescent="0.25">
      <c r="B137" s="79" t="s">
        <v>272</v>
      </c>
      <c r="C137" s="78"/>
      <c r="D137" s="77"/>
      <c r="E137" s="77"/>
      <c r="F137" s="77"/>
      <c r="G137" s="76">
        <f t="shared" si="11"/>
        <v>0</v>
      </c>
      <c r="H137" s="75"/>
      <c r="I137" s="74"/>
      <c r="J137" s="71"/>
      <c r="K137" s="73"/>
    </row>
    <row r="138" spans="2:11" ht="15.75" hidden="1" x14ac:dyDescent="0.25">
      <c r="C138" s="70" t="s">
        <v>234</v>
      </c>
      <c r="D138" s="72">
        <f>SUM(D130:D137)</f>
        <v>0</v>
      </c>
      <c r="E138" s="72">
        <f>SUM(E130:E137)</f>
        <v>0</v>
      </c>
      <c r="F138" s="72">
        <f>SUM(F130:F137)</f>
        <v>0</v>
      </c>
      <c r="G138" s="72">
        <f>SUM(G130:G137)</f>
        <v>0</v>
      </c>
      <c r="H138" s="58">
        <f>(H130*G130)+(H131*G131)+(H132*G132)+(H133*G133)+(H134*G134)+(H135*G135)+(H136*G136)+(H137*G137)</f>
        <v>0</v>
      </c>
      <c r="I138" s="60">
        <f>SUM(I130:I137)</f>
        <v>0</v>
      </c>
      <c r="J138" s="71"/>
      <c r="K138" s="63"/>
    </row>
    <row r="139" spans="2:11" ht="15.75" hidden="1" customHeight="1" x14ac:dyDescent="0.25">
      <c r="B139" s="57"/>
      <c r="C139" s="45"/>
      <c r="D139" s="55"/>
      <c r="E139" s="55"/>
      <c r="F139" s="55"/>
      <c r="G139" s="55"/>
      <c r="H139" s="55"/>
      <c r="I139" s="55"/>
      <c r="J139" s="88"/>
      <c r="K139" s="46"/>
    </row>
    <row r="140" spans="2:11" ht="51" hidden="1" customHeight="1" x14ac:dyDescent="0.25">
      <c r="B140" s="70" t="s">
        <v>271</v>
      </c>
      <c r="C140" s="1790"/>
      <c r="D140" s="1790"/>
      <c r="E140" s="1790"/>
      <c r="F140" s="1790"/>
      <c r="G140" s="1790"/>
      <c r="H140" s="1790"/>
      <c r="I140" s="1791"/>
      <c r="J140" s="1790"/>
      <c r="K140" s="87"/>
    </row>
    <row r="141" spans="2:11" ht="51" hidden="1" customHeight="1" x14ac:dyDescent="0.25">
      <c r="B141" s="70" t="s">
        <v>270</v>
      </c>
      <c r="C141" s="1781"/>
      <c r="D141" s="1781"/>
      <c r="E141" s="1781"/>
      <c r="F141" s="1781"/>
      <c r="G141" s="1781"/>
      <c r="H141" s="1781"/>
      <c r="I141" s="1782"/>
      <c r="J141" s="1781"/>
      <c r="K141" s="85"/>
    </row>
    <row r="142" spans="2:11" ht="15.75" hidden="1" x14ac:dyDescent="0.25">
      <c r="B142" s="79" t="s">
        <v>269</v>
      </c>
      <c r="C142" s="84"/>
      <c r="D142" s="83"/>
      <c r="E142" s="83"/>
      <c r="F142" s="83"/>
      <c r="G142" s="76">
        <f t="shared" ref="G142:G149" si="12">SUM(D142:F142)</f>
        <v>0</v>
      </c>
      <c r="H142" s="82"/>
      <c r="I142" s="81"/>
      <c r="J142" s="80"/>
      <c r="K142" s="73"/>
    </row>
    <row r="143" spans="2:11" ht="15.75" hidden="1" x14ac:dyDescent="0.25">
      <c r="B143" s="79" t="s">
        <v>268</v>
      </c>
      <c r="C143" s="84"/>
      <c r="D143" s="83"/>
      <c r="E143" s="83"/>
      <c r="F143" s="83"/>
      <c r="G143" s="76">
        <f t="shared" si="12"/>
        <v>0</v>
      </c>
      <c r="H143" s="82"/>
      <c r="I143" s="81"/>
      <c r="J143" s="80"/>
      <c r="K143" s="73"/>
    </row>
    <row r="144" spans="2:11" ht="15.75" hidden="1" x14ac:dyDescent="0.25">
      <c r="B144" s="79" t="s">
        <v>267</v>
      </c>
      <c r="C144" s="84"/>
      <c r="D144" s="83"/>
      <c r="E144" s="83"/>
      <c r="F144" s="83"/>
      <c r="G144" s="76">
        <f t="shared" si="12"/>
        <v>0</v>
      </c>
      <c r="H144" s="82"/>
      <c r="I144" s="81"/>
      <c r="J144" s="80"/>
      <c r="K144" s="73"/>
    </row>
    <row r="145" spans="2:11" ht="15.75" hidden="1" x14ac:dyDescent="0.25">
      <c r="B145" s="79" t="s">
        <v>266</v>
      </c>
      <c r="C145" s="84"/>
      <c r="D145" s="83"/>
      <c r="E145" s="83"/>
      <c r="F145" s="83"/>
      <c r="G145" s="76">
        <f t="shared" si="12"/>
        <v>0</v>
      </c>
      <c r="H145" s="82"/>
      <c r="I145" s="81"/>
      <c r="J145" s="80"/>
      <c r="K145" s="73"/>
    </row>
    <row r="146" spans="2:11" ht="15.75" hidden="1" x14ac:dyDescent="0.25">
      <c r="B146" s="79" t="s">
        <v>265</v>
      </c>
      <c r="C146" s="84"/>
      <c r="D146" s="83"/>
      <c r="E146" s="83"/>
      <c r="F146" s="83"/>
      <c r="G146" s="76">
        <f t="shared" si="12"/>
        <v>0</v>
      </c>
      <c r="H146" s="82"/>
      <c r="I146" s="81"/>
      <c r="J146" s="80"/>
      <c r="K146" s="73"/>
    </row>
    <row r="147" spans="2:11" ht="15.75" hidden="1" x14ac:dyDescent="0.25">
      <c r="B147" s="79" t="s">
        <v>264</v>
      </c>
      <c r="C147" s="84"/>
      <c r="D147" s="83"/>
      <c r="E147" s="83"/>
      <c r="F147" s="83"/>
      <c r="G147" s="76">
        <f t="shared" si="12"/>
        <v>0</v>
      </c>
      <c r="H147" s="82"/>
      <c r="I147" s="81"/>
      <c r="J147" s="80"/>
      <c r="K147" s="73"/>
    </row>
    <row r="148" spans="2:11" ht="15.75" hidden="1" x14ac:dyDescent="0.25">
      <c r="B148" s="79" t="s">
        <v>263</v>
      </c>
      <c r="C148" s="78"/>
      <c r="D148" s="77"/>
      <c r="E148" s="77"/>
      <c r="F148" s="77"/>
      <c r="G148" s="76">
        <f t="shared" si="12"/>
        <v>0</v>
      </c>
      <c r="H148" s="75"/>
      <c r="I148" s="74"/>
      <c r="J148" s="71"/>
      <c r="K148" s="73"/>
    </row>
    <row r="149" spans="2:11" ht="15.75" hidden="1" x14ac:dyDescent="0.25">
      <c r="B149" s="79" t="s">
        <v>262</v>
      </c>
      <c r="C149" s="78"/>
      <c r="D149" s="77"/>
      <c r="E149" s="77"/>
      <c r="F149" s="77"/>
      <c r="G149" s="76">
        <f t="shared" si="12"/>
        <v>0</v>
      </c>
      <c r="H149" s="75"/>
      <c r="I149" s="74"/>
      <c r="J149" s="71"/>
      <c r="K149" s="73"/>
    </row>
    <row r="150" spans="2:11" ht="15.75" hidden="1" x14ac:dyDescent="0.25">
      <c r="C150" s="70" t="s">
        <v>234</v>
      </c>
      <c r="D150" s="72">
        <f>SUM(D142:D149)</f>
        <v>0</v>
      </c>
      <c r="E150" s="72">
        <f>SUM(E142:E149)</f>
        <v>0</v>
      </c>
      <c r="F150" s="72">
        <f>SUM(F142:F149)</f>
        <v>0</v>
      </c>
      <c r="G150" s="86">
        <f>SUM(G142:G149)</f>
        <v>0</v>
      </c>
      <c r="H150" s="58">
        <f>(H142*G142)+(H143*G143)+(H144*G144)+(H145*G145)+(H146*G146)+(H147*G147)+(H148*G148)+(H149*G149)</f>
        <v>0</v>
      </c>
      <c r="I150" s="60">
        <f>SUM(I142:I149)</f>
        <v>0</v>
      </c>
      <c r="J150" s="71"/>
      <c r="K150" s="63"/>
    </row>
    <row r="151" spans="2:11" ht="51" hidden="1" customHeight="1" x14ac:dyDescent="0.25">
      <c r="B151" s="70" t="s">
        <v>261</v>
      </c>
      <c r="C151" s="1781"/>
      <c r="D151" s="1781"/>
      <c r="E151" s="1781"/>
      <c r="F151" s="1781"/>
      <c r="G151" s="1781"/>
      <c r="H151" s="1781"/>
      <c r="I151" s="1782"/>
      <c r="J151" s="1781"/>
      <c r="K151" s="85"/>
    </row>
    <row r="152" spans="2:11" ht="15.75" hidden="1" x14ac:dyDescent="0.25">
      <c r="B152" s="79" t="s">
        <v>260</v>
      </c>
      <c r="C152" s="84"/>
      <c r="D152" s="83"/>
      <c r="E152" s="83"/>
      <c r="F152" s="83"/>
      <c r="G152" s="76">
        <f t="shared" ref="G152:G159" si="13">SUM(D152:F152)</f>
        <v>0</v>
      </c>
      <c r="H152" s="82"/>
      <c r="I152" s="81"/>
      <c r="J152" s="80"/>
      <c r="K152" s="73"/>
    </row>
    <row r="153" spans="2:11" ht="15.75" hidden="1" x14ac:dyDescent="0.25">
      <c r="B153" s="79" t="s">
        <v>259</v>
      </c>
      <c r="C153" s="84"/>
      <c r="D153" s="83"/>
      <c r="E153" s="83"/>
      <c r="F153" s="83"/>
      <c r="G153" s="76">
        <f t="shared" si="13"/>
        <v>0</v>
      </c>
      <c r="H153" s="82"/>
      <c r="I153" s="81"/>
      <c r="J153" s="80"/>
      <c r="K153" s="73"/>
    </row>
    <row r="154" spans="2:11" ht="15.75" hidden="1" x14ac:dyDescent="0.25">
      <c r="B154" s="79" t="s">
        <v>258</v>
      </c>
      <c r="C154" s="84"/>
      <c r="D154" s="83"/>
      <c r="E154" s="83"/>
      <c r="F154" s="83"/>
      <c r="G154" s="76">
        <f t="shared" si="13"/>
        <v>0</v>
      </c>
      <c r="H154" s="82"/>
      <c r="I154" s="81"/>
      <c r="J154" s="80"/>
      <c r="K154" s="73"/>
    </row>
    <row r="155" spans="2:11" ht="15.75" hidden="1" x14ac:dyDescent="0.25">
      <c r="B155" s="79" t="s">
        <v>257</v>
      </c>
      <c r="C155" s="84"/>
      <c r="D155" s="83"/>
      <c r="E155" s="83"/>
      <c r="F155" s="83"/>
      <c r="G155" s="76">
        <f t="shared" si="13"/>
        <v>0</v>
      </c>
      <c r="H155" s="82"/>
      <c r="I155" s="81"/>
      <c r="J155" s="80"/>
      <c r="K155" s="73"/>
    </row>
    <row r="156" spans="2:11" ht="15.75" hidden="1" x14ac:dyDescent="0.25">
      <c r="B156" s="79" t="s">
        <v>256</v>
      </c>
      <c r="C156" s="84"/>
      <c r="D156" s="83"/>
      <c r="E156" s="83"/>
      <c r="F156" s="83"/>
      <c r="G156" s="76">
        <f t="shared" si="13"/>
        <v>0</v>
      </c>
      <c r="H156" s="82"/>
      <c r="I156" s="81"/>
      <c r="J156" s="80"/>
      <c r="K156" s="73"/>
    </row>
    <row r="157" spans="2:11" ht="15.75" hidden="1" x14ac:dyDescent="0.25">
      <c r="B157" s="79" t="s">
        <v>255</v>
      </c>
      <c r="C157" s="84"/>
      <c r="D157" s="83"/>
      <c r="E157" s="83"/>
      <c r="F157" s="83"/>
      <c r="G157" s="76">
        <f t="shared" si="13"/>
        <v>0</v>
      </c>
      <c r="H157" s="82"/>
      <c r="I157" s="81"/>
      <c r="J157" s="80"/>
      <c r="K157" s="73"/>
    </row>
    <row r="158" spans="2:11" ht="15.75" hidden="1" x14ac:dyDescent="0.25">
      <c r="B158" s="79" t="s">
        <v>254</v>
      </c>
      <c r="C158" s="78"/>
      <c r="D158" s="77"/>
      <c r="E158" s="77"/>
      <c r="F158" s="77"/>
      <c r="G158" s="76">
        <f t="shared" si="13"/>
        <v>0</v>
      </c>
      <c r="H158" s="75"/>
      <c r="I158" s="74"/>
      <c r="J158" s="71"/>
      <c r="K158" s="73"/>
    </row>
    <row r="159" spans="2:11" ht="15.75" hidden="1" x14ac:dyDescent="0.25">
      <c r="B159" s="79" t="s">
        <v>253</v>
      </c>
      <c r="C159" s="78"/>
      <c r="D159" s="77"/>
      <c r="E159" s="77"/>
      <c r="F159" s="77"/>
      <c r="G159" s="76">
        <f t="shared" si="13"/>
        <v>0</v>
      </c>
      <c r="H159" s="75"/>
      <c r="I159" s="74"/>
      <c r="J159" s="71"/>
      <c r="K159" s="73"/>
    </row>
    <row r="160" spans="2:11" ht="15.75" hidden="1" x14ac:dyDescent="0.25">
      <c r="C160" s="70" t="s">
        <v>234</v>
      </c>
      <c r="D160" s="86">
        <f>SUM(D152:D159)</f>
        <v>0</v>
      </c>
      <c r="E160" s="86">
        <f>SUM(E152:E159)</f>
        <v>0</v>
      </c>
      <c r="F160" s="86">
        <f>SUM(F152:F159)</f>
        <v>0</v>
      </c>
      <c r="G160" s="86">
        <f>SUM(G152:G159)</f>
        <v>0</v>
      </c>
      <c r="H160" s="58">
        <f>(H152*G152)+(H153*G153)+(H154*G154)+(H155*G155)+(H156*G156)+(H157*G157)+(H158*G158)+(H159*G159)</f>
        <v>0</v>
      </c>
      <c r="I160" s="60">
        <f>SUM(I152:I159)</f>
        <v>0</v>
      </c>
      <c r="J160" s="71"/>
      <c r="K160" s="63"/>
    </row>
    <row r="161" spans="2:11" ht="51" hidden="1" customHeight="1" x14ac:dyDescent="0.25">
      <c r="B161" s="70" t="s">
        <v>252</v>
      </c>
      <c r="C161" s="1781"/>
      <c r="D161" s="1781"/>
      <c r="E161" s="1781"/>
      <c r="F161" s="1781"/>
      <c r="G161" s="1781"/>
      <c r="H161" s="1781"/>
      <c r="I161" s="1782"/>
      <c r="J161" s="1781"/>
      <c r="K161" s="85"/>
    </row>
    <row r="162" spans="2:11" ht="15.75" hidden="1" x14ac:dyDescent="0.25">
      <c r="B162" s="79" t="s">
        <v>251</v>
      </c>
      <c r="C162" s="84"/>
      <c r="D162" s="83"/>
      <c r="E162" s="83"/>
      <c r="F162" s="83"/>
      <c r="G162" s="76">
        <f t="shared" ref="G162:G169" si="14">SUM(D162:F162)</f>
        <v>0</v>
      </c>
      <c r="H162" s="82"/>
      <c r="I162" s="81"/>
      <c r="J162" s="80"/>
      <c r="K162" s="73"/>
    </row>
    <row r="163" spans="2:11" ht="15.75" hidden="1" x14ac:dyDescent="0.25">
      <c r="B163" s="79" t="s">
        <v>250</v>
      </c>
      <c r="C163" s="84"/>
      <c r="D163" s="83"/>
      <c r="E163" s="83"/>
      <c r="F163" s="83"/>
      <c r="G163" s="76">
        <f t="shared" si="14"/>
        <v>0</v>
      </c>
      <c r="H163" s="82"/>
      <c r="I163" s="81"/>
      <c r="J163" s="80"/>
      <c r="K163" s="73"/>
    </row>
    <row r="164" spans="2:11" ht="15.75" hidden="1" x14ac:dyDescent="0.25">
      <c r="B164" s="79" t="s">
        <v>249</v>
      </c>
      <c r="C164" s="84"/>
      <c r="D164" s="83"/>
      <c r="E164" s="83"/>
      <c r="F164" s="83"/>
      <c r="G164" s="76">
        <f t="shared" si="14"/>
        <v>0</v>
      </c>
      <c r="H164" s="82"/>
      <c r="I164" s="81"/>
      <c r="J164" s="80"/>
      <c r="K164" s="73"/>
    </row>
    <row r="165" spans="2:11" ht="15.75" hidden="1" x14ac:dyDescent="0.25">
      <c r="B165" s="79" t="s">
        <v>248</v>
      </c>
      <c r="C165" s="84"/>
      <c r="D165" s="83"/>
      <c r="E165" s="83"/>
      <c r="F165" s="83"/>
      <c r="G165" s="76">
        <f t="shared" si="14"/>
        <v>0</v>
      </c>
      <c r="H165" s="82"/>
      <c r="I165" s="81"/>
      <c r="J165" s="80"/>
      <c r="K165" s="73"/>
    </row>
    <row r="166" spans="2:11" ht="15.75" hidden="1" x14ac:dyDescent="0.25">
      <c r="B166" s="79" t="s">
        <v>247</v>
      </c>
      <c r="C166" s="84"/>
      <c r="D166" s="83"/>
      <c r="E166" s="83"/>
      <c r="F166" s="83"/>
      <c r="G166" s="76">
        <f t="shared" si="14"/>
        <v>0</v>
      </c>
      <c r="H166" s="82"/>
      <c r="I166" s="81"/>
      <c r="J166" s="80"/>
      <c r="K166" s="73"/>
    </row>
    <row r="167" spans="2:11" ht="15.75" hidden="1" x14ac:dyDescent="0.25">
      <c r="B167" s="79" t="s">
        <v>246</v>
      </c>
      <c r="C167" s="84"/>
      <c r="D167" s="83"/>
      <c r="E167" s="83"/>
      <c r="F167" s="83"/>
      <c r="G167" s="76">
        <f t="shared" si="14"/>
        <v>0</v>
      </c>
      <c r="H167" s="82"/>
      <c r="I167" s="81"/>
      <c r="J167" s="80"/>
      <c r="K167" s="73"/>
    </row>
    <row r="168" spans="2:11" ht="15.75" hidden="1" x14ac:dyDescent="0.25">
      <c r="B168" s="79" t="s">
        <v>245</v>
      </c>
      <c r="C168" s="78"/>
      <c r="D168" s="77"/>
      <c r="E168" s="77"/>
      <c r="F168" s="77"/>
      <c r="G168" s="76">
        <f t="shared" si="14"/>
        <v>0</v>
      </c>
      <c r="H168" s="75"/>
      <c r="I168" s="74"/>
      <c r="J168" s="71"/>
      <c r="K168" s="73"/>
    </row>
    <row r="169" spans="2:11" ht="15.75" hidden="1" x14ac:dyDescent="0.25">
      <c r="B169" s="79" t="s">
        <v>244</v>
      </c>
      <c r="C169" s="78"/>
      <c r="D169" s="77"/>
      <c r="E169" s="77"/>
      <c r="F169" s="77"/>
      <c r="G169" s="76">
        <f t="shared" si="14"/>
        <v>0</v>
      </c>
      <c r="H169" s="75"/>
      <c r="I169" s="74"/>
      <c r="J169" s="71"/>
      <c r="K169" s="73"/>
    </row>
    <row r="170" spans="2:11" ht="15.75" hidden="1" x14ac:dyDescent="0.25">
      <c r="C170" s="70" t="s">
        <v>234</v>
      </c>
      <c r="D170" s="86">
        <f>SUM(D162:D169)</f>
        <v>0</v>
      </c>
      <c r="E170" s="86">
        <f>SUM(E162:E169)</f>
        <v>0</v>
      </c>
      <c r="F170" s="86">
        <f>SUM(F162:F169)</f>
        <v>0</v>
      </c>
      <c r="G170" s="86">
        <f>SUM(G162:G169)</f>
        <v>0</v>
      </c>
      <c r="H170" s="58">
        <f>(H162*G162)+(H163*G163)+(H164*G164)+(H165*G165)+(H166*G166)+(H167*G167)+(H168*G168)+(H169*G169)</f>
        <v>0</v>
      </c>
      <c r="I170" s="60">
        <f>SUM(I162:I169)</f>
        <v>0</v>
      </c>
      <c r="J170" s="71"/>
      <c r="K170" s="63"/>
    </row>
    <row r="171" spans="2:11" ht="51" hidden="1" customHeight="1" x14ac:dyDescent="0.25">
      <c r="B171" s="70" t="s">
        <v>243</v>
      </c>
      <c r="C171" s="1781"/>
      <c r="D171" s="1781"/>
      <c r="E171" s="1781"/>
      <c r="F171" s="1781"/>
      <c r="G171" s="1781"/>
      <c r="H171" s="1781"/>
      <c r="I171" s="1782"/>
      <c r="J171" s="1781"/>
      <c r="K171" s="85"/>
    </row>
    <row r="172" spans="2:11" ht="15.75" hidden="1" x14ac:dyDescent="0.25">
      <c r="B172" s="79" t="s">
        <v>242</v>
      </c>
      <c r="C172" s="84"/>
      <c r="D172" s="83"/>
      <c r="E172" s="83"/>
      <c r="F172" s="83"/>
      <c r="G172" s="76">
        <f t="shared" ref="G172:G179" si="15">SUM(D172:F172)</f>
        <v>0</v>
      </c>
      <c r="H172" s="82"/>
      <c r="I172" s="81"/>
      <c r="J172" s="80"/>
      <c r="K172" s="73"/>
    </row>
    <row r="173" spans="2:11" ht="15.75" hidden="1" x14ac:dyDescent="0.25">
      <c r="B173" s="79" t="s">
        <v>241</v>
      </c>
      <c r="C173" s="84"/>
      <c r="D173" s="83"/>
      <c r="E173" s="83"/>
      <c r="F173" s="83"/>
      <c r="G173" s="76">
        <f t="shared" si="15"/>
        <v>0</v>
      </c>
      <c r="H173" s="82"/>
      <c r="I173" s="81"/>
      <c r="J173" s="80"/>
      <c r="K173" s="73"/>
    </row>
    <row r="174" spans="2:11" ht="15.75" hidden="1" x14ac:dyDescent="0.25">
      <c r="B174" s="79" t="s">
        <v>240</v>
      </c>
      <c r="C174" s="84"/>
      <c r="D174" s="83"/>
      <c r="E174" s="83"/>
      <c r="F174" s="83"/>
      <c r="G174" s="76">
        <f t="shared" si="15"/>
        <v>0</v>
      </c>
      <c r="H174" s="82"/>
      <c r="I174" s="81"/>
      <c r="J174" s="80"/>
      <c r="K174" s="73"/>
    </row>
    <row r="175" spans="2:11" ht="15.75" hidden="1" x14ac:dyDescent="0.25">
      <c r="B175" s="79" t="s">
        <v>239</v>
      </c>
      <c r="C175" s="84"/>
      <c r="D175" s="83"/>
      <c r="E175" s="83"/>
      <c r="F175" s="83"/>
      <c r="G175" s="76">
        <f t="shared" si="15"/>
        <v>0</v>
      </c>
      <c r="H175" s="82"/>
      <c r="I175" s="81"/>
      <c r="J175" s="80"/>
      <c r="K175" s="73"/>
    </row>
    <row r="176" spans="2:11" ht="15.75" hidden="1" x14ac:dyDescent="0.25">
      <c r="B176" s="79" t="s">
        <v>238</v>
      </c>
      <c r="C176" s="84"/>
      <c r="D176" s="83"/>
      <c r="E176" s="83"/>
      <c r="F176" s="83"/>
      <c r="G176" s="76">
        <f t="shared" si="15"/>
        <v>0</v>
      </c>
      <c r="H176" s="82"/>
      <c r="I176" s="81"/>
      <c r="J176" s="80"/>
      <c r="K176" s="73"/>
    </row>
    <row r="177" spans="2:11" ht="15.75" hidden="1" x14ac:dyDescent="0.25">
      <c r="B177" s="79" t="s">
        <v>237</v>
      </c>
      <c r="C177" s="84"/>
      <c r="D177" s="83"/>
      <c r="E177" s="83"/>
      <c r="F177" s="83"/>
      <c r="G177" s="76">
        <f t="shared" si="15"/>
        <v>0</v>
      </c>
      <c r="H177" s="82"/>
      <c r="I177" s="81"/>
      <c r="J177" s="80"/>
      <c r="K177" s="73"/>
    </row>
    <row r="178" spans="2:11" ht="15.75" hidden="1" x14ac:dyDescent="0.25">
      <c r="B178" s="79" t="s">
        <v>236</v>
      </c>
      <c r="C178" s="78"/>
      <c r="D178" s="77"/>
      <c r="E178" s="77"/>
      <c r="F178" s="77"/>
      <c r="G178" s="76">
        <f t="shared" si="15"/>
        <v>0</v>
      </c>
      <c r="H178" s="75"/>
      <c r="I178" s="74"/>
      <c r="J178" s="71"/>
      <c r="K178" s="73"/>
    </row>
    <row r="179" spans="2:11" ht="15.75" hidden="1" x14ac:dyDescent="0.25">
      <c r="B179" s="79" t="s">
        <v>235</v>
      </c>
      <c r="C179" s="78"/>
      <c r="D179" s="77"/>
      <c r="E179" s="77"/>
      <c r="F179" s="77"/>
      <c r="G179" s="76">
        <f t="shared" si="15"/>
        <v>0</v>
      </c>
      <c r="H179" s="75"/>
      <c r="I179" s="74"/>
      <c r="J179" s="71"/>
      <c r="K179" s="73"/>
    </row>
    <row r="180" spans="2:11" ht="15.75" hidden="1" x14ac:dyDescent="0.25">
      <c r="C180" s="70" t="s">
        <v>234</v>
      </c>
      <c r="D180" s="72">
        <f>SUM(D172:D179)</f>
        <v>0</v>
      </c>
      <c r="E180" s="72">
        <f>SUM(E172:E179)</f>
        <v>0</v>
      </c>
      <c r="F180" s="72">
        <f>SUM(F172:F179)</f>
        <v>0</v>
      </c>
      <c r="G180" s="72">
        <f>SUM(G172:G179)</f>
        <v>0</v>
      </c>
      <c r="H180" s="58">
        <f>(H172*G172)+(H173*G173)+(H174*G174)+(H175*G175)+(H176*G176)+(H177*G177)+(H178*G178)+(H179*G179)</f>
        <v>0</v>
      </c>
      <c r="I180" s="60">
        <f>SUM(I172:I179)</f>
        <v>0</v>
      </c>
      <c r="J180" s="71"/>
      <c r="K180" s="63"/>
    </row>
    <row r="181" spans="2:11" ht="9.75" customHeight="1" x14ac:dyDescent="0.25">
      <c r="B181" s="57"/>
      <c r="C181" s="45"/>
      <c r="D181" s="55"/>
      <c r="E181" s="55"/>
      <c r="F181" s="55"/>
      <c r="G181" s="55"/>
      <c r="H181" s="55"/>
      <c r="I181" s="55"/>
      <c r="J181" s="45"/>
      <c r="K181" s="46"/>
    </row>
    <row r="182" spans="2:11" ht="4.5" customHeight="1" x14ac:dyDescent="0.25">
      <c r="B182" s="57"/>
      <c r="C182" s="45"/>
      <c r="D182" s="55"/>
      <c r="E182" s="55"/>
      <c r="F182" s="55"/>
      <c r="G182" s="55"/>
      <c r="H182" s="55"/>
      <c r="I182" s="55"/>
      <c r="J182" s="45"/>
      <c r="K182" s="46"/>
    </row>
    <row r="183" spans="2:11" ht="42.75" customHeight="1" x14ac:dyDescent="0.25">
      <c r="B183" s="70" t="s">
        <v>233</v>
      </c>
      <c r="C183" s="59" t="s">
        <v>232</v>
      </c>
      <c r="D183" s="65">
        <f>36000+40000</f>
        <v>76000</v>
      </c>
      <c r="E183" s="65"/>
      <c r="F183" s="65"/>
      <c r="G183" s="67">
        <f>SUM(D183:F183)</f>
        <v>76000</v>
      </c>
      <c r="H183" s="66">
        <v>0.5</v>
      </c>
      <c r="I183" s="65">
        <f>'2. PRODUCTOS'!$BU$278</f>
        <v>76000</v>
      </c>
      <c r="J183" s="64"/>
      <c r="K183" s="63"/>
    </row>
    <row r="184" spans="2:11" ht="53.25" customHeight="1" x14ac:dyDescent="0.25">
      <c r="B184" s="70" t="s">
        <v>231</v>
      </c>
      <c r="C184" s="59" t="s">
        <v>230</v>
      </c>
      <c r="D184" s="65">
        <f>15000+15000</f>
        <v>30000</v>
      </c>
      <c r="E184" s="65"/>
      <c r="F184" s="65"/>
      <c r="G184" s="67">
        <f>SUM(D184:F184)</f>
        <v>30000</v>
      </c>
      <c r="H184" s="66"/>
      <c r="I184" s="65">
        <f>'2. PRODUCTOS'!$BU$290</f>
        <v>30000</v>
      </c>
      <c r="J184" s="64"/>
      <c r="K184" s="63"/>
    </row>
    <row r="185" spans="2:11" ht="40.5" customHeight="1" x14ac:dyDescent="0.25">
      <c r="B185" s="70" t="s">
        <v>229</v>
      </c>
      <c r="C185" s="69" t="s">
        <v>228</v>
      </c>
      <c r="D185" s="65">
        <f>79000+57000</f>
        <v>136000</v>
      </c>
      <c r="E185" s="65"/>
      <c r="F185" s="65"/>
      <c r="G185" s="67">
        <f>SUM(D185:F185)</f>
        <v>136000</v>
      </c>
      <c r="H185" s="66">
        <v>0.18</v>
      </c>
      <c r="I185" s="65">
        <f>'2. PRODUCTOS'!$BU$302</f>
        <v>136000</v>
      </c>
      <c r="J185" s="64"/>
      <c r="K185" s="63"/>
    </row>
    <row r="186" spans="2:11" ht="65.25" customHeight="1" x14ac:dyDescent="0.25">
      <c r="B186" s="68" t="s">
        <v>227</v>
      </c>
      <c r="C186" s="59"/>
      <c r="D186" s="65">
        <v>0</v>
      </c>
      <c r="E186" s="65"/>
      <c r="F186" s="65"/>
      <c r="G186" s="67">
        <f>SUM(D186:F186)</f>
        <v>0</v>
      </c>
      <c r="H186" s="66"/>
      <c r="I186" s="65">
        <f>'2. PRODUCTOS'!$BU$314</f>
        <v>0</v>
      </c>
      <c r="J186" s="64"/>
      <c r="K186" s="63"/>
    </row>
    <row r="187" spans="2:11" ht="21.75" customHeight="1" x14ac:dyDescent="0.25">
      <c r="B187" s="57"/>
      <c r="C187" s="62" t="s">
        <v>226</v>
      </c>
      <c r="D187" s="61">
        <f>SUM(D183:D186)</f>
        <v>242000</v>
      </c>
      <c r="E187" s="61">
        <f>SUM(E183:E186)</f>
        <v>0</v>
      </c>
      <c r="F187" s="61">
        <f>SUM(F183:F186)</f>
        <v>0</v>
      </c>
      <c r="G187" s="61">
        <f>SUM(G183:G186)</f>
        <v>242000</v>
      </c>
      <c r="H187" s="58">
        <f>(H183*G183)+(H184*G184)+(H185*G185)+(H186*G186)</f>
        <v>62480</v>
      </c>
      <c r="I187" s="60">
        <f>SUM(I183:I186)</f>
        <v>242000</v>
      </c>
      <c r="J187" s="59"/>
      <c r="K187" s="43"/>
    </row>
    <row r="188" spans="2:11" ht="15.75" customHeight="1" x14ac:dyDescent="0.25">
      <c r="B188" s="57"/>
      <c r="C188" s="45"/>
      <c r="D188" s="55"/>
      <c r="E188" s="55"/>
      <c r="F188" s="55"/>
      <c r="G188" s="55"/>
      <c r="H188" s="55"/>
      <c r="I188" s="55"/>
      <c r="J188" s="45"/>
      <c r="K188" s="43"/>
    </row>
    <row r="189" spans="2:11" ht="0.75" customHeight="1" thickBot="1" x14ac:dyDescent="0.3">
      <c r="B189" s="57"/>
      <c r="C189" s="45"/>
      <c r="D189" s="55"/>
      <c r="E189" s="55"/>
      <c r="F189" s="55"/>
      <c r="G189" s="55"/>
      <c r="H189" s="55"/>
      <c r="I189" s="55"/>
      <c r="J189" s="45"/>
      <c r="K189" s="43"/>
    </row>
    <row r="190" spans="2:11" ht="15.75" x14ac:dyDescent="0.25">
      <c r="B190" s="57"/>
      <c r="C190" s="1783" t="s">
        <v>225</v>
      </c>
      <c r="D190" s="1784"/>
      <c r="E190" s="1784"/>
      <c r="F190" s="1784"/>
      <c r="G190" s="1785"/>
      <c r="H190" s="43"/>
      <c r="I190" s="55"/>
      <c r="J190" s="43"/>
    </row>
    <row r="191" spans="2:11" ht="40.5" customHeight="1" x14ac:dyDescent="0.25">
      <c r="B191" s="57"/>
      <c r="C191" s="1786"/>
      <c r="D191" s="58" t="s">
        <v>222</v>
      </c>
      <c r="E191" s="58" t="s">
        <v>221</v>
      </c>
      <c r="F191" s="58" t="s">
        <v>220</v>
      </c>
      <c r="G191" s="1788" t="s">
        <v>194</v>
      </c>
      <c r="H191" s="45"/>
      <c r="I191" s="55"/>
      <c r="J191" s="43"/>
    </row>
    <row r="192" spans="2:11" ht="24.75" customHeight="1" x14ac:dyDescent="0.25">
      <c r="B192" s="57"/>
      <c r="C192" s="1787"/>
      <c r="D192" s="56" t="str">
        <f>D13</f>
        <v>UNDP</v>
      </c>
      <c r="E192" s="56" t="str">
        <f>E13</f>
        <v>ONUMUJERES</v>
      </c>
      <c r="F192" s="56" t="str">
        <f>F13</f>
        <v>OACNUDH</v>
      </c>
      <c r="G192" s="1789"/>
      <c r="H192" s="45"/>
      <c r="I192" s="55"/>
      <c r="J192" s="43"/>
    </row>
    <row r="193" spans="2:11" ht="41.25" customHeight="1" x14ac:dyDescent="0.25">
      <c r="B193" s="54"/>
      <c r="C193" s="53" t="s">
        <v>224</v>
      </c>
      <c r="D193" s="52">
        <f>SUM(D24,D34,D44,D54,D66,D76,D86,D96,D108,D118,D128,D138,D150,D160,D170,D180,D183,D184,D185,D186)</f>
        <v>1309699.74</v>
      </c>
      <c r="E193" s="52">
        <f>SUM(E24,E34,E44,E54,E66,E76,E86,E96,E108,E118,E128,E138,E150,E160,E170,E180,E183,E184,E185,E186)</f>
        <v>484841</v>
      </c>
      <c r="F193" s="52">
        <f>SUM(F24,F34,F44,F54,F66,F76,F86,F96,F108,F118,F128,F138,F150,F160,F170,F180,F183,F184,F185,F186)</f>
        <v>342000</v>
      </c>
      <c r="G193" s="51">
        <f>SUM(D193:F193)</f>
        <v>2136540.7400000002</v>
      </c>
      <c r="H193" s="45"/>
      <c r="I193" s="50"/>
      <c r="J193" s="42"/>
    </row>
    <row r="194" spans="2:11" ht="51.75" customHeight="1" x14ac:dyDescent="0.25">
      <c r="B194" s="48"/>
      <c r="C194" s="53" t="s">
        <v>175</v>
      </c>
      <c r="D194" s="52">
        <f>D193*0.07</f>
        <v>91678.981800000009</v>
      </c>
      <c r="E194" s="52">
        <f>E193*0.07</f>
        <v>33938.870000000003</v>
      </c>
      <c r="F194" s="52">
        <f>F193*0.07</f>
        <v>23940.000000000004</v>
      </c>
      <c r="G194" s="51">
        <f>G193*0.07</f>
        <v>149557.85180000003</v>
      </c>
      <c r="H194" s="48"/>
      <c r="I194" s="50"/>
      <c r="J194" s="35"/>
    </row>
    <row r="195" spans="2:11" ht="51.75" customHeight="1" thickBot="1" x14ac:dyDescent="0.3">
      <c r="B195" s="48"/>
      <c r="C195" s="26" t="s">
        <v>194</v>
      </c>
      <c r="D195" s="25">
        <f>SUM(D193:D194)</f>
        <v>1401378.7217999999</v>
      </c>
      <c r="E195" s="25">
        <f>SUM(E193:E194)</f>
        <v>518779.87</v>
      </c>
      <c r="F195" s="25">
        <f>SUM(F193:F194)</f>
        <v>365940</v>
      </c>
      <c r="G195" s="49">
        <f>SUM(G193:G194)</f>
        <v>2286098.5918000001</v>
      </c>
      <c r="H195" s="48"/>
      <c r="J195" s="35"/>
    </row>
    <row r="196" spans="2:11" ht="42" customHeight="1" x14ac:dyDescent="0.25">
      <c r="B196" s="48"/>
      <c r="D196" s="841"/>
      <c r="E196" s="841"/>
      <c r="F196" s="841"/>
      <c r="I196" s="47"/>
      <c r="J196" s="46"/>
      <c r="K196" s="35"/>
    </row>
    <row r="197" spans="2:11" s="5" customFormat="1" ht="29.25" customHeight="1" thickBot="1" x14ac:dyDescent="0.3">
      <c r="B197" s="45"/>
      <c r="C197" s="44"/>
      <c r="D197" s="18"/>
      <c r="E197" s="18"/>
      <c r="F197" s="18"/>
      <c r="G197" s="18"/>
      <c r="H197" s="18"/>
      <c r="I197" s="41"/>
      <c r="J197" s="43"/>
      <c r="K197" s="42"/>
    </row>
    <row r="198" spans="2:11" ht="23.25" customHeight="1" x14ac:dyDescent="0.25">
      <c r="B198" s="35"/>
      <c r="C198" s="1768" t="s">
        <v>223</v>
      </c>
      <c r="D198" s="1769"/>
      <c r="E198" s="1770"/>
      <c r="F198" s="1770"/>
      <c r="G198" s="1770"/>
      <c r="H198" s="1771"/>
      <c r="I198" s="41"/>
      <c r="J198" s="35"/>
      <c r="K198" s="4"/>
    </row>
    <row r="199" spans="2:11" ht="41.25" customHeight="1" x14ac:dyDescent="0.25">
      <c r="B199" s="35"/>
      <c r="C199" s="40"/>
      <c r="D199" s="39" t="s">
        <v>222</v>
      </c>
      <c r="E199" s="39" t="s">
        <v>221</v>
      </c>
      <c r="F199" s="39" t="s">
        <v>220</v>
      </c>
      <c r="G199" s="1772" t="s">
        <v>194</v>
      </c>
      <c r="H199" s="1774" t="s">
        <v>219</v>
      </c>
      <c r="I199" s="41"/>
      <c r="J199" s="35"/>
      <c r="K199" s="4"/>
    </row>
    <row r="200" spans="2:11" ht="27.75" customHeight="1" x14ac:dyDescent="0.25">
      <c r="B200" s="35"/>
      <c r="C200" s="40"/>
      <c r="D200" s="39" t="str">
        <f>D13</f>
        <v>UNDP</v>
      </c>
      <c r="E200" s="39" t="str">
        <f>E13</f>
        <v>ONUMUJERES</v>
      </c>
      <c r="F200" s="39" t="str">
        <f>F13</f>
        <v>OACNUDH</v>
      </c>
      <c r="G200" s="1773"/>
      <c r="H200" s="1775"/>
      <c r="I200" s="36"/>
      <c r="J200" s="35"/>
      <c r="K200" s="4"/>
    </row>
    <row r="201" spans="2:11" ht="55.5" customHeight="1" x14ac:dyDescent="0.25">
      <c r="B201" s="35"/>
      <c r="C201" s="38" t="s">
        <v>218</v>
      </c>
      <c r="D201" s="31">
        <v>570523.72</v>
      </c>
      <c r="E201" s="30">
        <f>$E$195*H201</f>
        <v>363145.90899999999</v>
      </c>
      <c r="F201" s="30">
        <f>$F$195*H201</f>
        <v>256157.99999999997</v>
      </c>
      <c r="G201" s="30">
        <f>SUM(D201:F201)</f>
        <v>1189827.629</v>
      </c>
      <c r="H201" s="37">
        <v>0.7</v>
      </c>
      <c r="I201" s="36"/>
      <c r="J201" s="35"/>
      <c r="K201" s="4"/>
    </row>
    <row r="202" spans="2:11" ht="57.75" customHeight="1" x14ac:dyDescent="0.25">
      <c r="B202" s="1776"/>
      <c r="C202" s="32" t="s">
        <v>217</v>
      </c>
      <c r="D202" s="31">
        <v>581598.5</v>
      </c>
      <c r="E202" s="30">
        <f>$E$195*H202</f>
        <v>155633.96099999998</v>
      </c>
      <c r="F202" s="30">
        <f>$F$195*H202</f>
        <v>109782</v>
      </c>
      <c r="G202" s="29">
        <f>SUM(D202:F202)</f>
        <v>847014.46100000001</v>
      </c>
      <c r="H202" s="34">
        <v>0.3</v>
      </c>
      <c r="I202" s="33"/>
      <c r="J202" s="4"/>
      <c r="K202" s="4"/>
    </row>
    <row r="203" spans="2:11" ht="57.75" customHeight="1" x14ac:dyDescent="0.25">
      <c r="B203" s="1776"/>
      <c r="C203" s="32" t="s">
        <v>216</v>
      </c>
      <c r="D203" s="31">
        <v>249256.5</v>
      </c>
      <c r="E203" s="30">
        <f>$E$195*H203</f>
        <v>0</v>
      </c>
      <c r="F203" s="30">
        <f>$F$195*H203</f>
        <v>0</v>
      </c>
      <c r="G203" s="29">
        <f>SUM(D203:F203)</f>
        <v>249256.5</v>
      </c>
      <c r="H203" s="28">
        <v>0</v>
      </c>
      <c r="I203" s="27"/>
      <c r="J203" s="4"/>
      <c r="K203" s="4"/>
    </row>
    <row r="204" spans="2:11" ht="38.25" customHeight="1" thickBot="1" x14ac:dyDescent="0.3">
      <c r="B204" s="1776"/>
      <c r="C204" s="26" t="s">
        <v>215</v>
      </c>
      <c r="D204" s="25">
        <f>SUM(D201:D203)</f>
        <v>1401378.72</v>
      </c>
      <c r="E204" s="25">
        <f>SUM(E201:E203)</f>
        <v>518779.87</v>
      </c>
      <c r="F204" s="25">
        <f>SUM(F201:F203)</f>
        <v>365940</v>
      </c>
      <c r="G204" s="25">
        <f>SUM(G201:G203)</f>
        <v>2286098.59</v>
      </c>
      <c r="H204" s="24">
        <f>SUM(H201:H203)</f>
        <v>1</v>
      </c>
      <c r="I204" s="21"/>
      <c r="J204" s="4"/>
      <c r="K204" s="4"/>
    </row>
    <row r="205" spans="2:11" ht="21.75" customHeight="1" thickBot="1" x14ac:dyDescent="0.3">
      <c r="B205" s="1776"/>
      <c r="C205" s="23"/>
      <c r="D205" s="22"/>
      <c r="E205" s="22"/>
      <c r="F205" s="22"/>
      <c r="G205" s="22"/>
      <c r="H205" s="22"/>
      <c r="I205" s="21"/>
      <c r="J205" s="4"/>
      <c r="K205" s="4"/>
    </row>
    <row r="206" spans="2:11" ht="49.5" customHeight="1" x14ac:dyDescent="0.25">
      <c r="B206" s="1776"/>
      <c r="C206" s="20" t="s">
        <v>214</v>
      </c>
      <c r="D206" s="19">
        <f>SUM(H24,H34,H44,H54,H66,H76,H86,H96,H108,H118,H128,H138,H150,H160,H170,H180,H187)*1.07</f>
        <v>881036.84654000006</v>
      </c>
      <c r="E206" s="18"/>
      <c r="F206" s="18"/>
      <c r="G206" s="18"/>
      <c r="H206" s="17" t="s">
        <v>213</v>
      </c>
      <c r="I206" s="16">
        <f>SUM(I187,I180,I170,I160,I150,I138,I128,I118,I108,I96,I86,I76,I66,I54,I44,I34,I24)</f>
        <v>2088656.5799999998</v>
      </c>
      <c r="J206" s="4"/>
      <c r="K206" s="4"/>
    </row>
    <row r="207" spans="2:11" ht="28.5" customHeight="1" thickBot="1" x14ac:dyDescent="0.3">
      <c r="B207" s="1776"/>
      <c r="C207" s="10" t="s">
        <v>212</v>
      </c>
      <c r="D207" s="9">
        <f>D206/G195</f>
        <v>0.38538882343053288</v>
      </c>
      <c r="E207" s="15"/>
      <c r="F207" s="15"/>
      <c r="G207" s="15"/>
      <c r="H207" s="14" t="s">
        <v>211</v>
      </c>
      <c r="I207" s="13">
        <f>I206/G193</f>
        <v>0.97758799581794997</v>
      </c>
      <c r="J207" s="4"/>
      <c r="K207" s="4"/>
    </row>
    <row r="208" spans="2:11" ht="28.5" customHeight="1" x14ac:dyDescent="0.25">
      <c r="B208" s="1776"/>
      <c r="C208" s="1777"/>
      <c r="D208" s="1778"/>
      <c r="E208" s="12"/>
      <c r="F208" s="12"/>
      <c r="G208" s="12"/>
      <c r="J208" s="4"/>
      <c r="K208" s="4"/>
    </row>
    <row r="209" spans="1:11" ht="32.25" customHeight="1" x14ac:dyDescent="0.25">
      <c r="B209" s="1776"/>
      <c r="C209" s="10" t="s">
        <v>210</v>
      </c>
      <c r="D209" s="11">
        <f>SUM(D185:F186)*1.07</f>
        <v>145520</v>
      </c>
      <c r="E209" s="8"/>
      <c r="F209" s="8"/>
      <c r="G209" s="8"/>
      <c r="J209" s="4"/>
      <c r="K209" s="4"/>
    </row>
    <row r="210" spans="1:11" ht="23.25" customHeight="1" x14ac:dyDescent="0.25">
      <c r="B210" s="1776"/>
      <c r="C210" s="10" t="s">
        <v>209</v>
      </c>
      <c r="D210" s="9">
        <f>D209/G195</f>
        <v>6.3654297553904823E-2</v>
      </c>
      <c r="E210" s="8"/>
      <c r="F210" s="8"/>
      <c r="G210" s="8"/>
      <c r="I210" s="7"/>
      <c r="J210" s="4"/>
      <c r="K210" s="4"/>
    </row>
    <row r="211" spans="1:11" ht="66.75" customHeight="1" thickBot="1" x14ac:dyDescent="0.3">
      <c r="B211" s="1776"/>
      <c r="C211" s="1779" t="s">
        <v>208</v>
      </c>
      <c r="D211" s="1780"/>
      <c r="E211" s="6"/>
      <c r="F211" s="6"/>
      <c r="G211" s="6"/>
      <c r="H211" s="4"/>
      <c r="J211" s="4"/>
      <c r="K211" s="4"/>
    </row>
    <row r="212" spans="1:11" ht="55.5" customHeight="1" x14ac:dyDescent="0.25">
      <c r="B212" s="1776"/>
      <c r="K212" s="5"/>
    </row>
    <row r="213" spans="1:11" ht="42.75" customHeight="1" x14ac:dyDescent="0.25">
      <c r="B213" s="1776"/>
      <c r="J213" s="4"/>
    </row>
    <row r="214" spans="1:11" ht="21.75" customHeight="1" x14ac:dyDescent="0.25">
      <c r="B214" s="1776"/>
      <c r="J214" s="4"/>
    </row>
    <row r="215" spans="1:11" ht="21.75" customHeight="1" x14ac:dyDescent="0.25">
      <c r="A215" s="4"/>
      <c r="B215" s="1776"/>
    </row>
    <row r="216" spans="1:11" s="4" customFormat="1" ht="23.25" customHeight="1" x14ac:dyDescent="0.25">
      <c r="A216" s="2"/>
      <c r="B216" s="1776"/>
      <c r="C216" s="2"/>
      <c r="D216" s="2"/>
      <c r="E216" s="2"/>
      <c r="F216" s="2"/>
      <c r="G216" s="2"/>
      <c r="H216" s="2"/>
      <c r="I216" s="3"/>
      <c r="J216" s="2"/>
      <c r="K216" s="2"/>
    </row>
    <row r="217" spans="1:11" ht="23.25" customHeight="1" x14ac:dyDescent="0.25"/>
    <row r="218" spans="1:11" ht="21.75" customHeight="1" x14ac:dyDescent="0.25"/>
    <row r="219" spans="1:11" ht="16.5" customHeight="1" x14ac:dyDescent="0.25"/>
    <row r="220" spans="1:11" ht="29.25" customHeight="1" x14ac:dyDescent="0.25"/>
    <row r="221" spans="1:11" ht="24.75" customHeight="1" x14ac:dyDescent="0.25"/>
    <row r="222" spans="1:11" ht="33" customHeight="1" x14ac:dyDescent="0.25"/>
    <row r="224" spans="1:11" ht="15" customHeight="1" x14ac:dyDescent="0.25"/>
    <row r="225" ht="25.5" customHeight="1" x14ac:dyDescent="0.25"/>
  </sheetData>
  <sheetProtection formatCells="0" formatColumns="0" formatRows="0"/>
  <mergeCells count="31">
    <mergeCell ref="B2:E2"/>
    <mergeCell ref="B6:J6"/>
    <mergeCell ref="B9:H9"/>
    <mergeCell ref="C14:J14"/>
    <mergeCell ref="C15:J15"/>
    <mergeCell ref="C25:J25"/>
    <mergeCell ref="C35:J35"/>
    <mergeCell ref="C45:J45"/>
    <mergeCell ref="C57:J57"/>
    <mergeCell ref="C67:J67"/>
    <mergeCell ref="C77:J77"/>
    <mergeCell ref="C87:J87"/>
    <mergeCell ref="C98:J98"/>
    <mergeCell ref="C99:J99"/>
    <mergeCell ref="C109:J109"/>
    <mergeCell ref="C119:J119"/>
    <mergeCell ref="C129:J129"/>
    <mergeCell ref="C140:J140"/>
    <mergeCell ref="C141:J141"/>
    <mergeCell ref="C151:J151"/>
    <mergeCell ref="C161:J161"/>
    <mergeCell ref="C171:J171"/>
    <mergeCell ref="C190:G190"/>
    <mergeCell ref="C191:C192"/>
    <mergeCell ref="G191:G192"/>
    <mergeCell ref="C198:H198"/>
    <mergeCell ref="G199:G200"/>
    <mergeCell ref="H199:H200"/>
    <mergeCell ref="B202:B216"/>
    <mergeCell ref="C208:D208"/>
    <mergeCell ref="C211:D211"/>
  </mergeCells>
  <conditionalFormatting sqref="D207">
    <cfRule type="cellIs" dxfId="26" priority="3" operator="lessThan">
      <formula>0.15</formula>
    </cfRule>
  </conditionalFormatting>
  <conditionalFormatting sqref="D210">
    <cfRule type="cellIs" dxfId="25" priority="2" operator="lessThan">
      <formula>0.05</formula>
    </cfRule>
  </conditionalFormatting>
  <conditionalFormatting sqref="H204 I203">
    <cfRule type="cellIs" dxfId="24" priority="1" operator="greaterThan">
      <formula>1</formula>
    </cfRule>
  </conditionalFormatting>
  <dataValidations count="7">
    <dataValidation allowBlank="1" showInputMessage="1" showErrorMessage="1" prompt="% Towards Gender Equality and Women's Empowerment Must be Higher than 15%_x000a_" sqref="D207:G207" xr:uid="{00000000-0002-0000-0800-000000000000}"/>
    <dataValidation allowBlank="1" showInputMessage="1" showErrorMessage="1" prompt="M&amp;E Budget Cannot be Less than 5%_x000a_" sqref="D210:G210" xr:uid="{00000000-0002-0000-0800-000001000000}"/>
    <dataValidation allowBlank="1" showInputMessage="1" showErrorMessage="1" prompt="Insert *text* description of Outcome here" sqref="C14:J14 C98:J98 C140:J140" xr:uid="{00000000-0002-0000-0800-000002000000}"/>
    <dataValidation allowBlank="1" showInputMessage="1" showErrorMessage="1" prompt="Insert *text* description of Output here" sqref="C15 C25 C35 C45 C171 C67 C77 C87 C99 C109 C119 C129 C141 C151 C161 C57" xr:uid="{00000000-0002-0000-0800-000003000000}"/>
    <dataValidation allowBlank="1" showInputMessage="1" showErrorMessage="1" prompt="Insert *text* description of Activity here" sqref="C16 C26 C36 C46 C172 C68 C78 C88 C100 C110 C120 C130 C142 C152 C162 C58" xr:uid="{00000000-0002-0000-0800-000004000000}"/>
    <dataValidation allowBlank="1" showInputMessage="1" showErrorMessage="1" prompt="Insert name of recipient agency here _x000a_" sqref="D13:G13" xr:uid="{00000000-0002-0000-0800-000005000000}"/>
    <dataValidation allowBlank="1" showErrorMessage="1" prompt="% Towards Gender Equality and Women's Empowerment Must be Higher than 15%_x000a_" sqref="D209:G209" xr:uid="{00000000-0002-0000-0800-000006000000}"/>
  </dataValidations>
  <pageMargins left="0.25" right="0.25" top="0.75" bottom="0.75" header="0.3" footer="0.3"/>
  <pageSetup scale="15" orientation="landscape" r:id="rId1"/>
  <rowBreaks count="2" manualBreakCount="2">
    <brk id="24" max="16383" man="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0"/>
  </sheetPr>
  <dimension ref="B1:N253"/>
  <sheetViews>
    <sheetView showGridLines="0" showZeros="0" zoomScale="60" zoomScaleNormal="60" workbookViewId="0">
      <selection activeCell="K16" sqref="K16"/>
    </sheetView>
  </sheetViews>
  <sheetFormatPr defaultColWidth="9.140625" defaultRowHeight="15.75" x14ac:dyDescent="0.25"/>
  <cols>
    <col min="1" max="1" width="4.42578125" style="113" customWidth="1"/>
    <col min="2" max="2" width="3.28515625" style="113" customWidth="1"/>
    <col min="3" max="3" width="51.42578125" style="113" customWidth="1"/>
    <col min="4" max="4" width="34.28515625" style="115" customWidth="1"/>
    <col min="5" max="5" width="35" style="115" customWidth="1"/>
    <col min="6" max="6" width="34" style="115" customWidth="1"/>
    <col min="7" max="7" width="25.7109375" style="113" customWidth="1"/>
    <col min="8" max="8" width="21.42578125" style="113" customWidth="1"/>
    <col min="9" max="9" width="16.85546875" style="113" customWidth="1"/>
    <col min="10" max="10" width="19.42578125" style="113" customWidth="1"/>
    <col min="11" max="11" width="19" style="113" customWidth="1"/>
    <col min="12" max="12" width="26" style="113" customWidth="1"/>
    <col min="13" max="13" width="21.140625" style="113" customWidth="1"/>
    <col min="14" max="14" width="7" style="114" customWidth="1"/>
    <col min="15" max="15" width="24.28515625" style="113" customWidth="1"/>
    <col min="16" max="16" width="26.42578125" style="113" customWidth="1"/>
    <col min="17" max="17" width="30.140625" style="113" customWidth="1"/>
    <col min="18" max="18" width="33" style="113" customWidth="1"/>
    <col min="19" max="20" width="22.7109375" style="113" customWidth="1"/>
    <col min="21" max="21" width="23.42578125" style="113" customWidth="1"/>
    <col min="22" max="22" width="32.140625" style="113" customWidth="1"/>
    <col min="23" max="23" width="9.140625" style="113"/>
    <col min="24" max="24" width="17.7109375" style="113" customWidth="1"/>
    <col min="25" max="25" width="26.42578125" style="113" customWidth="1"/>
    <col min="26" max="26" width="22.42578125" style="113" customWidth="1"/>
    <col min="27" max="27" width="29.7109375" style="113" customWidth="1"/>
    <col min="28" max="28" width="23.42578125" style="113" customWidth="1"/>
    <col min="29" max="29" width="18.42578125" style="113" customWidth="1"/>
    <col min="30" max="30" width="17.42578125" style="113" customWidth="1"/>
    <col min="31" max="31" width="25.140625" style="113" customWidth="1"/>
    <col min="32" max="16384" width="9.140625" style="113"/>
  </cols>
  <sheetData>
    <row r="1" spans="2:13" s="113" customFormat="1" ht="24" customHeight="1" x14ac:dyDescent="0.25">
      <c r="D1" s="115"/>
      <c r="E1" s="115"/>
      <c r="F1" s="115"/>
      <c r="L1" s="163"/>
      <c r="M1" s="162"/>
    </row>
    <row r="2" spans="2:13" s="113" customFormat="1" ht="46.5" x14ac:dyDescent="0.7">
      <c r="C2" s="1794" t="s">
        <v>404</v>
      </c>
      <c r="D2" s="1794"/>
      <c r="E2" s="1794"/>
      <c r="F2" s="1794"/>
      <c r="G2" s="112"/>
      <c r="H2" s="110"/>
      <c r="I2" s="110"/>
      <c r="L2" s="163"/>
      <c r="M2" s="162"/>
    </row>
    <row r="3" spans="2:13" s="113" customFormat="1" ht="24" customHeight="1" x14ac:dyDescent="0.25">
      <c r="C3" s="109"/>
      <c r="D3" s="2"/>
      <c r="E3" s="2"/>
      <c r="F3" s="2"/>
      <c r="G3" s="2"/>
      <c r="H3" s="2"/>
      <c r="I3" s="2"/>
      <c r="L3" s="163"/>
      <c r="M3" s="162"/>
    </row>
    <row r="4" spans="2:13" s="113" customFormat="1" ht="24" customHeight="1" thickBot="1" x14ac:dyDescent="0.3">
      <c r="C4" s="109"/>
      <c r="D4" s="2"/>
      <c r="E4" s="2"/>
      <c r="F4" s="2"/>
      <c r="G4" s="2"/>
      <c r="H4" s="2"/>
      <c r="I4" s="2"/>
      <c r="L4" s="163"/>
      <c r="M4" s="162"/>
    </row>
    <row r="5" spans="2:13" s="113" customFormat="1" ht="30" customHeight="1" x14ac:dyDescent="0.55000000000000004">
      <c r="C5" s="1815" t="s">
        <v>403</v>
      </c>
      <c r="D5" s="1816"/>
      <c r="E5" s="1816"/>
      <c r="F5" s="1816"/>
      <c r="G5" s="1817"/>
      <c r="J5" s="163"/>
      <c r="K5" s="162"/>
    </row>
    <row r="6" spans="2:13" s="113" customFormat="1" ht="24" customHeight="1" x14ac:dyDescent="0.25">
      <c r="C6" s="1818" t="s">
        <v>431</v>
      </c>
      <c r="D6" s="1819"/>
      <c r="E6" s="1819"/>
      <c r="F6" s="1819"/>
      <c r="G6" s="1820"/>
      <c r="J6" s="163"/>
      <c r="K6" s="162"/>
    </row>
    <row r="7" spans="2:13" s="113" customFormat="1" ht="24" customHeight="1" x14ac:dyDescent="0.25">
      <c r="C7" s="1818"/>
      <c r="D7" s="1819"/>
      <c r="E7" s="1819"/>
      <c r="F7" s="1819"/>
      <c r="G7" s="1820"/>
      <c r="J7" s="163"/>
      <c r="K7" s="162"/>
    </row>
    <row r="8" spans="2:13" s="113" customFormat="1" ht="24" customHeight="1" thickBot="1" x14ac:dyDescent="0.3">
      <c r="C8" s="1821"/>
      <c r="D8" s="1822"/>
      <c r="E8" s="1822"/>
      <c r="F8" s="1822"/>
      <c r="G8" s="1823"/>
      <c r="J8" s="163"/>
      <c r="K8" s="162"/>
    </row>
    <row r="9" spans="2:13" s="113" customFormat="1" ht="24" customHeight="1" thickBot="1" x14ac:dyDescent="0.3">
      <c r="C9" s="164"/>
      <c r="D9" s="164"/>
      <c r="E9" s="164"/>
      <c r="F9" s="164"/>
      <c r="L9" s="163"/>
      <c r="M9" s="162"/>
    </row>
    <row r="10" spans="2:13" s="113" customFormat="1" ht="24" customHeight="1" thickBot="1" x14ac:dyDescent="0.3">
      <c r="C10" s="1824" t="s">
        <v>430</v>
      </c>
      <c r="D10" s="1825"/>
      <c r="E10" s="1825"/>
      <c r="F10" s="1826"/>
      <c r="L10" s="163"/>
      <c r="M10" s="162"/>
    </row>
    <row r="11" spans="2:13" s="113" customFormat="1" ht="24" customHeight="1" x14ac:dyDescent="0.25">
      <c r="C11" s="164"/>
      <c r="D11" s="164"/>
      <c r="E11" s="164"/>
      <c r="F11" s="164"/>
      <c r="L11" s="163"/>
      <c r="M11" s="162"/>
    </row>
    <row r="12" spans="2:13" s="113" customFormat="1" ht="24" customHeight="1" x14ac:dyDescent="0.25">
      <c r="C12" s="164"/>
      <c r="D12" s="165" t="s">
        <v>429</v>
      </c>
      <c r="E12" s="165" t="s">
        <v>428</v>
      </c>
      <c r="F12" s="165" t="s">
        <v>427</v>
      </c>
      <c r="G12" s="1827" t="s">
        <v>194</v>
      </c>
      <c r="L12" s="163"/>
      <c r="M12" s="162"/>
    </row>
    <row r="13" spans="2:13" s="113" customFormat="1" ht="24" customHeight="1" x14ac:dyDescent="0.25">
      <c r="C13" s="164"/>
      <c r="D13" s="56" t="str">
        <f>'[2]1) Budget Table'!D13</f>
        <v>UNDP</v>
      </c>
      <c r="E13" s="56" t="str">
        <f>'[2]1) Budget Table'!E13</f>
        <v>ONUMUJERES</v>
      </c>
      <c r="F13" s="56" t="str">
        <f>'[2]1) Budget Table'!F13</f>
        <v>OACNUDH</v>
      </c>
      <c r="G13" s="1828"/>
      <c r="L13" s="163"/>
      <c r="M13" s="162"/>
    </row>
    <row r="14" spans="2:13" s="113" customFormat="1" ht="24" customHeight="1" x14ac:dyDescent="0.25">
      <c r="B14" s="1809" t="s">
        <v>426</v>
      </c>
      <c r="C14" s="1810"/>
      <c r="D14" s="1810"/>
      <c r="E14" s="1810"/>
      <c r="F14" s="1810"/>
      <c r="G14" s="1811"/>
      <c r="L14" s="163"/>
      <c r="M14" s="162"/>
    </row>
    <row r="15" spans="2:13" s="113" customFormat="1" ht="22.5" customHeight="1" x14ac:dyDescent="0.25">
      <c r="C15" s="1809" t="s">
        <v>425</v>
      </c>
      <c r="D15" s="1810"/>
      <c r="E15" s="1810"/>
      <c r="F15" s="1810"/>
      <c r="G15" s="1811"/>
      <c r="L15" s="163"/>
      <c r="M15" s="162"/>
    </row>
    <row r="16" spans="2:13" s="113" customFormat="1" ht="24.75" customHeight="1" thickBot="1" x14ac:dyDescent="0.3">
      <c r="C16" s="152" t="s">
        <v>417</v>
      </c>
      <c r="D16" s="151">
        <f>'[2]1) Budget Table'!D24</f>
        <v>370816.74</v>
      </c>
      <c r="E16" s="151">
        <f>'[2]1) Budget Table'!E24</f>
        <v>0</v>
      </c>
      <c r="F16" s="151">
        <f>'[2]1) Budget Table'!F24</f>
        <v>0</v>
      </c>
      <c r="G16" s="150">
        <f t="shared" ref="G16:G24" si="0">SUM(D16:F16)</f>
        <v>370816.74</v>
      </c>
      <c r="L16" s="163"/>
      <c r="M16" s="162"/>
    </row>
    <row r="17" spans="3:7" s="113" customFormat="1" ht="21.75" customHeight="1" x14ac:dyDescent="0.25">
      <c r="C17" s="149" t="s">
        <v>413</v>
      </c>
      <c r="D17" s="148">
        <f>9000+12000+21000</f>
        <v>42000</v>
      </c>
      <c r="E17" s="147">
        <v>0</v>
      </c>
      <c r="F17" s="147">
        <v>0</v>
      </c>
      <c r="G17" s="146">
        <f t="shared" si="0"/>
        <v>42000</v>
      </c>
    </row>
    <row r="18" spans="3:7" s="113" customFormat="1" x14ac:dyDescent="0.25">
      <c r="C18" s="144" t="s">
        <v>412</v>
      </c>
      <c r="D18" s="143">
        <f>5000+10000+2500+5000+10000+2500+5000</f>
        <v>40000</v>
      </c>
      <c r="E18" s="77">
        <v>0</v>
      </c>
      <c r="F18" s="77">
        <v>0</v>
      </c>
      <c r="G18" s="140">
        <f t="shared" si="0"/>
        <v>40000</v>
      </c>
    </row>
    <row r="19" spans="3:7" s="113" customFormat="1" ht="15.75" customHeight="1" x14ac:dyDescent="0.25">
      <c r="C19" s="144" t="s">
        <v>411</v>
      </c>
      <c r="D19" s="143">
        <v>20000</v>
      </c>
      <c r="E19" s="143">
        <v>0</v>
      </c>
      <c r="F19" s="143">
        <v>0</v>
      </c>
      <c r="G19" s="140">
        <f t="shared" si="0"/>
        <v>20000</v>
      </c>
    </row>
    <row r="20" spans="3:7" s="113" customFormat="1" x14ac:dyDescent="0.25">
      <c r="C20" s="145" t="s">
        <v>410</v>
      </c>
      <c r="D20" s="143">
        <f>47500+37500+16800+25000+35000+45000+25000+10000</f>
        <v>241800</v>
      </c>
      <c r="E20" s="143">
        <v>0</v>
      </c>
      <c r="F20" s="143">
        <v>0</v>
      </c>
      <c r="G20" s="140">
        <f t="shared" si="0"/>
        <v>241800</v>
      </c>
    </row>
    <row r="21" spans="3:7" s="113" customFormat="1" x14ac:dyDescent="0.25">
      <c r="C21" s="144" t="s">
        <v>409</v>
      </c>
      <c r="D21" s="143">
        <f>2000+2000+2000+2000</f>
        <v>8000</v>
      </c>
      <c r="E21" s="143">
        <v>0</v>
      </c>
      <c r="F21" s="143">
        <v>0</v>
      </c>
      <c r="G21" s="140">
        <f t="shared" si="0"/>
        <v>8000</v>
      </c>
    </row>
    <row r="22" spans="3:7" s="113" customFormat="1" ht="21.75" customHeight="1" x14ac:dyDescent="0.25">
      <c r="C22" s="144" t="s">
        <v>408</v>
      </c>
      <c r="D22" s="143">
        <v>0</v>
      </c>
      <c r="E22" s="143">
        <v>0</v>
      </c>
      <c r="F22" s="143">
        <v>0</v>
      </c>
      <c r="G22" s="140">
        <f t="shared" si="0"/>
        <v>0</v>
      </c>
    </row>
    <row r="23" spans="3:7" s="113" customFormat="1" ht="21.75" customHeight="1" x14ac:dyDescent="0.25">
      <c r="C23" s="144" t="s">
        <v>407</v>
      </c>
      <c r="D23" s="143">
        <f>5000+2016.74+1000+5000+2000+2000+2000</f>
        <v>19016.739999999998</v>
      </c>
      <c r="E23" s="143">
        <v>0</v>
      </c>
      <c r="F23" s="143">
        <v>0</v>
      </c>
      <c r="G23" s="140">
        <f t="shared" si="0"/>
        <v>19016.739999999998</v>
      </c>
    </row>
    <row r="24" spans="3:7" s="113" customFormat="1" ht="15.75" customHeight="1" x14ac:dyDescent="0.25">
      <c r="C24" s="142" t="s">
        <v>414</v>
      </c>
      <c r="D24" s="141">
        <f>SUM(D17:D23)</f>
        <v>370816.74</v>
      </c>
      <c r="E24" s="141">
        <f>SUM(E17:E23)</f>
        <v>0</v>
      </c>
      <c r="F24" s="141">
        <f>SUM(F17:F23)</f>
        <v>0</v>
      </c>
      <c r="G24" s="161">
        <f t="shared" si="0"/>
        <v>370816.74</v>
      </c>
    </row>
    <row r="25" spans="3:7" s="115" customFormat="1" x14ac:dyDescent="0.25">
      <c r="C25" s="155"/>
      <c r="D25" s="154"/>
      <c r="E25" s="154"/>
      <c r="F25" s="154"/>
      <c r="G25" s="160"/>
    </row>
    <row r="26" spans="3:7" s="113" customFormat="1" x14ac:dyDescent="0.25">
      <c r="C26" s="1809" t="s">
        <v>424</v>
      </c>
      <c r="D26" s="1810"/>
      <c r="E26" s="1810"/>
      <c r="F26" s="1810"/>
      <c r="G26" s="1811"/>
    </row>
    <row r="27" spans="3:7" s="113" customFormat="1" ht="27" customHeight="1" thickBot="1" x14ac:dyDescent="0.3">
      <c r="C27" s="152" t="s">
        <v>417</v>
      </c>
      <c r="D27" s="151">
        <f>'[2]1) Budget Table'!D34</f>
        <v>300600</v>
      </c>
      <c r="E27" s="151">
        <f>'[2]1) Budget Table'!E34</f>
        <v>172240</v>
      </c>
      <c r="F27" s="151">
        <f>'[2]1) Budget Table'!F34</f>
        <v>0</v>
      </c>
      <c r="G27" s="150">
        <f t="shared" ref="G27:G35" si="1">SUM(D27:F27)</f>
        <v>472840</v>
      </c>
    </row>
    <row r="28" spans="3:7" s="113" customFormat="1" x14ac:dyDescent="0.25">
      <c r="C28" s="149" t="s">
        <v>413</v>
      </c>
      <c r="D28" s="148">
        <f>25000+26000</f>
        <v>51000</v>
      </c>
      <c r="E28" s="147">
        <f>25000+25000</f>
        <v>50000</v>
      </c>
      <c r="F28" s="147">
        <v>0</v>
      </c>
      <c r="G28" s="146">
        <f t="shared" si="1"/>
        <v>101000</v>
      </c>
    </row>
    <row r="29" spans="3:7" s="113" customFormat="1" x14ac:dyDescent="0.25">
      <c r="C29" s="144" t="s">
        <v>412</v>
      </c>
      <c r="D29" s="143">
        <f>20000+15000+10000+10000</f>
        <v>55000</v>
      </c>
      <c r="E29" s="77">
        <f>15000+10000</f>
        <v>25000</v>
      </c>
      <c r="F29" s="77">
        <v>0</v>
      </c>
      <c r="G29" s="140">
        <f t="shared" si="1"/>
        <v>80000</v>
      </c>
    </row>
    <row r="30" spans="3:7" s="113" customFormat="1" ht="31.5" x14ac:dyDescent="0.25">
      <c r="C30" s="144" t="s">
        <v>411</v>
      </c>
      <c r="D30" s="143">
        <v>0</v>
      </c>
      <c r="E30" s="143">
        <v>5000</v>
      </c>
      <c r="F30" s="143">
        <v>0</v>
      </c>
      <c r="G30" s="140">
        <f t="shared" si="1"/>
        <v>5000</v>
      </c>
    </row>
    <row r="31" spans="3:7" s="113" customFormat="1" x14ac:dyDescent="0.25">
      <c r="C31" s="145" t="s">
        <v>410</v>
      </c>
      <c r="D31" s="143">
        <f>96600+20000+30000</f>
        <v>146600</v>
      </c>
      <c r="E31" s="143">
        <f>20000+18000</f>
        <v>38000</v>
      </c>
      <c r="F31" s="143">
        <v>0</v>
      </c>
      <c r="G31" s="140">
        <f t="shared" si="1"/>
        <v>184600</v>
      </c>
    </row>
    <row r="32" spans="3:7" s="113" customFormat="1" x14ac:dyDescent="0.25">
      <c r="C32" s="144" t="s">
        <v>409</v>
      </c>
      <c r="D32" s="143">
        <f>10000+5000+5000</f>
        <v>20000</v>
      </c>
      <c r="E32" s="143">
        <v>7000</v>
      </c>
      <c r="F32" s="143">
        <v>0</v>
      </c>
      <c r="G32" s="140">
        <f t="shared" si="1"/>
        <v>27000</v>
      </c>
    </row>
    <row r="33" spans="3:7" s="113" customFormat="1" x14ac:dyDescent="0.25">
      <c r="C33" s="144" t="s">
        <v>408</v>
      </c>
      <c r="D33" s="143">
        <v>0</v>
      </c>
      <c r="E33" s="143">
        <v>40000</v>
      </c>
      <c r="F33" s="143">
        <v>0</v>
      </c>
      <c r="G33" s="140">
        <f t="shared" si="1"/>
        <v>40000</v>
      </c>
    </row>
    <row r="34" spans="3:7" s="113" customFormat="1" x14ac:dyDescent="0.25">
      <c r="C34" s="144" t="s">
        <v>407</v>
      </c>
      <c r="D34" s="143">
        <f>14000+7000+7000</f>
        <v>28000</v>
      </c>
      <c r="E34" s="143">
        <f>3620+3620</f>
        <v>7240</v>
      </c>
      <c r="F34" s="143">
        <v>0</v>
      </c>
      <c r="G34" s="140">
        <f t="shared" si="1"/>
        <v>35240</v>
      </c>
    </row>
    <row r="35" spans="3:7" s="113" customFormat="1" x14ac:dyDescent="0.25">
      <c r="C35" s="142" t="s">
        <v>414</v>
      </c>
      <c r="D35" s="141">
        <f>SUM(D28:D34)</f>
        <v>300600</v>
      </c>
      <c r="E35" s="141">
        <f>SUM(E28:E34)</f>
        <v>172240</v>
      </c>
      <c r="F35" s="141">
        <f>SUM(F28:F34)</f>
        <v>0</v>
      </c>
      <c r="G35" s="140">
        <f t="shared" si="1"/>
        <v>472840</v>
      </c>
    </row>
    <row r="36" spans="3:7" s="115" customFormat="1" x14ac:dyDescent="0.25">
      <c r="C36" s="155"/>
      <c r="D36" s="154"/>
      <c r="E36" s="154"/>
      <c r="F36" s="154"/>
      <c r="G36" s="153"/>
    </row>
    <row r="37" spans="3:7" s="113" customFormat="1" x14ac:dyDescent="0.25">
      <c r="C37" s="1809" t="s">
        <v>423</v>
      </c>
      <c r="D37" s="1810"/>
      <c r="E37" s="1810"/>
      <c r="F37" s="1810"/>
      <c r="G37" s="1811"/>
    </row>
    <row r="38" spans="3:7" s="113" customFormat="1" ht="21.75" customHeight="1" thickBot="1" x14ac:dyDescent="0.3">
      <c r="C38" s="152" t="s">
        <v>417</v>
      </c>
      <c r="D38" s="151">
        <f>'[2]1) Budget Table'!D44</f>
        <v>156283</v>
      </c>
      <c r="E38" s="151">
        <f>'[2]1) Budget Table'!E44</f>
        <v>125600</v>
      </c>
      <c r="F38" s="151">
        <f>'[2]1) Budget Table'!F44</f>
        <v>0</v>
      </c>
      <c r="G38" s="150">
        <f t="shared" ref="G38:G46" si="2">SUM(D38:F38)</f>
        <v>281883</v>
      </c>
    </row>
    <row r="39" spans="3:7" s="113" customFormat="1" x14ac:dyDescent="0.25">
      <c r="C39" s="149" t="s">
        <v>413</v>
      </c>
      <c r="D39" s="148">
        <v>0</v>
      </c>
      <c r="E39" s="147">
        <f>19800+19800</f>
        <v>39600</v>
      </c>
      <c r="F39" s="147"/>
      <c r="G39" s="146">
        <f t="shared" si="2"/>
        <v>39600</v>
      </c>
    </row>
    <row r="40" spans="3:7" s="115" customFormat="1" ht="15.75" customHeight="1" x14ac:dyDescent="0.25">
      <c r="C40" s="144" t="s">
        <v>412</v>
      </c>
      <c r="D40" s="143">
        <f>10000+5000</f>
        <v>15000</v>
      </c>
      <c r="E40" s="77">
        <f>10000+10000</f>
        <v>20000</v>
      </c>
      <c r="F40" s="77"/>
      <c r="G40" s="140">
        <f t="shared" si="2"/>
        <v>35000</v>
      </c>
    </row>
    <row r="41" spans="3:7" s="115" customFormat="1" ht="31.5" x14ac:dyDescent="0.25">
      <c r="C41" s="144" t="s">
        <v>411</v>
      </c>
      <c r="D41" s="143">
        <v>0</v>
      </c>
      <c r="E41" s="143">
        <v>0</v>
      </c>
      <c r="F41" s="143"/>
      <c r="G41" s="140">
        <f t="shared" si="2"/>
        <v>0</v>
      </c>
    </row>
    <row r="42" spans="3:7" s="115" customFormat="1" x14ac:dyDescent="0.25">
      <c r="C42" s="145" t="s">
        <v>410</v>
      </c>
      <c r="D42" s="143">
        <f>15000+16800+12000+20000+22000</f>
        <v>85800</v>
      </c>
      <c r="E42" s="143">
        <f>10000+10500</f>
        <v>20500</v>
      </c>
      <c r="F42" s="143"/>
      <c r="G42" s="140">
        <f t="shared" si="2"/>
        <v>106300</v>
      </c>
    </row>
    <row r="43" spans="3:7" s="113" customFormat="1" x14ac:dyDescent="0.25">
      <c r="C43" s="144" t="s">
        <v>409</v>
      </c>
      <c r="D43" s="143">
        <f>9630+3000+3000</f>
        <v>15630</v>
      </c>
      <c r="E43" s="143">
        <f>3500+3000</f>
        <v>6500</v>
      </c>
      <c r="F43" s="143"/>
      <c r="G43" s="140">
        <f t="shared" si="2"/>
        <v>22130</v>
      </c>
    </row>
    <row r="44" spans="3:7" s="113" customFormat="1" x14ac:dyDescent="0.25">
      <c r="C44" s="144" t="s">
        <v>408</v>
      </c>
      <c r="D44" s="143">
        <v>35000</v>
      </c>
      <c r="E44" s="143">
        <f>15000+20000</f>
        <v>35000</v>
      </c>
      <c r="F44" s="143"/>
      <c r="G44" s="140">
        <f t="shared" si="2"/>
        <v>70000</v>
      </c>
    </row>
    <row r="45" spans="3:7" s="113" customFormat="1" x14ac:dyDescent="0.25">
      <c r="C45" s="144" t="s">
        <v>407</v>
      </c>
      <c r="D45" s="143">
        <v>4853</v>
      </c>
      <c r="E45" s="143">
        <f>2000+2000</f>
        <v>4000</v>
      </c>
      <c r="F45" s="143"/>
      <c r="G45" s="140">
        <f t="shared" si="2"/>
        <v>8853</v>
      </c>
    </row>
    <row r="46" spans="3:7" s="113" customFormat="1" x14ac:dyDescent="0.25">
      <c r="C46" s="142" t="s">
        <v>414</v>
      </c>
      <c r="D46" s="141">
        <f>SUM(D39:D45)</f>
        <v>156283</v>
      </c>
      <c r="E46" s="141">
        <f>SUM(E39:E45)</f>
        <v>125600</v>
      </c>
      <c r="F46" s="141">
        <f>SUM(F39:F45)</f>
        <v>0</v>
      </c>
      <c r="G46" s="140">
        <f t="shared" si="2"/>
        <v>281883</v>
      </c>
    </row>
    <row r="47" spans="3:7" s="113" customFormat="1" x14ac:dyDescent="0.25">
      <c r="C47" s="1809" t="s">
        <v>422</v>
      </c>
      <c r="D47" s="1810"/>
      <c r="E47" s="1810"/>
      <c r="F47" s="1810"/>
      <c r="G47" s="1811"/>
    </row>
    <row r="48" spans="3:7" s="115" customFormat="1" x14ac:dyDescent="0.25">
      <c r="C48" s="159"/>
      <c r="D48" s="158"/>
      <c r="E48" s="158"/>
      <c r="F48" s="158"/>
      <c r="G48" s="157"/>
    </row>
    <row r="49" spans="3:7" s="113" customFormat="1" ht="20.25" customHeight="1" thickBot="1" x14ac:dyDescent="0.3">
      <c r="C49" s="152" t="s">
        <v>417</v>
      </c>
      <c r="D49" s="151">
        <f>'[2]1) Budget Table'!D54</f>
        <v>0</v>
      </c>
      <c r="E49" s="151">
        <f>'[2]1) Budget Table'!E54</f>
        <v>73001</v>
      </c>
      <c r="F49" s="151">
        <f>'[2]1) Budget Table'!F54</f>
        <v>284500</v>
      </c>
      <c r="G49" s="150">
        <f t="shared" ref="G49:G57" si="3">SUM(D49:F49)</f>
        <v>357501</v>
      </c>
    </row>
    <row r="50" spans="3:7" s="113" customFormat="1" x14ac:dyDescent="0.25">
      <c r="C50" s="149" t="s">
        <v>413</v>
      </c>
      <c r="D50" s="148">
        <v>0</v>
      </c>
      <c r="E50" s="147">
        <v>7500</v>
      </c>
      <c r="F50" s="147">
        <f>7500+54000+100000</f>
        <v>161500</v>
      </c>
      <c r="G50" s="146">
        <f t="shared" si="3"/>
        <v>169000</v>
      </c>
    </row>
    <row r="51" spans="3:7" s="113" customFormat="1" ht="15.75" customHeight="1" x14ac:dyDescent="0.25">
      <c r="C51" s="144" t="s">
        <v>412</v>
      </c>
      <c r="D51" s="143">
        <v>0</v>
      </c>
      <c r="E51" s="77">
        <f>10000+5000</f>
        <v>15000</v>
      </c>
      <c r="F51" s="77">
        <f>6000+10000+7000</f>
        <v>23000</v>
      </c>
      <c r="G51" s="140">
        <f t="shared" si="3"/>
        <v>38000</v>
      </c>
    </row>
    <row r="52" spans="3:7" s="113" customFormat="1" ht="32.25" customHeight="1" x14ac:dyDescent="0.25">
      <c r="C52" s="144" t="s">
        <v>411</v>
      </c>
      <c r="D52" s="143">
        <v>0</v>
      </c>
      <c r="E52" s="143">
        <f>5000</f>
        <v>5000</v>
      </c>
      <c r="F52" s="143">
        <v>5000</v>
      </c>
      <c r="G52" s="140">
        <f t="shared" si="3"/>
        <v>10000</v>
      </c>
    </row>
    <row r="53" spans="3:7" s="115" customFormat="1" x14ac:dyDescent="0.25">
      <c r="C53" s="145" t="s">
        <v>410</v>
      </c>
      <c r="D53" s="143">
        <v>0</v>
      </c>
      <c r="E53" s="143">
        <f>30000+8000</f>
        <v>38000</v>
      </c>
      <c r="F53" s="143">
        <f>8000+23000</f>
        <v>31000</v>
      </c>
      <c r="G53" s="140">
        <f t="shared" si="3"/>
        <v>69000</v>
      </c>
    </row>
    <row r="54" spans="3:7" s="113" customFormat="1" x14ac:dyDescent="0.25">
      <c r="C54" s="144" t="s">
        <v>409</v>
      </c>
      <c r="D54" s="143">
        <v>0</v>
      </c>
      <c r="E54" s="143">
        <f>15000+2000</f>
        <v>17000</v>
      </c>
      <c r="F54" s="143">
        <f>2000+3000+7500</f>
        <v>12500</v>
      </c>
      <c r="G54" s="140">
        <f t="shared" si="3"/>
        <v>29500</v>
      </c>
    </row>
    <row r="55" spans="3:7" s="113" customFormat="1" x14ac:dyDescent="0.25">
      <c r="C55" s="144" t="s">
        <v>408</v>
      </c>
      <c r="D55" s="143">
        <v>0</v>
      </c>
      <c r="E55" s="143">
        <v>13000</v>
      </c>
      <c r="F55" s="143">
        <v>8000</v>
      </c>
      <c r="G55" s="140">
        <f t="shared" si="3"/>
        <v>21000</v>
      </c>
    </row>
    <row r="56" spans="3:7" s="113" customFormat="1" x14ac:dyDescent="0.25">
      <c r="C56" s="144" t="s">
        <v>407</v>
      </c>
      <c r="D56" s="143">
        <v>0</v>
      </c>
      <c r="E56" s="143">
        <v>3000</v>
      </c>
      <c r="F56" s="143">
        <f>3001+15000</f>
        <v>18001</v>
      </c>
      <c r="G56" s="140">
        <f t="shared" si="3"/>
        <v>21001</v>
      </c>
    </row>
    <row r="57" spans="3:7" s="113" customFormat="1" ht="21" customHeight="1" x14ac:dyDescent="0.25">
      <c r="C57" s="142" t="s">
        <v>414</v>
      </c>
      <c r="D57" s="141">
        <f>SUM(D50:D56)</f>
        <v>0</v>
      </c>
      <c r="E57" s="141">
        <f>SUM(E50:E56)</f>
        <v>98500</v>
      </c>
      <c r="F57" s="141">
        <f>SUM(F50:F56)</f>
        <v>259001</v>
      </c>
      <c r="G57" s="140">
        <f t="shared" si="3"/>
        <v>357501</v>
      </c>
    </row>
    <row r="58" spans="3:7" s="115" customFormat="1" ht="22.5" customHeight="1" x14ac:dyDescent="0.25">
      <c r="C58" s="156"/>
      <c r="D58" s="154"/>
      <c r="E58" s="154"/>
      <c r="F58" s="154"/>
      <c r="G58" s="153"/>
    </row>
    <row r="59" spans="3:7" s="113" customFormat="1" x14ac:dyDescent="0.25">
      <c r="C59" s="1809" t="s">
        <v>421</v>
      </c>
      <c r="D59" s="1810"/>
      <c r="E59" s="1810"/>
      <c r="F59" s="1810"/>
      <c r="G59" s="1811"/>
    </row>
    <row r="60" spans="3:7" s="113" customFormat="1" ht="24" customHeight="1" thickBot="1" x14ac:dyDescent="0.3">
      <c r="C60" s="152" t="s">
        <v>417</v>
      </c>
      <c r="D60" s="151">
        <f>'[2]1) Budget Table'!D66</f>
        <v>240000</v>
      </c>
      <c r="E60" s="151">
        <f>'[2]1) Budget Table'!E66</f>
        <v>114000</v>
      </c>
      <c r="F60" s="151">
        <f>'[2]1) Budget Table'!F66</f>
        <v>57500</v>
      </c>
      <c r="G60" s="150">
        <f t="shared" ref="G60:G68" si="4">SUM(D60:F60)</f>
        <v>411500</v>
      </c>
    </row>
    <row r="61" spans="3:7" s="113" customFormat="1" ht="15.75" customHeight="1" x14ac:dyDescent="0.25">
      <c r="C61" s="149" t="s">
        <v>413</v>
      </c>
      <c r="D61" s="148">
        <v>0</v>
      </c>
      <c r="E61" s="147">
        <v>30000</v>
      </c>
      <c r="F61" s="147">
        <v>0</v>
      </c>
      <c r="G61" s="146">
        <f t="shared" si="4"/>
        <v>30000</v>
      </c>
    </row>
    <row r="62" spans="3:7" s="113" customFormat="1" ht="15.75" customHeight="1" x14ac:dyDescent="0.25">
      <c r="C62" s="144" t="s">
        <v>412</v>
      </c>
      <c r="D62" s="143">
        <f>10000+15000</f>
        <v>25000</v>
      </c>
      <c r="E62" s="77">
        <v>15000</v>
      </c>
      <c r="F62" s="77">
        <v>5000</v>
      </c>
      <c r="G62" s="140">
        <f t="shared" si="4"/>
        <v>45000</v>
      </c>
    </row>
    <row r="63" spans="3:7" s="113" customFormat="1" ht="15.75" customHeight="1" x14ac:dyDescent="0.25">
      <c r="C63" s="144" t="s">
        <v>411</v>
      </c>
      <c r="D63" s="143">
        <v>0</v>
      </c>
      <c r="E63" s="143">
        <v>0</v>
      </c>
      <c r="F63" s="143">
        <v>3000</v>
      </c>
      <c r="G63" s="140">
        <f t="shared" si="4"/>
        <v>3000</v>
      </c>
    </row>
    <row r="64" spans="3:7" s="113" customFormat="1" ht="18.75" customHeight="1" x14ac:dyDescent="0.25">
      <c r="C64" s="145" t="s">
        <v>410</v>
      </c>
      <c r="D64" s="143">
        <f>95000+100000</f>
        <v>195000</v>
      </c>
      <c r="E64" s="143">
        <v>49000</v>
      </c>
      <c r="F64" s="143">
        <v>32000</v>
      </c>
      <c r="G64" s="140">
        <f t="shared" si="4"/>
        <v>276000</v>
      </c>
    </row>
    <row r="65" spans="2:7" s="113" customFormat="1" x14ac:dyDescent="0.25">
      <c r="C65" s="144" t="s">
        <v>409</v>
      </c>
      <c r="D65" s="143">
        <v>5000</v>
      </c>
      <c r="E65" s="143">
        <v>2000</v>
      </c>
      <c r="F65" s="143">
        <v>17500</v>
      </c>
      <c r="G65" s="140">
        <f t="shared" si="4"/>
        <v>24500</v>
      </c>
    </row>
    <row r="66" spans="2:7" s="115" customFormat="1" ht="21.75" customHeight="1" x14ac:dyDescent="0.25">
      <c r="B66" s="113"/>
      <c r="C66" s="144" t="s">
        <v>408</v>
      </c>
      <c r="D66" s="143">
        <v>0</v>
      </c>
      <c r="E66" s="143">
        <v>15000</v>
      </c>
      <c r="F66" s="143">
        <v>0</v>
      </c>
      <c r="G66" s="140">
        <f t="shared" si="4"/>
        <v>15000</v>
      </c>
    </row>
    <row r="67" spans="2:7" s="115" customFormat="1" x14ac:dyDescent="0.25">
      <c r="B67" s="113"/>
      <c r="C67" s="144" t="s">
        <v>407</v>
      </c>
      <c r="D67" s="143">
        <f>7000+8000</f>
        <v>15000</v>
      </c>
      <c r="E67" s="143">
        <v>3000</v>
      </c>
      <c r="F67" s="143">
        <v>0</v>
      </c>
      <c r="G67" s="140">
        <f t="shared" si="4"/>
        <v>18000</v>
      </c>
    </row>
    <row r="68" spans="2:7" s="113" customFormat="1" x14ac:dyDescent="0.25">
      <c r="C68" s="142" t="s">
        <v>414</v>
      </c>
      <c r="D68" s="141">
        <f>SUM(D61:D67)</f>
        <v>240000</v>
      </c>
      <c r="E68" s="141">
        <f>SUM(E61:E67)</f>
        <v>114000</v>
      </c>
      <c r="F68" s="141">
        <f>SUM(F61:F67)</f>
        <v>57500</v>
      </c>
      <c r="G68" s="140">
        <f t="shared" si="4"/>
        <v>411500</v>
      </c>
    </row>
    <row r="69" spans="2:7" s="115" customFormat="1" x14ac:dyDescent="0.25">
      <c r="C69" s="155"/>
      <c r="D69" s="154"/>
      <c r="E69" s="154"/>
      <c r="F69" s="154"/>
      <c r="G69" s="153"/>
    </row>
    <row r="70" spans="2:7" s="113" customFormat="1" x14ac:dyDescent="0.25">
      <c r="B70" s="115"/>
      <c r="C70" s="1809" t="s">
        <v>335</v>
      </c>
      <c r="D70" s="1810"/>
      <c r="E70" s="1810"/>
      <c r="F70" s="1810"/>
      <c r="G70" s="1811"/>
    </row>
    <row r="71" spans="2:7" s="113" customFormat="1" ht="21.75" customHeight="1" thickBot="1" x14ac:dyDescent="0.3">
      <c r="C71" s="152" t="s">
        <v>417</v>
      </c>
      <c r="D71" s="151">
        <f>'[2]1) Budget Table'!D76</f>
        <v>0</v>
      </c>
      <c r="E71" s="151">
        <f>'[2]1) Budget Table'!E76</f>
        <v>0</v>
      </c>
      <c r="F71" s="151">
        <f>'[2]1) Budget Table'!F76</f>
        <v>0</v>
      </c>
      <c r="G71" s="150">
        <f t="shared" ref="G71:G79" si="5">SUM(D71:F71)</f>
        <v>0</v>
      </c>
    </row>
    <row r="72" spans="2:7" s="113" customFormat="1" ht="15.75" customHeight="1" x14ac:dyDescent="0.25">
      <c r="C72" s="149" t="s">
        <v>413</v>
      </c>
      <c r="D72" s="148"/>
      <c r="E72" s="147"/>
      <c r="F72" s="147"/>
      <c r="G72" s="146">
        <f t="shared" si="5"/>
        <v>0</v>
      </c>
    </row>
    <row r="73" spans="2:7" s="113" customFormat="1" ht="15.75" customHeight="1" x14ac:dyDescent="0.25">
      <c r="C73" s="144" t="s">
        <v>412</v>
      </c>
      <c r="D73" s="143"/>
      <c r="E73" s="77"/>
      <c r="F73" s="77"/>
      <c r="G73" s="140">
        <f t="shared" si="5"/>
        <v>0</v>
      </c>
    </row>
    <row r="74" spans="2:7" s="113" customFormat="1" ht="15.75" customHeight="1" x14ac:dyDescent="0.25">
      <c r="C74" s="144" t="s">
        <v>411</v>
      </c>
      <c r="D74" s="143"/>
      <c r="E74" s="143"/>
      <c r="F74" s="143"/>
      <c r="G74" s="140">
        <f t="shared" si="5"/>
        <v>0</v>
      </c>
    </row>
    <row r="75" spans="2:7" s="113" customFormat="1" x14ac:dyDescent="0.25">
      <c r="C75" s="145" t="s">
        <v>410</v>
      </c>
      <c r="D75" s="143"/>
      <c r="E75" s="143"/>
      <c r="F75" s="143"/>
      <c r="G75" s="140">
        <f t="shared" si="5"/>
        <v>0</v>
      </c>
    </row>
    <row r="76" spans="2:7" s="113" customFormat="1" x14ac:dyDescent="0.25">
      <c r="C76" s="144" t="s">
        <v>409</v>
      </c>
      <c r="D76" s="143"/>
      <c r="E76" s="143"/>
      <c r="F76" s="143"/>
      <c r="G76" s="140">
        <f t="shared" si="5"/>
        <v>0</v>
      </c>
    </row>
    <row r="77" spans="2:7" s="113" customFormat="1" x14ac:dyDescent="0.25">
      <c r="C77" s="144" t="s">
        <v>408</v>
      </c>
      <c r="D77" s="143"/>
      <c r="E77" s="143"/>
      <c r="F77" s="143"/>
      <c r="G77" s="140">
        <f t="shared" si="5"/>
        <v>0</v>
      </c>
    </row>
    <row r="78" spans="2:7" s="113" customFormat="1" x14ac:dyDescent="0.25">
      <c r="C78" s="144" t="s">
        <v>407</v>
      </c>
      <c r="D78" s="143"/>
      <c r="E78" s="143"/>
      <c r="F78" s="143"/>
      <c r="G78" s="140">
        <f t="shared" si="5"/>
        <v>0</v>
      </c>
    </row>
    <row r="79" spans="2:7" s="113" customFormat="1" x14ac:dyDescent="0.25">
      <c r="C79" s="142" t="s">
        <v>414</v>
      </c>
      <c r="D79" s="141">
        <f>SUM(D72:D78)</f>
        <v>0</v>
      </c>
      <c r="E79" s="141">
        <f>SUM(E72:E78)</f>
        <v>0</v>
      </c>
      <c r="F79" s="141">
        <f>SUM(F72:F78)</f>
        <v>0</v>
      </c>
      <c r="G79" s="140">
        <f t="shared" si="5"/>
        <v>0</v>
      </c>
    </row>
    <row r="80" spans="2:7" s="115" customFormat="1" x14ac:dyDescent="0.25">
      <c r="C80" s="155"/>
      <c r="D80" s="154"/>
      <c r="E80" s="154"/>
      <c r="F80" s="154"/>
      <c r="G80" s="153"/>
    </row>
    <row r="81" spans="2:7" s="113" customFormat="1" x14ac:dyDescent="0.25">
      <c r="C81" s="1809" t="s">
        <v>326</v>
      </c>
      <c r="D81" s="1810"/>
      <c r="E81" s="1810"/>
      <c r="F81" s="1810"/>
      <c r="G81" s="1811"/>
    </row>
    <row r="82" spans="2:7" s="113" customFormat="1" ht="21.75" customHeight="1" thickBot="1" x14ac:dyDescent="0.3">
      <c r="B82" s="115"/>
      <c r="C82" s="152" t="s">
        <v>417</v>
      </c>
      <c r="D82" s="151">
        <f>'[2]1) Budget Table'!D86</f>
        <v>0</v>
      </c>
      <c r="E82" s="151">
        <f>'[2]1) Budget Table'!E86</f>
        <v>0</v>
      </c>
      <c r="F82" s="151">
        <f>'[2]1) Budget Table'!F86</f>
        <v>0</v>
      </c>
      <c r="G82" s="150">
        <f t="shared" ref="G82:G90" si="6">SUM(D82:F82)</f>
        <v>0</v>
      </c>
    </row>
    <row r="83" spans="2:7" s="113" customFormat="1" ht="18" customHeight="1" x14ac:dyDescent="0.25">
      <c r="C83" s="149" t="s">
        <v>413</v>
      </c>
      <c r="D83" s="148"/>
      <c r="E83" s="147"/>
      <c r="F83" s="147"/>
      <c r="G83" s="146">
        <f t="shared" si="6"/>
        <v>0</v>
      </c>
    </row>
    <row r="84" spans="2:7" s="113" customFormat="1" ht="15.75" customHeight="1" x14ac:dyDescent="0.25">
      <c r="C84" s="144" t="s">
        <v>412</v>
      </c>
      <c r="D84" s="143"/>
      <c r="E84" s="77"/>
      <c r="F84" s="77"/>
      <c r="G84" s="140">
        <f t="shared" si="6"/>
        <v>0</v>
      </c>
    </row>
    <row r="85" spans="2:7" s="115" customFormat="1" ht="15.75" customHeight="1" x14ac:dyDescent="0.25">
      <c r="B85" s="113"/>
      <c r="C85" s="144" t="s">
        <v>411</v>
      </c>
      <c r="D85" s="143"/>
      <c r="E85" s="143"/>
      <c r="F85" s="143"/>
      <c r="G85" s="140">
        <f t="shared" si="6"/>
        <v>0</v>
      </c>
    </row>
    <row r="86" spans="2:7" s="113" customFormat="1" x14ac:dyDescent="0.25">
      <c r="B86" s="115"/>
      <c r="C86" s="145" t="s">
        <v>410</v>
      </c>
      <c r="D86" s="143"/>
      <c r="E86" s="143"/>
      <c r="F86" s="143"/>
      <c r="G86" s="140">
        <f t="shared" si="6"/>
        <v>0</v>
      </c>
    </row>
    <row r="87" spans="2:7" s="113" customFormat="1" x14ac:dyDescent="0.25">
      <c r="B87" s="115"/>
      <c r="C87" s="144" t="s">
        <v>409</v>
      </c>
      <c r="D87" s="143"/>
      <c r="E87" s="143"/>
      <c r="F87" s="143"/>
      <c r="G87" s="140">
        <f t="shared" si="6"/>
        <v>0</v>
      </c>
    </row>
    <row r="88" spans="2:7" s="113" customFormat="1" x14ac:dyDescent="0.25">
      <c r="B88" s="115"/>
      <c r="C88" s="144" t="s">
        <v>408</v>
      </c>
      <c r="D88" s="143"/>
      <c r="E88" s="143"/>
      <c r="F88" s="143"/>
      <c r="G88" s="140">
        <f t="shared" si="6"/>
        <v>0</v>
      </c>
    </row>
    <row r="89" spans="2:7" s="113" customFormat="1" x14ac:dyDescent="0.25">
      <c r="C89" s="144" t="s">
        <v>407</v>
      </c>
      <c r="D89" s="143"/>
      <c r="E89" s="143"/>
      <c r="F89" s="143"/>
      <c r="G89" s="140">
        <f t="shared" si="6"/>
        <v>0</v>
      </c>
    </row>
    <row r="90" spans="2:7" s="113" customFormat="1" x14ac:dyDescent="0.25">
      <c r="C90" s="142" t="s">
        <v>414</v>
      </c>
      <c r="D90" s="141">
        <f>SUM(D83:D89)</f>
        <v>0</v>
      </c>
      <c r="E90" s="141">
        <f>SUM(E83:E89)</f>
        <v>0</v>
      </c>
      <c r="F90" s="141">
        <f>SUM(F83:F89)</f>
        <v>0</v>
      </c>
      <c r="G90" s="140">
        <f t="shared" si="6"/>
        <v>0</v>
      </c>
    </row>
    <row r="91" spans="2:7" s="115" customFormat="1" x14ac:dyDescent="0.25">
      <c r="C91" s="155"/>
      <c r="D91" s="154"/>
      <c r="E91" s="154"/>
      <c r="F91" s="154"/>
      <c r="G91" s="153"/>
    </row>
    <row r="92" spans="2:7" s="113" customFormat="1" x14ac:dyDescent="0.25">
      <c r="C92" s="1809" t="s">
        <v>317</v>
      </c>
      <c r="D92" s="1810"/>
      <c r="E92" s="1810"/>
      <c r="F92" s="1810"/>
      <c r="G92" s="1811"/>
    </row>
    <row r="93" spans="2:7" s="113" customFormat="1" ht="21.75" customHeight="1" thickBot="1" x14ac:dyDescent="0.3">
      <c r="C93" s="152" t="s">
        <v>417</v>
      </c>
      <c r="D93" s="151">
        <f>'[2]1) Budget Table'!D96</f>
        <v>0</v>
      </c>
      <c r="E93" s="151">
        <f>'[2]1) Budget Table'!E96</f>
        <v>0</v>
      </c>
      <c r="F93" s="151">
        <f>'[2]1) Budget Table'!F96</f>
        <v>0</v>
      </c>
      <c r="G93" s="150">
        <f t="shared" ref="G93:G101" si="7">SUM(D93:F93)</f>
        <v>0</v>
      </c>
    </row>
    <row r="94" spans="2:7" s="113" customFormat="1" ht="15.75" customHeight="1" x14ac:dyDescent="0.25">
      <c r="C94" s="149" t="s">
        <v>413</v>
      </c>
      <c r="D94" s="148"/>
      <c r="E94" s="147"/>
      <c r="F94" s="147"/>
      <c r="G94" s="146">
        <f t="shared" si="7"/>
        <v>0</v>
      </c>
    </row>
    <row r="95" spans="2:7" s="113" customFormat="1" ht="15.75" customHeight="1" x14ac:dyDescent="0.25">
      <c r="B95" s="115"/>
      <c r="C95" s="144" t="s">
        <v>412</v>
      </c>
      <c r="D95" s="143"/>
      <c r="E95" s="77"/>
      <c r="F95" s="77"/>
      <c r="G95" s="140">
        <f t="shared" si="7"/>
        <v>0</v>
      </c>
    </row>
    <row r="96" spans="2:7" s="113" customFormat="1" ht="15.75" customHeight="1" x14ac:dyDescent="0.25">
      <c r="C96" s="144" t="s">
        <v>411</v>
      </c>
      <c r="D96" s="143"/>
      <c r="E96" s="143"/>
      <c r="F96" s="143"/>
      <c r="G96" s="140">
        <f t="shared" si="7"/>
        <v>0</v>
      </c>
    </row>
    <row r="97" spans="2:7" s="113" customFormat="1" x14ac:dyDescent="0.25">
      <c r="C97" s="145" t="s">
        <v>410</v>
      </c>
      <c r="D97" s="143"/>
      <c r="E97" s="143"/>
      <c r="F97" s="143"/>
      <c r="G97" s="140">
        <f t="shared" si="7"/>
        <v>0</v>
      </c>
    </row>
    <row r="98" spans="2:7" s="113" customFormat="1" x14ac:dyDescent="0.25">
      <c r="C98" s="144" t="s">
        <v>409</v>
      </c>
      <c r="D98" s="143"/>
      <c r="E98" s="143"/>
      <c r="F98" s="143"/>
      <c r="G98" s="140">
        <f t="shared" si="7"/>
        <v>0</v>
      </c>
    </row>
    <row r="99" spans="2:7" s="113" customFormat="1" ht="25.5" customHeight="1" x14ac:dyDescent="0.25">
      <c r="C99" s="144" t="s">
        <v>408</v>
      </c>
      <c r="D99" s="143"/>
      <c r="E99" s="143"/>
      <c r="F99" s="143"/>
      <c r="G99" s="140">
        <f t="shared" si="7"/>
        <v>0</v>
      </c>
    </row>
    <row r="100" spans="2:7" s="113" customFormat="1" x14ac:dyDescent="0.25">
      <c r="B100" s="115"/>
      <c r="C100" s="144" t="s">
        <v>407</v>
      </c>
      <c r="D100" s="143"/>
      <c r="E100" s="143"/>
      <c r="F100" s="143"/>
      <c r="G100" s="140">
        <f t="shared" si="7"/>
        <v>0</v>
      </c>
    </row>
    <row r="101" spans="2:7" s="113" customFormat="1" ht="15.75" customHeight="1" x14ac:dyDescent="0.25">
      <c r="C101" s="142" t="s">
        <v>414</v>
      </c>
      <c r="D101" s="141">
        <f>SUM(D94:D100)</f>
        <v>0</v>
      </c>
      <c r="E101" s="141">
        <f>SUM(E94:E100)</f>
        <v>0</v>
      </c>
      <c r="F101" s="141">
        <f>SUM(F94:F100)</f>
        <v>0</v>
      </c>
      <c r="G101" s="140">
        <f t="shared" si="7"/>
        <v>0</v>
      </c>
    </row>
    <row r="102" spans="2:7" s="113" customFormat="1" ht="25.5" customHeight="1" x14ac:dyDescent="0.25">
      <c r="D102" s="114"/>
      <c r="E102" s="114"/>
      <c r="F102" s="114"/>
      <c r="G102" s="114"/>
    </row>
    <row r="103" spans="2:7" s="113" customFormat="1" x14ac:dyDescent="0.25">
      <c r="B103" s="1809" t="s">
        <v>420</v>
      </c>
      <c r="C103" s="1810"/>
      <c r="D103" s="1810"/>
      <c r="E103" s="1810"/>
      <c r="F103" s="1810"/>
      <c r="G103" s="1811"/>
    </row>
    <row r="104" spans="2:7" s="113" customFormat="1" x14ac:dyDescent="0.25">
      <c r="C104" s="1809" t="s">
        <v>307</v>
      </c>
      <c r="D104" s="1810"/>
      <c r="E104" s="1810"/>
      <c r="F104" s="1810"/>
      <c r="G104" s="1811"/>
    </row>
    <row r="105" spans="2:7" s="113" customFormat="1" ht="22.5" customHeight="1" thickBot="1" x14ac:dyDescent="0.3">
      <c r="C105" s="152" t="s">
        <v>417</v>
      </c>
      <c r="D105" s="151">
        <f>'[2]1) Budget Table'!D108</f>
        <v>0</v>
      </c>
      <c r="E105" s="151">
        <f>'[2]1) Budget Table'!E108</f>
        <v>0</v>
      </c>
      <c r="F105" s="151">
        <f>'[2]1) Budget Table'!F108</f>
        <v>0</v>
      </c>
      <c r="G105" s="150">
        <f t="shared" ref="G105:G113" si="8">SUM(D105:F105)</f>
        <v>0</v>
      </c>
    </row>
    <row r="106" spans="2:7" s="113" customFormat="1" x14ac:dyDescent="0.25">
      <c r="C106" s="149" t="s">
        <v>413</v>
      </c>
      <c r="D106" s="148"/>
      <c r="E106" s="147"/>
      <c r="F106" s="147"/>
      <c r="G106" s="146">
        <f t="shared" si="8"/>
        <v>0</v>
      </c>
    </row>
    <row r="107" spans="2:7" s="113" customFormat="1" x14ac:dyDescent="0.25">
      <c r="C107" s="144" t="s">
        <v>412</v>
      </c>
      <c r="D107" s="143"/>
      <c r="E107" s="77"/>
      <c r="F107" s="77"/>
      <c r="G107" s="140">
        <f t="shared" si="8"/>
        <v>0</v>
      </c>
    </row>
    <row r="108" spans="2:7" s="113" customFormat="1" ht="15.75" customHeight="1" x14ac:dyDescent="0.25">
      <c r="C108" s="144" t="s">
        <v>411</v>
      </c>
      <c r="D108" s="143"/>
      <c r="E108" s="143"/>
      <c r="F108" s="143"/>
      <c r="G108" s="140">
        <f t="shared" si="8"/>
        <v>0</v>
      </c>
    </row>
    <row r="109" spans="2:7" s="113" customFormat="1" x14ac:dyDescent="0.25">
      <c r="C109" s="145" t="s">
        <v>410</v>
      </c>
      <c r="D109" s="143"/>
      <c r="E109" s="143"/>
      <c r="F109" s="143"/>
      <c r="G109" s="140">
        <f t="shared" si="8"/>
        <v>0</v>
      </c>
    </row>
    <row r="110" spans="2:7" s="113" customFormat="1" x14ac:dyDescent="0.25">
      <c r="C110" s="144" t="s">
        <v>409</v>
      </c>
      <c r="D110" s="143"/>
      <c r="E110" s="143"/>
      <c r="F110" s="143"/>
      <c r="G110" s="140">
        <f t="shared" si="8"/>
        <v>0</v>
      </c>
    </row>
    <row r="111" spans="2:7" s="113" customFormat="1" x14ac:dyDescent="0.25">
      <c r="C111" s="144" t="s">
        <v>408</v>
      </c>
      <c r="D111" s="143"/>
      <c r="E111" s="143"/>
      <c r="F111" s="143"/>
      <c r="G111" s="140">
        <f t="shared" si="8"/>
        <v>0</v>
      </c>
    </row>
    <row r="112" spans="2:7" s="113" customFormat="1" x14ac:dyDescent="0.25">
      <c r="C112" s="144" t="s">
        <v>407</v>
      </c>
      <c r="D112" s="143"/>
      <c r="E112" s="143"/>
      <c r="F112" s="143"/>
      <c r="G112" s="140">
        <f t="shared" si="8"/>
        <v>0</v>
      </c>
    </row>
    <row r="113" spans="3:7" s="113" customFormat="1" x14ac:dyDescent="0.25">
      <c r="C113" s="142" t="s">
        <v>414</v>
      </c>
      <c r="D113" s="141">
        <f>SUM(D106:D112)</f>
        <v>0</v>
      </c>
      <c r="E113" s="141">
        <f>SUM(E106:E112)</f>
        <v>0</v>
      </c>
      <c r="F113" s="141">
        <f>SUM(F106:F112)</f>
        <v>0</v>
      </c>
      <c r="G113" s="140">
        <f t="shared" si="8"/>
        <v>0</v>
      </c>
    </row>
    <row r="114" spans="3:7" s="115" customFormat="1" x14ac:dyDescent="0.25">
      <c r="C114" s="155"/>
      <c r="D114" s="154"/>
      <c r="E114" s="154"/>
      <c r="F114" s="154"/>
      <c r="G114" s="153"/>
    </row>
    <row r="115" spans="3:7" s="113" customFormat="1" ht="15.75" customHeight="1" x14ac:dyDescent="0.25">
      <c r="C115" s="1809" t="s">
        <v>419</v>
      </c>
      <c r="D115" s="1810"/>
      <c r="E115" s="1810"/>
      <c r="F115" s="1810"/>
      <c r="G115" s="1811"/>
    </row>
    <row r="116" spans="3:7" s="113" customFormat="1" ht="21.75" customHeight="1" thickBot="1" x14ac:dyDescent="0.3">
      <c r="C116" s="152" t="s">
        <v>417</v>
      </c>
      <c r="D116" s="151">
        <f>'[2]1) Budget Table'!D118</f>
        <v>0</v>
      </c>
      <c r="E116" s="151">
        <f>'[2]1) Budget Table'!E118</f>
        <v>0</v>
      </c>
      <c r="F116" s="151">
        <f>'[2]1) Budget Table'!F118</f>
        <v>0</v>
      </c>
      <c r="G116" s="150">
        <f t="shared" ref="G116:G124" si="9">SUM(D116:F116)</f>
        <v>0</v>
      </c>
    </row>
    <row r="117" spans="3:7" s="113" customFormat="1" x14ac:dyDescent="0.25">
      <c r="C117" s="149" t="s">
        <v>413</v>
      </c>
      <c r="D117" s="148"/>
      <c r="E117" s="147"/>
      <c r="F117" s="147"/>
      <c r="G117" s="146">
        <f t="shared" si="9"/>
        <v>0</v>
      </c>
    </row>
    <row r="118" spans="3:7" s="113" customFormat="1" x14ac:dyDescent="0.25">
      <c r="C118" s="144" t="s">
        <v>412</v>
      </c>
      <c r="D118" s="143"/>
      <c r="E118" s="77"/>
      <c r="F118" s="77"/>
      <c r="G118" s="140">
        <f t="shared" si="9"/>
        <v>0</v>
      </c>
    </row>
    <row r="119" spans="3:7" s="113" customFormat="1" ht="31.5" x14ac:dyDescent="0.25">
      <c r="C119" s="144" t="s">
        <v>411</v>
      </c>
      <c r="D119" s="143"/>
      <c r="E119" s="143"/>
      <c r="F119" s="143"/>
      <c r="G119" s="140">
        <f t="shared" si="9"/>
        <v>0</v>
      </c>
    </row>
    <row r="120" spans="3:7" s="113" customFormat="1" x14ac:dyDescent="0.25">
      <c r="C120" s="145" t="s">
        <v>410</v>
      </c>
      <c r="D120" s="143"/>
      <c r="E120" s="143"/>
      <c r="F120" s="143"/>
      <c r="G120" s="140">
        <f t="shared" si="9"/>
        <v>0</v>
      </c>
    </row>
    <row r="121" spans="3:7" s="113" customFormat="1" x14ac:dyDescent="0.25">
      <c r="C121" s="144" t="s">
        <v>409</v>
      </c>
      <c r="D121" s="143"/>
      <c r="E121" s="143"/>
      <c r="F121" s="143"/>
      <c r="G121" s="140">
        <f t="shared" si="9"/>
        <v>0</v>
      </c>
    </row>
    <row r="122" spans="3:7" s="113" customFormat="1" x14ac:dyDescent="0.25">
      <c r="C122" s="144" t="s">
        <v>408</v>
      </c>
      <c r="D122" s="143"/>
      <c r="E122" s="143"/>
      <c r="F122" s="143"/>
      <c r="G122" s="140">
        <f t="shared" si="9"/>
        <v>0</v>
      </c>
    </row>
    <row r="123" spans="3:7" s="113" customFormat="1" x14ac:dyDescent="0.25">
      <c r="C123" s="144" t="s">
        <v>407</v>
      </c>
      <c r="D123" s="143"/>
      <c r="E123" s="143"/>
      <c r="F123" s="143"/>
      <c r="G123" s="140">
        <f t="shared" si="9"/>
        <v>0</v>
      </c>
    </row>
    <row r="124" spans="3:7" s="113" customFormat="1" x14ac:dyDescent="0.25">
      <c r="C124" s="142" t="s">
        <v>414</v>
      </c>
      <c r="D124" s="141">
        <f>SUM(D117:D123)</f>
        <v>0</v>
      </c>
      <c r="E124" s="141">
        <f>SUM(E117:E123)</f>
        <v>0</v>
      </c>
      <c r="F124" s="141">
        <f>SUM(F117:F123)</f>
        <v>0</v>
      </c>
      <c r="G124" s="140">
        <f t="shared" si="9"/>
        <v>0</v>
      </c>
    </row>
    <row r="125" spans="3:7" s="115" customFormat="1" x14ac:dyDescent="0.25">
      <c r="C125" s="155"/>
      <c r="D125" s="154"/>
      <c r="E125" s="154"/>
      <c r="F125" s="154"/>
      <c r="G125" s="153"/>
    </row>
    <row r="126" spans="3:7" s="113" customFormat="1" x14ac:dyDescent="0.25">
      <c r="C126" s="1809" t="s">
        <v>289</v>
      </c>
      <c r="D126" s="1810"/>
      <c r="E126" s="1810"/>
      <c r="F126" s="1810"/>
      <c r="G126" s="1811"/>
    </row>
    <row r="127" spans="3:7" s="113" customFormat="1" ht="21" customHeight="1" thickBot="1" x14ac:dyDescent="0.3">
      <c r="C127" s="152" t="s">
        <v>417</v>
      </c>
      <c r="D127" s="151">
        <f>'[2]1) Budget Table'!D128</f>
        <v>0</v>
      </c>
      <c r="E127" s="151">
        <f>'[2]1) Budget Table'!E128</f>
        <v>0</v>
      </c>
      <c r="F127" s="151">
        <f>'[2]1) Budget Table'!F128</f>
        <v>0</v>
      </c>
      <c r="G127" s="150">
        <f t="shared" ref="G127:G135" si="10">SUM(D127:F127)</f>
        <v>0</v>
      </c>
    </row>
    <row r="128" spans="3:7" s="113" customFormat="1" x14ac:dyDescent="0.25">
      <c r="C128" s="149" t="s">
        <v>413</v>
      </c>
      <c r="D128" s="148"/>
      <c r="E128" s="147"/>
      <c r="F128" s="147"/>
      <c r="G128" s="146">
        <f t="shared" si="10"/>
        <v>0</v>
      </c>
    </row>
    <row r="129" spans="3:7" s="113" customFormat="1" x14ac:dyDescent="0.25">
      <c r="C129" s="144" t="s">
        <v>412</v>
      </c>
      <c r="D129" s="143"/>
      <c r="E129" s="77"/>
      <c r="F129" s="77"/>
      <c r="G129" s="140">
        <f t="shared" si="10"/>
        <v>0</v>
      </c>
    </row>
    <row r="130" spans="3:7" s="113" customFormat="1" ht="31.5" x14ac:dyDescent="0.25">
      <c r="C130" s="144" t="s">
        <v>411</v>
      </c>
      <c r="D130" s="143"/>
      <c r="E130" s="143"/>
      <c r="F130" s="143"/>
      <c r="G130" s="140">
        <f t="shared" si="10"/>
        <v>0</v>
      </c>
    </row>
    <row r="131" spans="3:7" s="113" customFormat="1" x14ac:dyDescent="0.25">
      <c r="C131" s="145" t="s">
        <v>410</v>
      </c>
      <c r="D131" s="143"/>
      <c r="E131" s="143"/>
      <c r="F131" s="143"/>
      <c r="G131" s="140">
        <f t="shared" si="10"/>
        <v>0</v>
      </c>
    </row>
    <row r="132" spans="3:7" s="113" customFormat="1" x14ac:dyDescent="0.25">
      <c r="C132" s="144" t="s">
        <v>409</v>
      </c>
      <c r="D132" s="143"/>
      <c r="E132" s="143"/>
      <c r="F132" s="143"/>
      <c r="G132" s="140">
        <f t="shared" si="10"/>
        <v>0</v>
      </c>
    </row>
    <row r="133" spans="3:7" s="113" customFormat="1" x14ac:dyDescent="0.25">
      <c r="C133" s="144" t="s">
        <v>408</v>
      </c>
      <c r="D133" s="143"/>
      <c r="E133" s="143"/>
      <c r="F133" s="143"/>
      <c r="G133" s="140">
        <f t="shared" si="10"/>
        <v>0</v>
      </c>
    </row>
    <row r="134" spans="3:7" s="113" customFormat="1" x14ac:dyDescent="0.25">
      <c r="C134" s="144" t="s">
        <v>407</v>
      </c>
      <c r="D134" s="143"/>
      <c r="E134" s="143"/>
      <c r="F134" s="143"/>
      <c r="G134" s="140">
        <f t="shared" si="10"/>
        <v>0</v>
      </c>
    </row>
    <row r="135" spans="3:7" s="113" customFormat="1" x14ac:dyDescent="0.25">
      <c r="C135" s="142" t="s">
        <v>414</v>
      </c>
      <c r="D135" s="141">
        <f>SUM(D128:D134)</f>
        <v>0</v>
      </c>
      <c r="E135" s="141">
        <f>SUM(E128:E134)</f>
        <v>0</v>
      </c>
      <c r="F135" s="141">
        <f>SUM(F128:F134)</f>
        <v>0</v>
      </c>
      <c r="G135" s="140">
        <f t="shared" si="10"/>
        <v>0</v>
      </c>
    </row>
    <row r="136" spans="3:7" s="115" customFormat="1" x14ac:dyDescent="0.25">
      <c r="C136" s="155"/>
      <c r="D136" s="154"/>
      <c r="E136" s="154"/>
      <c r="F136" s="154"/>
      <c r="G136" s="153"/>
    </row>
    <row r="137" spans="3:7" s="113" customFormat="1" x14ac:dyDescent="0.25">
      <c r="C137" s="1809" t="s">
        <v>280</v>
      </c>
      <c r="D137" s="1810"/>
      <c r="E137" s="1810"/>
      <c r="F137" s="1810"/>
      <c r="G137" s="1811"/>
    </row>
    <row r="138" spans="3:7" s="113" customFormat="1" ht="24" customHeight="1" thickBot="1" x14ac:dyDescent="0.3">
      <c r="C138" s="152" t="s">
        <v>417</v>
      </c>
      <c r="D138" s="151">
        <f>'[2]1) Budget Table'!D138</f>
        <v>0</v>
      </c>
      <c r="E138" s="151">
        <f>'[2]1) Budget Table'!E138</f>
        <v>0</v>
      </c>
      <c r="F138" s="151">
        <f>'[2]1) Budget Table'!F138</f>
        <v>0</v>
      </c>
      <c r="G138" s="150">
        <f t="shared" ref="G138:G146" si="11">SUM(D138:F138)</f>
        <v>0</v>
      </c>
    </row>
    <row r="139" spans="3:7" s="113" customFormat="1" ht="15.75" customHeight="1" x14ac:dyDescent="0.25">
      <c r="C139" s="149" t="s">
        <v>413</v>
      </c>
      <c r="D139" s="148"/>
      <c r="E139" s="147"/>
      <c r="F139" s="147"/>
      <c r="G139" s="146">
        <f t="shared" si="11"/>
        <v>0</v>
      </c>
    </row>
    <row r="140" spans="3:7" s="114" customFormat="1" x14ac:dyDescent="0.25">
      <c r="C140" s="144" t="s">
        <v>412</v>
      </c>
      <c r="D140" s="143"/>
      <c r="E140" s="77"/>
      <c r="F140" s="77"/>
      <c r="G140" s="140">
        <f t="shared" si="11"/>
        <v>0</v>
      </c>
    </row>
    <row r="141" spans="3:7" s="114" customFormat="1" ht="15.75" customHeight="1" x14ac:dyDescent="0.25">
      <c r="C141" s="144" t="s">
        <v>411</v>
      </c>
      <c r="D141" s="143"/>
      <c r="E141" s="143"/>
      <c r="F141" s="143"/>
      <c r="G141" s="140">
        <f t="shared" si="11"/>
        <v>0</v>
      </c>
    </row>
    <row r="142" spans="3:7" s="114" customFormat="1" x14ac:dyDescent="0.25">
      <c r="C142" s="145" t="s">
        <v>410</v>
      </c>
      <c r="D142" s="143"/>
      <c r="E142" s="143"/>
      <c r="F142" s="143"/>
      <c r="G142" s="140">
        <f t="shared" si="11"/>
        <v>0</v>
      </c>
    </row>
    <row r="143" spans="3:7" s="114" customFormat="1" x14ac:dyDescent="0.25">
      <c r="C143" s="144" t="s">
        <v>409</v>
      </c>
      <c r="D143" s="143"/>
      <c r="E143" s="143"/>
      <c r="F143" s="143"/>
      <c r="G143" s="140">
        <f t="shared" si="11"/>
        <v>0</v>
      </c>
    </row>
    <row r="144" spans="3:7" s="114" customFormat="1" ht="15.75" customHeight="1" x14ac:dyDescent="0.25">
      <c r="C144" s="144" t="s">
        <v>408</v>
      </c>
      <c r="D144" s="143"/>
      <c r="E144" s="143"/>
      <c r="F144" s="143"/>
      <c r="G144" s="140">
        <f t="shared" si="11"/>
        <v>0</v>
      </c>
    </row>
    <row r="145" spans="2:7" s="114" customFormat="1" x14ac:dyDescent="0.25">
      <c r="C145" s="144" t="s">
        <v>407</v>
      </c>
      <c r="D145" s="143"/>
      <c r="E145" s="143"/>
      <c r="F145" s="143"/>
      <c r="G145" s="140">
        <f t="shared" si="11"/>
        <v>0</v>
      </c>
    </row>
    <row r="146" spans="2:7" s="114" customFormat="1" x14ac:dyDescent="0.25">
      <c r="C146" s="142" t="s">
        <v>414</v>
      </c>
      <c r="D146" s="141">
        <f>SUM(D139:D145)</f>
        <v>0</v>
      </c>
      <c r="E146" s="141">
        <f>SUM(E139:E145)</f>
        <v>0</v>
      </c>
      <c r="F146" s="141">
        <f>SUM(F139:F145)</f>
        <v>0</v>
      </c>
      <c r="G146" s="140">
        <f t="shared" si="11"/>
        <v>0</v>
      </c>
    </row>
    <row r="147" spans="2:7" s="114" customFormat="1" x14ac:dyDescent="0.25">
      <c r="C147" s="113"/>
      <c r="D147" s="115"/>
      <c r="E147" s="115"/>
      <c r="F147" s="115"/>
      <c r="G147" s="113"/>
    </row>
    <row r="148" spans="2:7" s="114" customFormat="1" x14ac:dyDescent="0.25">
      <c r="B148" s="1809" t="s">
        <v>418</v>
      </c>
      <c r="C148" s="1810"/>
      <c r="D148" s="1810"/>
      <c r="E148" s="1810"/>
      <c r="F148" s="1810"/>
      <c r="G148" s="1811"/>
    </row>
    <row r="149" spans="2:7" s="114" customFormat="1" x14ac:dyDescent="0.25">
      <c r="B149" s="113"/>
      <c r="C149" s="1809" t="s">
        <v>270</v>
      </c>
      <c r="D149" s="1810"/>
      <c r="E149" s="1810"/>
      <c r="F149" s="1810"/>
      <c r="G149" s="1811"/>
    </row>
    <row r="150" spans="2:7" s="114" customFormat="1" ht="24" customHeight="1" thickBot="1" x14ac:dyDescent="0.3">
      <c r="B150" s="113"/>
      <c r="C150" s="152" t="s">
        <v>417</v>
      </c>
      <c r="D150" s="151">
        <f>'[2]1) Budget Table'!D150</f>
        <v>0</v>
      </c>
      <c r="E150" s="151">
        <f>'[2]1) Budget Table'!E150</f>
        <v>0</v>
      </c>
      <c r="F150" s="151">
        <f>'[2]1) Budget Table'!F150</f>
        <v>0</v>
      </c>
      <c r="G150" s="150">
        <f t="shared" ref="G150:G158" si="12">SUM(D150:F150)</f>
        <v>0</v>
      </c>
    </row>
    <row r="151" spans="2:7" s="114" customFormat="1" ht="24.75" customHeight="1" x14ac:dyDescent="0.25">
      <c r="B151" s="113"/>
      <c r="C151" s="149" t="s">
        <v>413</v>
      </c>
      <c r="D151" s="148"/>
      <c r="E151" s="147"/>
      <c r="F151" s="147"/>
      <c r="G151" s="146">
        <f t="shared" si="12"/>
        <v>0</v>
      </c>
    </row>
    <row r="152" spans="2:7" s="114" customFormat="1" ht="15.75" customHeight="1" x14ac:dyDescent="0.25">
      <c r="B152" s="113"/>
      <c r="C152" s="144" t="s">
        <v>412</v>
      </c>
      <c r="D152" s="143"/>
      <c r="E152" s="77"/>
      <c r="F152" s="77"/>
      <c r="G152" s="140">
        <f t="shared" si="12"/>
        <v>0</v>
      </c>
    </row>
    <row r="153" spans="2:7" s="114" customFormat="1" ht="15.75" customHeight="1" x14ac:dyDescent="0.25">
      <c r="B153" s="113"/>
      <c r="C153" s="144" t="s">
        <v>411</v>
      </c>
      <c r="D153" s="143"/>
      <c r="E153" s="143"/>
      <c r="F153" s="143"/>
      <c r="G153" s="140">
        <f t="shared" si="12"/>
        <v>0</v>
      </c>
    </row>
    <row r="154" spans="2:7" s="114" customFormat="1" ht="15.75" customHeight="1" x14ac:dyDescent="0.25">
      <c r="B154" s="113"/>
      <c r="C154" s="145" t="s">
        <v>410</v>
      </c>
      <c r="D154" s="143"/>
      <c r="E154" s="143"/>
      <c r="F154" s="143"/>
      <c r="G154" s="140">
        <f t="shared" si="12"/>
        <v>0</v>
      </c>
    </row>
    <row r="155" spans="2:7" s="114" customFormat="1" ht="15.75" customHeight="1" x14ac:dyDescent="0.25">
      <c r="B155" s="113"/>
      <c r="C155" s="144" t="s">
        <v>409</v>
      </c>
      <c r="D155" s="143"/>
      <c r="E155" s="143"/>
      <c r="F155" s="143"/>
      <c r="G155" s="140">
        <f t="shared" si="12"/>
        <v>0</v>
      </c>
    </row>
    <row r="156" spans="2:7" s="114" customFormat="1" ht="15.75" customHeight="1" x14ac:dyDescent="0.25">
      <c r="B156" s="113"/>
      <c r="C156" s="144" t="s">
        <v>408</v>
      </c>
      <c r="D156" s="143"/>
      <c r="E156" s="143"/>
      <c r="F156" s="143"/>
      <c r="G156" s="140">
        <f t="shared" si="12"/>
        <v>0</v>
      </c>
    </row>
    <row r="157" spans="2:7" s="114" customFormat="1" ht="15.75" customHeight="1" x14ac:dyDescent="0.25">
      <c r="B157" s="113"/>
      <c r="C157" s="144" t="s">
        <v>407</v>
      </c>
      <c r="D157" s="143"/>
      <c r="E157" s="143"/>
      <c r="F157" s="143"/>
      <c r="G157" s="140">
        <f t="shared" si="12"/>
        <v>0</v>
      </c>
    </row>
    <row r="158" spans="2:7" s="114" customFormat="1" ht="15.75" customHeight="1" x14ac:dyDescent="0.25">
      <c r="B158" s="113"/>
      <c r="C158" s="142" t="s">
        <v>414</v>
      </c>
      <c r="D158" s="141">
        <f>SUM(D151:D157)</f>
        <v>0</v>
      </c>
      <c r="E158" s="141">
        <f>SUM(E151:E157)</f>
        <v>0</v>
      </c>
      <c r="F158" s="141">
        <f>SUM(F151:F157)</f>
        <v>0</v>
      </c>
      <c r="G158" s="140">
        <f t="shared" si="12"/>
        <v>0</v>
      </c>
    </row>
    <row r="159" spans="2:7" s="115" customFormat="1" ht="15.75" customHeight="1" x14ac:dyDescent="0.25">
      <c r="C159" s="155"/>
      <c r="D159" s="154"/>
      <c r="E159" s="154"/>
      <c r="F159" s="154"/>
      <c r="G159" s="153"/>
    </row>
    <row r="160" spans="2:7" s="114" customFormat="1" ht="15.75" customHeight="1" x14ac:dyDescent="0.25">
      <c r="C160" s="1809" t="s">
        <v>261</v>
      </c>
      <c r="D160" s="1810"/>
      <c r="E160" s="1810"/>
      <c r="F160" s="1810"/>
      <c r="G160" s="1811"/>
    </row>
    <row r="161" spans="3:7" s="114" customFormat="1" ht="21" customHeight="1" thickBot="1" x14ac:dyDescent="0.3">
      <c r="C161" s="152" t="s">
        <v>417</v>
      </c>
      <c r="D161" s="151">
        <f>'[2]1) Budget Table'!D160</f>
        <v>0</v>
      </c>
      <c r="E161" s="151">
        <f>'[2]1) Budget Table'!E160</f>
        <v>0</v>
      </c>
      <c r="F161" s="151">
        <f>'[2]1) Budget Table'!F160</f>
        <v>0</v>
      </c>
      <c r="G161" s="150">
        <f t="shared" ref="G161:G169" si="13">SUM(D161:F161)</f>
        <v>0</v>
      </c>
    </row>
    <row r="162" spans="3:7" s="114" customFormat="1" ht="15.75" customHeight="1" x14ac:dyDescent="0.25">
      <c r="C162" s="149" t="s">
        <v>413</v>
      </c>
      <c r="D162" s="148"/>
      <c r="E162" s="147"/>
      <c r="F162" s="147"/>
      <c r="G162" s="146">
        <f t="shared" si="13"/>
        <v>0</v>
      </c>
    </row>
    <row r="163" spans="3:7" s="114" customFormat="1" ht="15.75" customHeight="1" x14ac:dyDescent="0.25">
      <c r="C163" s="144" t="s">
        <v>412</v>
      </c>
      <c r="D163" s="143"/>
      <c r="E163" s="77"/>
      <c r="F163" s="77"/>
      <c r="G163" s="140">
        <f t="shared" si="13"/>
        <v>0</v>
      </c>
    </row>
    <row r="164" spans="3:7" s="114" customFormat="1" ht="15.75" customHeight="1" x14ac:dyDescent="0.25">
      <c r="C164" s="144" t="s">
        <v>411</v>
      </c>
      <c r="D164" s="143"/>
      <c r="E164" s="143"/>
      <c r="F164" s="143"/>
      <c r="G164" s="140">
        <f t="shared" si="13"/>
        <v>0</v>
      </c>
    </row>
    <row r="165" spans="3:7" s="114" customFormat="1" ht="15.75" customHeight="1" x14ac:dyDescent="0.25">
      <c r="C165" s="145" t="s">
        <v>410</v>
      </c>
      <c r="D165" s="143"/>
      <c r="E165" s="143"/>
      <c r="F165" s="143"/>
      <c r="G165" s="140">
        <f t="shared" si="13"/>
        <v>0</v>
      </c>
    </row>
    <row r="166" spans="3:7" s="114" customFormat="1" ht="15.75" customHeight="1" x14ac:dyDescent="0.25">
      <c r="C166" s="144" t="s">
        <v>409</v>
      </c>
      <c r="D166" s="143"/>
      <c r="E166" s="143"/>
      <c r="F166" s="143"/>
      <c r="G166" s="140">
        <f t="shared" si="13"/>
        <v>0</v>
      </c>
    </row>
    <row r="167" spans="3:7" s="114" customFormat="1" ht="15.75" customHeight="1" x14ac:dyDescent="0.25">
      <c r="C167" s="144" t="s">
        <v>408</v>
      </c>
      <c r="D167" s="143"/>
      <c r="E167" s="143"/>
      <c r="F167" s="143"/>
      <c r="G167" s="140">
        <f t="shared" si="13"/>
        <v>0</v>
      </c>
    </row>
    <row r="168" spans="3:7" s="114" customFormat="1" ht="15.75" customHeight="1" x14ac:dyDescent="0.25">
      <c r="C168" s="144" t="s">
        <v>407</v>
      </c>
      <c r="D168" s="143"/>
      <c r="E168" s="143"/>
      <c r="F168" s="143"/>
      <c r="G168" s="140">
        <f t="shared" si="13"/>
        <v>0</v>
      </c>
    </row>
    <row r="169" spans="3:7" s="114" customFormat="1" ht="15.75" customHeight="1" x14ac:dyDescent="0.25">
      <c r="C169" s="142" t="s">
        <v>414</v>
      </c>
      <c r="D169" s="141">
        <f>SUM(D162:D168)</f>
        <v>0</v>
      </c>
      <c r="E169" s="141">
        <f>SUM(E162:E168)</f>
        <v>0</v>
      </c>
      <c r="F169" s="141">
        <f>SUM(F162:F168)</f>
        <v>0</v>
      </c>
      <c r="G169" s="140">
        <f t="shared" si="13"/>
        <v>0</v>
      </c>
    </row>
    <row r="170" spans="3:7" s="115" customFormat="1" ht="15.75" customHeight="1" x14ac:dyDescent="0.25">
      <c r="C170" s="155"/>
      <c r="D170" s="154"/>
      <c r="E170" s="154"/>
      <c r="F170" s="154"/>
      <c r="G170" s="153"/>
    </row>
    <row r="171" spans="3:7" s="114" customFormat="1" ht="15.75" customHeight="1" x14ac:dyDescent="0.25">
      <c r="C171" s="1809" t="s">
        <v>252</v>
      </c>
      <c r="D171" s="1810"/>
      <c r="E171" s="1810"/>
      <c r="F171" s="1810"/>
      <c r="G171" s="1811"/>
    </row>
    <row r="172" spans="3:7" s="114" customFormat="1" ht="19.5" customHeight="1" thickBot="1" x14ac:dyDescent="0.3">
      <c r="C172" s="152" t="s">
        <v>417</v>
      </c>
      <c r="D172" s="151">
        <f>'[2]1) Budget Table'!D170</f>
        <v>0</v>
      </c>
      <c r="E172" s="151">
        <f>'[2]1) Budget Table'!E170</f>
        <v>0</v>
      </c>
      <c r="F172" s="151">
        <f>'[2]1) Budget Table'!F170</f>
        <v>0</v>
      </c>
      <c r="G172" s="150">
        <f t="shared" ref="G172:G180" si="14">SUM(D172:F172)</f>
        <v>0</v>
      </c>
    </row>
    <row r="173" spans="3:7" s="114" customFormat="1" ht="15.75" customHeight="1" x14ac:dyDescent="0.25">
      <c r="C173" s="149" t="s">
        <v>413</v>
      </c>
      <c r="D173" s="148"/>
      <c r="E173" s="147"/>
      <c r="F173" s="147"/>
      <c r="G173" s="146">
        <f t="shared" si="14"/>
        <v>0</v>
      </c>
    </row>
    <row r="174" spans="3:7" s="114" customFormat="1" ht="15.75" customHeight="1" x14ac:dyDescent="0.25">
      <c r="C174" s="144" t="s">
        <v>412</v>
      </c>
      <c r="D174" s="143"/>
      <c r="E174" s="77"/>
      <c r="F174" s="77"/>
      <c r="G174" s="140">
        <f t="shared" si="14"/>
        <v>0</v>
      </c>
    </row>
    <row r="175" spans="3:7" s="114" customFormat="1" ht="15.75" customHeight="1" x14ac:dyDescent="0.25">
      <c r="C175" s="144" t="s">
        <v>411</v>
      </c>
      <c r="D175" s="143"/>
      <c r="E175" s="143"/>
      <c r="F175" s="143"/>
      <c r="G175" s="140">
        <f t="shared" si="14"/>
        <v>0</v>
      </c>
    </row>
    <row r="176" spans="3:7" s="114" customFormat="1" ht="15.75" customHeight="1" x14ac:dyDescent="0.25">
      <c r="C176" s="145" t="s">
        <v>410</v>
      </c>
      <c r="D176" s="143"/>
      <c r="E176" s="143"/>
      <c r="F176" s="143"/>
      <c r="G176" s="140">
        <f t="shared" si="14"/>
        <v>0</v>
      </c>
    </row>
    <row r="177" spans="3:7" s="114" customFormat="1" ht="15.75" customHeight="1" x14ac:dyDescent="0.25">
      <c r="C177" s="144" t="s">
        <v>409</v>
      </c>
      <c r="D177" s="143"/>
      <c r="E177" s="143"/>
      <c r="F177" s="143"/>
      <c r="G177" s="140">
        <f t="shared" si="14"/>
        <v>0</v>
      </c>
    </row>
    <row r="178" spans="3:7" s="114" customFormat="1" ht="15.75" customHeight="1" x14ac:dyDescent="0.25">
      <c r="C178" s="144" t="s">
        <v>408</v>
      </c>
      <c r="D178" s="143"/>
      <c r="E178" s="143"/>
      <c r="F178" s="143"/>
      <c r="G178" s="140">
        <f t="shared" si="14"/>
        <v>0</v>
      </c>
    </row>
    <row r="179" spans="3:7" s="114" customFormat="1" ht="15.75" customHeight="1" x14ac:dyDescent="0.25">
      <c r="C179" s="144" t="s">
        <v>407</v>
      </c>
      <c r="D179" s="143"/>
      <c r="E179" s="143"/>
      <c r="F179" s="143"/>
      <c r="G179" s="140">
        <f t="shared" si="14"/>
        <v>0</v>
      </c>
    </row>
    <row r="180" spans="3:7" s="114" customFormat="1" ht="15.75" customHeight="1" x14ac:dyDescent="0.25">
      <c r="C180" s="142" t="s">
        <v>414</v>
      </c>
      <c r="D180" s="141">
        <f>SUM(D173:D179)</f>
        <v>0</v>
      </c>
      <c r="E180" s="141">
        <f>SUM(E173:E179)</f>
        <v>0</v>
      </c>
      <c r="F180" s="141">
        <f>SUM(F173:F179)</f>
        <v>0</v>
      </c>
      <c r="G180" s="140">
        <f t="shared" si="14"/>
        <v>0</v>
      </c>
    </row>
    <row r="181" spans="3:7" s="115" customFormat="1" ht="15.75" customHeight="1" x14ac:dyDescent="0.25">
      <c r="C181" s="155"/>
      <c r="D181" s="154"/>
      <c r="E181" s="154"/>
      <c r="F181" s="154"/>
      <c r="G181" s="153"/>
    </row>
    <row r="182" spans="3:7" s="114" customFormat="1" ht="15.75" customHeight="1" x14ac:dyDescent="0.25">
      <c r="C182" s="1809" t="s">
        <v>243</v>
      </c>
      <c r="D182" s="1810"/>
      <c r="E182" s="1810"/>
      <c r="F182" s="1810"/>
      <c r="G182" s="1811"/>
    </row>
    <row r="183" spans="3:7" s="114" customFormat="1" ht="22.5" customHeight="1" thickBot="1" x14ac:dyDescent="0.3">
      <c r="C183" s="152" t="s">
        <v>417</v>
      </c>
      <c r="D183" s="151">
        <f>'[2]1) Budget Table'!D180</f>
        <v>0</v>
      </c>
      <c r="E183" s="151">
        <f>'[2]1) Budget Table'!E180</f>
        <v>0</v>
      </c>
      <c r="F183" s="151">
        <f>'[2]1) Budget Table'!F180</f>
        <v>0</v>
      </c>
      <c r="G183" s="150">
        <f t="shared" ref="G183:G191" si="15">SUM(D183:F183)</f>
        <v>0</v>
      </c>
    </row>
    <row r="184" spans="3:7" s="114" customFormat="1" ht="15.75" customHeight="1" x14ac:dyDescent="0.25">
      <c r="C184" s="149" t="s">
        <v>413</v>
      </c>
      <c r="D184" s="148"/>
      <c r="E184" s="147"/>
      <c r="F184" s="147"/>
      <c r="G184" s="146">
        <f t="shared" si="15"/>
        <v>0</v>
      </c>
    </row>
    <row r="185" spans="3:7" s="114" customFormat="1" ht="15.75" customHeight="1" x14ac:dyDescent="0.25">
      <c r="C185" s="144" t="s">
        <v>412</v>
      </c>
      <c r="D185" s="143"/>
      <c r="E185" s="77"/>
      <c r="F185" s="77"/>
      <c r="G185" s="140">
        <f t="shared" si="15"/>
        <v>0</v>
      </c>
    </row>
    <row r="186" spans="3:7" s="114" customFormat="1" ht="15.75" customHeight="1" x14ac:dyDescent="0.25">
      <c r="C186" s="144" t="s">
        <v>411</v>
      </c>
      <c r="D186" s="143"/>
      <c r="E186" s="143"/>
      <c r="F186" s="143"/>
      <c r="G186" s="140">
        <f t="shared" si="15"/>
        <v>0</v>
      </c>
    </row>
    <row r="187" spans="3:7" s="114" customFormat="1" ht="15.75" customHeight="1" x14ac:dyDescent="0.25">
      <c r="C187" s="145" t="s">
        <v>410</v>
      </c>
      <c r="D187" s="143"/>
      <c r="E187" s="143"/>
      <c r="F187" s="143"/>
      <c r="G187" s="140">
        <f t="shared" si="15"/>
        <v>0</v>
      </c>
    </row>
    <row r="188" spans="3:7" s="114" customFormat="1" ht="15.75" customHeight="1" x14ac:dyDescent="0.25">
      <c r="C188" s="144" t="s">
        <v>409</v>
      </c>
      <c r="D188" s="143"/>
      <c r="E188" s="143"/>
      <c r="F188" s="143"/>
      <c r="G188" s="140">
        <f t="shared" si="15"/>
        <v>0</v>
      </c>
    </row>
    <row r="189" spans="3:7" s="114" customFormat="1" ht="15.75" customHeight="1" x14ac:dyDescent="0.25">
      <c r="C189" s="144" t="s">
        <v>408</v>
      </c>
      <c r="D189" s="143"/>
      <c r="E189" s="143"/>
      <c r="F189" s="143"/>
      <c r="G189" s="140">
        <f t="shared" si="15"/>
        <v>0</v>
      </c>
    </row>
    <row r="190" spans="3:7" s="114" customFormat="1" ht="15.75" customHeight="1" x14ac:dyDescent="0.25">
      <c r="C190" s="144" t="s">
        <v>407</v>
      </c>
      <c r="D190" s="143"/>
      <c r="E190" s="143"/>
      <c r="F190" s="143"/>
      <c r="G190" s="140">
        <f t="shared" si="15"/>
        <v>0</v>
      </c>
    </row>
    <row r="191" spans="3:7" s="114" customFormat="1" ht="15.75" customHeight="1" x14ac:dyDescent="0.25">
      <c r="C191" s="142" t="s">
        <v>414</v>
      </c>
      <c r="D191" s="141">
        <f>SUM(D184:D190)</f>
        <v>0</v>
      </c>
      <c r="E191" s="141">
        <f>SUM(E184:E190)</f>
        <v>0</v>
      </c>
      <c r="F191" s="141">
        <f>SUM(F184:F190)</f>
        <v>0</v>
      </c>
      <c r="G191" s="140">
        <f t="shared" si="15"/>
        <v>0</v>
      </c>
    </row>
    <row r="192" spans="3:7" s="114" customFormat="1" ht="15.75" customHeight="1" x14ac:dyDescent="0.25">
      <c r="C192" s="113"/>
      <c r="D192" s="115"/>
      <c r="E192" s="115"/>
      <c r="F192" s="115"/>
      <c r="G192" s="113"/>
    </row>
    <row r="193" spans="3:7" s="114" customFormat="1" ht="15.75" customHeight="1" x14ac:dyDescent="0.25">
      <c r="C193" s="1809" t="s">
        <v>416</v>
      </c>
      <c r="D193" s="1810"/>
      <c r="E193" s="1810"/>
      <c r="F193" s="1810"/>
      <c r="G193" s="1811"/>
    </row>
    <row r="194" spans="3:7" s="114" customFormat="1" ht="19.5" customHeight="1" thickBot="1" x14ac:dyDescent="0.3">
      <c r="C194" s="152" t="s">
        <v>415</v>
      </c>
      <c r="D194" s="151">
        <f>'[2]1) Budget Table'!D187</f>
        <v>242000</v>
      </c>
      <c r="E194" s="151">
        <f>'[2]1) Budget Table'!E187</f>
        <v>0</v>
      </c>
      <c r="F194" s="151">
        <f>'[2]1) Budget Table'!F187</f>
        <v>0</v>
      </c>
      <c r="G194" s="150">
        <f t="shared" ref="G194:G202" si="16">SUM(D194:F194)</f>
        <v>242000</v>
      </c>
    </row>
    <row r="195" spans="3:7" s="114" customFormat="1" ht="15.75" customHeight="1" x14ac:dyDescent="0.25">
      <c r="C195" s="149" t="s">
        <v>413</v>
      </c>
      <c r="D195" s="148">
        <v>198000</v>
      </c>
      <c r="E195" s="147">
        <v>0</v>
      </c>
      <c r="F195" s="147">
        <v>0</v>
      </c>
      <c r="G195" s="146">
        <f t="shared" si="16"/>
        <v>198000</v>
      </c>
    </row>
    <row r="196" spans="3:7" s="114" customFormat="1" ht="15.75" customHeight="1" x14ac:dyDescent="0.25">
      <c r="C196" s="144" t="s">
        <v>412</v>
      </c>
      <c r="D196" s="143">
        <v>0</v>
      </c>
      <c r="E196" s="77">
        <v>0</v>
      </c>
      <c r="F196" s="77">
        <v>0</v>
      </c>
      <c r="G196" s="140">
        <f t="shared" si="16"/>
        <v>0</v>
      </c>
    </row>
    <row r="197" spans="3:7" s="114" customFormat="1" ht="15.75" customHeight="1" x14ac:dyDescent="0.25">
      <c r="C197" s="144" t="s">
        <v>411</v>
      </c>
      <c r="D197" s="143">
        <v>0</v>
      </c>
      <c r="E197" s="143">
        <v>0</v>
      </c>
      <c r="F197" s="143">
        <v>0</v>
      </c>
      <c r="G197" s="140">
        <f t="shared" si="16"/>
        <v>0</v>
      </c>
    </row>
    <row r="198" spans="3:7" s="114" customFormat="1" ht="15.75" customHeight="1" x14ac:dyDescent="0.25">
      <c r="C198" s="145" t="s">
        <v>410</v>
      </c>
      <c r="D198" s="143">
        <v>0</v>
      </c>
      <c r="E198" s="143">
        <v>0</v>
      </c>
      <c r="F198" s="143">
        <v>0</v>
      </c>
      <c r="G198" s="140">
        <f t="shared" si="16"/>
        <v>0</v>
      </c>
    </row>
    <row r="199" spans="3:7" s="114" customFormat="1" ht="15.75" customHeight="1" x14ac:dyDescent="0.25">
      <c r="C199" s="144" t="s">
        <v>409</v>
      </c>
      <c r="D199" s="143">
        <v>14000</v>
      </c>
      <c r="E199" s="143">
        <v>0</v>
      </c>
      <c r="F199" s="143">
        <v>0</v>
      </c>
      <c r="G199" s="140">
        <f t="shared" si="16"/>
        <v>14000</v>
      </c>
    </row>
    <row r="200" spans="3:7" s="114" customFormat="1" ht="15.75" customHeight="1" x14ac:dyDescent="0.25">
      <c r="C200" s="144" t="s">
        <v>408</v>
      </c>
      <c r="D200" s="143">
        <v>0</v>
      </c>
      <c r="E200" s="143">
        <v>0</v>
      </c>
      <c r="F200" s="143">
        <v>0</v>
      </c>
      <c r="G200" s="140">
        <f t="shared" si="16"/>
        <v>0</v>
      </c>
    </row>
    <row r="201" spans="3:7" s="114" customFormat="1" ht="15.75" customHeight="1" x14ac:dyDescent="0.25">
      <c r="C201" s="144" t="s">
        <v>407</v>
      </c>
      <c r="D201" s="143">
        <v>30000</v>
      </c>
      <c r="E201" s="143">
        <v>0</v>
      </c>
      <c r="F201" s="143">
        <v>0</v>
      </c>
      <c r="G201" s="140">
        <f t="shared" si="16"/>
        <v>30000</v>
      </c>
    </row>
    <row r="202" spans="3:7" s="114" customFormat="1" ht="15.75" customHeight="1" x14ac:dyDescent="0.25">
      <c r="C202" s="142" t="s">
        <v>414</v>
      </c>
      <c r="D202" s="141">
        <f>SUM(D195:D201)</f>
        <v>242000</v>
      </c>
      <c r="E202" s="141">
        <f>SUM(E195:E201)</f>
        <v>0</v>
      </c>
      <c r="F202" s="141">
        <f>SUM(F195:F201)</f>
        <v>0</v>
      </c>
      <c r="G202" s="140">
        <f t="shared" si="16"/>
        <v>242000</v>
      </c>
    </row>
    <row r="203" spans="3:7" s="114" customFormat="1" ht="15.75" customHeight="1" thickBot="1" x14ac:dyDescent="0.3">
      <c r="C203" s="113"/>
      <c r="D203" s="115"/>
      <c r="E203" s="115"/>
      <c r="F203" s="115"/>
      <c r="G203" s="113"/>
    </row>
    <row r="204" spans="3:7" s="114" customFormat="1" ht="19.5" customHeight="1" thickBot="1" x14ac:dyDescent="0.3">
      <c r="C204" s="1812" t="s">
        <v>225</v>
      </c>
      <c r="D204" s="1813"/>
      <c r="E204" s="1813"/>
      <c r="F204" s="1813"/>
      <c r="G204" s="1814"/>
    </row>
    <row r="205" spans="3:7" s="114" customFormat="1" ht="19.5" customHeight="1" x14ac:dyDescent="0.25">
      <c r="C205" s="138"/>
      <c r="D205" s="139" t="s">
        <v>222</v>
      </c>
      <c r="E205" s="139" t="s">
        <v>221</v>
      </c>
      <c r="F205" s="139" t="s">
        <v>220</v>
      </c>
      <c r="G205" s="1807" t="s">
        <v>225</v>
      </c>
    </row>
    <row r="206" spans="3:7" s="114" customFormat="1" ht="19.5" customHeight="1" x14ac:dyDescent="0.25">
      <c r="C206" s="138"/>
      <c r="D206" s="137" t="str">
        <f>'[2]1) Budget Table'!D13</f>
        <v>UNDP</v>
      </c>
      <c r="E206" s="137" t="str">
        <f>'[2]1) Budget Table'!E13</f>
        <v>ONUMUJERES</v>
      </c>
      <c r="F206" s="137" t="str">
        <f>'[2]1) Budget Table'!F13</f>
        <v>OACNUDH</v>
      </c>
      <c r="G206" s="1808"/>
    </row>
    <row r="207" spans="3:7" s="114" customFormat="1" ht="19.5" customHeight="1" x14ac:dyDescent="0.25">
      <c r="C207" s="133" t="s">
        <v>413</v>
      </c>
      <c r="D207" s="134">
        <f t="shared" ref="D207:F213" si="17">SUM(D184,D173,D162,D151,D139,D128,D117,D106,D94,D83,D72,D61,D50,D39,D28,D17,D195)</f>
        <v>291000</v>
      </c>
      <c r="E207" s="134">
        <f t="shared" si="17"/>
        <v>127100</v>
      </c>
      <c r="F207" s="134">
        <f t="shared" si="17"/>
        <v>161500</v>
      </c>
      <c r="G207" s="136">
        <f t="shared" ref="G207:G214" si="18">SUM(D207:F207)</f>
        <v>579600</v>
      </c>
    </row>
    <row r="208" spans="3:7" s="114" customFormat="1" ht="34.5" customHeight="1" x14ac:dyDescent="0.25">
      <c r="C208" s="133" t="s">
        <v>412</v>
      </c>
      <c r="D208" s="134">
        <f t="shared" si="17"/>
        <v>135000</v>
      </c>
      <c r="E208" s="134">
        <f t="shared" si="17"/>
        <v>75000</v>
      </c>
      <c r="F208" s="134">
        <f t="shared" si="17"/>
        <v>28000</v>
      </c>
      <c r="G208" s="131">
        <f t="shared" si="18"/>
        <v>238000</v>
      </c>
    </row>
    <row r="209" spans="3:14" s="114" customFormat="1" ht="48" customHeight="1" x14ac:dyDescent="0.25">
      <c r="C209" s="133" t="s">
        <v>411</v>
      </c>
      <c r="D209" s="134">
        <f t="shared" si="17"/>
        <v>20000</v>
      </c>
      <c r="E209" s="134">
        <f t="shared" si="17"/>
        <v>10000</v>
      </c>
      <c r="F209" s="134">
        <f t="shared" si="17"/>
        <v>8000</v>
      </c>
      <c r="G209" s="131">
        <f t="shared" si="18"/>
        <v>38000</v>
      </c>
    </row>
    <row r="210" spans="3:14" s="114" customFormat="1" ht="33" customHeight="1" x14ac:dyDescent="0.25">
      <c r="C210" s="135" t="s">
        <v>410</v>
      </c>
      <c r="D210" s="134">
        <f t="shared" si="17"/>
        <v>669200</v>
      </c>
      <c r="E210" s="134">
        <f t="shared" si="17"/>
        <v>145500</v>
      </c>
      <c r="F210" s="134">
        <f t="shared" si="17"/>
        <v>63000</v>
      </c>
      <c r="G210" s="131">
        <f t="shared" si="18"/>
        <v>877700</v>
      </c>
    </row>
    <row r="211" spans="3:14" s="114" customFormat="1" ht="21" customHeight="1" x14ac:dyDescent="0.25">
      <c r="C211" s="133" t="s">
        <v>409</v>
      </c>
      <c r="D211" s="134">
        <f t="shared" si="17"/>
        <v>62630</v>
      </c>
      <c r="E211" s="134">
        <f t="shared" si="17"/>
        <v>32500</v>
      </c>
      <c r="F211" s="134">
        <f t="shared" si="17"/>
        <v>30000</v>
      </c>
      <c r="G211" s="131">
        <f t="shared" si="18"/>
        <v>125130</v>
      </c>
      <c r="H211" s="55"/>
      <c r="I211" s="55"/>
      <c r="J211" s="55"/>
      <c r="K211" s="55"/>
      <c r="L211" s="55"/>
      <c r="M211" s="127"/>
    </row>
    <row r="212" spans="3:14" s="114" customFormat="1" ht="39.75" customHeight="1" x14ac:dyDescent="0.25">
      <c r="C212" s="133" t="s">
        <v>408</v>
      </c>
      <c r="D212" s="134">
        <f t="shared" si="17"/>
        <v>35000</v>
      </c>
      <c r="E212" s="134">
        <f t="shared" si="17"/>
        <v>103000</v>
      </c>
      <c r="F212" s="134">
        <f t="shared" si="17"/>
        <v>8000</v>
      </c>
      <c r="G212" s="131">
        <f t="shared" si="18"/>
        <v>146000</v>
      </c>
      <c r="H212" s="55"/>
      <c r="I212" s="55"/>
      <c r="J212" s="55"/>
      <c r="K212" s="55"/>
      <c r="L212" s="55"/>
      <c r="M212" s="127"/>
    </row>
    <row r="213" spans="3:14" s="114" customFormat="1" ht="23.25" customHeight="1" x14ac:dyDescent="0.25">
      <c r="C213" s="133" t="s">
        <v>407</v>
      </c>
      <c r="D213" s="132">
        <f t="shared" si="17"/>
        <v>96869.739999999991</v>
      </c>
      <c r="E213" s="132">
        <f t="shared" si="17"/>
        <v>17240</v>
      </c>
      <c r="F213" s="132">
        <f t="shared" si="17"/>
        <v>18001</v>
      </c>
      <c r="G213" s="131">
        <f t="shared" si="18"/>
        <v>132110.74</v>
      </c>
      <c r="H213" s="55"/>
      <c r="I213" s="55"/>
      <c r="J213" s="55"/>
      <c r="K213" s="55"/>
      <c r="L213" s="55"/>
      <c r="M213" s="127"/>
    </row>
    <row r="214" spans="3:14" s="114" customFormat="1" ht="22.5" customHeight="1" x14ac:dyDescent="0.25">
      <c r="C214" s="130" t="s">
        <v>406</v>
      </c>
      <c r="D214" s="129">
        <f>SUM(D207:D213)</f>
        <v>1309699.74</v>
      </c>
      <c r="E214" s="129">
        <f>SUM(E207:E213)</f>
        <v>510340</v>
      </c>
      <c r="F214" s="129">
        <f>SUM(F207:F213)</f>
        <v>316501</v>
      </c>
      <c r="G214" s="128">
        <f t="shared" si="18"/>
        <v>2136540.7400000002</v>
      </c>
      <c r="H214" s="55"/>
      <c r="I214" s="55"/>
      <c r="J214" s="55"/>
      <c r="K214" s="55"/>
      <c r="L214" s="55"/>
      <c r="M214" s="127"/>
    </row>
    <row r="215" spans="3:14" s="114" customFormat="1" ht="26.25" customHeight="1" thickBot="1" x14ac:dyDescent="0.3">
      <c r="C215" s="126" t="s">
        <v>405</v>
      </c>
      <c r="D215" s="125">
        <f>D214*0.07</f>
        <v>91678.981800000009</v>
      </c>
      <c r="E215" s="125">
        <f>E214*0.07</f>
        <v>35723.800000000003</v>
      </c>
      <c r="F215" s="125">
        <f>F214*0.07</f>
        <v>22155.070000000003</v>
      </c>
      <c r="G215" s="124">
        <f>G214*0.07</f>
        <v>149557.85180000003</v>
      </c>
      <c r="H215" s="18"/>
      <c r="I215" s="18"/>
      <c r="J215" s="18"/>
      <c r="K215" s="18"/>
      <c r="L215" s="120"/>
      <c r="M215" s="115"/>
    </row>
    <row r="216" spans="3:14" s="114" customFormat="1" ht="23.25" customHeight="1" thickBot="1" x14ac:dyDescent="0.3">
      <c r="C216" s="123" t="s">
        <v>19</v>
      </c>
      <c r="D216" s="122">
        <f>SUM(D214:D215)</f>
        <v>1401378.7217999999</v>
      </c>
      <c r="E216" s="122">
        <f>SUM(E214:E215)</f>
        <v>546063.80000000005</v>
      </c>
      <c r="F216" s="122">
        <f>SUM(F214:F215)</f>
        <v>338656.07</v>
      </c>
      <c r="G216" s="121">
        <f>SUM(G214:G215)</f>
        <v>2286098.5918000001</v>
      </c>
      <c r="H216" s="18"/>
      <c r="I216" s="18"/>
      <c r="J216" s="18"/>
      <c r="K216" s="18"/>
      <c r="L216" s="120"/>
      <c r="M216" s="115"/>
    </row>
    <row r="217" spans="3:14" ht="15.75" customHeight="1" x14ac:dyDescent="0.25">
      <c r="L217" s="116"/>
    </row>
    <row r="218" spans="3:14" ht="15.75" customHeight="1" x14ac:dyDescent="0.25">
      <c r="H218" s="117"/>
      <c r="I218" s="117"/>
      <c r="L218" s="116"/>
    </row>
    <row r="219" spans="3:14" ht="15.75" customHeight="1" x14ac:dyDescent="0.25">
      <c r="H219" s="117"/>
      <c r="I219" s="117"/>
      <c r="L219" s="114"/>
    </row>
    <row r="220" spans="3:14" ht="40.5" customHeight="1" x14ac:dyDescent="0.25">
      <c r="H220" s="117"/>
      <c r="I220" s="117"/>
      <c r="L220" s="118"/>
    </row>
    <row r="221" spans="3:14" ht="24.75" customHeight="1" x14ac:dyDescent="0.25">
      <c r="H221" s="117"/>
      <c r="I221" s="117"/>
      <c r="L221" s="118"/>
    </row>
    <row r="222" spans="3:14" ht="41.25" customHeight="1" x14ac:dyDescent="0.25">
      <c r="H222" s="119"/>
      <c r="I222" s="117"/>
      <c r="L222" s="118"/>
    </row>
    <row r="223" spans="3:14" ht="51.75" customHeight="1" x14ac:dyDescent="0.25">
      <c r="H223" s="119"/>
      <c r="I223" s="117"/>
      <c r="L223" s="118"/>
      <c r="N223" s="113"/>
    </row>
    <row r="224" spans="3:14" ht="42" customHeight="1" x14ac:dyDescent="0.25">
      <c r="H224" s="117"/>
      <c r="I224" s="117"/>
      <c r="L224" s="118"/>
      <c r="N224" s="113"/>
    </row>
    <row r="225" spans="3:14" s="115" customFormat="1" ht="42" customHeight="1" x14ac:dyDescent="0.25">
      <c r="C225" s="113"/>
      <c r="G225" s="113"/>
      <c r="H225" s="114"/>
      <c r="I225" s="117"/>
      <c r="J225" s="113"/>
      <c r="K225" s="113"/>
      <c r="L225" s="118"/>
      <c r="M225" s="113"/>
    </row>
    <row r="226" spans="3:14" s="115" customFormat="1" ht="42" customHeight="1" x14ac:dyDescent="0.25">
      <c r="C226" s="113"/>
      <c r="G226" s="113"/>
      <c r="H226" s="113"/>
      <c r="I226" s="117"/>
      <c r="J226" s="113"/>
      <c r="K226" s="113"/>
      <c r="L226" s="113"/>
      <c r="M226" s="113"/>
    </row>
    <row r="227" spans="3:14" s="115" customFormat="1" ht="63.75" customHeight="1" x14ac:dyDescent="0.25">
      <c r="C227" s="113"/>
      <c r="G227" s="113"/>
      <c r="H227" s="113"/>
      <c r="I227" s="116"/>
      <c r="J227" s="114"/>
      <c r="K227" s="114"/>
      <c r="L227" s="113"/>
      <c r="M227" s="113"/>
    </row>
    <row r="228" spans="3:14" s="115" customFormat="1" ht="42" customHeight="1" x14ac:dyDescent="0.25">
      <c r="C228" s="113"/>
      <c r="G228" s="113"/>
      <c r="H228" s="113"/>
      <c r="I228" s="113"/>
      <c r="J228" s="113"/>
      <c r="K228" s="113"/>
      <c r="L228" s="113"/>
      <c r="M228" s="116"/>
    </row>
    <row r="229" spans="3:14" ht="23.25" customHeight="1" x14ac:dyDescent="0.25">
      <c r="N229" s="113"/>
    </row>
    <row r="230" spans="3:14" ht="27.75" customHeight="1" x14ac:dyDescent="0.25">
      <c r="L230" s="114"/>
      <c r="N230" s="113"/>
    </row>
    <row r="231" spans="3:14" ht="55.5" customHeight="1" x14ac:dyDescent="0.25">
      <c r="N231" s="113"/>
    </row>
    <row r="232" spans="3:14" ht="57.75" customHeight="1" x14ac:dyDescent="0.25">
      <c r="M232" s="114"/>
      <c r="N232" s="113"/>
    </row>
    <row r="233" spans="3:14" ht="21.75" customHeight="1" x14ac:dyDescent="0.25">
      <c r="N233" s="113"/>
    </row>
    <row r="234" spans="3:14" ht="49.5" customHeight="1" x14ac:dyDescent="0.25">
      <c r="N234" s="113"/>
    </row>
    <row r="235" spans="3:14" ht="28.5" customHeight="1" x14ac:dyDescent="0.25">
      <c r="N235" s="113"/>
    </row>
    <row r="236" spans="3:14" ht="28.5" customHeight="1" x14ac:dyDescent="0.25">
      <c r="N236" s="113"/>
    </row>
    <row r="237" spans="3:14" ht="28.5" customHeight="1" x14ac:dyDescent="0.25">
      <c r="N237" s="113"/>
    </row>
    <row r="238" spans="3:14" ht="23.25" customHeight="1" x14ac:dyDescent="0.25">
      <c r="N238" s="116"/>
    </row>
    <row r="239" spans="3:14" ht="43.5" customHeight="1" x14ac:dyDescent="0.25">
      <c r="N239" s="116"/>
    </row>
    <row r="240" spans="3:14" ht="55.5" customHeight="1" x14ac:dyDescent="0.25">
      <c r="N240" s="113"/>
    </row>
    <row r="241" spans="3:14" ht="42.75" customHeight="1" x14ac:dyDescent="0.25">
      <c r="N241" s="116"/>
    </row>
    <row r="242" spans="3:14" ht="21.75" customHeight="1" x14ac:dyDescent="0.25">
      <c r="N242" s="116"/>
    </row>
    <row r="243" spans="3:14" ht="21.75" customHeight="1" x14ac:dyDescent="0.25">
      <c r="N243" s="116"/>
    </row>
    <row r="244" spans="3:14" s="114" customFormat="1" ht="23.25" customHeight="1" x14ac:dyDescent="0.25">
      <c r="C244" s="113"/>
      <c r="D244" s="115"/>
      <c r="E244" s="115"/>
      <c r="F244" s="115"/>
      <c r="G244" s="113"/>
      <c r="H244" s="113"/>
      <c r="I244" s="113"/>
      <c r="J244" s="113"/>
      <c r="K244" s="113"/>
      <c r="L244" s="113"/>
      <c r="M244" s="113"/>
    </row>
    <row r="245" spans="3:14" ht="23.25" customHeight="1" x14ac:dyDescent="0.25"/>
    <row r="246" spans="3:14" ht="21.75" customHeight="1" x14ac:dyDescent="0.25"/>
    <row r="247" spans="3:14" ht="16.5" customHeight="1" x14ac:dyDescent="0.25"/>
    <row r="248" spans="3:14" ht="29.25" customHeight="1" x14ac:dyDescent="0.25"/>
    <row r="249" spans="3:14" ht="24.75" customHeight="1" x14ac:dyDescent="0.25"/>
    <row r="250" spans="3:14" ht="33" customHeight="1" x14ac:dyDescent="0.25"/>
    <row r="252" spans="3:14" ht="15" customHeight="1" x14ac:dyDescent="0.25"/>
    <row r="253" spans="3:14" ht="25.5" customHeight="1" x14ac:dyDescent="0.25"/>
  </sheetData>
  <sheetProtection sheet="1" insertColumns="0" insertRows="0" deleteRows="0"/>
  <mergeCells count="27">
    <mergeCell ref="C2:F2"/>
    <mergeCell ref="C5:G5"/>
    <mergeCell ref="C6:G8"/>
    <mergeCell ref="C10:F10"/>
    <mergeCell ref="G12:G13"/>
    <mergeCell ref="B14:G14"/>
    <mergeCell ref="C15:G15"/>
    <mergeCell ref="C26:G26"/>
    <mergeCell ref="C37:G37"/>
    <mergeCell ref="C47:G47"/>
    <mergeCell ref="C59:G59"/>
    <mergeCell ref="C70:G70"/>
    <mergeCell ref="C81:G81"/>
    <mergeCell ref="C92:G92"/>
    <mergeCell ref="B103:G103"/>
    <mergeCell ref="C104:G104"/>
    <mergeCell ref="C115:G115"/>
    <mergeCell ref="C126:G126"/>
    <mergeCell ref="C193:G193"/>
    <mergeCell ref="C204:G204"/>
    <mergeCell ref="G205:G206"/>
    <mergeCell ref="C137:G137"/>
    <mergeCell ref="B148:G148"/>
    <mergeCell ref="C149:G149"/>
    <mergeCell ref="C160:G160"/>
    <mergeCell ref="C171:G171"/>
    <mergeCell ref="C182:G182"/>
  </mergeCells>
  <conditionalFormatting sqref="G24">
    <cfRule type="cellIs" dxfId="23" priority="18" operator="notEqual">
      <formula>$G$16</formula>
    </cfRule>
  </conditionalFormatting>
  <conditionalFormatting sqref="G35">
    <cfRule type="cellIs" dxfId="22" priority="17" operator="notEqual">
      <formula>$G$27</formula>
    </cfRule>
  </conditionalFormatting>
  <conditionalFormatting sqref="G46">
    <cfRule type="cellIs" dxfId="21" priority="16" operator="notEqual">
      <formula>$G$38</formula>
    </cfRule>
  </conditionalFormatting>
  <conditionalFormatting sqref="G57">
    <cfRule type="cellIs" dxfId="20" priority="15" operator="notEqual">
      <formula>$G$49</formula>
    </cfRule>
  </conditionalFormatting>
  <conditionalFormatting sqref="G68">
    <cfRule type="cellIs" dxfId="19" priority="14" operator="notEqual">
      <formula>$G$60</formula>
    </cfRule>
  </conditionalFormatting>
  <conditionalFormatting sqref="G79">
    <cfRule type="cellIs" dxfId="18" priority="13" operator="notEqual">
      <formula>$G$71</formula>
    </cfRule>
  </conditionalFormatting>
  <conditionalFormatting sqref="G90">
    <cfRule type="cellIs" dxfId="17" priority="12" operator="notEqual">
      <formula>$G$82</formula>
    </cfRule>
  </conditionalFormatting>
  <conditionalFormatting sqref="G101">
    <cfRule type="cellIs" dxfId="16" priority="11" operator="notEqual">
      <formula>$G$93</formula>
    </cfRule>
  </conditionalFormatting>
  <conditionalFormatting sqref="G113">
    <cfRule type="cellIs" dxfId="15" priority="10" operator="notEqual">
      <formula>$G$105</formula>
    </cfRule>
  </conditionalFormatting>
  <conditionalFormatting sqref="G124">
    <cfRule type="cellIs" dxfId="14" priority="9" operator="notEqual">
      <formula>$G$116</formula>
    </cfRule>
  </conditionalFormatting>
  <conditionalFormatting sqref="G135">
    <cfRule type="cellIs" dxfId="13" priority="8" operator="notEqual">
      <formula>$G$127</formula>
    </cfRule>
  </conditionalFormatting>
  <conditionalFormatting sqref="G146">
    <cfRule type="cellIs" dxfId="12" priority="7" operator="notEqual">
      <formula>$G$138</formula>
    </cfRule>
  </conditionalFormatting>
  <conditionalFormatting sqref="G158">
    <cfRule type="cellIs" dxfId="11" priority="6" operator="notEqual">
      <formula>$G$150</formula>
    </cfRule>
  </conditionalFormatting>
  <conditionalFormatting sqref="G169">
    <cfRule type="cellIs" dxfId="10" priority="5" operator="notEqual">
      <formula>$G$161</formula>
    </cfRule>
  </conditionalFormatting>
  <conditionalFormatting sqref="G180">
    <cfRule type="cellIs" dxfId="9" priority="4" operator="notEqual">
      <formula>$G$161</formula>
    </cfRule>
  </conditionalFormatting>
  <conditionalFormatting sqref="G191">
    <cfRule type="cellIs" dxfId="8" priority="3" operator="notEqual">
      <formula>$G$183</formula>
    </cfRule>
  </conditionalFormatting>
  <conditionalFormatting sqref="G202">
    <cfRule type="cellIs" dxfId="7" priority="2" operator="notEqual">
      <formula>$G$194</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7 C78 C89 C100 C112 C123 C134 C145 C157 C168 C179 C190 C213 C201" xr:uid="{00000000-0002-0000-09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6 C77 C88 C99 C111 C122 C133 C144 C156 C167 C178 C189 C212 C200" xr:uid="{00000000-0002-0000-0900-000001000000}"/>
    <dataValidation allowBlank="1" showInputMessage="1" showErrorMessage="1" prompt="Services contracted by an organization which follow the normal procurement processes." sqref="C20 C31 C42 C53 C64 C75 C86 C97 C109 C120 C131 C142 C154 C165 C176 C187 C210 C198" xr:uid="{00000000-0002-0000-0900-000002000000}"/>
    <dataValidation allowBlank="1" showInputMessage="1" showErrorMessage="1" prompt="Includes staff and non-staff travel paid for by the organization directly related to a project." sqref="C21 C32 C43 C54 C65 C76 C87 C98 C110 C121 C132 C143 C155 C166 C177 C188 C211 C199" xr:uid="{00000000-0002-0000-09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3 C74 C85 C96 C108 C119 C130 C141 C153 C164 C175 C186 C209 C197" xr:uid="{00000000-0002-0000-09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2 C73 C84 C95 C107 C118 C129 C140 C152 C163 C174 C185 C208 C196" xr:uid="{00000000-0002-0000-0900-000005000000}"/>
    <dataValidation allowBlank="1" showInputMessage="1" showErrorMessage="1" prompt="Includes all related staff and temporary staff costs including base salary, post adjustment and all staff entitlements." sqref="C17 C28 C39 C50 C61 C72 C83 C94 C106 C117 C128 C139 C151 C162 C173 C184 C207 C195" xr:uid="{00000000-0002-0000-0900-000006000000}"/>
    <dataValidation allowBlank="1" showInputMessage="1" showErrorMessage="1" prompt="Output totals must match the original total from Table 1, and will show as red if not. " sqref="G24" xr:uid="{00000000-0002-0000-0900-000007000000}"/>
  </dataValidations>
  <pageMargins left="0.7" right="0.7" top="0.75" bottom="0.75" header="0.3" footer="0.3"/>
  <pageSetup scale="74" orientation="landscape" r:id="rId1"/>
  <rowBreaks count="1" manualBreakCount="1">
    <brk id="69"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48ECF4E-5C20-4152-8612-9C3ABB677692}">
            <xm:f>'C:\Users\Carlos.Paredes\OneDrive - United Nations Development Programme\M&amp;E\2019\INFORMES\ANUAL\Finales\Transformando\[3. PBF Project Document Template 2019- Annex D- Project Budget .xlsx]1) Budget Table'!#REF!</xm:f>
            <x14:dxf>
              <font>
                <color rgb="FF9C0006"/>
              </font>
              <fill>
                <patternFill>
                  <bgColor rgb="FFFFC7CE"/>
                </patternFill>
              </fill>
            </x14:dxf>
          </x14:cfRule>
          <xm:sqref>G216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2" tint="-0.499984740745262"/>
  </sheetPr>
  <dimension ref="B1:F16"/>
  <sheetViews>
    <sheetView showGridLines="0" topLeftCell="A10" workbookViewId="0">
      <selection activeCell="BE15" sqref="BE15:BE18"/>
    </sheetView>
  </sheetViews>
  <sheetFormatPr defaultColWidth="8.85546875" defaultRowHeight="15" x14ac:dyDescent="0.25"/>
  <cols>
    <col min="2" max="2" width="73.28515625" customWidth="1"/>
  </cols>
  <sheetData>
    <row r="1" spans="2:6" ht="15.75" thickBot="1" x14ac:dyDescent="0.3"/>
    <row r="2" spans="2:6" ht="15.75" thickBot="1" x14ac:dyDescent="0.3">
      <c r="B2" s="170" t="s">
        <v>439</v>
      </c>
      <c r="C2" s="169"/>
      <c r="D2" s="169"/>
      <c r="E2" s="169"/>
      <c r="F2" s="169"/>
    </row>
    <row r="3" spans="2:6" x14ac:dyDescent="0.25">
      <c r="B3" s="168"/>
    </row>
    <row r="4" spans="2:6" ht="30.75" customHeight="1" x14ac:dyDescent="0.25">
      <c r="B4" s="167" t="s">
        <v>438</v>
      </c>
    </row>
    <row r="5" spans="2:6" ht="30.75" customHeight="1" x14ac:dyDescent="0.25">
      <c r="B5" s="167"/>
    </row>
    <row r="6" spans="2:6" ht="60" x14ac:dyDescent="0.25">
      <c r="B6" s="167" t="s">
        <v>437</v>
      </c>
    </row>
    <row r="7" spans="2:6" x14ac:dyDescent="0.25">
      <c r="B7" s="167"/>
    </row>
    <row r="8" spans="2:6" ht="60" x14ac:dyDescent="0.25">
      <c r="B8" s="167" t="s">
        <v>436</v>
      </c>
    </row>
    <row r="9" spans="2:6" x14ac:dyDescent="0.25">
      <c r="B9" s="167"/>
    </row>
    <row r="10" spans="2:6" ht="60" x14ac:dyDescent="0.25">
      <c r="B10" s="167" t="s">
        <v>435</v>
      </c>
    </row>
    <row r="11" spans="2:6" x14ac:dyDescent="0.25">
      <c r="B11" s="167"/>
    </row>
    <row r="12" spans="2:6" ht="30" x14ac:dyDescent="0.25">
      <c r="B12" s="167" t="s">
        <v>434</v>
      </c>
    </row>
    <row r="13" spans="2:6" x14ac:dyDescent="0.25">
      <c r="B13" s="167"/>
    </row>
    <row r="14" spans="2:6" ht="60" x14ac:dyDescent="0.25">
      <c r="B14" s="167" t="s">
        <v>433</v>
      </c>
    </row>
    <row r="15" spans="2:6" x14ac:dyDescent="0.25">
      <c r="B15" s="167"/>
    </row>
    <row r="16" spans="2:6" ht="45.75" thickBot="1" x14ac:dyDescent="0.3">
      <c r="B16" s="166" t="s">
        <v>432</v>
      </c>
    </row>
  </sheetData>
  <sheetProtection sheet="1" objects="1" scenarios="1"/>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2" tint="-0.499984740745262"/>
  </sheetPr>
  <dimension ref="B1:D47"/>
  <sheetViews>
    <sheetView showGridLines="0" showZeros="0" zoomScale="80" zoomScaleNormal="80" zoomScaleSheetLayoutView="70" workbookViewId="0">
      <selection activeCell="BE15" sqref="BE15:BE18"/>
    </sheetView>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1839" t="s">
        <v>449</v>
      </c>
      <c r="C2" s="1840"/>
      <c r="D2" s="1841"/>
    </row>
    <row r="3" spans="2:4" ht="15.75" thickBot="1" x14ac:dyDescent="0.3">
      <c r="B3" s="1842"/>
      <c r="C3" s="1843"/>
      <c r="D3" s="1844"/>
    </row>
    <row r="4" spans="2:4" ht="15.75" thickBot="1" x14ac:dyDescent="0.3"/>
    <row r="5" spans="2:4" x14ac:dyDescent="0.25">
      <c r="B5" s="1831" t="s">
        <v>448</v>
      </c>
      <c r="C5" s="1832"/>
      <c r="D5" s="1833"/>
    </row>
    <row r="6" spans="2:4" ht="15.75" thickBot="1" x14ac:dyDescent="0.3">
      <c r="B6" s="1834"/>
      <c r="C6" s="1835"/>
      <c r="D6" s="1836"/>
    </row>
    <row r="7" spans="2:4" x14ac:dyDescent="0.25">
      <c r="B7" s="181" t="s">
        <v>444</v>
      </c>
      <c r="C7" s="1837">
        <f>SUM('[2]1) Budget Table'!D24:F24,'[2]1) Budget Table'!D34:F34,'[2]1) Budget Table'!D44:F44,'[2]1) Budget Table'!D54:F54)</f>
        <v>1483040.74</v>
      </c>
      <c r="D7" s="1838"/>
    </row>
    <row r="8" spans="2:4" x14ac:dyDescent="0.25">
      <c r="B8" s="181" t="s">
        <v>443</v>
      </c>
      <c r="C8" s="1829">
        <f>SUM(D10:D14)</f>
        <v>0</v>
      </c>
      <c r="D8" s="1830"/>
    </row>
    <row r="9" spans="2:4" x14ac:dyDescent="0.25">
      <c r="B9" s="180" t="s">
        <v>442</v>
      </c>
      <c r="C9" s="179" t="s">
        <v>441</v>
      </c>
      <c r="D9" s="178" t="s">
        <v>440</v>
      </c>
    </row>
    <row r="10" spans="2:4" ht="35.1" customHeight="1" x14ac:dyDescent="0.25">
      <c r="B10" s="184"/>
      <c r="C10" s="172"/>
      <c r="D10" s="174">
        <f>$C$7*C10</f>
        <v>0</v>
      </c>
    </row>
    <row r="11" spans="2:4" ht="35.1" customHeight="1" x14ac:dyDescent="0.25">
      <c r="B11" s="184"/>
      <c r="C11" s="172"/>
      <c r="D11" s="174">
        <f>C7*C11</f>
        <v>0</v>
      </c>
    </row>
    <row r="12" spans="2:4" ht="35.1" customHeight="1" x14ac:dyDescent="0.25">
      <c r="B12" s="183"/>
      <c r="C12" s="172"/>
      <c r="D12" s="174">
        <f>C7*C12</f>
        <v>0</v>
      </c>
    </row>
    <row r="13" spans="2:4" ht="35.1" customHeight="1" x14ac:dyDescent="0.25">
      <c r="B13" s="183"/>
      <c r="C13" s="172"/>
      <c r="D13" s="174">
        <f>C7*C13</f>
        <v>0</v>
      </c>
    </row>
    <row r="14" spans="2:4" ht="35.1" customHeight="1" thickBot="1" x14ac:dyDescent="0.3">
      <c r="B14" s="182"/>
      <c r="C14" s="172"/>
      <c r="D14" s="171">
        <f>C7*C14</f>
        <v>0</v>
      </c>
    </row>
    <row r="15" spans="2:4" ht="15.75" thickBot="1" x14ac:dyDescent="0.3"/>
    <row r="16" spans="2:4" x14ac:dyDescent="0.25">
      <c r="B16" s="1831" t="s">
        <v>447</v>
      </c>
      <c r="C16" s="1832"/>
      <c r="D16" s="1833"/>
    </row>
    <row r="17" spans="2:4" ht="15.75" thickBot="1" x14ac:dyDescent="0.3">
      <c r="B17" s="1845"/>
      <c r="C17" s="1846"/>
      <c r="D17" s="1847"/>
    </row>
    <row r="18" spans="2:4" x14ac:dyDescent="0.25">
      <c r="B18" s="181" t="s">
        <v>444</v>
      </c>
      <c r="C18" s="1837">
        <f>SUM('[2]1) Budget Table'!D66:F66,'[2]1) Budget Table'!D76:F76,'[2]1) Budget Table'!D86:F86,'[2]1) Budget Table'!D96:F96)</f>
        <v>411500</v>
      </c>
      <c r="D18" s="1838"/>
    </row>
    <row r="19" spans="2:4" x14ac:dyDescent="0.25">
      <c r="B19" s="181" t="s">
        <v>443</v>
      </c>
      <c r="C19" s="1829">
        <f>SUM(D21:D25)</f>
        <v>0</v>
      </c>
      <c r="D19" s="1830"/>
    </row>
    <row r="20" spans="2:4" x14ac:dyDescent="0.25">
      <c r="B20" s="180" t="s">
        <v>442</v>
      </c>
      <c r="C20" s="179" t="s">
        <v>441</v>
      </c>
      <c r="D20" s="178" t="s">
        <v>440</v>
      </c>
    </row>
    <row r="21" spans="2:4" ht="35.1" customHeight="1" x14ac:dyDescent="0.25">
      <c r="B21" s="177"/>
      <c r="C21" s="172"/>
      <c r="D21" s="174">
        <f>$C$18*C21</f>
        <v>0</v>
      </c>
    </row>
    <row r="22" spans="2:4" ht="35.1" customHeight="1" x14ac:dyDescent="0.25">
      <c r="B22" s="176"/>
      <c r="C22" s="172"/>
      <c r="D22" s="174">
        <f>$C$18*C22</f>
        <v>0</v>
      </c>
    </row>
    <row r="23" spans="2:4" ht="35.1" customHeight="1" x14ac:dyDescent="0.25">
      <c r="B23" s="175"/>
      <c r="C23" s="172"/>
      <c r="D23" s="174">
        <f>$C$18*C23</f>
        <v>0</v>
      </c>
    </row>
    <row r="24" spans="2:4" ht="35.1" customHeight="1" x14ac:dyDescent="0.25">
      <c r="B24" s="175"/>
      <c r="C24" s="172"/>
      <c r="D24" s="174">
        <f>$C$18*C24</f>
        <v>0</v>
      </c>
    </row>
    <row r="25" spans="2:4" ht="35.1" customHeight="1" thickBot="1" x14ac:dyDescent="0.3">
      <c r="B25" s="173"/>
      <c r="C25" s="172"/>
      <c r="D25" s="174">
        <f>$C$18*C25</f>
        <v>0</v>
      </c>
    </row>
    <row r="26" spans="2:4" ht="15.75" thickBot="1" x14ac:dyDescent="0.3"/>
    <row r="27" spans="2:4" x14ac:dyDescent="0.25">
      <c r="B27" s="1831" t="s">
        <v>446</v>
      </c>
      <c r="C27" s="1832"/>
      <c r="D27" s="1833"/>
    </row>
    <row r="28" spans="2:4" ht="15.75" thickBot="1" x14ac:dyDescent="0.3">
      <c r="B28" s="1834"/>
      <c r="C28" s="1835"/>
      <c r="D28" s="1836"/>
    </row>
    <row r="29" spans="2:4" x14ac:dyDescent="0.25">
      <c r="B29" s="181" t="s">
        <v>444</v>
      </c>
      <c r="C29" s="1837">
        <f>SUM('[2]1) Budget Table'!D108:F108,'[2]1) Budget Table'!D118:F118,'[2]1) Budget Table'!D128:F128,'[2]1) Budget Table'!D138:F138)</f>
        <v>0</v>
      </c>
      <c r="D29" s="1838"/>
    </row>
    <row r="30" spans="2:4" x14ac:dyDescent="0.25">
      <c r="B30" s="181" t="s">
        <v>443</v>
      </c>
      <c r="C30" s="1829">
        <f>SUM(D32:D36)</f>
        <v>0</v>
      </c>
      <c r="D30" s="1830"/>
    </row>
    <row r="31" spans="2:4" x14ac:dyDescent="0.25">
      <c r="B31" s="180" t="s">
        <v>442</v>
      </c>
      <c r="C31" s="179" t="s">
        <v>441</v>
      </c>
      <c r="D31" s="178" t="s">
        <v>440</v>
      </c>
    </row>
    <row r="32" spans="2:4" ht="35.1" customHeight="1" x14ac:dyDescent="0.25">
      <c r="B32" s="177"/>
      <c r="C32" s="172"/>
      <c r="D32" s="174">
        <f>$C$29*C32</f>
        <v>0</v>
      </c>
    </row>
    <row r="33" spans="2:4" ht="35.1" customHeight="1" x14ac:dyDescent="0.25">
      <c r="B33" s="176"/>
      <c r="C33" s="172"/>
      <c r="D33" s="174">
        <f>$C$29*C33</f>
        <v>0</v>
      </c>
    </row>
    <row r="34" spans="2:4" ht="35.1" customHeight="1" x14ac:dyDescent="0.25">
      <c r="B34" s="175"/>
      <c r="C34" s="172"/>
      <c r="D34" s="174">
        <f>$C$29*C34</f>
        <v>0</v>
      </c>
    </row>
    <row r="35" spans="2:4" ht="35.1" customHeight="1" x14ac:dyDescent="0.25">
      <c r="B35" s="175"/>
      <c r="C35" s="172"/>
      <c r="D35" s="174">
        <f>$C$29*C35</f>
        <v>0</v>
      </c>
    </row>
    <row r="36" spans="2:4" ht="35.1" customHeight="1" thickBot="1" x14ac:dyDescent="0.3">
      <c r="B36" s="173"/>
      <c r="C36" s="172"/>
      <c r="D36" s="174">
        <f>$C$29*C36</f>
        <v>0</v>
      </c>
    </row>
    <row r="37" spans="2:4" ht="15.75" thickBot="1" x14ac:dyDescent="0.3"/>
    <row r="38" spans="2:4" x14ac:dyDescent="0.25">
      <c r="B38" s="1831" t="s">
        <v>445</v>
      </c>
      <c r="C38" s="1832"/>
      <c r="D38" s="1833"/>
    </row>
    <row r="39" spans="2:4" ht="15.75" thickBot="1" x14ac:dyDescent="0.3">
      <c r="B39" s="1834"/>
      <c r="C39" s="1835"/>
      <c r="D39" s="1836"/>
    </row>
    <row r="40" spans="2:4" x14ac:dyDescent="0.25">
      <c r="B40" s="181" t="s">
        <v>444</v>
      </c>
      <c r="C40" s="1837">
        <f>SUM('[2]1) Budget Table'!D150:F150,'[2]1) Budget Table'!D160:F160,'[2]1) Budget Table'!D170:F170,'[2]1) Budget Table'!D180:F180)</f>
        <v>0</v>
      </c>
      <c r="D40" s="1838"/>
    </row>
    <row r="41" spans="2:4" x14ac:dyDescent="0.25">
      <c r="B41" s="181" t="s">
        <v>443</v>
      </c>
      <c r="C41" s="1829">
        <f>SUM(D43:D47)</f>
        <v>0</v>
      </c>
      <c r="D41" s="1830"/>
    </row>
    <row r="42" spans="2:4" x14ac:dyDescent="0.25">
      <c r="B42" s="180" t="s">
        <v>442</v>
      </c>
      <c r="C42" s="179" t="s">
        <v>441</v>
      </c>
      <c r="D42" s="178" t="s">
        <v>440</v>
      </c>
    </row>
    <row r="43" spans="2:4" ht="35.1" customHeight="1" x14ac:dyDescent="0.25">
      <c r="B43" s="177"/>
      <c r="C43" s="172"/>
      <c r="D43" s="174">
        <f>$C$40*C43</f>
        <v>0</v>
      </c>
    </row>
    <row r="44" spans="2:4" ht="35.1" customHeight="1" x14ac:dyDescent="0.25">
      <c r="B44" s="176"/>
      <c r="C44" s="172"/>
      <c r="D44" s="174">
        <f>$C$40*C44</f>
        <v>0</v>
      </c>
    </row>
    <row r="45" spans="2:4" ht="35.1" customHeight="1" x14ac:dyDescent="0.25">
      <c r="B45" s="175"/>
      <c r="C45" s="172"/>
      <c r="D45" s="174">
        <f>$C$40*C45</f>
        <v>0</v>
      </c>
    </row>
    <row r="46" spans="2:4" ht="35.1" customHeight="1" x14ac:dyDescent="0.25">
      <c r="B46" s="175"/>
      <c r="C46" s="172"/>
      <c r="D46" s="174">
        <f>$C$40*C46</f>
        <v>0</v>
      </c>
    </row>
    <row r="47" spans="2:4" ht="35.1" customHeight="1" thickBot="1" x14ac:dyDescent="0.3">
      <c r="B47" s="173"/>
      <c r="C47" s="172"/>
      <c r="D47" s="171">
        <f>$C$40*C47</f>
        <v>0</v>
      </c>
    </row>
  </sheetData>
  <sheetProtection sheet="1" objects="1" scenarios="1"/>
  <mergeCells count="17">
    <mergeCell ref="C29:D29"/>
    <mergeCell ref="B2:D3"/>
    <mergeCell ref="B5:D5"/>
    <mergeCell ref="B6:D6"/>
    <mergeCell ref="C7:D7"/>
    <mergeCell ref="C8:D8"/>
    <mergeCell ref="B16:D16"/>
    <mergeCell ref="B17:D17"/>
    <mergeCell ref="C18:D18"/>
    <mergeCell ref="C19:D19"/>
    <mergeCell ref="B27:D27"/>
    <mergeCell ref="B28:D28"/>
    <mergeCell ref="C30:D30"/>
    <mergeCell ref="B38:D38"/>
    <mergeCell ref="B39:D39"/>
    <mergeCell ref="C40:D40"/>
    <mergeCell ref="C41:D41"/>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0000000}">
          <x14:formula1>
            <xm:f>'C:\Users\Carlos.Paredes\OneDrive - United Nations Development Programme\M&amp;E\2019\INFORMES\ANUAL\Finales\Transformando\[3. PBF Project Document Template 2019- Annex D- Project Budget .xlsx]Sheet2'!#REF!</xm:f>
          </x14:formula1>
          <xm:sqref>B10:B14 B21:B25 B32:B36 B43:B47</xm:sqref>
        </x14:dataValidation>
        <x14:dataValidation type="list" allowBlank="1" showInputMessage="1" showErrorMessage="1" xr:uid="{00000000-0002-0000-0B00-000001000000}">
          <x14:formula1>
            <xm:f>'C:\Users\Carlos.Paredes\OneDrive - United Nations Development Programme\M&amp;E\2019\INFORMES\ANUAL\Finales\Transformando\[3. PBF Project Document Template 2019- Annex D- Project Budget .xlsx]Dropdowns'!#REF!</xm:f>
          </x14:formula1>
          <xm:sqref>C10:C14 C21:C25 C32:C36 C43:C47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2" tint="-0.499984740745262"/>
  </sheetPr>
  <dimension ref="B1:F24"/>
  <sheetViews>
    <sheetView showGridLines="0" zoomScale="80" zoomScaleNormal="80" workbookViewId="0">
      <selection activeCell="BE15" sqref="BE15:BE18"/>
    </sheetView>
  </sheetViews>
  <sheetFormatPr defaultColWidth="8.85546875" defaultRowHeight="15" x14ac:dyDescent="0.25"/>
  <cols>
    <col min="1" max="1" width="12.42578125" customWidth="1"/>
    <col min="2" max="2" width="20.42578125" customWidth="1"/>
    <col min="3" max="5" width="25.42578125" customWidth="1"/>
    <col min="6" max="6" width="24.42578125" customWidth="1"/>
    <col min="7" max="7" width="18.42578125" customWidth="1"/>
    <col min="8" max="8" width="21.7109375" customWidth="1"/>
    <col min="9" max="10" width="15.85546875" bestFit="1" customWidth="1"/>
    <col min="11" max="11" width="11.140625" bestFit="1" customWidth="1"/>
  </cols>
  <sheetData>
    <row r="1" spans="2:6" ht="15.75" thickBot="1" x14ac:dyDescent="0.3"/>
    <row r="2" spans="2:6" s="194" customFormat="1" ht="15.75" x14ac:dyDescent="0.25">
      <c r="B2" s="1848" t="s">
        <v>455</v>
      </c>
      <c r="C2" s="1849"/>
      <c r="D2" s="1849"/>
      <c r="E2" s="1849"/>
      <c r="F2" s="1850"/>
    </row>
    <row r="3" spans="2:6" s="194" customFormat="1" ht="16.5" thickBot="1" x14ac:dyDescent="0.3">
      <c r="B3" s="1851"/>
      <c r="C3" s="1852"/>
      <c r="D3" s="1852"/>
      <c r="E3" s="1852"/>
      <c r="F3" s="1853"/>
    </row>
    <row r="4" spans="2:6" s="194" customFormat="1" ht="16.5" thickBot="1" x14ac:dyDescent="0.3"/>
    <row r="5" spans="2:6" s="194" customFormat="1" ht="16.5" thickBot="1" x14ac:dyDescent="0.3">
      <c r="B5" s="1812" t="s">
        <v>225</v>
      </c>
      <c r="C5" s="1813"/>
      <c r="D5" s="1813"/>
      <c r="E5" s="1813"/>
      <c r="F5" s="1814"/>
    </row>
    <row r="6" spans="2:6" s="194" customFormat="1" ht="15.75" x14ac:dyDescent="0.25">
      <c r="B6" s="138"/>
      <c r="C6" s="139" t="s">
        <v>429</v>
      </c>
      <c r="D6" s="139" t="s">
        <v>428</v>
      </c>
      <c r="E6" s="139" t="s">
        <v>427</v>
      </c>
      <c r="F6" s="1807" t="s">
        <v>225</v>
      </c>
    </row>
    <row r="7" spans="2:6" s="194" customFormat="1" ht="15.75" x14ac:dyDescent="0.25">
      <c r="B7" s="138"/>
      <c r="C7" s="137" t="str">
        <f>'[2]1) Budget Table'!D13</f>
        <v>UNDP</v>
      </c>
      <c r="D7" s="137" t="str">
        <f>'[2]1) Budget Table'!E13</f>
        <v>ONUMUJERES</v>
      </c>
      <c r="E7" s="137" t="str">
        <f>'[2]1) Budget Table'!F13</f>
        <v>OACNUDH</v>
      </c>
      <c r="F7" s="1808"/>
    </row>
    <row r="8" spans="2:6" s="194" customFormat="1" ht="31.5" x14ac:dyDescent="0.25">
      <c r="B8" s="133" t="s">
        <v>413</v>
      </c>
      <c r="C8" s="134">
        <f>'[2]2) By Category'!D207</f>
        <v>291000</v>
      </c>
      <c r="D8" s="134">
        <f>'[2]2) By Category'!E207</f>
        <v>127100</v>
      </c>
      <c r="E8" s="134">
        <f>'[2]2) By Category'!F207</f>
        <v>161500</v>
      </c>
      <c r="F8" s="136">
        <f t="shared" ref="F8:F15" si="0">SUM(C8:E8)</f>
        <v>579600</v>
      </c>
    </row>
    <row r="9" spans="2:6" s="194" customFormat="1" ht="47.25" x14ac:dyDescent="0.25">
      <c r="B9" s="133" t="s">
        <v>412</v>
      </c>
      <c r="C9" s="134">
        <f>'[2]2) By Category'!D208</f>
        <v>135000</v>
      </c>
      <c r="D9" s="134">
        <f>'[2]2) By Category'!E208</f>
        <v>75000</v>
      </c>
      <c r="E9" s="134">
        <f>'[2]2) By Category'!F208</f>
        <v>28000</v>
      </c>
      <c r="F9" s="131">
        <f t="shared" si="0"/>
        <v>238000</v>
      </c>
    </row>
    <row r="10" spans="2:6" s="194" customFormat="1" ht="78.75" x14ac:dyDescent="0.25">
      <c r="B10" s="133" t="s">
        <v>411</v>
      </c>
      <c r="C10" s="134">
        <f>'[2]2) By Category'!D209</f>
        <v>20000</v>
      </c>
      <c r="D10" s="134">
        <f>'[2]2) By Category'!E209</f>
        <v>10000</v>
      </c>
      <c r="E10" s="134">
        <f>'[2]2) By Category'!F209</f>
        <v>8000</v>
      </c>
      <c r="F10" s="131">
        <f t="shared" si="0"/>
        <v>38000</v>
      </c>
    </row>
    <row r="11" spans="2:6" s="194" customFormat="1" ht="31.5" x14ac:dyDescent="0.25">
      <c r="B11" s="135" t="s">
        <v>410</v>
      </c>
      <c r="C11" s="134">
        <f>'[2]2) By Category'!D210</f>
        <v>669200</v>
      </c>
      <c r="D11" s="134">
        <f>'[2]2) By Category'!E210</f>
        <v>145500</v>
      </c>
      <c r="E11" s="134">
        <f>'[2]2) By Category'!F210</f>
        <v>63000</v>
      </c>
      <c r="F11" s="131">
        <f t="shared" si="0"/>
        <v>877700</v>
      </c>
    </row>
    <row r="12" spans="2:6" s="194" customFormat="1" ht="15.75" x14ac:dyDescent="0.25">
      <c r="B12" s="133" t="s">
        <v>409</v>
      </c>
      <c r="C12" s="134">
        <f>'[2]2) By Category'!D211</f>
        <v>62630</v>
      </c>
      <c r="D12" s="134">
        <f>'[2]2) By Category'!E211</f>
        <v>32500</v>
      </c>
      <c r="E12" s="134">
        <f>'[2]2) By Category'!F211</f>
        <v>30000</v>
      </c>
      <c r="F12" s="131">
        <f t="shared" si="0"/>
        <v>125130</v>
      </c>
    </row>
    <row r="13" spans="2:6" s="194" customFormat="1" ht="47.25" x14ac:dyDescent="0.25">
      <c r="B13" s="133" t="s">
        <v>408</v>
      </c>
      <c r="C13" s="134">
        <f>'[2]2) By Category'!D212</f>
        <v>35000</v>
      </c>
      <c r="D13" s="134">
        <f>'[2]2) By Category'!E212</f>
        <v>103000</v>
      </c>
      <c r="E13" s="134">
        <f>'[2]2) By Category'!F212</f>
        <v>8000</v>
      </c>
      <c r="F13" s="131">
        <f t="shared" si="0"/>
        <v>146000</v>
      </c>
    </row>
    <row r="14" spans="2:6" s="194" customFormat="1" ht="48" thickBot="1" x14ac:dyDescent="0.3">
      <c r="B14" s="202" t="s">
        <v>407</v>
      </c>
      <c r="C14" s="125">
        <f>'[2]2) By Category'!D213</f>
        <v>96869.739999999991</v>
      </c>
      <c r="D14" s="125">
        <f>'[2]2) By Category'!E213</f>
        <v>17240</v>
      </c>
      <c r="E14" s="125">
        <f>'[2]2) By Category'!F213</f>
        <v>18001</v>
      </c>
      <c r="F14" s="201">
        <f t="shared" si="0"/>
        <v>132110.74</v>
      </c>
    </row>
    <row r="15" spans="2:6" s="194" customFormat="1" ht="30" customHeight="1" x14ac:dyDescent="0.25">
      <c r="B15" s="200" t="s">
        <v>454</v>
      </c>
      <c r="C15" s="199">
        <f>SUM(C8:C14)</f>
        <v>1309699.74</v>
      </c>
      <c r="D15" s="199">
        <f>SUM(D8:D14)</f>
        <v>510340</v>
      </c>
      <c r="E15" s="199">
        <f>SUM(E8:E14)</f>
        <v>316501</v>
      </c>
      <c r="F15" s="198">
        <f t="shared" si="0"/>
        <v>2136540.7400000002</v>
      </c>
    </row>
    <row r="16" spans="2:6" s="194" customFormat="1" ht="19.5" customHeight="1" x14ac:dyDescent="0.25">
      <c r="B16" s="130" t="s">
        <v>405</v>
      </c>
      <c r="C16" s="197">
        <f>C15*0.07</f>
        <v>91678.981800000009</v>
      </c>
      <c r="D16" s="197">
        <f>D15*0.07</f>
        <v>35723.800000000003</v>
      </c>
      <c r="E16" s="197">
        <f>E15*0.07</f>
        <v>22155.070000000003</v>
      </c>
      <c r="F16" s="197">
        <f>F15*0.07</f>
        <v>149557.85180000003</v>
      </c>
    </row>
    <row r="17" spans="2:6" s="194" customFormat="1" ht="25.5" customHeight="1" thickBot="1" x14ac:dyDescent="0.3">
      <c r="B17" s="196" t="s">
        <v>194</v>
      </c>
      <c r="C17" s="195">
        <f>C15+C16</f>
        <v>1401378.7217999999</v>
      </c>
      <c r="D17" s="195">
        <f>D15+D16</f>
        <v>546063.80000000005</v>
      </c>
      <c r="E17" s="195">
        <f>E15+E16</f>
        <v>338656.07</v>
      </c>
      <c r="F17" s="195">
        <f>F15+F16</f>
        <v>2286098.5918000001</v>
      </c>
    </row>
    <row r="18" spans="2:6" s="194" customFormat="1" ht="16.5" thickBot="1" x14ac:dyDescent="0.3"/>
    <row r="19" spans="2:6" s="194" customFormat="1" ht="15.75" customHeight="1" x14ac:dyDescent="0.25">
      <c r="B19" s="1854" t="s">
        <v>223</v>
      </c>
      <c r="C19" s="1855"/>
      <c r="D19" s="1855"/>
      <c r="E19" s="1855"/>
      <c r="F19" s="1856"/>
    </row>
    <row r="20" spans="2:6" ht="15.75" x14ac:dyDescent="0.25">
      <c r="B20" s="193"/>
      <c r="C20" s="192" t="s">
        <v>453</v>
      </c>
      <c r="D20" s="192" t="s">
        <v>452</v>
      </c>
      <c r="E20" s="192" t="s">
        <v>451</v>
      </c>
      <c r="F20" s="191" t="s">
        <v>219</v>
      </c>
    </row>
    <row r="21" spans="2:6" ht="15.75" x14ac:dyDescent="0.25">
      <c r="B21" s="193"/>
      <c r="C21" s="192" t="str">
        <f>'[2]1) Budget Table'!D13</f>
        <v>UNDP</v>
      </c>
      <c r="D21" s="192" t="str">
        <f>'[2]1) Budget Table'!E13</f>
        <v>ONUMUJERES</v>
      </c>
      <c r="E21" s="192" t="str">
        <f>'[2]1) Budget Table'!F13</f>
        <v>OACNUDH</v>
      </c>
      <c r="F21" s="191"/>
    </row>
    <row r="22" spans="2:6" ht="23.25" customHeight="1" x14ac:dyDescent="0.25">
      <c r="B22" s="190" t="s">
        <v>218</v>
      </c>
      <c r="C22" s="189">
        <f>'[2]1) Budget Table'!D201</f>
        <v>570523.72</v>
      </c>
      <c r="D22" s="189">
        <f>'[2]1) Budget Table'!E201</f>
        <v>363145.90899999999</v>
      </c>
      <c r="E22" s="189">
        <f>'[2]1) Budget Table'!F201</f>
        <v>256157.99999999997</v>
      </c>
      <c r="F22" s="188">
        <f>'[2]1) Budget Table'!H201</f>
        <v>0.7</v>
      </c>
    </row>
    <row r="23" spans="2:6" ht="24.75" customHeight="1" x14ac:dyDescent="0.25">
      <c r="B23" s="190" t="s">
        <v>217</v>
      </c>
      <c r="C23" s="189">
        <f>'[2]1) Budget Table'!D202</f>
        <v>581598.5</v>
      </c>
      <c r="D23" s="189">
        <f>'[2]1) Budget Table'!E202</f>
        <v>155633.96099999998</v>
      </c>
      <c r="E23" s="189">
        <f>'[2]1) Budget Table'!F202</f>
        <v>109782</v>
      </c>
      <c r="F23" s="188">
        <f>'[2]1) Budget Table'!H202</f>
        <v>0.3</v>
      </c>
    </row>
    <row r="24" spans="2:6" ht="24.75" customHeight="1" thickBot="1" x14ac:dyDescent="0.3">
      <c r="B24" s="187" t="s">
        <v>450</v>
      </c>
      <c r="C24" s="186">
        <f>'[2]1) Budget Table'!D203</f>
        <v>249256.5</v>
      </c>
      <c r="D24" s="186">
        <f>'[2]1) Budget Table'!E203</f>
        <v>0</v>
      </c>
      <c r="E24" s="186">
        <f>'[2]1) Budget Table'!F203</f>
        <v>0</v>
      </c>
      <c r="F24" s="185">
        <f>'[2]1) Budget Table'!H203</f>
        <v>0</v>
      </c>
    </row>
  </sheetData>
  <sheetProtection sheet="1" formatCells="0" formatColumns="0" formatRows="0"/>
  <mergeCells count="4">
    <mergeCell ref="B2:F3"/>
    <mergeCell ref="B5:F5"/>
    <mergeCell ref="F6:F7"/>
    <mergeCell ref="B19:F19"/>
  </mergeCells>
  <dataValidations count="7">
    <dataValidation allowBlank="1" showInputMessage="1" showErrorMessage="1" prompt="Includes all related staff and temporary staff costs including base salary, post adjustment and all staff entitlements." sqref="B8" xr:uid="{00000000-0002-0000-0C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C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C00-000002000000}"/>
    <dataValidation allowBlank="1" showInputMessage="1" showErrorMessage="1" prompt="Includes staff and non-staff travel paid for by the organization directly related to a project." sqref="B12" xr:uid="{00000000-0002-0000-0C00-000003000000}"/>
    <dataValidation allowBlank="1" showInputMessage="1" showErrorMessage="1" prompt="Services contracted by an organization which follow the normal procurement processes." sqref="B11" xr:uid="{00000000-0002-0000-0C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C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C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768F211-7C4E-44D3-909E-9ED68DEC5CC6}">
            <xm:f>'C:\Users\Carlos.Paredes\OneDrive - United Nations Development Programme\M&amp;E\2019\INFORMES\ANUAL\Finales\Transformando\[3. PBF Project Document Template 2019- Annex D- Project Budget .xlsx]1) Budget Table'!#REF!</xm:f>
            <x14:dxf>
              <font>
                <color rgb="FF9C0006"/>
              </font>
              <fill>
                <patternFill>
                  <bgColor rgb="FFFFC7CE"/>
                </patternFill>
              </fill>
            </x14:dxf>
          </x14:cfRule>
          <xm:sqref>F17</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174038A06309408C6694AB45458E72" ma:contentTypeVersion="11" ma:contentTypeDescription="Create a new document." ma:contentTypeScope="" ma:versionID="14970ae31949e522bf7619ef7483fd25">
  <xsd:schema xmlns:xsd="http://www.w3.org/2001/XMLSchema" xmlns:xs="http://www.w3.org/2001/XMLSchema" xmlns:p="http://schemas.microsoft.com/office/2006/metadata/properties" xmlns:ns3="831a6856-6b17-464e-85c5-6d0a461719c0" xmlns:ns4="6f3886c4-4bdb-4454-94e0-75b42f5753e1" targetNamespace="http://schemas.microsoft.com/office/2006/metadata/properties" ma:root="true" ma:fieldsID="3b4f5c430b83f0f74eab336da54250e3" ns3:_="" ns4:_="">
    <xsd:import namespace="831a6856-6b17-464e-85c5-6d0a461719c0"/>
    <xsd:import namespace="6f3886c4-4bdb-4454-94e0-75b42f5753e1"/>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1a6856-6b17-464e-85c5-6d0a461719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3886c4-4bdb-4454-94e0-75b42f5753e1"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L a s t U s e d G r o u p O b j e c t I d > < T i l e s L i s t > < T i l e s / > < / T i l e s L i s t > < / W o r k b o o k S t a t e > 
</file>

<file path=customXml/itemProps1.xml><?xml version="1.0" encoding="utf-8"?>
<ds:datastoreItem xmlns:ds="http://schemas.openxmlformats.org/officeDocument/2006/customXml" ds:itemID="{B1995CE6-C933-4DF8-8829-B57418CCB4FE}">
  <ds:schemaRefs>
    <ds:schemaRef ds:uri="http://schemas.microsoft.com/sharepoint/v3/contenttype/forms"/>
  </ds:schemaRefs>
</ds:datastoreItem>
</file>

<file path=customXml/itemProps2.xml><?xml version="1.0" encoding="utf-8"?>
<ds:datastoreItem xmlns:ds="http://schemas.openxmlformats.org/officeDocument/2006/customXml" ds:itemID="{16915686-DB20-4995-A7FB-D6D60FBE0F76}">
  <ds:schemaRefs>
    <ds:schemaRef ds:uri="http://purl.org/dc/terms/"/>
    <ds:schemaRef ds:uri="831a6856-6b17-464e-85c5-6d0a461719c0"/>
    <ds:schemaRef ds:uri="http://purl.org/dc/elements/1.1/"/>
    <ds:schemaRef ds:uri="http://schemas.microsoft.com/office/2006/metadata/properties"/>
    <ds:schemaRef ds:uri="http://www.w3.org/XML/1998/namespace"/>
    <ds:schemaRef ds:uri="6f3886c4-4bdb-4454-94e0-75b42f5753e1"/>
    <ds:schemaRef ds:uri="http://schemas.openxmlformats.org/package/2006/metadata/core-properties"/>
    <ds:schemaRef ds:uri="http://schemas.microsoft.com/office/2006/documentManagement/types"/>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B10D0A23-A59B-442D-ACA9-748BE53941E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1a6856-6b17-464e-85c5-6d0a461719c0"/>
    <ds:schemaRef ds:uri="6f3886c4-4bdb-4454-94e0-75b42f5753e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BCCEC6D1-0097-4B3F-8AA9-D6B799C41014}">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TablasFormulas </vt:lpstr>
      <vt:lpstr>2. PRODUCTOS</vt:lpstr>
      <vt:lpstr>1) Budget Table</vt:lpstr>
      <vt:lpstr>2) By Category</vt:lpstr>
      <vt:lpstr>3) Explanatory Notes </vt:lpstr>
      <vt:lpstr>4) -For PBSO Use-</vt:lpstr>
      <vt:lpstr>5) -For MPTF Use</vt:lpstr>
      <vt:lpstr>'1) Budget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Paredes</dc:creator>
  <cp:keywords/>
  <dc:description/>
  <cp:lastModifiedBy>Carlos Paredes</cp:lastModifiedBy>
  <cp:revision/>
  <cp:lastPrinted>2020-11-10T18:10:29Z</cp:lastPrinted>
  <dcterms:created xsi:type="dcterms:W3CDTF">2014-08-12T22:12:50Z</dcterms:created>
  <dcterms:modified xsi:type="dcterms:W3CDTF">2021-03-10T15:55:47Z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0x0101001C174038A06309408C6694AB45458E72</vt:lpwstr>
  </property>
</Properties>
</file>