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C:\Users\rodika.goci\Desktop\New folder (2)\"/>
    </mc:Choice>
  </mc:AlternateContent>
  <xr:revisionPtr revIDLastSave="0" documentId="13_ncr:1_{DAF3B152-2927-49C9-B362-CB1A51083187}" xr6:coauthVersionLast="44" xr6:coauthVersionMax="44" xr10:uidLastSave="{00000000-0000-0000-0000-000000000000}"/>
  <bookViews>
    <workbookView xWindow="-108" yWindow="-108" windowWidth="23256" windowHeight="12600" xr2:uid="{00000000-000D-0000-FFFF-FFFF00000000}"/>
  </bookViews>
  <sheets>
    <sheet name="UNDP-UNFPA-UNICEF - budget RYCO" sheetId="8" r:id="rId1"/>
    <sheet name="Sheet1" sheetId="7"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X13" i="8" l="1"/>
  <c r="X11" i="8"/>
  <c r="X10" i="8"/>
  <c r="X9" i="8"/>
  <c r="X8" i="8"/>
  <c r="X7" i="8"/>
  <c r="X6" i="8"/>
  <c r="X5" i="8"/>
  <c r="Q19" i="8" l="1"/>
  <c r="Q21" i="8" l="1"/>
  <c r="Q20" i="8"/>
  <c r="M23" i="8" l="1"/>
  <c r="M22" i="8"/>
  <c r="M21" i="8"/>
  <c r="M20" i="8"/>
  <c r="L9" i="8" l="1"/>
  <c r="U9" i="8" s="1"/>
  <c r="O9" i="8"/>
  <c r="P9" i="8"/>
  <c r="R9" i="8"/>
  <c r="S9" i="8"/>
  <c r="V9" i="8"/>
  <c r="W9" i="8"/>
  <c r="N11" i="8"/>
  <c r="W11" i="8"/>
  <c r="G110" i="8" l="1"/>
  <c r="I110" i="8"/>
  <c r="I111" i="8"/>
  <c r="G112" i="8"/>
  <c r="I112" i="8"/>
  <c r="G113" i="8"/>
  <c r="I113" i="8"/>
  <c r="G114" i="8"/>
  <c r="G116" i="8" s="1"/>
  <c r="G115" i="8"/>
  <c r="I115" i="8" s="1"/>
  <c r="G117" i="8"/>
  <c r="I117" i="8" s="1"/>
  <c r="G118" i="8"/>
  <c r="M6" i="8" s="1"/>
  <c r="V6" i="8" s="1"/>
  <c r="H118" i="8"/>
  <c r="N6" i="8" s="1"/>
  <c r="W6" i="8" s="1"/>
  <c r="I119" i="8"/>
  <c r="G120" i="8"/>
  <c r="H120" i="8"/>
  <c r="I120" i="8"/>
  <c r="G121" i="8"/>
  <c r="H121" i="8"/>
  <c r="I121" i="8"/>
  <c r="I123" i="8"/>
  <c r="H124" i="8"/>
  <c r="I124" i="8" s="1"/>
  <c r="G125" i="8"/>
  <c r="H125" i="8"/>
  <c r="I125" i="8"/>
  <c r="G126" i="8"/>
  <c r="G130" i="8" s="1"/>
  <c r="H126" i="8"/>
  <c r="I126" i="8"/>
  <c r="H127" i="8"/>
  <c r="N10" i="8" s="1"/>
  <c r="W10" i="8" s="1"/>
  <c r="I127" i="8"/>
  <c r="H128" i="8"/>
  <c r="I128" i="8"/>
  <c r="H129" i="8"/>
  <c r="I129" i="8"/>
  <c r="G131" i="8"/>
  <c r="I131" i="8" s="1"/>
  <c r="I132" i="8" s="1"/>
  <c r="H131" i="8"/>
  <c r="N5" i="8" s="1"/>
  <c r="H132" i="8"/>
  <c r="H130" i="8"/>
  <c r="H116" i="8"/>
  <c r="G122" i="8"/>
  <c r="H7" i="8"/>
  <c r="H8" i="8"/>
  <c r="H9" i="8"/>
  <c r="H10" i="8"/>
  <c r="H11" i="8"/>
  <c r="H13" i="8"/>
  <c r="H29" i="8"/>
  <c r="I29" i="8" s="1"/>
  <c r="I34" i="8" s="1"/>
  <c r="H30" i="8"/>
  <c r="H35" i="8"/>
  <c r="I35" i="8" s="1"/>
  <c r="I40" i="8" s="1"/>
  <c r="I42" i="8" s="1"/>
  <c r="H36" i="8"/>
  <c r="H12" i="8"/>
  <c r="H39" i="8"/>
  <c r="M8" i="8" s="1"/>
  <c r="H14" i="8"/>
  <c r="H32" i="8"/>
  <c r="I32" i="8" s="1"/>
  <c r="H53" i="8"/>
  <c r="P5" i="8" s="1"/>
  <c r="H54" i="8"/>
  <c r="H56" i="8"/>
  <c r="P8" i="8" s="1"/>
  <c r="H58" i="8"/>
  <c r="H61" i="8"/>
  <c r="H63" i="8"/>
  <c r="H92" i="8"/>
  <c r="H95" i="8"/>
  <c r="H98" i="8" s="1"/>
  <c r="H90" i="8"/>
  <c r="S8" i="8" s="1"/>
  <c r="H93" i="8"/>
  <c r="H87" i="8"/>
  <c r="S10" i="8" s="1"/>
  <c r="V10" i="8" s="1"/>
  <c r="G88" i="8"/>
  <c r="I88" i="8" s="1"/>
  <c r="I89" i="8" s="1"/>
  <c r="G78" i="8"/>
  <c r="G79" i="8"/>
  <c r="G92" i="8"/>
  <c r="G94" i="8" s="1"/>
  <c r="I94" i="8" s="1"/>
  <c r="G95" i="8"/>
  <c r="G98" i="8" s="1"/>
  <c r="G100" i="8" s="1"/>
  <c r="G53" i="8"/>
  <c r="G54" i="8"/>
  <c r="G57" i="8" s="1"/>
  <c r="G67" i="8" s="1"/>
  <c r="G7" i="8"/>
  <c r="G8" i="8"/>
  <c r="G9" i="8"/>
  <c r="G10" i="8"/>
  <c r="G11" i="8"/>
  <c r="G16" i="8" s="1"/>
  <c r="G18" i="8" s="1"/>
  <c r="G13" i="8"/>
  <c r="I13" i="8" s="1"/>
  <c r="G29" i="8"/>
  <c r="G30" i="8"/>
  <c r="G34" i="8" s="1"/>
  <c r="G42" i="8" s="1"/>
  <c r="G35" i="8"/>
  <c r="G36" i="8"/>
  <c r="G12" i="8"/>
  <c r="G15" i="8"/>
  <c r="L7" i="8" s="1"/>
  <c r="U7" i="8" s="1"/>
  <c r="G31" i="8"/>
  <c r="G37" i="8"/>
  <c r="G5" i="8"/>
  <c r="L10" i="8" s="1"/>
  <c r="U10" i="8" s="1"/>
  <c r="G14" i="8"/>
  <c r="L11" i="8" s="1"/>
  <c r="U11" i="8" s="1"/>
  <c r="G56" i="8"/>
  <c r="O8" i="8" s="1"/>
  <c r="G58" i="8"/>
  <c r="G61" i="8"/>
  <c r="G63" i="8"/>
  <c r="G80" i="8"/>
  <c r="R8" i="8" s="1"/>
  <c r="H94" i="8"/>
  <c r="H89" i="8"/>
  <c r="H86" i="8"/>
  <c r="H81" i="8"/>
  <c r="H60" i="8"/>
  <c r="H65" i="8"/>
  <c r="H34" i="8"/>
  <c r="H6" i="8"/>
  <c r="I95" i="8"/>
  <c r="I98" i="8" s="1"/>
  <c r="I96" i="8"/>
  <c r="I97" i="8"/>
  <c r="I87" i="8"/>
  <c r="I82" i="8"/>
  <c r="I86" i="8" s="1"/>
  <c r="I83" i="8"/>
  <c r="I84" i="8"/>
  <c r="I85" i="8"/>
  <c r="I78" i="8"/>
  <c r="I81" i="8" s="1"/>
  <c r="I79" i="8"/>
  <c r="I80" i="8"/>
  <c r="I55" i="8"/>
  <c r="I58" i="8"/>
  <c r="I60" i="8" s="1"/>
  <c r="I59" i="8"/>
  <c r="I61" i="8"/>
  <c r="I62" i="8"/>
  <c r="I63" i="8"/>
  <c r="I65" i="8" s="1"/>
  <c r="I64" i="8"/>
  <c r="I36" i="8"/>
  <c r="I37" i="8"/>
  <c r="I38" i="8"/>
  <c r="I39" i="8"/>
  <c r="I30" i="8"/>
  <c r="I31" i="8"/>
  <c r="I33" i="8"/>
  <c r="I7" i="8"/>
  <c r="I8" i="8"/>
  <c r="I9" i="8"/>
  <c r="I10" i="8"/>
  <c r="I11" i="8"/>
  <c r="I15" i="8"/>
  <c r="I5" i="8"/>
  <c r="I6" i="8"/>
  <c r="G89" i="8"/>
  <c r="G86" i="8"/>
  <c r="G81" i="8"/>
  <c r="G60" i="8"/>
  <c r="G65" i="8"/>
  <c r="G40" i="8"/>
  <c r="G6" i="8"/>
  <c r="I93" i="8"/>
  <c r="I92" i="8"/>
  <c r="I90" i="8"/>
  <c r="G44" i="8" l="1"/>
  <c r="G46" i="8"/>
  <c r="I44" i="8"/>
  <c r="I46" i="8" s="1"/>
  <c r="H100" i="8"/>
  <c r="H134" i="8"/>
  <c r="G71" i="8"/>
  <c r="G69" i="8"/>
  <c r="G102" i="8"/>
  <c r="G104" i="8"/>
  <c r="G20" i="8"/>
  <c r="G22" i="8"/>
  <c r="I130" i="8"/>
  <c r="M5" i="8"/>
  <c r="H40" i="8"/>
  <c r="H42" i="8" s="1"/>
  <c r="H91" i="8"/>
  <c r="I91" i="8" s="1"/>
  <c r="I100" i="8" s="1"/>
  <c r="O5" i="8"/>
  <c r="O13" i="8" s="1"/>
  <c r="I118" i="8"/>
  <c r="I122" i="8" s="1"/>
  <c r="I114" i="8"/>
  <c r="I116" i="8" s="1"/>
  <c r="I134" i="8" s="1"/>
  <c r="P13" i="8"/>
  <c r="G132" i="8"/>
  <c r="G134" i="8" s="1"/>
  <c r="L8" i="8"/>
  <c r="U8" i="8" s="1"/>
  <c r="I14" i="8"/>
  <c r="I16" i="8" s="1"/>
  <c r="I18" i="8" s="1"/>
  <c r="I54" i="8"/>
  <c r="S5" i="8"/>
  <c r="S13" i="8" s="1"/>
  <c r="M11" i="8"/>
  <c r="V11" i="8" s="1"/>
  <c r="N8" i="8"/>
  <c r="W8" i="8" s="1"/>
  <c r="I53" i="8"/>
  <c r="H57" i="8"/>
  <c r="H67" i="8" s="1"/>
  <c r="R5" i="8"/>
  <c r="R13" i="8" s="1"/>
  <c r="V8" i="8"/>
  <c r="I56" i="8"/>
  <c r="H16" i="8"/>
  <c r="H18" i="8" s="1"/>
  <c r="L5" i="8"/>
  <c r="H122" i="8"/>
  <c r="W5" i="8"/>
  <c r="Q8" i="8"/>
  <c r="Q13" i="8" s="1"/>
  <c r="I20" i="8" l="1"/>
  <c r="I22" i="8" s="1"/>
  <c r="I136" i="8"/>
  <c r="I138" i="8"/>
  <c r="I102" i="8"/>
  <c r="I104" i="8"/>
  <c r="O14" i="8"/>
  <c r="O15" i="8" s="1"/>
  <c r="S14" i="8"/>
  <c r="S15" i="8"/>
  <c r="H102" i="8"/>
  <c r="H104" i="8"/>
  <c r="Q14" i="8"/>
  <c r="Q15" i="8" s="1"/>
  <c r="L13" i="8"/>
  <c r="U5" i="8"/>
  <c r="H20" i="8"/>
  <c r="H22" i="8" s="1"/>
  <c r="W13" i="8"/>
  <c r="R14" i="8"/>
  <c r="R15" i="8"/>
  <c r="H44" i="8"/>
  <c r="H46" i="8" s="1"/>
  <c r="N13" i="8"/>
  <c r="H69" i="8"/>
  <c r="H71" i="8"/>
  <c r="G136" i="8"/>
  <c r="G143" i="8" s="1"/>
  <c r="G142" i="8"/>
  <c r="G138" i="8"/>
  <c r="V5" i="8"/>
  <c r="V13" i="8" s="1"/>
  <c r="M13" i="8"/>
  <c r="H142" i="8"/>
  <c r="H136" i="8"/>
  <c r="H138" i="8"/>
  <c r="I57" i="8"/>
  <c r="I67" i="8" s="1"/>
  <c r="P14" i="8"/>
  <c r="P15" i="8"/>
  <c r="N14" i="8" l="1"/>
  <c r="U13" i="8"/>
  <c r="L14" i="8"/>
  <c r="I142" i="8"/>
  <c r="G144" i="8"/>
  <c r="W14" i="8"/>
  <c r="W15" i="8" s="1"/>
  <c r="I69" i="8"/>
  <c r="I71" i="8" s="1"/>
  <c r="M14" i="8"/>
  <c r="V14" i="8"/>
  <c r="V15" i="8"/>
  <c r="H143" i="8"/>
  <c r="I143" i="8" s="1"/>
  <c r="H144" i="8" l="1"/>
  <c r="U14" i="8"/>
  <c r="U15" i="8"/>
  <c r="I144" i="8"/>
  <c r="L15" i="8"/>
  <c r="X17" i="8" s="1"/>
  <c r="X14" i="8" l="1"/>
  <c r="X15" i="8" s="1"/>
</calcChain>
</file>

<file path=xl/sharedStrings.xml><?xml version="1.0" encoding="utf-8"?>
<sst xmlns="http://schemas.openxmlformats.org/spreadsheetml/2006/main" count="265" uniqueCount="160">
  <si>
    <t>Nr Units</t>
  </si>
  <si>
    <t>Description of budget categories</t>
  </si>
  <si>
    <t>Units</t>
  </si>
  <si>
    <t>days</t>
  </si>
  <si>
    <t>lump sum</t>
  </si>
  <si>
    <t>months</t>
  </si>
  <si>
    <t>Programme cost</t>
  </si>
  <si>
    <t xml:space="preserve">Cost/Unit $ </t>
  </si>
  <si>
    <t>Total in USD</t>
  </si>
  <si>
    <t>International Consultants - Small Grants (1 person)</t>
  </si>
  <si>
    <t>Local Consultants - Small Grants (2 persons)</t>
  </si>
  <si>
    <t xml:space="preserve">Audit Costs </t>
  </si>
  <si>
    <t xml:space="preserve"> Year I</t>
  </si>
  <si>
    <t>Year 2</t>
  </si>
  <si>
    <t>International Consultant - M&amp;E (1 person)</t>
  </si>
  <si>
    <t xml:space="preserve">Local Consultants - M&amp;E (2 persons) </t>
  </si>
  <si>
    <t>Professional Services - Companies - baseline</t>
  </si>
  <si>
    <t>Communications costs</t>
  </si>
  <si>
    <t>Coordination &amp; management</t>
  </si>
  <si>
    <t>workshops</t>
  </si>
  <si>
    <t xml:space="preserve">Trainings (schools and CSOs) </t>
  </si>
  <si>
    <t>sessions</t>
  </si>
  <si>
    <t>Manual on peace building</t>
  </si>
  <si>
    <t>Training</t>
  </si>
  <si>
    <t>U-report, participatory ideas youth</t>
  </si>
  <si>
    <t xml:space="preserve">Webinar and sharing of experience  </t>
  </si>
  <si>
    <t>School grants</t>
  </si>
  <si>
    <t>Support to schools for project proposal writing</t>
  </si>
  <si>
    <t>Digital classroom</t>
  </si>
  <si>
    <t>International Consultant (1 person)</t>
  </si>
  <si>
    <t>Local Consultant (1 person)</t>
  </si>
  <si>
    <t xml:space="preserve"> Small Grants </t>
  </si>
  <si>
    <t xml:space="preserve">Budget breakdown for "RYCO Support" </t>
  </si>
  <si>
    <t xml:space="preserve">M&amp;E coordinator (1 person) </t>
  </si>
  <si>
    <t>Admin/Finance Asssitant (1 person)</t>
  </si>
  <si>
    <t xml:space="preserve">Project Assitant  (1 person) </t>
  </si>
  <si>
    <t>M&amp;E Advisor, Serbia (1 person)</t>
  </si>
  <si>
    <t xml:space="preserve">Budget breakdown for "UNDP Support to Institutional Strengthening for RYCO" </t>
  </si>
  <si>
    <t xml:space="preserve">Budget breakdown for "UNFPA Support to Institutional Strengthening for RYCO" </t>
  </si>
  <si>
    <t xml:space="preserve">Budget breakdown for "UNICEF Support to Institutional Strengthening for RYCO" </t>
  </si>
  <si>
    <t>GRAND TOTAL - UNICEF</t>
  </si>
  <si>
    <t>GRAND TOTAL - UNFPA</t>
  </si>
  <si>
    <t>GRAND TOTAL - UNDP</t>
  </si>
  <si>
    <t xml:space="preserve">GRAND TOTAL - RYCO </t>
  </si>
  <si>
    <t>M&amp;E Advisor, WB 5 countries (5 persons)</t>
  </si>
  <si>
    <t>session</t>
  </si>
  <si>
    <t>organisations / grassroot NGOs</t>
  </si>
  <si>
    <t>NGO</t>
  </si>
  <si>
    <t>country</t>
  </si>
  <si>
    <t>event</t>
  </si>
  <si>
    <t>Indirect Support Costs 7%</t>
  </si>
  <si>
    <t>IT Equipment (10 computers, 7 printers, etc)</t>
  </si>
  <si>
    <t xml:space="preserve"> PBF Programmble Project Budget</t>
  </si>
  <si>
    <t xml:space="preserve">GRAND TOTAL </t>
  </si>
  <si>
    <t>Tranche 1</t>
  </si>
  <si>
    <t>Tranche 2</t>
  </si>
  <si>
    <t>PBF Budget</t>
  </si>
  <si>
    <t>Categories</t>
  </si>
  <si>
    <t>Amount Recipient Agency, UNFPA</t>
  </si>
  <si>
    <t>Amount Recipient Agency, UNICEF</t>
  </si>
  <si>
    <t>1.Staff and other personnel</t>
  </si>
  <si>
    <t>2. Supplies, Commodities, Materials</t>
  </si>
  <si>
    <t>3. Equipment, Vehicles &amp; Furniture (including Depreciation)</t>
  </si>
  <si>
    <t>4. Contractual Services</t>
  </si>
  <si>
    <t>5. Travel</t>
  </si>
  <si>
    <t xml:space="preserve">6. Transfer and Grants to Counterparts </t>
  </si>
  <si>
    <t>7. General Operating and Other Costs</t>
  </si>
  <si>
    <t xml:space="preserve">Sub-Total Project Costs </t>
  </si>
  <si>
    <t>8. Indirect Support Costs</t>
  </si>
  <si>
    <t>TOTAL</t>
  </si>
  <si>
    <t>Amount Recipient Agency, UNDP (including RYCO)</t>
  </si>
  <si>
    <t xml:space="preserve">Travel Costs </t>
  </si>
  <si>
    <t>travel costs</t>
  </si>
  <si>
    <t>Comm/Visibility Assistant</t>
  </si>
  <si>
    <t>Project Manager - NOB (1 person)</t>
  </si>
  <si>
    <t>Operations (rent, travel, office costs, refreshment etc for RYCO)</t>
  </si>
  <si>
    <t>Development of a digital platform for learining</t>
  </si>
  <si>
    <t>Total Tranche 1</t>
  </si>
  <si>
    <t>Total Tranche 2</t>
  </si>
  <si>
    <t>Project TOTAL</t>
  </si>
  <si>
    <t>Output 2</t>
  </si>
  <si>
    <t>International Consultants (2 persons)</t>
  </si>
  <si>
    <t>Local Consultants (4 persons)</t>
  </si>
  <si>
    <t>Total Activity 2.1</t>
  </si>
  <si>
    <t>Total Activity 2.2</t>
  </si>
  <si>
    <t>Total Activity 2.3</t>
  </si>
  <si>
    <t>develop best practices by country</t>
  </si>
  <si>
    <t>sub-regional events</t>
  </si>
  <si>
    <t>communications campaign</t>
  </si>
  <si>
    <t>Output 3</t>
  </si>
  <si>
    <t>Total Activity 3.2</t>
  </si>
  <si>
    <t>Total Activity 3.1</t>
  </si>
  <si>
    <t>Total Activity 3.3</t>
  </si>
  <si>
    <t>Output 1</t>
  </si>
  <si>
    <t xml:space="preserve">Two study visits </t>
  </si>
  <si>
    <t>Travel Cost</t>
  </si>
  <si>
    <t>Total Activity 1.1.</t>
  </si>
  <si>
    <t>Total Activity 1.2</t>
  </si>
  <si>
    <t>Total Activity 1.3</t>
  </si>
  <si>
    <t>Total Activity 1.4</t>
  </si>
  <si>
    <t>Total Activity 1.5</t>
  </si>
  <si>
    <t>Total Activity 1.6</t>
  </si>
  <si>
    <t>Total</t>
  </si>
  <si>
    <t>Consultant for M&amp;E (and indicator's survery)</t>
  </si>
  <si>
    <t>Final Evaluation RYCO (M&amp;E) (and indicator's survey)</t>
  </si>
  <si>
    <t>Tranche 3</t>
  </si>
  <si>
    <t xml:space="preserve">Budget breakdown for Output 4: Opportunities for youth from diverse backgrounds to identify common peace and security priorities and enter in constructive dialogue with their peers across divides will be created, confidence in and dialogue with decision-makers will be enhanced, and youth capacities to become actors for change will be strengthened. </t>
  </si>
  <si>
    <t>Activity 4.1 Design methodology for and implement regional youth perceptions action research and analyze results</t>
  </si>
  <si>
    <t>International consultant</t>
  </si>
  <si>
    <t>Inception workshop</t>
    <phoneticPr fontId="0" type="noConversion"/>
  </si>
  <si>
    <t>lump sum</t>
    <phoneticPr fontId="0" type="noConversion"/>
  </si>
  <si>
    <t>Survey toolkit, samples, piloting and questionnaires</t>
  </si>
  <si>
    <t>Fielding the survey (6 countries)</t>
  </si>
  <si>
    <t>Data collection, data entry and technical reports</t>
  </si>
  <si>
    <t>Data analysis</t>
  </si>
  <si>
    <t>Total Activity 4.1</t>
  </si>
  <si>
    <t xml:space="preserve">Activity 4.2 Local and regional trainings on leadership, peacebuilding, advocacy and conflict-sensitive research for young activists to empower youth to be actors of change in the region, and to provide structured opportunities for networking across conflict divides </t>
  </si>
  <si>
    <t>Training materials and conducting trainings</t>
  </si>
  <si>
    <t>Youth organization outreach and engagement</t>
  </si>
  <si>
    <t>Trainings logistics (travel, venue, accommodation)</t>
  </si>
  <si>
    <t>Total Activity 4.2</t>
  </si>
  <si>
    <t>Activity 4.3 National and regional youth consultations to formulate common messages for sustaining peace, enter into dialogue with decision-makers and create tools, events and products for advocacy and policy and programming impact</t>
  </si>
  <si>
    <t>Report write-up and publication</t>
  </si>
  <si>
    <t>Online platform technical support</t>
  </si>
  <si>
    <t>National consultations and meetings with policy-makers</t>
  </si>
  <si>
    <t>Financial support to NGO partners for follow-up advocacy</t>
  </si>
  <si>
    <t>Total Activity 4.3</t>
  </si>
  <si>
    <t>Regional YPS Specialist P3 and other staff time and travel</t>
  </si>
  <si>
    <t>Total</t>
    <phoneticPr fontId="0" type="noConversion"/>
  </si>
  <si>
    <t>Year 1</t>
  </si>
  <si>
    <r>
      <rPr>
        <b/>
        <sz val="11"/>
        <color theme="3" tint="-0.499984740745262"/>
        <rFont val="Calibri"/>
        <family val="2"/>
        <scheme val="minor"/>
      </rPr>
      <t>Activity 3.2</t>
    </r>
    <r>
      <rPr>
        <sz val="11"/>
        <color theme="3" tint="-0.499984740745262"/>
        <rFont val="Calibri"/>
        <family val="2"/>
        <scheme val="minor"/>
      </rPr>
      <t xml:space="preserve">  Consolidate RYCOs Small Grants Facility with additional financial resources </t>
    </r>
  </si>
  <si>
    <r>
      <rPr>
        <b/>
        <sz val="11"/>
        <color theme="3" tint="-0.499984740745262"/>
        <rFont val="Calibri"/>
        <family val="2"/>
        <scheme val="minor"/>
      </rPr>
      <t>Activity 3.3</t>
    </r>
    <r>
      <rPr>
        <sz val="11"/>
        <color theme="3" tint="-0.499984740745262"/>
        <rFont val="Calibri"/>
        <family val="2"/>
        <scheme val="minor"/>
      </rPr>
      <t xml:space="preserve"> RYCO support team </t>
    </r>
  </si>
  <si>
    <r>
      <rPr>
        <b/>
        <sz val="11"/>
        <color theme="3" tint="-0.499984740745262"/>
        <rFont val="Calibri"/>
        <family val="2"/>
        <scheme val="minor"/>
      </rPr>
      <t>Activity 3.1</t>
    </r>
    <r>
      <rPr>
        <sz val="11"/>
        <color theme="3" tint="-0.499984740745262"/>
        <rFont val="Calibri"/>
        <family val="2"/>
        <scheme val="minor"/>
      </rPr>
      <t xml:space="preserve"> Strengthen and operationalize RYCOs Small Grants Facility</t>
    </r>
  </si>
  <si>
    <r>
      <rPr>
        <b/>
        <sz val="11"/>
        <color theme="3" tint="-0.499984740745262"/>
        <rFont val="Calibri"/>
        <family val="2"/>
        <scheme val="minor"/>
      </rPr>
      <t>Activity 3.3</t>
    </r>
    <r>
      <rPr>
        <sz val="11"/>
        <color theme="3" tint="-0.499984740745262"/>
        <rFont val="Calibri"/>
        <family val="2"/>
        <scheme val="minor"/>
      </rPr>
      <t xml:space="preserve"> Design RYCOs monitoring and evaluation system and strengthen institutional capacities to conduct M&amp;E</t>
    </r>
  </si>
  <si>
    <r>
      <t xml:space="preserve">Activity </t>
    </r>
    <r>
      <rPr>
        <b/>
        <sz val="11"/>
        <color rgb="FFFF0000"/>
        <rFont val="Calibri"/>
        <family val="2"/>
        <scheme val="minor"/>
      </rPr>
      <t>2.1</t>
    </r>
    <r>
      <rPr>
        <sz val="11"/>
        <color rgb="FFFF0000"/>
        <rFont val="Calibri"/>
        <family val="2"/>
        <scheme val="minor"/>
      </rPr>
      <t xml:space="preserve"> Strengthen capacities of grassroot vulnerable young people from WB6 on inclusiveness, peacebuilding, tolerance, and anti-discrimination.</t>
    </r>
  </si>
  <si>
    <r>
      <rPr>
        <b/>
        <sz val="11"/>
        <color rgb="FFFF0000"/>
        <rFont val="Calibri"/>
        <family val="2"/>
        <scheme val="minor"/>
      </rPr>
      <t>Activity 2.2</t>
    </r>
    <r>
      <rPr>
        <sz val="11"/>
        <color rgb="FFFF0000"/>
        <rFont val="Calibri"/>
        <family val="2"/>
        <scheme val="minor"/>
      </rPr>
      <t xml:space="preserve"> Support (through small grants and mentoring) best innovative ideas from grassroot young people / organizations involving peers from WB6;</t>
    </r>
  </si>
  <si>
    <r>
      <t xml:space="preserve">Activity </t>
    </r>
    <r>
      <rPr>
        <b/>
        <sz val="11"/>
        <color rgb="FFFF0000"/>
        <rFont val="Calibri"/>
        <family val="2"/>
        <scheme val="minor"/>
      </rPr>
      <t>2.3</t>
    </r>
    <r>
      <rPr>
        <sz val="11"/>
        <color rgb="FFFF0000"/>
        <rFont val="Calibri"/>
        <family val="2"/>
        <scheme val="minor"/>
      </rPr>
      <t xml:space="preserve"> Develop a social media and TV advocacy and communications campaign featuring best practices, the knowledge, experiences, insights, human stories and emerging discourses on the role of vulnerable young people in peacebuilding and reconciliation, linked to relevant SDG targets.</t>
    </r>
  </si>
  <si>
    <r>
      <rPr>
        <b/>
        <sz val="11"/>
        <color rgb="FF7030A0"/>
        <rFont val="Calibri"/>
        <family val="2"/>
        <scheme val="minor"/>
      </rPr>
      <t>Activity 1.1.</t>
    </r>
    <r>
      <rPr>
        <sz val="11"/>
        <color rgb="FF7030A0"/>
        <rFont val="Calibri"/>
        <family val="2"/>
        <scheme val="minor"/>
      </rPr>
      <t xml:space="preserve"> Document and share best practices in working with inclusive education, peace building transformative pedagogies </t>
    </r>
  </si>
  <si>
    <r>
      <t xml:space="preserve">Activity  1.2 </t>
    </r>
    <r>
      <rPr>
        <sz val="11"/>
        <color rgb="FF7030A0"/>
        <rFont val="Calibri"/>
        <family val="2"/>
        <scheme val="minor"/>
      </rPr>
      <t>Develop, in a participatory way, and apply a methodology on peacebuilding, conflict resolution and intercultural dialogue in schools via U-report platform;</t>
    </r>
  </si>
  <si>
    <r>
      <rPr>
        <b/>
        <sz val="11"/>
        <color rgb="FF7030A0"/>
        <rFont val="Calibri"/>
        <family val="2"/>
        <scheme val="minor"/>
      </rPr>
      <t xml:space="preserve">Activity 1.3 </t>
    </r>
    <r>
      <rPr>
        <sz val="11"/>
        <color rgb="FF7030A0"/>
        <rFont val="Calibri"/>
        <family val="2"/>
        <scheme val="minor"/>
      </rPr>
      <t>Schools receive mentoring and small grants for networking at regional level</t>
    </r>
  </si>
  <si>
    <r>
      <t xml:space="preserve">Activity </t>
    </r>
    <r>
      <rPr>
        <b/>
        <sz val="11"/>
        <color rgb="FF7030A0"/>
        <rFont val="Calibri"/>
        <family val="2"/>
        <scheme val="minor"/>
      </rPr>
      <t xml:space="preserve">1.4 </t>
    </r>
    <r>
      <rPr>
        <sz val="11"/>
        <color rgb="FF7030A0"/>
        <rFont val="Calibri"/>
        <family val="2"/>
        <scheme val="minor"/>
      </rPr>
      <t>Organise study visit to reflect together an advanced model of education system offering intercultural learning</t>
    </r>
  </si>
  <si>
    <r>
      <rPr>
        <b/>
        <sz val="11"/>
        <color rgb="FF7030A0"/>
        <rFont val="Calibri"/>
        <family val="2"/>
        <scheme val="minor"/>
      </rPr>
      <t xml:space="preserve">Activity 1.5 Innovative ideas </t>
    </r>
    <r>
      <rPr>
        <sz val="11"/>
        <color rgb="FF7030A0"/>
        <rFont val="Calibri"/>
        <family val="2"/>
        <scheme val="minor"/>
      </rPr>
      <t>(using technology and virtual space) around intercultural learning and dialogue are tested and shared</t>
    </r>
  </si>
  <si>
    <r>
      <t xml:space="preserve">Activity 1.6 </t>
    </r>
    <r>
      <rPr>
        <sz val="11"/>
        <color rgb="FF7030A0"/>
        <rFont val="Calibri"/>
        <family val="2"/>
        <scheme val="minor"/>
      </rPr>
      <t>Consultans to support programe and others</t>
    </r>
  </si>
  <si>
    <t>Consultation and validation workshops</t>
  </si>
  <si>
    <r>
      <t xml:space="preserve">Output </t>
    </r>
    <r>
      <rPr>
        <b/>
        <sz val="11"/>
        <color theme="3"/>
        <rFont val="Calibri"/>
        <family val="2"/>
      </rPr>
      <t>4</t>
    </r>
  </si>
  <si>
    <r>
      <t xml:space="preserve"> Year </t>
    </r>
    <r>
      <rPr>
        <b/>
        <sz val="11"/>
        <color theme="3"/>
        <rFont val="Calibri"/>
        <family val="2"/>
      </rPr>
      <t>1 (2019)</t>
    </r>
  </si>
  <si>
    <r>
      <t>Year 2 (</t>
    </r>
    <r>
      <rPr>
        <b/>
        <sz val="11"/>
        <color theme="3"/>
        <rFont val="Calibri"/>
        <family val="2"/>
      </rPr>
      <t>2020</t>
    </r>
    <r>
      <rPr>
        <b/>
        <sz val="11"/>
        <color theme="3"/>
        <rFont val="Calibri"/>
        <family val="2"/>
        <scheme val="minor"/>
      </rPr>
      <t>)</t>
    </r>
  </si>
  <si>
    <r>
      <t>Translation costs</t>
    </r>
    <r>
      <rPr>
        <sz val="11"/>
        <color theme="3"/>
        <rFont val="Calibri"/>
        <family val="2"/>
      </rPr>
      <t xml:space="preserve"> for publication and online platform</t>
    </r>
  </si>
  <si>
    <r>
      <t xml:space="preserve">Communications </t>
    </r>
    <r>
      <rPr>
        <sz val="11"/>
        <color theme="3"/>
        <rFont val="Calibri"/>
        <family val="2"/>
        <scheme val="minor"/>
      </rPr>
      <t>consultant</t>
    </r>
  </si>
  <si>
    <r>
      <t xml:space="preserve">Regional dialogue with youth and policy-makers and </t>
    </r>
    <r>
      <rPr>
        <sz val="11"/>
        <color theme="3"/>
        <rFont val="Calibri"/>
        <family val="2"/>
      </rPr>
      <t>study launch</t>
    </r>
  </si>
  <si>
    <t>UNDP</t>
  </si>
  <si>
    <t>UNFPA</t>
  </si>
  <si>
    <t>UNICEF</t>
  </si>
  <si>
    <t>Total Approved</t>
  </si>
  <si>
    <t>Approved by PBF</t>
  </si>
  <si>
    <t>TRANCHE 1</t>
  </si>
  <si>
    <t>TRANCHE 2</t>
  </si>
  <si>
    <t>TRANCHE 3</t>
  </si>
  <si>
    <t>OTF letter</t>
  </si>
  <si>
    <t>PBF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</si>
</sst>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00_)\ _A_L_L_ ;_ * \(#,##0.00\)\ _A_L_L_ ;_ * &quot;-&quot;??_)\ _A_L_L_ ;_ @_ "/>
  </numFmts>
  <fonts count="32">
    <font>
      <sz val="11"/>
      <color theme="1"/>
      <name val="Calibri"/>
      <family val="2"/>
      <scheme val="minor"/>
    </font>
    <font>
      <sz val="10"/>
      <name val="Arial"/>
      <family val="2"/>
    </font>
    <font>
      <sz val="11"/>
      <color indexed="8"/>
      <name val="Calibri"/>
      <family val="2"/>
    </font>
    <font>
      <sz val="11"/>
      <name val="Arial"/>
      <family val="2"/>
    </font>
    <font>
      <sz val="11"/>
      <color rgb="FF006100"/>
      <name val="Calibri"/>
      <family val="2"/>
      <scheme val="minor"/>
    </font>
    <font>
      <b/>
      <sz val="11"/>
      <name val="Calibri"/>
      <family val="2"/>
      <scheme val="minor"/>
    </font>
    <font>
      <sz val="11"/>
      <name val="Calibri"/>
      <family val="2"/>
      <scheme val="minor"/>
    </font>
    <font>
      <b/>
      <sz val="12"/>
      <name val="Arial"/>
      <family val="2"/>
    </font>
    <font>
      <sz val="12"/>
      <name val="Arial"/>
      <family val="2"/>
    </font>
    <font>
      <b/>
      <sz val="11"/>
      <name val="Arial"/>
      <family val="2"/>
    </font>
    <font>
      <sz val="11"/>
      <color theme="1"/>
      <name val="Calibri"/>
      <family val="2"/>
      <scheme val="minor"/>
    </font>
    <font>
      <sz val="11"/>
      <color rgb="FFFF0000"/>
      <name val="Arial"/>
      <family val="2"/>
    </font>
    <font>
      <u/>
      <sz val="11"/>
      <color theme="10"/>
      <name val="Calibri"/>
      <family val="2"/>
      <scheme val="minor"/>
    </font>
    <font>
      <u/>
      <sz val="11"/>
      <color theme="11"/>
      <name val="Calibri"/>
      <family val="2"/>
      <scheme val="minor"/>
    </font>
    <font>
      <b/>
      <sz val="11"/>
      <color theme="3"/>
      <name val="Calibri"/>
      <family val="2"/>
      <scheme val="minor"/>
    </font>
    <font>
      <sz val="11"/>
      <color rgb="FFFF0000"/>
      <name val="Calibri (Body)"/>
    </font>
    <font>
      <sz val="11"/>
      <color rgb="FFFF0000"/>
      <name val="Calibri"/>
      <family val="2"/>
      <scheme val="minor"/>
    </font>
    <font>
      <b/>
      <sz val="11"/>
      <color theme="3" tint="-0.499984740745262"/>
      <name val="Calibri"/>
      <family val="2"/>
      <scheme val="minor"/>
    </font>
    <font>
      <sz val="11"/>
      <color theme="3" tint="-0.499984740745262"/>
      <name val="Calibri"/>
      <family val="2"/>
      <scheme val="minor"/>
    </font>
    <font>
      <sz val="11"/>
      <color theme="3" tint="-0.499984740745262"/>
      <name val="Arial"/>
      <family val="2"/>
    </font>
    <font>
      <b/>
      <sz val="11"/>
      <color rgb="FFFF0000"/>
      <name val="Calibri"/>
      <family val="2"/>
      <scheme val="minor"/>
    </font>
    <font>
      <b/>
      <sz val="11"/>
      <color rgb="FF7030A0"/>
      <name val="Calibri"/>
      <family val="2"/>
      <scheme val="minor"/>
    </font>
    <font>
      <sz val="11"/>
      <color rgb="FF7030A0"/>
      <name val="Calibri"/>
      <family val="2"/>
      <scheme val="minor"/>
    </font>
    <font>
      <b/>
      <sz val="11"/>
      <color theme="3"/>
      <name val="Arial"/>
      <family val="2"/>
    </font>
    <font>
      <sz val="11"/>
      <color theme="3"/>
      <name val="Calibri"/>
      <family val="2"/>
      <scheme val="minor"/>
    </font>
    <font>
      <sz val="11"/>
      <color theme="3"/>
      <name val="Arial"/>
      <family val="2"/>
    </font>
    <font>
      <b/>
      <sz val="11"/>
      <color rgb="FFFF0000"/>
      <name val="Arial"/>
      <family val="2"/>
    </font>
    <font>
      <b/>
      <sz val="11"/>
      <color theme="7" tint="-0.499984740745262"/>
      <name val="Arial"/>
      <family val="2"/>
    </font>
    <font>
      <sz val="11"/>
      <color theme="7" tint="-0.499984740745262"/>
      <name val="Calibri"/>
      <family val="2"/>
      <scheme val="minor"/>
    </font>
    <font>
      <sz val="11"/>
      <color theme="7" tint="-0.499984740745262"/>
      <name val="Arial"/>
      <family val="2"/>
    </font>
    <font>
      <b/>
      <sz val="11"/>
      <color theme="3"/>
      <name val="Calibri"/>
      <family val="2"/>
    </font>
    <font>
      <sz val="11"/>
      <color theme="3"/>
      <name val="Calibri"/>
      <family val="2"/>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s>
  <cellStyleXfs count="7">
    <xf numFmtId="0" fontId="0" fillId="0" borderId="0"/>
    <xf numFmtId="43" fontId="2" fillId="0" borderId="0" applyFont="0" applyFill="0" applyBorder="0" applyAlignment="0" applyProtection="0"/>
    <xf numFmtId="0" fontId="1" fillId="0" borderId="0" applyFont="0" applyFill="0" applyBorder="0" applyAlignment="0" applyProtection="0"/>
    <xf numFmtId="0" fontId="4" fillId="2" borderId="0" applyNumberFormat="0" applyBorder="0" applyAlignment="0" applyProtection="0"/>
    <xf numFmtId="9" fontId="1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59">
    <xf numFmtId="0" fontId="0" fillId="0" borderId="0" xfId="0"/>
    <xf numFmtId="0" fontId="3" fillId="0" borderId="0" xfId="0" applyFont="1"/>
    <xf numFmtId="0" fontId="3" fillId="0" borderId="0" xfId="0" applyFont="1" applyAlignment="1">
      <alignment wrapText="1"/>
    </xf>
    <xf numFmtId="0" fontId="5" fillId="4" borderId="1" xfId="3" applyFont="1" applyFill="1" applyBorder="1" applyAlignment="1">
      <alignment horizontal="left"/>
    </xf>
    <xf numFmtId="0" fontId="6" fillId="4" borderId="1" xfId="3" applyFont="1" applyFill="1" applyBorder="1" applyAlignment="1">
      <alignment wrapText="1"/>
    </xf>
    <xf numFmtId="3" fontId="6" fillId="4" borderId="1" xfId="3" applyNumberFormat="1" applyFont="1" applyFill="1" applyBorder="1" applyAlignment="1">
      <alignment wrapText="1"/>
    </xf>
    <xf numFmtId="43" fontId="5" fillId="4" borderId="1" xfId="1" applyFont="1" applyFill="1" applyBorder="1" applyAlignment="1">
      <alignment horizontal="right" wrapText="1"/>
    </xf>
    <xf numFmtId="43" fontId="3" fillId="0" borderId="0" xfId="0" applyNumberFormat="1" applyFont="1"/>
    <xf numFmtId="0" fontId="3" fillId="3" borderId="0" xfId="0" applyFont="1" applyFill="1"/>
    <xf numFmtId="0" fontId="3" fillId="3" borderId="0" xfId="0" applyFont="1" applyFill="1" applyAlignment="1">
      <alignment wrapText="1"/>
    </xf>
    <xf numFmtId="0" fontId="3" fillId="0" borderId="0" xfId="0" applyFont="1" applyAlignment="1">
      <alignment horizontal="center" wrapText="1"/>
    </xf>
    <xf numFmtId="0" fontId="3" fillId="0" borderId="1" xfId="0" applyFont="1" applyBorder="1"/>
    <xf numFmtId="0" fontId="3" fillId="0" borderId="1" xfId="0" applyFont="1" applyBorder="1" applyAlignment="1">
      <alignment wrapText="1"/>
    </xf>
    <xf numFmtId="0" fontId="9" fillId="0" borderId="1" xfId="0" applyFont="1" applyBorder="1" applyAlignment="1">
      <alignment horizontal="center"/>
    </xf>
    <xf numFmtId="0" fontId="3" fillId="5" borderId="1" xfId="0" applyFont="1" applyFill="1" applyBorder="1"/>
    <xf numFmtId="0" fontId="9" fillId="5" borderId="1" xfId="0" applyFont="1" applyFill="1" applyBorder="1" applyAlignment="1">
      <alignment horizontal="center"/>
    </xf>
    <xf numFmtId="43" fontId="9" fillId="4" borderId="0" xfId="0" applyNumberFormat="1" applyFont="1" applyFill="1"/>
    <xf numFmtId="43" fontId="3" fillId="0" borderId="1" xfId="0" applyNumberFormat="1" applyFont="1" applyBorder="1"/>
    <xf numFmtId="43" fontId="9" fillId="5" borderId="1" xfId="0" applyNumberFormat="1" applyFont="1" applyFill="1" applyBorder="1"/>
    <xf numFmtId="43" fontId="11" fillId="0" borderId="0" xfId="0" applyNumberFormat="1" applyFont="1"/>
    <xf numFmtId="9" fontId="11" fillId="0" borderId="0" xfId="4" applyFont="1"/>
    <xf numFmtId="0" fontId="11" fillId="0" borderId="0" xfId="0" applyFont="1"/>
    <xf numFmtId="0" fontId="7" fillId="6" borderId="0" xfId="0" applyFont="1" applyFill="1" applyAlignment="1">
      <alignment horizontal="center"/>
    </xf>
    <xf numFmtId="0" fontId="8" fillId="6" borderId="0" xfId="0" applyFont="1" applyFill="1"/>
    <xf numFmtId="43" fontId="7" fillId="6" borderId="0" xfId="0" applyNumberFormat="1" applyFont="1" applyFill="1"/>
    <xf numFmtId="0" fontId="3" fillId="0" borderId="0" xfId="0" applyFont="1" applyFill="1" applyBorder="1"/>
    <xf numFmtId="43" fontId="9" fillId="0" borderId="0" xfId="0" applyNumberFormat="1" applyFont="1" applyFill="1" applyBorder="1"/>
    <xf numFmtId="43" fontId="3" fillId="0" borderId="0" xfId="1" applyFont="1"/>
    <xf numFmtId="0" fontId="15" fillId="0" borderId="1" xfId="0" applyFont="1" applyBorder="1" applyAlignment="1">
      <alignment wrapText="1"/>
    </xf>
    <xf numFmtId="0" fontId="15" fillId="0" borderId="1" xfId="3" applyFont="1" applyFill="1" applyBorder="1" applyAlignment="1">
      <alignment wrapText="1"/>
    </xf>
    <xf numFmtId="3" fontId="15" fillId="0" borderId="1" xfId="3" applyNumberFormat="1" applyFont="1" applyFill="1" applyBorder="1" applyAlignment="1">
      <alignment wrapText="1"/>
    </xf>
    <xf numFmtId="43" fontId="15" fillId="0" borderId="1" xfId="3" applyNumberFormat="1" applyFont="1" applyFill="1" applyBorder="1" applyAlignment="1">
      <alignment horizontal="right" wrapText="1"/>
    </xf>
    <xf numFmtId="43" fontId="15" fillId="0" borderId="1" xfId="0" applyNumberFormat="1" applyFont="1" applyBorder="1" applyAlignment="1">
      <alignment horizontal="right" wrapText="1"/>
    </xf>
    <xf numFmtId="43" fontId="15" fillId="0" borderId="1" xfId="1" applyFont="1" applyFill="1" applyBorder="1" applyAlignment="1">
      <alignment horizontal="right" wrapText="1"/>
    </xf>
    <xf numFmtId="0" fontId="16" fillId="0" borderId="1" xfId="0" applyFont="1" applyBorder="1"/>
    <xf numFmtId="43" fontId="16" fillId="0" borderId="1" xfId="3" applyNumberFormat="1" applyFont="1" applyFill="1" applyBorder="1" applyAlignment="1">
      <alignment horizontal="right" wrapText="1"/>
    </xf>
    <xf numFmtId="0" fontId="11" fillId="0" borderId="1" xfId="0" applyFont="1" applyBorder="1" applyAlignment="1">
      <alignment wrapText="1"/>
    </xf>
    <xf numFmtId="43" fontId="16" fillId="0" borderId="1" xfId="1" applyFont="1" applyFill="1" applyBorder="1" applyAlignment="1">
      <alignment horizontal="right" wrapText="1"/>
    </xf>
    <xf numFmtId="164" fontId="3" fillId="0" borderId="0" xfId="0" applyNumberFormat="1" applyFont="1"/>
    <xf numFmtId="0" fontId="17" fillId="5" borderId="2" xfId="0" applyFont="1" applyFill="1" applyBorder="1" applyAlignment="1">
      <alignment horizontal="center" wrapText="1"/>
    </xf>
    <xf numFmtId="0" fontId="17" fillId="5" borderId="3" xfId="0" applyFont="1" applyFill="1" applyBorder="1" applyAlignment="1">
      <alignment horizontal="center" wrapText="1"/>
    </xf>
    <xf numFmtId="0" fontId="17" fillId="5" borderId="4" xfId="0" applyFont="1" applyFill="1" applyBorder="1" applyAlignment="1">
      <alignment horizontal="center" wrapText="1"/>
    </xf>
    <xf numFmtId="0" fontId="17" fillId="5" borderId="5" xfId="0" applyFont="1" applyFill="1" applyBorder="1" applyAlignment="1">
      <alignment horizontal="center" wrapText="1"/>
    </xf>
    <xf numFmtId="0" fontId="17" fillId="5" borderId="6" xfId="0" applyFont="1" applyFill="1" applyBorder="1" applyAlignment="1">
      <alignment horizontal="center" wrapText="1"/>
    </xf>
    <xf numFmtId="0" fontId="17" fillId="5" borderId="7" xfId="0" applyFont="1" applyFill="1" applyBorder="1" applyAlignment="1">
      <alignment horizontal="center" wrapText="1"/>
    </xf>
    <xf numFmtId="0" fontId="18" fillId="0" borderId="2" xfId="0" applyFont="1" applyBorder="1" applyAlignment="1">
      <alignment horizontal="center" vertical="center" wrapText="1"/>
    </xf>
    <xf numFmtId="0" fontId="18" fillId="3" borderId="6" xfId="0" applyFont="1" applyFill="1" applyBorder="1" applyAlignment="1">
      <alignment wrapText="1"/>
    </xf>
    <xf numFmtId="3" fontId="18" fillId="3" borderId="6" xfId="0" applyNumberFormat="1" applyFont="1" applyFill="1" applyBorder="1" applyAlignment="1">
      <alignment wrapText="1"/>
    </xf>
    <xf numFmtId="43" fontId="18" fillId="3" borderId="6" xfId="1" applyFont="1" applyFill="1" applyBorder="1" applyAlignment="1">
      <alignment wrapText="1"/>
    </xf>
    <xf numFmtId="43" fontId="18" fillId="3" borderId="6" xfId="1" applyFont="1" applyFill="1" applyBorder="1" applyAlignment="1">
      <alignment horizontal="right" wrapText="1"/>
    </xf>
    <xf numFmtId="0" fontId="17" fillId="4" borderId="1" xfId="3" applyFont="1" applyFill="1" applyBorder="1" applyAlignment="1">
      <alignment horizontal="left"/>
    </xf>
    <xf numFmtId="0" fontId="18" fillId="4" borderId="1" xfId="3" applyFont="1" applyFill="1" applyBorder="1" applyAlignment="1">
      <alignment wrapText="1"/>
    </xf>
    <xf numFmtId="3" fontId="18" fillId="4" borderId="1" xfId="3" applyNumberFormat="1" applyFont="1" applyFill="1" applyBorder="1" applyAlignment="1">
      <alignment wrapText="1"/>
    </xf>
    <xf numFmtId="43" fontId="18" fillId="4" borderId="1" xfId="1" applyFont="1" applyFill="1" applyBorder="1" applyAlignment="1">
      <alignment wrapText="1"/>
    </xf>
    <xf numFmtId="43" fontId="17" fillId="4" borderId="1" xfId="1" applyFont="1" applyFill="1" applyBorder="1" applyAlignment="1">
      <alignment horizontal="right" wrapText="1"/>
    </xf>
    <xf numFmtId="0" fontId="18" fillId="0" borderId="1" xfId="0" applyFont="1" applyFill="1" applyBorder="1" applyAlignment="1">
      <alignment wrapText="1"/>
    </xf>
    <xf numFmtId="3" fontId="18" fillId="0" borderId="1" xfId="0" applyNumberFormat="1" applyFont="1" applyFill="1" applyBorder="1" applyAlignment="1">
      <alignment wrapText="1"/>
    </xf>
    <xf numFmtId="43" fontId="18" fillId="0" borderId="1" xfId="1" applyFont="1" applyFill="1" applyBorder="1" applyAlignment="1">
      <alignment wrapText="1"/>
    </xf>
    <xf numFmtId="43" fontId="18" fillId="0" borderId="1" xfId="1" applyFont="1" applyFill="1" applyBorder="1" applyAlignment="1">
      <alignment horizontal="right" wrapText="1"/>
    </xf>
    <xf numFmtId="0" fontId="18" fillId="3" borderId="1" xfId="0" applyFont="1" applyFill="1" applyBorder="1" applyAlignment="1">
      <alignment wrapText="1"/>
    </xf>
    <xf numFmtId="3" fontId="18" fillId="3" borderId="1" xfId="0" applyNumberFormat="1" applyFont="1" applyFill="1" applyBorder="1" applyAlignment="1">
      <alignment wrapText="1"/>
    </xf>
    <xf numFmtId="43" fontId="18" fillId="3" borderId="1" xfId="1" applyFont="1" applyFill="1" applyBorder="1" applyAlignment="1">
      <alignment wrapText="1"/>
    </xf>
    <xf numFmtId="43" fontId="18" fillId="3" borderId="1" xfId="1" applyFont="1" applyFill="1" applyBorder="1" applyAlignment="1">
      <alignment horizontal="right" wrapText="1"/>
    </xf>
    <xf numFmtId="0" fontId="18" fillId="0" borderId="6" xfId="0" applyFont="1" applyFill="1" applyBorder="1" applyAlignment="1">
      <alignment wrapText="1"/>
    </xf>
    <xf numFmtId="3" fontId="18" fillId="0" borderId="6" xfId="0" applyNumberFormat="1" applyFont="1" applyFill="1" applyBorder="1" applyAlignment="1">
      <alignment wrapText="1"/>
    </xf>
    <xf numFmtId="43" fontId="18" fillId="0" borderId="6" xfId="1" applyFont="1" applyFill="1" applyBorder="1" applyAlignment="1">
      <alignment wrapText="1"/>
    </xf>
    <xf numFmtId="43" fontId="18" fillId="0" borderId="6" xfId="1" applyFont="1" applyFill="1" applyBorder="1" applyAlignment="1">
      <alignment horizontal="right" wrapText="1"/>
    </xf>
    <xf numFmtId="0" fontId="18" fillId="0" borderId="1" xfId="0" applyFont="1" applyFill="1" applyBorder="1" applyAlignment="1">
      <alignment horizontal="left"/>
    </xf>
    <xf numFmtId="0" fontId="17" fillId="3" borderId="1" xfId="0" applyFont="1" applyFill="1" applyBorder="1" applyAlignment="1">
      <alignment horizontal="left"/>
    </xf>
    <xf numFmtId="43" fontId="17" fillId="3" borderId="1" xfId="1" applyFont="1" applyFill="1" applyBorder="1" applyAlignment="1">
      <alignment horizontal="right" wrapText="1"/>
    </xf>
    <xf numFmtId="0" fontId="17" fillId="5" borderId="9" xfId="0" applyFont="1" applyFill="1" applyBorder="1" applyAlignment="1">
      <alignment horizontal="center"/>
    </xf>
    <xf numFmtId="0" fontId="17" fillId="5" borderId="8" xfId="0" applyFont="1" applyFill="1" applyBorder="1" applyAlignment="1">
      <alignment horizontal="center"/>
    </xf>
    <xf numFmtId="3" fontId="17" fillId="5" borderId="8" xfId="0" applyNumberFormat="1" applyFont="1" applyFill="1" applyBorder="1" applyAlignment="1">
      <alignment horizontal="center"/>
    </xf>
    <xf numFmtId="43" fontId="17" fillId="5" borderId="8" xfId="1" applyFont="1" applyFill="1" applyBorder="1" applyAlignment="1">
      <alignment horizontal="right"/>
    </xf>
    <xf numFmtId="0" fontId="19" fillId="3" borderId="0" xfId="0" applyFont="1" applyFill="1"/>
    <xf numFmtId="0" fontId="19" fillId="3" borderId="0" xfId="0" applyFont="1" applyFill="1" applyAlignment="1">
      <alignment wrapText="1"/>
    </xf>
    <xf numFmtId="0" fontId="18" fillId="0" borderId="6" xfId="0" applyFont="1" applyBorder="1" applyAlignment="1">
      <alignment horizontal="center" vertical="center" wrapText="1"/>
    </xf>
    <xf numFmtId="0" fontId="20" fillId="5" borderId="2" xfId="0" applyFont="1" applyFill="1" applyBorder="1" applyAlignment="1">
      <alignment horizontal="center" wrapText="1"/>
    </xf>
    <xf numFmtId="0" fontId="20" fillId="5" borderId="3" xfId="0" applyFont="1" applyFill="1" applyBorder="1" applyAlignment="1">
      <alignment horizontal="center" wrapText="1"/>
    </xf>
    <xf numFmtId="0" fontId="20" fillId="5" borderId="4" xfId="0" applyFont="1" applyFill="1" applyBorder="1" applyAlignment="1">
      <alignment horizontal="center" wrapText="1"/>
    </xf>
    <xf numFmtId="0" fontId="20" fillId="5" borderId="5" xfId="0" applyFont="1" applyFill="1" applyBorder="1" applyAlignment="1">
      <alignment horizontal="center" wrapText="1"/>
    </xf>
    <xf numFmtId="0" fontId="20" fillId="5" borderId="6" xfId="0" applyFont="1" applyFill="1" applyBorder="1" applyAlignment="1">
      <alignment horizontal="center" wrapText="1"/>
    </xf>
    <xf numFmtId="0" fontId="20" fillId="5" borderId="7" xfId="0" applyFont="1" applyFill="1" applyBorder="1" applyAlignment="1">
      <alignment horizontal="center" wrapText="1"/>
    </xf>
    <xf numFmtId="0" fontId="16" fillId="3" borderId="6" xfId="0" applyFont="1" applyFill="1" applyBorder="1" applyAlignment="1">
      <alignment wrapText="1"/>
    </xf>
    <xf numFmtId="3" fontId="16" fillId="3" borderId="6" xfId="0" applyNumberFormat="1" applyFont="1" applyFill="1" applyBorder="1" applyAlignment="1">
      <alignment wrapText="1"/>
    </xf>
    <xf numFmtId="43" fontId="16" fillId="3" borderId="6" xfId="1" applyFont="1" applyFill="1" applyBorder="1" applyAlignment="1">
      <alignment wrapText="1"/>
    </xf>
    <xf numFmtId="43" fontId="16" fillId="3" borderId="6" xfId="1" applyFont="1" applyFill="1" applyBorder="1" applyAlignment="1">
      <alignment horizontal="right" wrapText="1"/>
    </xf>
    <xf numFmtId="0" fontId="20" fillId="4" borderId="1" xfId="3" applyFont="1" applyFill="1" applyBorder="1" applyAlignment="1">
      <alignment horizontal="left"/>
    </xf>
    <xf numFmtId="0" fontId="16" fillId="4" borderId="1" xfId="3" applyFont="1" applyFill="1" applyBorder="1" applyAlignment="1">
      <alignment wrapText="1"/>
    </xf>
    <xf numFmtId="3" fontId="16" fillId="4" borderId="1" xfId="3" applyNumberFormat="1" applyFont="1" applyFill="1" applyBorder="1" applyAlignment="1">
      <alignment wrapText="1"/>
    </xf>
    <xf numFmtId="43" fontId="16" fillId="4" borderId="1" xfId="1" applyFont="1" applyFill="1" applyBorder="1" applyAlignment="1">
      <alignment wrapText="1"/>
    </xf>
    <xf numFmtId="43" fontId="20" fillId="4" borderId="1" xfId="1" applyFont="1" applyFill="1" applyBorder="1" applyAlignment="1">
      <alignment horizontal="right" wrapText="1"/>
    </xf>
    <xf numFmtId="0" fontId="16" fillId="0" borderId="1" xfId="0" applyFont="1" applyFill="1" applyBorder="1" applyAlignment="1">
      <alignment vertical="center" wrapText="1"/>
    </xf>
    <xf numFmtId="3" fontId="16" fillId="0" borderId="1" xfId="0" applyNumberFormat="1" applyFont="1" applyFill="1" applyBorder="1" applyAlignment="1">
      <alignment vertical="center" wrapText="1"/>
    </xf>
    <xf numFmtId="43" fontId="16" fillId="0" borderId="1" xfId="1" applyFont="1" applyFill="1" applyBorder="1" applyAlignment="1">
      <alignment vertical="center" wrapText="1"/>
    </xf>
    <xf numFmtId="43" fontId="16" fillId="0" borderId="1" xfId="1" applyFont="1" applyFill="1" applyBorder="1" applyAlignment="1">
      <alignment horizontal="right" vertical="center" wrapText="1"/>
    </xf>
    <xf numFmtId="0" fontId="16" fillId="4" borderId="1" xfId="3" applyFont="1" applyFill="1" applyBorder="1" applyAlignment="1">
      <alignment vertical="center" wrapText="1"/>
    </xf>
    <xf numFmtId="3" fontId="16" fillId="4" borderId="1" xfId="3" applyNumberFormat="1" applyFont="1" applyFill="1" applyBorder="1" applyAlignment="1">
      <alignment vertical="center" wrapText="1"/>
    </xf>
    <xf numFmtId="43" fontId="16" fillId="4" borderId="1" xfId="1" applyFont="1" applyFill="1" applyBorder="1" applyAlignment="1">
      <alignment vertical="center" wrapText="1"/>
    </xf>
    <xf numFmtId="43" fontId="20" fillId="4" borderId="1" xfId="1" applyFont="1" applyFill="1" applyBorder="1" applyAlignment="1">
      <alignment horizontal="right" vertical="center" wrapText="1"/>
    </xf>
    <xf numFmtId="0" fontId="20" fillId="3" borderId="1" xfId="3" applyFont="1" applyFill="1" applyBorder="1" applyAlignment="1">
      <alignment horizontal="left"/>
    </xf>
    <xf numFmtId="0" fontId="16" fillId="3" borderId="1" xfId="3" applyFont="1" applyFill="1" applyBorder="1" applyAlignment="1">
      <alignment vertical="center" wrapText="1"/>
    </xf>
    <xf numFmtId="3" fontId="16" fillId="3" borderId="1" xfId="3" applyNumberFormat="1" applyFont="1" applyFill="1" applyBorder="1" applyAlignment="1">
      <alignment vertical="center" wrapText="1"/>
    </xf>
    <xf numFmtId="43" fontId="20" fillId="3" borderId="1" xfId="1" applyFont="1" applyFill="1" applyBorder="1" applyAlignment="1">
      <alignment horizontal="right" vertical="center" wrapText="1"/>
    </xf>
    <xf numFmtId="0" fontId="16" fillId="0" borderId="1" xfId="0" applyFont="1" applyFill="1" applyBorder="1" applyAlignment="1">
      <alignment horizontal="left"/>
    </xf>
    <xf numFmtId="0" fontId="16" fillId="0" borderId="1" xfId="0" applyFont="1" applyFill="1" applyBorder="1" applyAlignment="1">
      <alignment wrapText="1"/>
    </xf>
    <xf numFmtId="3" fontId="16" fillId="0" borderId="1" xfId="0" applyNumberFormat="1" applyFont="1" applyFill="1" applyBorder="1" applyAlignment="1">
      <alignment wrapText="1"/>
    </xf>
    <xf numFmtId="0" fontId="20" fillId="3" borderId="1" xfId="0" applyFont="1" applyFill="1" applyBorder="1" applyAlignment="1">
      <alignment horizontal="left"/>
    </xf>
    <xf numFmtId="0" fontId="16" fillId="3" borderId="1" xfId="0" applyFont="1" applyFill="1" applyBorder="1" applyAlignment="1">
      <alignment wrapText="1"/>
    </xf>
    <xf numFmtId="3" fontId="16" fillId="3" borderId="1" xfId="0" applyNumberFormat="1" applyFont="1" applyFill="1" applyBorder="1" applyAlignment="1">
      <alignment wrapText="1"/>
    </xf>
    <xf numFmtId="43" fontId="16" fillId="3" borderId="1" xfId="1" applyFont="1" applyFill="1" applyBorder="1" applyAlignment="1">
      <alignment horizontal="right" wrapText="1"/>
    </xf>
    <xf numFmtId="43" fontId="20" fillId="3" borderId="1" xfId="1" applyFont="1" applyFill="1" applyBorder="1" applyAlignment="1">
      <alignment horizontal="right" wrapText="1"/>
    </xf>
    <xf numFmtId="0" fontId="20" fillId="5" borderId="9" xfId="0" applyFont="1" applyFill="1" applyBorder="1" applyAlignment="1">
      <alignment horizontal="center"/>
    </xf>
    <xf numFmtId="0" fontId="20" fillId="5" borderId="8" xfId="0" applyFont="1" applyFill="1" applyBorder="1" applyAlignment="1">
      <alignment horizontal="center"/>
    </xf>
    <xf numFmtId="3" fontId="20" fillId="5" borderId="8" xfId="0" applyNumberFormat="1" applyFont="1" applyFill="1" applyBorder="1" applyAlignment="1">
      <alignment horizontal="center"/>
    </xf>
    <xf numFmtId="43" fontId="20" fillId="5" borderId="8" xfId="1" applyFont="1" applyFill="1" applyBorder="1" applyAlignment="1">
      <alignment horizontal="right"/>
    </xf>
    <xf numFmtId="0" fontId="21" fillId="5" borderId="2" xfId="0" applyFont="1" applyFill="1" applyBorder="1" applyAlignment="1">
      <alignment horizontal="center" wrapText="1"/>
    </xf>
    <xf numFmtId="0" fontId="21" fillId="5" borderId="3" xfId="0" applyFont="1" applyFill="1" applyBorder="1" applyAlignment="1">
      <alignment horizontal="center" wrapText="1"/>
    </xf>
    <xf numFmtId="0" fontId="21" fillId="5" borderId="4" xfId="0" applyFont="1" applyFill="1" applyBorder="1" applyAlignment="1">
      <alignment horizontal="center" wrapText="1"/>
    </xf>
    <xf numFmtId="0" fontId="21" fillId="5" borderId="5" xfId="0" applyFont="1" applyFill="1" applyBorder="1" applyAlignment="1">
      <alignment horizontal="center" wrapText="1"/>
    </xf>
    <xf numFmtId="0" fontId="21" fillId="5" borderId="6" xfId="0" applyFont="1" applyFill="1" applyBorder="1" applyAlignment="1">
      <alignment horizontal="center" wrapText="1"/>
    </xf>
    <xf numFmtId="0" fontId="21" fillId="5" borderId="7" xfId="0" applyFont="1" applyFill="1" applyBorder="1" applyAlignment="1">
      <alignment horizontal="center" wrapText="1"/>
    </xf>
    <xf numFmtId="0" fontId="22" fillId="3" borderId="6" xfId="0" applyFont="1" applyFill="1" applyBorder="1" applyAlignment="1">
      <alignment wrapText="1"/>
    </xf>
    <xf numFmtId="3" fontId="22" fillId="3" borderId="6" xfId="0" applyNumberFormat="1" applyFont="1" applyFill="1" applyBorder="1" applyAlignment="1">
      <alignment wrapText="1"/>
    </xf>
    <xf numFmtId="43" fontId="22" fillId="3" borderId="6" xfId="1" applyFont="1" applyFill="1" applyBorder="1" applyAlignment="1">
      <alignment horizontal="right" wrapText="1"/>
    </xf>
    <xf numFmtId="0" fontId="21" fillId="4" borderId="1" xfId="3" applyFont="1" applyFill="1" applyBorder="1" applyAlignment="1">
      <alignment horizontal="left"/>
    </xf>
    <xf numFmtId="0" fontId="22" fillId="4" borderId="1" xfId="3" applyFont="1" applyFill="1" applyBorder="1" applyAlignment="1">
      <alignment wrapText="1"/>
    </xf>
    <xf numFmtId="3" fontId="22" fillId="4" borderId="1" xfId="3" applyNumberFormat="1" applyFont="1" applyFill="1" applyBorder="1" applyAlignment="1">
      <alignment wrapText="1"/>
    </xf>
    <xf numFmtId="43" fontId="21" fillId="4" borderId="1" xfId="1" applyFont="1" applyFill="1" applyBorder="1" applyAlignment="1">
      <alignment horizontal="right" wrapText="1"/>
    </xf>
    <xf numFmtId="0" fontId="22" fillId="0" borderId="1" xfId="3" applyFont="1" applyFill="1" applyBorder="1" applyAlignment="1">
      <alignment wrapText="1"/>
    </xf>
    <xf numFmtId="3" fontId="22" fillId="0" borderId="1" xfId="3" applyNumberFormat="1" applyFont="1" applyFill="1" applyBorder="1" applyAlignment="1">
      <alignment wrapText="1"/>
    </xf>
    <xf numFmtId="43" fontId="22" fillId="0" borderId="1" xfId="1" applyFont="1" applyFill="1" applyBorder="1" applyAlignment="1">
      <alignment horizontal="right" wrapText="1"/>
    </xf>
    <xf numFmtId="43" fontId="21" fillId="0" borderId="1" xfId="1" applyFont="1" applyFill="1" applyBorder="1" applyAlignment="1">
      <alignment horizontal="right" wrapText="1"/>
    </xf>
    <xf numFmtId="0" fontId="22" fillId="0" borderId="1" xfId="0" applyFont="1" applyBorder="1" applyAlignment="1">
      <alignment vertical="center" wrapText="1"/>
    </xf>
    <xf numFmtId="3" fontId="22" fillId="0" borderId="1" xfId="0" applyNumberFormat="1" applyFont="1" applyBorder="1" applyAlignment="1">
      <alignment vertical="center" wrapText="1"/>
    </xf>
    <xf numFmtId="43" fontId="22" fillId="0" borderId="1" xfId="1" applyFont="1" applyBorder="1" applyAlignment="1">
      <alignment horizontal="right" vertical="center" wrapText="1"/>
    </xf>
    <xf numFmtId="0" fontId="22" fillId="0" borderId="1" xfId="0" applyFont="1" applyFill="1" applyBorder="1" applyAlignment="1">
      <alignment vertical="center" wrapText="1"/>
    </xf>
    <xf numFmtId="3" fontId="22" fillId="0" borderId="1" xfId="0" applyNumberFormat="1" applyFont="1" applyFill="1" applyBorder="1" applyAlignment="1">
      <alignment vertical="center" wrapText="1"/>
    </xf>
    <xf numFmtId="43" fontId="22" fillId="0" borderId="1" xfId="1" applyFont="1" applyFill="1" applyBorder="1" applyAlignment="1">
      <alignment horizontal="right" vertical="center" wrapText="1"/>
    </xf>
    <xf numFmtId="0" fontId="22" fillId="4" borderId="1" xfId="3" applyFont="1" applyFill="1" applyBorder="1" applyAlignment="1">
      <alignment vertical="center" wrapText="1"/>
    </xf>
    <xf numFmtId="3" fontId="22" fillId="4" borderId="1" xfId="3" applyNumberFormat="1" applyFont="1" applyFill="1" applyBorder="1" applyAlignment="1">
      <alignment vertical="center" wrapText="1"/>
    </xf>
    <xf numFmtId="43" fontId="21" fillId="4" borderId="1" xfId="1" applyFont="1" applyFill="1" applyBorder="1" applyAlignment="1">
      <alignment horizontal="right" vertical="center" wrapText="1"/>
    </xf>
    <xf numFmtId="0" fontId="22" fillId="0" borderId="6" xfId="0" applyFont="1" applyBorder="1" applyAlignment="1">
      <alignment horizontal="center" vertical="center" wrapText="1"/>
    </xf>
    <xf numFmtId="43" fontId="22" fillId="4" borderId="1" xfId="1" applyFont="1" applyFill="1" applyBorder="1" applyAlignment="1">
      <alignment horizontal="right" vertical="center" wrapText="1"/>
    </xf>
    <xf numFmtId="0" fontId="21" fillId="0" borderId="1" xfId="3" applyFont="1" applyFill="1" applyBorder="1" applyAlignment="1">
      <alignment horizontal="left"/>
    </xf>
    <xf numFmtId="0" fontId="22" fillId="0" borderId="1" xfId="3" applyFont="1" applyFill="1" applyBorder="1" applyAlignment="1">
      <alignment vertical="center" wrapText="1"/>
    </xf>
    <xf numFmtId="3" fontId="22" fillId="0" borderId="1" xfId="3" applyNumberFormat="1" applyFont="1" applyFill="1" applyBorder="1" applyAlignment="1">
      <alignment vertical="center" wrapText="1"/>
    </xf>
    <xf numFmtId="43" fontId="21" fillId="0" borderId="1" xfId="1" applyFont="1" applyFill="1" applyBorder="1" applyAlignment="1">
      <alignment horizontal="right" vertical="center" wrapText="1"/>
    </xf>
    <xf numFmtId="0" fontId="22" fillId="0" borderId="1" xfId="0" applyFont="1" applyFill="1" applyBorder="1" applyAlignment="1">
      <alignment horizontal="left"/>
    </xf>
    <xf numFmtId="0" fontId="21" fillId="3" borderId="1" xfId="0" applyFont="1" applyFill="1" applyBorder="1" applyAlignment="1">
      <alignment horizontal="left"/>
    </xf>
    <xf numFmtId="0" fontId="22" fillId="3" borderId="1" xfId="0" applyFont="1" applyFill="1" applyBorder="1" applyAlignment="1">
      <alignment wrapText="1"/>
    </xf>
    <xf numFmtId="3" fontId="22" fillId="3" borderId="1" xfId="0" applyNumberFormat="1" applyFont="1" applyFill="1" applyBorder="1" applyAlignment="1">
      <alignment wrapText="1"/>
    </xf>
    <xf numFmtId="43" fontId="22" fillId="3" borderId="1" xfId="1" applyFont="1" applyFill="1" applyBorder="1" applyAlignment="1">
      <alignment horizontal="right" wrapText="1"/>
    </xf>
    <xf numFmtId="43" fontId="21" fillId="3" borderId="1" xfId="1" applyFont="1" applyFill="1" applyBorder="1" applyAlignment="1">
      <alignment horizontal="right" wrapText="1"/>
    </xf>
    <xf numFmtId="0" fontId="21" fillId="5" borderId="9" xfId="0" applyFont="1" applyFill="1" applyBorder="1" applyAlignment="1">
      <alignment horizontal="center"/>
    </xf>
    <xf numFmtId="0" fontId="21" fillId="5" borderId="8" xfId="0" applyFont="1" applyFill="1" applyBorder="1" applyAlignment="1">
      <alignment horizontal="center"/>
    </xf>
    <xf numFmtId="3" fontId="21" fillId="5" borderId="8" xfId="0" applyNumberFormat="1" applyFont="1" applyFill="1" applyBorder="1" applyAlignment="1">
      <alignment horizontal="center"/>
    </xf>
    <xf numFmtId="43" fontId="21" fillId="5" borderId="8" xfId="1" applyFont="1" applyFill="1" applyBorder="1" applyAlignment="1">
      <alignment horizontal="right"/>
    </xf>
    <xf numFmtId="0" fontId="23" fillId="5" borderId="1" xfId="0" applyFont="1" applyFill="1" applyBorder="1" applyAlignment="1">
      <alignment horizontal="center"/>
    </xf>
    <xf numFmtId="43" fontId="25" fillId="0" borderId="1" xfId="1" applyFont="1" applyBorder="1"/>
    <xf numFmtId="0" fontId="25" fillId="0" borderId="0" xfId="0" applyFont="1"/>
    <xf numFmtId="43" fontId="23" fillId="5" borderId="1" xfId="1" applyFont="1" applyFill="1" applyBorder="1"/>
    <xf numFmtId="0" fontId="26" fillId="5" borderId="1" xfId="0" applyFont="1" applyFill="1" applyBorder="1" applyAlignment="1">
      <alignment horizontal="center"/>
    </xf>
    <xf numFmtId="43" fontId="11" fillId="0" borderId="1" xfId="1" applyFont="1" applyBorder="1"/>
    <xf numFmtId="43" fontId="26" fillId="5" borderId="1" xfId="1" applyFont="1" applyFill="1" applyBorder="1"/>
    <xf numFmtId="0" fontId="27" fillId="5" borderId="1" xfId="0" applyFont="1" applyFill="1" applyBorder="1" applyAlignment="1">
      <alignment horizontal="center"/>
    </xf>
    <xf numFmtId="43" fontId="29" fillId="0" borderId="1" xfId="1" applyFont="1" applyBorder="1"/>
    <xf numFmtId="43" fontId="27" fillId="5" borderId="1" xfId="1" applyFont="1" applyFill="1" applyBorder="1"/>
    <xf numFmtId="0" fontId="14" fillId="5" borderId="2" xfId="0" applyFont="1" applyFill="1" applyBorder="1" applyAlignment="1">
      <alignment horizontal="center" wrapText="1"/>
    </xf>
    <xf numFmtId="0" fontId="14" fillId="5" borderId="3" xfId="0" applyFont="1" applyFill="1" applyBorder="1" applyAlignment="1">
      <alignment horizontal="center" wrapText="1"/>
    </xf>
    <xf numFmtId="0" fontId="14" fillId="5" borderId="4" xfId="0" applyFont="1" applyFill="1" applyBorder="1" applyAlignment="1">
      <alignment horizontal="center" wrapText="1"/>
    </xf>
    <xf numFmtId="0" fontId="14" fillId="5" borderId="5" xfId="0" applyFont="1" applyFill="1" applyBorder="1" applyAlignment="1">
      <alignment horizontal="center" wrapText="1"/>
    </xf>
    <xf numFmtId="0" fontId="14" fillId="5" borderId="6" xfId="0" applyFont="1" applyFill="1" applyBorder="1" applyAlignment="1">
      <alignment horizontal="center" wrapText="1"/>
    </xf>
    <xf numFmtId="0" fontId="14" fillId="5" borderId="7" xfId="0" applyFont="1" applyFill="1" applyBorder="1" applyAlignment="1">
      <alignment horizontal="center" wrapText="1"/>
    </xf>
    <xf numFmtId="0" fontId="24" fillId="0" borderId="1" xfId="0" applyFont="1" applyBorder="1" applyAlignment="1">
      <alignment wrapText="1"/>
    </xf>
    <xf numFmtId="3" fontId="24" fillId="0" borderId="1" xfId="0" applyNumberFormat="1" applyFont="1" applyBorder="1" applyAlignment="1">
      <alignment wrapText="1"/>
    </xf>
    <xf numFmtId="43" fontId="24" fillId="0" borderId="1" xfId="1" applyFont="1" applyFill="1" applyBorder="1" applyAlignment="1">
      <alignment horizontal="right" wrapText="1"/>
    </xf>
    <xf numFmtId="0" fontId="31" fillId="3" borderId="1" xfId="0" applyFont="1" applyFill="1" applyBorder="1" applyAlignment="1">
      <alignment wrapText="1"/>
    </xf>
    <xf numFmtId="3" fontId="24" fillId="3" borderId="1" xfId="0" applyNumberFormat="1" applyFont="1" applyFill="1" applyBorder="1" applyAlignment="1">
      <alignment wrapText="1"/>
    </xf>
    <xf numFmtId="43" fontId="24" fillId="3" borderId="1" xfId="1" applyFont="1" applyFill="1" applyBorder="1" applyAlignment="1">
      <alignment horizontal="right" wrapText="1"/>
    </xf>
    <xf numFmtId="0" fontId="24" fillId="3" borderId="1" xfId="0" applyFont="1" applyFill="1" applyBorder="1" applyAlignment="1">
      <alignment wrapText="1"/>
    </xf>
    <xf numFmtId="0" fontId="14" fillId="4" borderId="1" xfId="3" applyFont="1" applyFill="1" applyBorder="1" applyAlignment="1">
      <alignment horizontal="left"/>
    </xf>
    <xf numFmtId="0" fontId="24" fillId="4" borderId="1" xfId="3" applyFont="1" applyFill="1" applyBorder="1" applyAlignment="1">
      <alignment wrapText="1"/>
    </xf>
    <xf numFmtId="3" fontId="24" fillId="4" borderId="1" xfId="3" applyNumberFormat="1" applyFont="1" applyFill="1" applyBorder="1" applyAlignment="1">
      <alignment wrapText="1"/>
    </xf>
    <xf numFmtId="43" fontId="24" fillId="4" borderId="1" xfId="1" applyFont="1" applyFill="1" applyBorder="1" applyAlignment="1">
      <alignment wrapText="1"/>
    </xf>
    <xf numFmtId="43" fontId="14" fillId="4" borderId="1" xfId="1" applyFont="1" applyFill="1" applyBorder="1" applyAlignment="1">
      <alignment horizontal="right" wrapText="1"/>
    </xf>
    <xf numFmtId="0" fontId="24" fillId="0" borderId="1" xfId="3" applyFont="1" applyFill="1" applyBorder="1" applyAlignment="1">
      <alignment wrapText="1"/>
    </xf>
    <xf numFmtId="3" fontId="24" fillId="0" borderId="1" xfId="3" applyNumberFormat="1" applyFont="1" applyFill="1" applyBorder="1" applyAlignment="1">
      <alignment wrapText="1"/>
    </xf>
    <xf numFmtId="43" fontId="24" fillId="0" borderId="1" xfId="3" applyNumberFormat="1" applyFont="1" applyFill="1" applyBorder="1" applyAlignment="1">
      <alignment horizontal="right" wrapText="1"/>
    </xf>
    <xf numFmtId="43" fontId="24" fillId="0" borderId="1" xfId="0" applyNumberFormat="1" applyFont="1" applyBorder="1" applyAlignment="1">
      <alignment horizontal="right" wrapText="1"/>
    </xf>
    <xf numFmtId="0" fontId="31" fillId="0" borderId="1" xfId="3" applyFont="1" applyFill="1" applyBorder="1" applyAlignment="1">
      <alignment wrapText="1"/>
    </xf>
    <xf numFmtId="0" fontId="31" fillId="0" borderId="1" xfId="0" applyFont="1" applyBorder="1"/>
    <xf numFmtId="0" fontId="24" fillId="0" borderId="1" xfId="0" applyFont="1" applyBorder="1"/>
    <xf numFmtId="0" fontId="24" fillId="3" borderId="1" xfId="0" applyFont="1" applyFill="1" applyBorder="1"/>
    <xf numFmtId="0" fontId="25" fillId="0" borderId="1" xfId="0" applyFont="1" applyBorder="1" applyAlignment="1">
      <alignment wrapText="1"/>
    </xf>
    <xf numFmtId="0" fontId="14" fillId="0" borderId="6" xfId="0" applyFont="1" applyBorder="1" applyAlignment="1">
      <alignment horizontal="left"/>
    </xf>
    <xf numFmtId="0" fontId="14" fillId="4" borderId="1" xfId="0" applyFont="1" applyFill="1" applyBorder="1" applyAlignment="1">
      <alignment horizontal="left"/>
    </xf>
    <xf numFmtId="0" fontId="24" fillId="4" borderId="1" xfId="0" applyFont="1" applyFill="1" applyBorder="1" applyAlignment="1">
      <alignment wrapText="1"/>
    </xf>
    <xf numFmtId="3" fontId="24" fillId="4" borderId="1" xfId="0" applyNumberFormat="1" applyFont="1" applyFill="1" applyBorder="1" applyAlignment="1">
      <alignment wrapText="1"/>
    </xf>
    <xf numFmtId="0" fontId="24" fillId="0" borderId="1" xfId="0" applyFont="1" applyBorder="1" applyAlignment="1">
      <alignment horizontal="left"/>
    </xf>
    <xf numFmtId="0" fontId="14" fillId="3" borderId="1" xfId="0" applyFont="1" applyFill="1" applyBorder="1" applyAlignment="1">
      <alignment horizontal="left"/>
    </xf>
    <xf numFmtId="43" fontId="14" fillId="3" borderId="1" xfId="1" applyFont="1" applyFill="1" applyBorder="1" applyAlignment="1">
      <alignment horizontal="right" wrapText="1"/>
    </xf>
    <xf numFmtId="0" fontId="14" fillId="5" borderId="9" xfId="0" applyFont="1" applyFill="1" applyBorder="1" applyAlignment="1">
      <alignment horizontal="center"/>
    </xf>
    <xf numFmtId="0" fontId="14" fillId="5" borderId="8" xfId="0" applyFont="1" applyFill="1" applyBorder="1" applyAlignment="1">
      <alignment horizontal="center"/>
    </xf>
    <xf numFmtId="3" fontId="14" fillId="5" borderId="8" xfId="0" applyNumberFormat="1" applyFont="1" applyFill="1" applyBorder="1" applyAlignment="1">
      <alignment horizontal="center"/>
    </xf>
    <xf numFmtId="43" fontId="14" fillId="5" borderId="8" xfId="1" applyFont="1" applyFill="1" applyBorder="1" applyAlignment="1">
      <alignment horizontal="right"/>
    </xf>
    <xf numFmtId="43" fontId="23" fillId="6" borderId="1" xfId="1" applyFont="1" applyFill="1" applyBorder="1"/>
    <xf numFmtId="43" fontId="3" fillId="6" borderId="0" xfId="0" applyNumberFormat="1" applyFont="1" applyFill="1"/>
    <xf numFmtId="0" fontId="3" fillId="7" borderId="1" xfId="0" applyFont="1" applyFill="1" applyBorder="1"/>
    <xf numFmtId="3" fontId="3" fillId="7" borderId="1" xfId="0" applyNumberFormat="1" applyFont="1" applyFill="1" applyBorder="1" applyAlignment="1">
      <alignment vertical="top" wrapText="1"/>
    </xf>
    <xf numFmtId="43" fontId="3" fillId="0" borderId="1" xfId="0" applyNumberFormat="1" applyFont="1" applyFill="1" applyBorder="1" applyAlignment="1">
      <alignment horizontal="center"/>
    </xf>
    <xf numFmtId="0" fontId="7" fillId="0" borderId="0" xfId="0" applyFont="1" applyFill="1" applyBorder="1" applyAlignment="1">
      <alignment horizontal="center"/>
    </xf>
    <xf numFmtId="0" fontId="14" fillId="0" borderId="1" xfId="0" applyFont="1" applyBorder="1" applyAlignment="1">
      <alignment horizontal="center" wrapText="1"/>
    </xf>
    <xf numFmtId="0" fontId="23" fillId="0" borderId="1" xfId="0" applyFont="1" applyBorder="1" applyAlignment="1">
      <alignment horizont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31" fillId="0" borderId="2" xfId="0" applyFont="1" applyBorder="1" applyAlignment="1">
      <alignment horizontal="left" vertical="center" wrapText="1"/>
    </xf>
    <xf numFmtId="0" fontId="31" fillId="0" borderId="4" xfId="0" applyFont="1" applyBorder="1" applyAlignment="1">
      <alignment horizontal="left"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24" fillId="0" borderId="8" xfId="0" applyFont="1" applyBorder="1" applyAlignment="1">
      <alignment horizontal="center"/>
    </xf>
    <xf numFmtId="0" fontId="21"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3" fillId="7" borderId="9" xfId="0" applyFont="1" applyFill="1" applyBorder="1" applyAlignment="1">
      <alignment horizontal="center"/>
    </xf>
    <xf numFmtId="0" fontId="3" fillId="7" borderId="8" xfId="0" applyFont="1" applyFill="1" applyBorder="1" applyAlignment="1">
      <alignment horizontal="center"/>
    </xf>
    <xf numFmtId="0" fontId="17" fillId="0" borderId="1" xfId="0" applyFont="1" applyFill="1" applyBorder="1" applyAlignment="1">
      <alignment horizont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20" fillId="0" borderId="9"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applyAlignment="1">
      <alignment horizontal="center"/>
    </xf>
    <xf numFmtId="0" fontId="9" fillId="0" borderId="1" xfId="0" applyFont="1" applyBorder="1" applyAlignment="1">
      <alignment horizontal="center" vertical="center" wrapText="1"/>
    </xf>
    <xf numFmtId="0" fontId="9" fillId="5" borderId="11" xfId="0" applyFont="1" applyFill="1" applyBorder="1" applyAlignment="1">
      <alignment horizontal="center"/>
    </xf>
    <xf numFmtId="0" fontId="9" fillId="5" borderId="0" xfId="0" applyFont="1" applyFill="1" applyBorder="1" applyAlignment="1">
      <alignment horizontal="center"/>
    </xf>
    <xf numFmtId="0" fontId="21" fillId="0" borderId="9" xfId="0" applyFont="1" applyFill="1" applyBorder="1" applyAlignment="1">
      <alignment horizontal="center"/>
    </xf>
    <xf numFmtId="0" fontId="21" fillId="0" borderId="10" xfId="0" applyFont="1" applyFill="1" applyBorder="1" applyAlignment="1">
      <alignment horizontal="center"/>
    </xf>
    <xf numFmtId="0" fontId="21" fillId="0" borderId="8" xfId="0" applyFont="1" applyFill="1" applyBorder="1" applyAlignment="1">
      <alignment horizontal="center"/>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16" fillId="0" borderId="8" xfId="0" applyFont="1" applyBorder="1" applyAlignment="1">
      <alignment horizontal="center"/>
    </xf>
    <xf numFmtId="0" fontId="27" fillId="0" borderId="9" xfId="0" applyFont="1" applyBorder="1" applyAlignment="1">
      <alignment horizontal="center"/>
    </xf>
    <xf numFmtId="0" fontId="27" fillId="0" borderId="10" xfId="0" applyFont="1" applyBorder="1" applyAlignment="1">
      <alignment horizontal="center"/>
    </xf>
    <xf numFmtId="0" fontId="28" fillId="0" borderId="8" xfId="0" applyFont="1" applyBorder="1" applyAlignment="1">
      <alignment horizontal="center"/>
    </xf>
    <xf numFmtId="43" fontId="26" fillId="5" borderId="1" xfId="0" applyNumberFormat="1" applyFont="1" applyFill="1" applyBorder="1"/>
    <xf numFmtId="43" fontId="26" fillId="0" borderId="1" xfId="0" applyNumberFormat="1" applyFont="1" applyFill="1" applyBorder="1" applyAlignment="1">
      <alignment horizontal="center"/>
    </xf>
    <xf numFmtId="0" fontId="3" fillId="0" borderId="0" xfId="0" applyFont="1" applyFill="1" applyBorder="1" applyAlignment="1">
      <alignment horizontal="center"/>
    </xf>
  </cellXfs>
  <cellStyles count="7">
    <cellStyle name="Comma" xfId="1" builtinId="3"/>
    <cellStyle name="Euro" xfId="2" xr:uid="{00000000-0005-0000-0000-000001000000}"/>
    <cellStyle name="Followed Hyperlink" xfId="6" builtinId="9" hidden="1"/>
    <cellStyle name="Good" xfId="3" builtinId="26"/>
    <cellStyle name="Hyperlink" xfId="5" builtinId="8" hidden="1"/>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44"/>
  <sheetViews>
    <sheetView tabSelected="1" topLeftCell="I2" zoomScale="80" zoomScaleNormal="80" zoomScaleSheetLayoutView="75" zoomScalePageLayoutView="80" workbookViewId="0">
      <selection activeCell="N25" sqref="N25"/>
    </sheetView>
  </sheetViews>
  <sheetFormatPr defaultColWidth="11.5546875" defaultRowHeight="13.8"/>
  <cols>
    <col min="1" max="1" width="7.44140625" style="1" customWidth="1"/>
    <col min="2" max="2" width="35.33203125" style="1" customWidth="1"/>
    <col min="3" max="3" width="48.5546875" style="2" customWidth="1"/>
    <col min="4" max="4" width="10.77734375" style="2" bestFit="1" customWidth="1"/>
    <col min="5" max="5" width="8.44140625" style="2" bestFit="1" customWidth="1"/>
    <col min="6" max="6" width="12" style="2" bestFit="1" customWidth="1"/>
    <col min="7" max="7" width="16.33203125" style="2" bestFit="1" customWidth="1"/>
    <col min="8" max="8" width="14.33203125" style="2" bestFit="1" customWidth="1"/>
    <col min="9" max="9" width="16.33203125" style="2" bestFit="1" customWidth="1"/>
    <col min="10" max="10" width="13.21875" style="1" customWidth="1"/>
    <col min="11" max="11" width="38" style="1" customWidth="1"/>
    <col min="12" max="13" width="17.44140625" style="1" customWidth="1"/>
    <col min="14" max="14" width="18.21875" style="1" customWidth="1"/>
    <col min="15" max="15" width="18" style="1" bestFit="1" customWidth="1"/>
    <col min="16" max="16" width="16.77734375" style="1" customWidth="1"/>
    <col min="17" max="17" width="15.5546875" style="1" customWidth="1"/>
    <col min="18" max="18" width="18" style="1" bestFit="1" customWidth="1"/>
    <col min="19" max="19" width="15.5546875" style="1" customWidth="1"/>
    <col min="20" max="20" width="17.44140625" style="1" customWidth="1"/>
    <col min="21" max="21" width="17.21875" style="1" bestFit="1" customWidth="1"/>
    <col min="22" max="23" width="15.33203125" style="1" customWidth="1"/>
    <col min="24" max="24" width="20.6640625" style="1" customWidth="1"/>
    <col min="25" max="16384" width="11.5546875" style="1"/>
  </cols>
  <sheetData>
    <row r="1" spans="2:24" ht="14.4">
      <c r="B1" s="234" t="s">
        <v>32</v>
      </c>
      <c r="C1" s="234"/>
      <c r="D1" s="234"/>
      <c r="E1" s="234"/>
      <c r="F1" s="234"/>
      <c r="G1" s="234"/>
      <c r="H1" s="234"/>
      <c r="I1" s="234"/>
    </row>
    <row r="2" spans="2:24" ht="14.4">
      <c r="B2" s="39"/>
      <c r="C2" s="40"/>
      <c r="D2" s="40"/>
      <c r="E2" s="40"/>
      <c r="F2" s="40"/>
      <c r="G2" s="40"/>
      <c r="H2" s="40"/>
      <c r="I2" s="40"/>
      <c r="K2" s="242" t="s">
        <v>56</v>
      </c>
      <c r="L2" s="243"/>
      <c r="M2" s="243"/>
      <c r="N2" s="243"/>
      <c r="O2" s="243"/>
      <c r="P2" s="243"/>
      <c r="Q2" s="243"/>
      <c r="R2" s="243"/>
      <c r="S2" s="243"/>
      <c r="T2" s="243"/>
      <c r="U2" s="243"/>
      <c r="V2" s="243"/>
      <c r="W2" s="243"/>
      <c r="X2" s="243"/>
    </row>
    <row r="3" spans="2:24" ht="32.25" customHeight="1">
      <c r="B3" s="41" t="s">
        <v>89</v>
      </c>
      <c r="C3" s="42" t="s">
        <v>1</v>
      </c>
      <c r="D3" s="42" t="s">
        <v>2</v>
      </c>
      <c r="E3" s="42" t="s">
        <v>0</v>
      </c>
      <c r="F3" s="42" t="s">
        <v>7</v>
      </c>
      <c r="G3" s="42" t="s">
        <v>12</v>
      </c>
      <c r="H3" s="42" t="s">
        <v>13</v>
      </c>
      <c r="I3" s="42" t="s">
        <v>8</v>
      </c>
      <c r="K3" s="13" t="s">
        <v>57</v>
      </c>
      <c r="L3" s="218" t="s">
        <v>70</v>
      </c>
      <c r="M3" s="219"/>
      <c r="N3" s="220"/>
      <c r="O3" s="250" t="s">
        <v>58</v>
      </c>
      <c r="P3" s="251"/>
      <c r="Q3" s="252"/>
      <c r="R3" s="253" t="s">
        <v>59</v>
      </c>
      <c r="S3" s="254"/>
      <c r="T3" s="255"/>
      <c r="U3" s="241" t="s">
        <v>77</v>
      </c>
      <c r="V3" s="241" t="s">
        <v>78</v>
      </c>
      <c r="W3" s="241" t="s">
        <v>105</v>
      </c>
      <c r="X3" s="241" t="s">
        <v>79</v>
      </c>
    </row>
    <row r="4" spans="2:24" ht="14.4">
      <c r="B4" s="43"/>
      <c r="C4" s="44"/>
      <c r="D4" s="44"/>
      <c r="E4" s="44"/>
      <c r="F4" s="44"/>
      <c r="G4" s="44"/>
      <c r="H4" s="44"/>
      <c r="I4" s="44"/>
      <c r="K4" s="14"/>
      <c r="L4" s="158" t="s">
        <v>54</v>
      </c>
      <c r="M4" s="158" t="s">
        <v>55</v>
      </c>
      <c r="N4" s="158" t="s">
        <v>105</v>
      </c>
      <c r="O4" s="162" t="s">
        <v>54</v>
      </c>
      <c r="P4" s="162" t="s">
        <v>55</v>
      </c>
      <c r="Q4" s="162" t="s">
        <v>105</v>
      </c>
      <c r="R4" s="165" t="s">
        <v>54</v>
      </c>
      <c r="S4" s="165" t="s">
        <v>55</v>
      </c>
      <c r="T4" s="165" t="s">
        <v>105</v>
      </c>
      <c r="U4" s="241"/>
      <c r="V4" s="241"/>
      <c r="W4" s="241"/>
      <c r="X4" s="241"/>
    </row>
    <row r="5" spans="2:24" ht="43.2">
      <c r="B5" s="45" t="s">
        <v>130</v>
      </c>
      <c r="C5" s="46" t="s">
        <v>31</v>
      </c>
      <c r="D5" s="46" t="s">
        <v>4</v>
      </c>
      <c r="E5" s="47">
        <v>1</v>
      </c>
      <c r="F5" s="48">
        <v>600000</v>
      </c>
      <c r="G5" s="49">
        <f>F5*E5</f>
        <v>600000</v>
      </c>
      <c r="H5" s="49">
        <v>0</v>
      </c>
      <c r="I5" s="49">
        <f>SUM(G5:H5)</f>
        <v>600000</v>
      </c>
      <c r="K5" s="11" t="s">
        <v>60</v>
      </c>
      <c r="L5" s="159">
        <f>G7+G8+G9+G10+G11+G13+G29+G30+G35+G36+G12+G38</f>
        <v>298800</v>
      </c>
      <c r="M5" s="159">
        <f>H7+H8+H9+H10+H11+H13+H29+H30+H35+H36+H12+G131+G126+H126+G110+G117</f>
        <v>274400</v>
      </c>
      <c r="N5" s="159">
        <f>H131</f>
        <v>45900</v>
      </c>
      <c r="O5" s="163">
        <f>G53+G54+G55+G62</f>
        <v>65500</v>
      </c>
      <c r="P5" s="163">
        <f>H53+H54+H55+H62</f>
        <v>53500</v>
      </c>
      <c r="Q5" s="163"/>
      <c r="R5" s="166">
        <f>G78+G79+G92+G95+G97</f>
        <v>68000</v>
      </c>
      <c r="S5" s="166">
        <f>H92+H95+H97</f>
        <v>34000</v>
      </c>
      <c r="T5" s="166"/>
      <c r="U5" s="17">
        <f>L5+O5+R5</f>
        <v>432300</v>
      </c>
      <c r="V5" s="17">
        <f>M5+P5+S5</f>
        <v>361900</v>
      </c>
      <c r="W5" s="17">
        <f>N5+Q5+T5</f>
        <v>45900</v>
      </c>
      <c r="X5" s="17">
        <f>U5+V5+W5</f>
        <v>840100</v>
      </c>
    </row>
    <row r="6" spans="2:24" ht="14.4">
      <c r="B6" s="50" t="s">
        <v>90</v>
      </c>
      <c r="C6" s="51"/>
      <c r="D6" s="51"/>
      <c r="E6" s="52"/>
      <c r="F6" s="53"/>
      <c r="G6" s="54">
        <f>SUM(G5:G5)</f>
        <v>600000</v>
      </c>
      <c r="H6" s="54">
        <f>SUM(H5:H5)</f>
        <v>0</v>
      </c>
      <c r="I6" s="54">
        <f>SUM(I5:I5)</f>
        <v>600000</v>
      </c>
      <c r="K6" s="12" t="s">
        <v>61</v>
      </c>
      <c r="L6" s="159"/>
      <c r="M6" s="159">
        <f>G118</f>
        <v>17500</v>
      </c>
      <c r="N6" s="159">
        <f>H118</f>
        <v>7500</v>
      </c>
      <c r="O6" s="163"/>
      <c r="P6" s="163"/>
      <c r="Q6" s="163"/>
      <c r="R6" s="166"/>
      <c r="S6" s="166"/>
      <c r="T6" s="166"/>
      <c r="U6" s="11"/>
      <c r="V6" s="17">
        <f>M6+P6+S6</f>
        <v>17500</v>
      </c>
      <c r="W6" s="17">
        <f>N6+Q6+T6</f>
        <v>7500</v>
      </c>
      <c r="X6" s="11">
        <f t="shared" ref="X6:X13" si="0">U6+V6+W6</f>
        <v>25000</v>
      </c>
    </row>
    <row r="7" spans="2:24" ht="28.2">
      <c r="B7" s="235" t="s">
        <v>131</v>
      </c>
      <c r="C7" s="55" t="s">
        <v>74</v>
      </c>
      <c r="D7" s="55" t="s">
        <v>5</v>
      </c>
      <c r="E7" s="56">
        <v>18</v>
      </c>
      <c r="F7" s="57">
        <v>2500</v>
      </c>
      <c r="G7" s="58">
        <f>F7*12</f>
        <v>30000</v>
      </c>
      <c r="H7" s="58">
        <f>F7*6</f>
        <v>15000</v>
      </c>
      <c r="I7" s="58">
        <f>G7+H7</f>
        <v>45000</v>
      </c>
      <c r="K7" s="12" t="s">
        <v>62</v>
      </c>
      <c r="L7" s="159">
        <f>G15</f>
        <v>26400</v>
      </c>
      <c r="M7" s="160"/>
      <c r="N7" s="159"/>
      <c r="O7" s="163"/>
      <c r="P7" s="163"/>
      <c r="Q7" s="163"/>
      <c r="R7" s="166"/>
      <c r="S7" s="166"/>
      <c r="T7" s="166"/>
      <c r="U7" s="17">
        <f>L7</f>
        <v>26400</v>
      </c>
      <c r="V7" s="11"/>
      <c r="W7" s="17"/>
      <c r="X7" s="17">
        <f t="shared" si="0"/>
        <v>26400</v>
      </c>
    </row>
    <row r="8" spans="2:24" ht="14.4">
      <c r="B8" s="236"/>
      <c r="C8" s="59" t="s">
        <v>33</v>
      </c>
      <c r="D8" s="59" t="s">
        <v>5</v>
      </c>
      <c r="E8" s="60">
        <v>18</v>
      </c>
      <c r="F8" s="61">
        <v>1500</v>
      </c>
      <c r="G8" s="62">
        <f>F8*12</f>
        <v>18000</v>
      </c>
      <c r="H8" s="62">
        <f>F8*6</f>
        <v>9000</v>
      </c>
      <c r="I8" s="58">
        <f>G8+H8</f>
        <v>27000</v>
      </c>
      <c r="K8" s="11" t="s">
        <v>63</v>
      </c>
      <c r="L8" s="159">
        <f>G31+G37</f>
        <v>120000</v>
      </c>
      <c r="M8" s="159">
        <f>H38+H39+G112+H125</f>
        <v>62000</v>
      </c>
      <c r="N8" s="159">
        <f>G113+G114+G115+H123+H124+G125</f>
        <v>237000</v>
      </c>
      <c r="O8" s="163">
        <f>G56+G58+G61+G63</f>
        <v>139000</v>
      </c>
      <c r="P8" s="163">
        <f>H56+H58+H61+H63+H64</f>
        <v>114000</v>
      </c>
      <c r="Q8" s="163">
        <f>G120+H120+H129</f>
        <v>129000</v>
      </c>
      <c r="R8" s="166">
        <f>G80+G82+G83+G85+G88</f>
        <v>110000</v>
      </c>
      <c r="S8" s="166">
        <f>H84+H90+H93</f>
        <v>128000</v>
      </c>
      <c r="T8" s="166"/>
      <c r="U8" s="17">
        <f t="shared" ref="U8:W9" si="1">L8+O8+R8</f>
        <v>369000</v>
      </c>
      <c r="V8" s="17">
        <f t="shared" si="1"/>
        <v>304000</v>
      </c>
      <c r="W8" s="17">
        <f t="shared" si="1"/>
        <v>366000</v>
      </c>
      <c r="X8" s="17">
        <f t="shared" si="0"/>
        <v>1039000</v>
      </c>
    </row>
    <row r="9" spans="2:24" ht="14.4">
      <c r="B9" s="236"/>
      <c r="C9" s="59" t="s">
        <v>44</v>
      </c>
      <c r="D9" s="59" t="s">
        <v>5</v>
      </c>
      <c r="E9" s="60">
        <v>18</v>
      </c>
      <c r="F9" s="61">
        <v>600</v>
      </c>
      <c r="G9" s="62">
        <f>F9*5*12</f>
        <v>36000</v>
      </c>
      <c r="H9" s="62">
        <f>F9*5*6</f>
        <v>18000</v>
      </c>
      <c r="I9" s="58">
        <f>SUM(G9:H9)</f>
        <v>54000</v>
      </c>
      <c r="K9" s="11" t="s">
        <v>64</v>
      </c>
      <c r="L9" s="159">
        <f>G33</f>
        <v>10000</v>
      </c>
      <c r="M9" s="159">
        <v>14385.05</v>
      </c>
      <c r="N9" s="159">
        <v>4614.95</v>
      </c>
      <c r="O9" s="163">
        <f>G59</f>
        <v>10000</v>
      </c>
      <c r="P9" s="163">
        <f>H59</f>
        <v>5000</v>
      </c>
      <c r="Q9" s="163"/>
      <c r="R9" s="166">
        <f>G96</f>
        <v>7000</v>
      </c>
      <c r="S9" s="166">
        <f>H96</f>
        <v>8000</v>
      </c>
      <c r="T9" s="166"/>
      <c r="U9" s="17">
        <f t="shared" si="1"/>
        <v>27000</v>
      </c>
      <c r="V9" s="17">
        <f t="shared" si="1"/>
        <v>27385.05</v>
      </c>
      <c r="W9" s="17">
        <f t="shared" si="1"/>
        <v>4614.95</v>
      </c>
      <c r="X9" s="17">
        <f t="shared" si="0"/>
        <v>59000</v>
      </c>
    </row>
    <row r="10" spans="2:24" ht="14.4">
      <c r="B10" s="236"/>
      <c r="C10" s="59" t="s">
        <v>36</v>
      </c>
      <c r="D10" s="59" t="s">
        <v>5</v>
      </c>
      <c r="E10" s="60">
        <v>18</v>
      </c>
      <c r="F10" s="61">
        <v>1200</v>
      </c>
      <c r="G10" s="62">
        <f>F10*12</f>
        <v>14400</v>
      </c>
      <c r="H10" s="62">
        <f>F10*6</f>
        <v>7200</v>
      </c>
      <c r="I10" s="58">
        <f>SUM(G10:H10)</f>
        <v>21600</v>
      </c>
      <c r="K10" s="12" t="s">
        <v>65</v>
      </c>
      <c r="L10" s="159">
        <f>G5</f>
        <v>600000</v>
      </c>
      <c r="M10" s="159"/>
      <c r="N10" s="159">
        <f>H127+H128</f>
        <v>60000</v>
      </c>
      <c r="O10" s="163"/>
      <c r="P10" s="163"/>
      <c r="Q10" s="163"/>
      <c r="R10" s="166"/>
      <c r="S10" s="166">
        <f>H87</f>
        <v>40000</v>
      </c>
      <c r="T10" s="166"/>
      <c r="U10" s="17">
        <f>L10</f>
        <v>600000</v>
      </c>
      <c r="V10" s="17">
        <f>M10+P10+S10</f>
        <v>40000</v>
      </c>
      <c r="W10" s="17">
        <f>N10+Q10+T10</f>
        <v>60000</v>
      </c>
      <c r="X10" s="17">
        <f t="shared" si="0"/>
        <v>700000</v>
      </c>
    </row>
    <row r="11" spans="2:24" ht="14.4">
      <c r="B11" s="236"/>
      <c r="C11" s="55" t="s">
        <v>34</v>
      </c>
      <c r="D11" s="55" t="s">
        <v>5</v>
      </c>
      <c r="E11" s="56">
        <v>18</v>
      </c>
      <c r="F11" s="57">
        <v>1000</v>
      </c>
      <c r="G11" s="58">
        <f>F11*12</f>
        <v>12000</v>
      </c>
      <c r="H11" s="58">
        <f>F11*6</f>
        <v>6000</v>
      </c>
      <c r="I11" s="58">
        <f>E11*F11</f>
        <v>18000</v>
      </c>
      <c r="K11" s="12" t="s">
        <v>66</v>
      </c>
      <c r="L11" s="159">
        <f>G14</f>
        <v>30000</v>
      </c>
      <c r="M11" s="159">
        <f>H14+H32+G111</f>
        <v>34000</v>
      </c>
      <c r="N11" s="159">
        <f>H119+G119</f>
        <v>50000</v>
      </c>
      <c r="O11" s="163"/>
      <c r="P11" s="163"/>
      <c r="Q11" s="163"/>
      <c r="R11" s="166"/>
      <c r="S11" s="166"/>
      <c r="T11" s="166"/>
      <c r="U11" s="17">
        <f>L11</f>
        <v>30000</v>
      </c>
      <c r="V11" s="17">
        <f>M11</f>
        <v>34000</v>
      </c>
      <c r="W11" s="17">
        <f>N11+Q11+T11</f>
        <v>50000</v>
      </c>
      <c r="X11" s="17">
        <f t="shared" si="0"/>
        <v>114000</v>
      </c>
    </row>
    <row r="12" spans="2:24" ht="14.4">
      <c r="B12" s="236"/>
      <c r="C12" s="63" t="s">
        <v>73</v>
      </c>
      <c r="D12" s="55" t="s">
        <v>5</v>
      </c>
      <c r="E12" s="64">
        <v>18</v>
      </c>
      <c r="F12" s="65">
        <v>1200</v>
      </c>
      <c r="G12" s="66">
        <f>F12*12</f>
        <v>14400</v>
      </c>
      <c r="H12" s="66">
        <f>F12*6</f>
        <v>7200</v>
      </c>
      <c r="I12" s="66">
        <v>21600</v>
      </c>
      <c r="K12" s="12"/>
      <c r="L12" s="159"/>
      <c r="M12" s="159"/>
      <c r="N12" s="159"/>
      <c r="O12" s="163"/>
      <c r="P12" s="163"/>
      <c r="Q12" s="163"/>
      <c r="R12" s="166"/>
      <c r="S12" s="166"/>
      <c r="T12" s="166"/>
      <c r="U12" s="11"/>
      <c r="V12" s="11"/>
      <c r="W12" s="11"/>
      <c r="X12" s="11"/>
    </row>
    <row r="13" spans="2:24" ht="14.4">
      <c r="B13" s="236"/>
      <c r="C13" s="46" t="s">
        <v>35</v>
      </c>
      <c r="D13" s="55" t="s">
        <v>5</v>
      </c>
      <c r="E13" s="47">
        <v>18</v>
      </c>
      <c r="F13" s="48">
        <v>1000</v>
      </c>
      <c r="G13" s="49">
        <f>F13*12</f>
        <v>12000</v>
      </c>
      <c r="H13" s="49">
        <f>F13*6</f>
        <v>6000</v>
      </c>
      <c r="I13" s="49">
        <f>SUM(G13:H13)</f>
        <v>18000</v>
      </c>
      <c r="K13" s="15" t="s">
        <v>67</v>
      </c>
      <c r="L13" s="161">
        <f t="shared" ref="L13:S13" si="2">SUM(L5:L11)</f>
        <v>1085200</v>
      </c>
      <c r="M13" s="161">
        <f t="shared" si="2"/>
        <v>402285.05</v>
      </c>
      <c r="N13" s="161">
        <f t="shared" si="2"/>
        <v>405014.95</v>
      </c>
      <c r="O13" s="164">
        <f t="shared" si="2"/>
        <v>214500</v>
      </c>
      <c r="P13" s="164">
        <f t="shared" si="2"/>
        <v>172500</v>
      </c>
      <c r="Q13" s="164">
        <f t="shared" si="2"/>
        <v>129000</v>
      </c>
      <c r="R13" s="167">
        <f t="shared" si="2"/>
        <v>185000</v>
      </c>
      <c r="S13" s="167">
        <f t="shared" si="2"/>
        <v>210000</v>
      </c>
      <c r="T13" s="167"/>
      <c r="U13" s="18">
        <f>SUM(U5:U12)</f>
        <v>1484700</v>
      </c>
      <c r="V13" s="18">
        <f>SUM(V5:V12)</f>
        <v>784785.05</v>
      </c>
      <c r="W13" s="18">
        <f>SUM(W5:W12)</f>
        <v>534014.94999999995</v>
      </c>
      <c r="X13" s="18">
        <f t="shared" si="0"/>
        <v>2803500</v>
      </c>
    </row>
    <row r="14" spans="2:24" ht="28.8">
      <c r="B14" s="236"/>
      <c r="C14" s="46" t="s">
        <v>75</v>
      </c>
      <c r="D14" s="55" t="s">
        <v>5</v>
      </c>
      <c r="E14" s="47">
        <v>18</v>
      </c>
      <c r="F14" s="48">
        <v>2500</v>
      </c>
      <c r="G14" s="49">
        <f>F14*12</f>
        <v>30000</v>
      </c>
      <c r="H14" s="49">
        <f>F14*6</f>
        <v>15000</v>
      </c>
      <c r="I14" s="49">
        <f>G14+H14</f>
        <v>45000</v>
      </c>
      <c r="K14" s="11" t="s">
        <v>68</v>
      </c>
      <c r="L14" s="159">
        <f t="shared" ref="L14:S14" si="3">L13*0.07</f>
        <v>75964</v>
      </c>
      <c r="M14" s="159">
        <f t="shared" si="3"/>
        <v>28159.953500000003</v>
      </c>
      <c r="N14" s="159">
        <f t="shared" si="3"/>
        <v>28351.046500000004</v>
      </c>
      <c r="O14" s="163">
        <f t="shared" si="3"/>
        <v>15015.000000000002</v>
      </c>
      <c r="P14" s="163">
        <f t="shared" si="3"/>
        <v>12075.000000000002</v>
      </c>
      <c r="Q14" s="163">
        <f t="shared" si="3"/>
        <v>9030</v>
      </c>
      <c r="R14" s="166">
        <f t="shared" si="3"/>
        <v>12950.000000000002</v>
      </c>
      <c r="S14" s="166">
        <f t="shared" si="3"/>
        <v>14700.000000000002</v>
      </c>
      <c r="T14" s="166"/>
      <c r="U14" s="17">
        <f>U13*0.07</f>
        <v>103929.00000000001</v>
      </c>
      <c r="V14" s="17">
        <f>V13*0.07</f>
        <v>54934.953500000011</v>
      </c>
      <c r="W14" s="17">
        <f>W13*0.07</f>
        <v>37381.046499999997</v>
      </c>
      <c r="X14" s="17">
        <f>X13*0.07</f>
        <v>196245.00000000003</v>
      </c>
    </row>
    <row r="15" spans="2:24" ht="14.4">
      <c r="B15" s="237"/>
      <c r="C15" s="46" t="s">
        <v>51</v>
      </c>
      <c r="D15" s="55" t="s">
        <v>4</v>
      </c>
      <c r="E15" s="47">
        <v>1</v>
      </c>
      <c r="F15" s="48">
        <v>26400</v>
      </c>
      <c r="G15" s="49">
        <f>F15*E15</f>
        <v>26400</v>
      </c>
      <c r="H15" s="49">
        <v>0</v>
      </c>
      <c r="I15" s="49">
        <f>SUM(G15:H15)</f>
        <v>26400</v>
      </c>
      <c r="K15" s="15" t="s">
        <v>69</v>
      </c>
      <c r="L15" s="161">
        <f>SUM(L13:L14)</f>
        <v>1161164</v>
      </c>
      <c r="M15" s="206">
        <v>189176</v>
      </c>
      <c r="N15" s="206">
        <v>674635</v>
      </c>
      <c r="O15" s="164">
        <f>SUM(O13:O14)</f>
        <v>229515</v>
      </c>
      <c r="P15" s="164">
        <f>SUM(P13:P14)</f>
        <v>184575</v>
      </c>
      <c r="Q15" s="164">
        <f>SUM(Q13:Q14)</f>
        <v>138030</v>
      </c>
      <c r="R15" s="167">
        <f>SUM(R13:R14)</f>
        <v>197950</v>
      </c>
      <c r="S15" s="167">
        <f>SUM(S13:S14)</f>
        <v>224700</v>
      </c>
      <c r="T15" s="167"/>
      <c r="U15" s="18">
        <f>SUM(U13:U14)</f>
        <v>1588629</v>
      </c>
      <c r="V15" s="256">
        <f>SUM(V13:V14)</f>
        <v>839720.00350000011</v>
      </c>
      <c r="W15" s="256">
        <f>SUM(W13:W14)</f>
        <v>571395.99649999989</v>
      </c>
      <c r="X15" s="18">
        <f>SUM(X13:X14)</f>
        <v>2999745</v>
      </c>
    </row>
    <row r="16" spans="2:24" ht="14.4">
      <c r="B16" s="50" t="s">
        <v>92</v>
      </c>
      <c r="C16" s="51"/>
      <c r="D16" s="51"/>
      <c r="E16" s="52"/>
      <c r="F16" s="52"/>
      <c r="G16" s="54">
        <f>SUM(G7:G15)</f>
        <v>193200</v>
      </c>
      <c r="H16" s="54">
        <f>SUM(H7:H15)</f>
        <v>83400</v>
      </c>
      <c r="I16" s="54">
        <f>SUM(I7:I15)</f>
        <v>276600</v>
      </c>
    </row>
    <row r="17" spans="2:24" ht="14.4">
      <c r="B17" s="67"/>
      <c r="C17" s="55"/>
      <c r="D17" s="55"/>
      <c r="E17" s="56"/>
      <c r="F17" s="56"/>
      <c r="G17" s="58"/>
      <c r="H17" s="58"/>
      <c r="I17" s="58"/>
      <c r="K17" s="258"/>
      <c r="L17" s="25"/>
      <c r="M17" s="25"/>
      <c r="N17" s="25"/>
      <c r="O17" s="25"/>
      <c r="Q17" s="26"/>
      <c r="X17" s="207">
        <f>L15+M15+N15+O15+P15+Q15+R15+S15</f>
        <v>2999745</v>
      </c>
    </row>
    <row r="18" spans="2:24" ht="15.6">
      <c r="B18" s="50" t="s">
        <v>6</v>
      </c>
      <c r="C18" s="51"/>
      <c r="D18" s="51"/>
      <c r="E18" s="51"/>
      <c r="F18" s="51"/>
      <c r="G18" s="54">
        <f>G16+G6</f>
        <v>793200</v>
      </c>
      <c r="H18" s="54">
        <f>H16+H6</f>
        <v>83400</v>
      </c>
      <c r="I18" s="54">
        <f>I16+I6</f>
        <v>876600</v>
      </c>
      <c r="K18" s="211"/>
      <c r="P18" s="27" t="s">
        <v>158</v>
      </c>
      <c r="Q18" s="27" t="s">
        <v>159</v>
      </c>
    </row>
    <row r="19" spans="2:24" ht="15.6">
      <c r="B19" s="67"/>
      <c r="C19" s="55"/>
      <c r="D19" s="55"/>
      <c r="E19" s="56"/>
      <c r="F19" s="56"/>
      <c r="G19" s="58"/>
      <c r="H19" s="58"/>
      <c r="I19" s="58"/>
      <c r="K19" s="211"/>
      <c r="L19" s="232" t="s">
        <v>154</v>
      </c>
      <c r="M19" s="233"/>
      <c r="O19" s="1" t="s">
        <v>155</v>
      </c>
      <c r="P19" s="210">
        <v>1588629</v>
      </c>
      <c r="Q19" s="210">
        <f>L15+O15+R15</f>
        <v>1588629</v>
      </c>
    </row>
    <row r="20" spans="2:24" ht="15.6">
      <c r="B20" s="50" t="s">
        <v>50</v>
      </c>
      <c r="C20" s="51"/>
      <c r="D20" s="51"/>
      <c r="E20" s="52"/>
      <c r="F20" s="52"/>
      <c r="G20" s="54">
        <f>G18*0.07</f>
        <v>55524.000000000007</v>
      </c>
      <c r="H20" s="54">
        <f>H18*0.07</f>
        <v>5838.0000000000009</v>
      </c>
      <c r="I20" s="54">
        <f>I18*0.07</f>
        <v>61362.000000000007</v>
      </c>
      <c r="K20" s="211"/>
      <c r="L20" s="208" t="s">
        <v>150</v>
      </c>
      <c r="M20" s="209">
        <f>SUM(L15:N15)</f>
        <v>2024975</v>
      </c>
      <c r="O20" s="1" t="s">
        <v>156</v>
      </c>
      <c r="P20" s="210">
        <v>839720</v>
      </c>
      <c r="Q20" s="257">
        <f>M15+P15+S15</f>
        <v>598451</v>
      </c>
    </row>
    <row r="21" spans="2:24" ht="15.6">
      <c r="B21" s="68"/>
      <c r="C21" s="59"/>
      <c r="D21" s="59"/>
      <c r="E21" s="60"/>
      <c r="F21" s="60"/>
      <c r="G21" s="62"/>
      <c r="H21" s="62"/>
      <c r="I21" s="69"/>
      <c r="K21" s="211"/>
      <c r="L21" s="208" t="s">
        <v>151</v>
      </c>
      <c r="M21" s="209">
        <f>SUM(O15:Q15)</f>
        <v>552120</v>
      </c>
      <c r="O21" s="1" t="s">
        <v>157</v>
      </c>
      <c r="P21" s="210">
        <v>571396</v>
      </c>
      <c r="Q21" s="257">
        <f>N15+Q15</f>
        <v>812665</v>
      </c>
    </row>
    <row r="22" spans="2:24" ht="15" customHeight="1">
      <c r="B22" s="70" t="s">
        <v>43</v>
      </c>
      <c r="C22" s="71"/>
      <c r="D22" s="71"/>
      <c r="E22" s="72"/>
      <c r="F22" s="72"/>
      <c r="G22" s="73">
        <f>G18+G20</f>
        <v>848724</v>
      </c>
      <c r="H22" s="73">
        <f>H18+H20</f>
        <v>89238</v>
      </c>
      <c r="I22" s="73">
        <f>I18+I20</f>
        <v>937962</v>
      </c>
      <c r="K22" s="25"/>
      <c r="L22" s="208" t="s">
        <v>152</v>
      </c>
      <c r="M22" s="209">
        <f>SUM(R15:S15)</f>
        <v>422650</v>
      </c>
      <c r="N22" s="38"/>
      <c r="O22" s="38"/>
      <c r="P22" s="38"/>
    </row>
    <row r="23" spans="2:24">
      <c r="B23" s="74"/>
      <c r="C23" s="75"/>
      <c r="D23" s="75"/>
      <c r="E23" s="75"/>
      <c r="F23" s="75"/>
      <c r="G23" s="75"/>
      <c r="H23" s="75"/>
      <c r="I23" s="75"/>
      <c r="L23" s="208" t="s">
        <v>153</v>
      </c>
      <c r="M23" s="209">
        <f>SUM(M20:M22)</f>
        <v>2999745</v>
      </c>
      <c r="N23" s="38"/>
      <c r="O23" s="7"/>
    </row>
    <row r="24" spans="2:24">
      <c r="B24" s="74"/>
      <c r="C24" s="75"/>
      <c r="D24" s="75"/>
      <c r="E24" s="75"/>
      <c r="F24" s="75"/>
      <c r="G24" s="75"/>
      <c r="H24" s="75"/>
      <c r="I24" s="75"/>
      <c r="K24" s="7"/>
    </row>
    <row r="25" spans="2:24" ht="15" customHeight="1">
      <c r="B25" s="234" t="s">
        <v>37</v>
      </c>
      <c r="C25" s="234"/>
      <c r="D25" s="234"/>
      <c r="E25" s="234"/>
      <c r="F25" s="234"/>
      <c r="G25" s="234"/>
      <c r="H25" s="234"/>
      <c r="I25" s="234"/>
    </row>
    <row r="26" spans="2:24" ht="14.4">
      <c r="B26" s="39"/>
      <c r="C26" s="40"/>
      <c r="D26" s="40"/>
      <c r="E26" s="40"/>
      <c r="F26" s="40"/>
      <c r="G26" s="40"/>
      <c r="H26" s="40"/>
      <c r="I26" s="40"/>
    </row>
    <row r="27" spans="2:24" ht="14.4">
      <c r="B27" s="41" t="s">
        <v>89</v>
      </c>
      <c r="C27" s="42" t="s">
        <v>1</v>
      </c>
      <c r="D27" s="42" t="s">
        <v>2</v>
      </c>
      <c r="E27" s="42" t="s">
        <v>0</v>
      </c>
      <c r="F27" s="42" t="s">
        <v>7</v>
      </c>
      <c r="G27" s="42" t="s">
        <v>12</v>
      </c>
      <c r="H27" s="42" t="s">
        <v>13</v>
      </c>
      <c r="I27" s="42" t="s">
        <v>8</v>
      </c>
    </row>
    <row r="28" spans="2:24" ht="14.4">
      <c r="B28" s="43"/>
      <c r="C28" s="44"/>
      <c r="D28" s="44"/>
      <c r="E28" s="44"/>
      <c r="F28" s="44"/>
      <c r="G28" s="44"/>
      <c r="H28" s="44"/>
      <c r="I28" s="44"/>
      <c r="T28" s="38"/>
    </row>
    <row r="29" spans="2:24" ht="27.75" customHeight="1">
      <c r="B29" s="235" t="s">
        <v>132</v>
      </c>
      <c r="C29" s="46" t="s">
        <v>9</v>
      </c>
      <c r="D29" s="46" t="s">
        <v>3</v>
      </c>
      <c r="E29" s="47">
        <v>75</v>
      </c>
      <c r="F29" s="48">
        <v>600</v>
      </c>
      <c r="G29" s="49">
        <f>F29*50</f>
        <v>30000</v>
      </c>
      <c r="H29" s="49">
        <f>F29*25</f>
        <v>15000</v>
      </c>
      <c r="I29" s="49">
        <f>SUM(G29:H29)</f>
        <v>45000</v>
      </c>
      <c r="N29" s="38"/>
      <c r="O29" s="7"/>
    </row>
    <row r="30" spans="2:24" ht="14.4">
      <c r="B30" s="236"/>
      <c r="C30" s="46" t="s">
        <v>10</v>
      </c>
      <c r="D30" s="46" t="s">
        <v>3</v>
      </c>
      <c r="E30" s="47">
        <v>180</v>
      </c>
      <c r="F30" s="48">
        <v>200</v>
      </c>
      <c r="G30" s="49">
        <f>F30*120</f>
        <v>24000</v>
      </c>
      <c r="H30" s="49">
        <f>F30*60</f>
        <v>12000</v>
      </c>
      <c r="I30" s="49">
        <f t="shared" ref="I30" si="4">SUM(G30:H30)</f>
        <v>36000</v>
      </c>
      <c r="N30" s="38"/>
      <c r="O30" s="38"/>
    </row>
    <row r="31" spans="2:24" ht="14.4">
      <c r="B31" s="236"/>
      <c r="C31" s="46" t="s">
        <v>20</v>
      </c>
      <c r="D31" s="46" t="s">
        <v>21</v>
      </c>
      <c r="E31" s="47">
        <v>12</v>
      </c>
      <c r="F31" s="48">
        <v>3500</v>
      </c>
      <c r="G31" s="66">
        <f>F31*12</f>
        <v>42000</v>
      </c>
      <c r="H31" s="66">
        <v>0</v>
      </c>
      <c r="I31" s="49">
        <f>SUM(G31:H31)</f>
        <v>42000</v>
      </c>
    </row>
    <row r="32" spans="2:24" ht="14.4">
      <c r="B32" s="237"/>
      <c r="C32" s="46" t="s">
        <v>17</v>
      </c>
      <c r="D32" s="46" t="s">
        <v>4</v>
      </c>
      <c r="E32" s="47">
        <v>1</v>
      </c>
      <c r="F32" s="48">
        <v>4000</v>
      </c>
      <c r="G32" s="66">
        <v>0</v>
      </c>
      <c r="H32" s="66">
        <f>E32*F32</f>
        <v>4000</v>
      </c>
      <c r="I32" s="49">
        <f>SUM(G32:H32)</f>
        <v>4000</v>
      </c>
      <c r="Q32" s="38"/>
      <c r="S32" s="38"/>
    </row>
    <row r="33" spans="2:20" ht="14.4">
      <c r="B33" s="76"/>
      <c r="C33" s="46" t="s">
        <v>71</v>
      </c>
      <c r="D33" s="46" t="s">
        <v>4</v>
      </c>
      <c r="E33" s="47"/>
      <c r="F33" s="48"/>
      <c r="G33" s="66">
        <v>10000</v>
      </c>
      <c r="H33" s="66">
        <v>5000</v>
      </c>
      <c r="I33" s="49">
        <f>SUM(G33:H33)</f>
        <v>15000</v>
      </c>
      <c r="R33" s="38"/>
    </row>
    <row r="34" spans="2:20" ht="14.4">
      <c r="B34" s="50" t="s">
        <v>91</v>
      </c>
      <c r="C34" s="51"/>
      <c r="D34" s="51"/>
      <c r="E34" s="52"/>
      <c r="F34" s="53"/>
      <c r="G34" s="54">
        <f>SUM(G29:G33)</f>
        <v>106000</v>
      </c>
      <c r="H34" s="54">
        <f t="shared" ref="H34:I34" si="5">SUM(H29:H33)</f>
        <v>36000</v>
      </c>
      <c r="I34" s="54">
        <f t="shared" si="5"/>
        <v>142000</v>
      </c>
      <c r="K34" s="7"/>
      <c r="L34" s="7"/>
      <c r="M34" s="38"/>
      <c r="R34" s="38"/>
      <c r="T34" s="38"/>
    </row>
    <row r="35" spans="2:20" ht="14.4">
      <c r="B35" s="235" t="s">
        <v>133</v>
      </c>
      <c r="C35" s="55" t="s">
        <v>14</v>
      </c>
      <c r="D35" s="55" t="s">
        <v>3</v>
      </c>
      <c r="E35" s="56">
        <v>100</v>
      </c>
      <c r="F35" s="57">
        <v>600</v>
      </c>
      <c r="G35" s="58">
        <f>F35*80</f>
        <v>48000</v>
      </c>
      <c r="H35" s="58">
        <f>F35*20</f>
        <v>12000</v>
      </c>
      <c r="I35" s="58">
        <f>G35+H35</f>
        <v>60000</v>
      </c>
      <c r="R35" s="38"/>
    </row>
    <row r="36" spans="2:20" ht="14.4">
      <c r="B36" s="236"/>
      <c r="C36" s="59" t="s">
        <v>15</v>
      </c>
      <c r="D36" s="59" t="s">
        <v>3</v>
      </c>
      <c r="E36" s="60">
        <v>202</v>
      </c>
      <c r="F36" s="61">
        <v>200</v>
      </c>
      <c r="G36" s="62">
        <f>F36*150</f>
        <v>30000</v>
      </c>
      <c r="H36" s="62">
        <f>F36*52</f>
        <v>10400</v>
      </c>
      <c r="I36" s="58">
        <f>G36+H36</f>
        <v>40400</v>
      </c>
    </row>
    <row r="37" spans="2:20" ht="14.4">
      <c r="B37" s="236"/>
      <c r="C37" s="55" t="s">
        <v>16</v>
      </c>
      <c r="D37" s="55" t="s">
        <v>5</v>
      </c>
      <c r="E37" s="56">
        <v>3</v>
      </c>
      <c r="F37" s="57">
        <v>26000</v>
      </c>
      <c r="G37" s="58">
        <f>F37*E37</f>
        <v>78000</v>
      </c>
      <c r="H37" s="58">
        <v>0</v>
      </c>
      <c r="I37" s="58">
        <f>E37*F37</f>
        <v>78000</v>
      </c>
      <c r="N37" s="38"/>
    </row>
    <row r="38" spans="2:20" ht="36" customHeight="1">
      <c r="B38" s="236"/>
      <c r="C38" s="46" t="s">
        <v>104</v>
      </c>
      <c r="D38" s="46" t="s">
        <v>4</v>
      </c>
      <c r="E38" s="47">
        <v>1</v>
      </c>
      <c r="F38" s="48"/>
      <c r="G38" s="49">
        <v>30000</v>
      </c>
      <c r="H38" s="66">
        <v>30000</v>
      </c>
      <c r="I38" s="49">
        <f t="shared" ref="I38" si="6">SUM(G38:H38)</f>
        <v>60000</v>
      </c>
      <c r="N38" s="7"/>
    </row>
    <row r="39" spans="2:20" ht="14.4">
      <c r="B39" s="237"/>
      <c r="C39" s="46" t="s">
        <v>11</v>
      </c>
      <c r="D39" s="46" t="s">
        <v>4</v>
      </c>
      <c r="E39" s="47">
        <v>1</v>
      </c>
      <c r="F39" s="48">
        <v>5000</v>
      </c>
      <c r="G39" s="49">
        <v>0</v>
      </c>
      <c r="H39" s="49">
        <f>F39*E39</f>
        <v>5000</v>
      </c>
      <c r="I39" s="49">
        <f>G39+H39</f>
        <v>5000</v>
      </c>
    </row>
    <row r="40" spans="2:20" ht="14.4">
      <c r="B40" s="50" t="s">
        <v>92</v>
      </c>
      <c r="C40" s="51"/>
      <c r="D40" s="51"/>
      <c r="E40" s="52"/>
      <c r="F40" s="52"/>
      <c r="G40" s="54">
        <f>SUM(G35:G39)</f>
        <v>186000</v>
      </c>
      <c r="H40" s="54">
        <f>SUM(H35:H39)</f>
        <v>57400</v>
      </c>
      <c r="I40" s="54">
        <f>SUM(I35:I39)</f>
        <v>243400</v>
      </c>
    </row>
    <row r="41" spans="2:20" ht="14.4">
      <c r="B41" s="67"/>
      <c r="C41" s="55"/>
      <c r="D41" s="55"/>
      <c r="E41" s="56"/>
      <c r="F41" s="56"/>
      <c r="G41" s="58"/>
      <c r="H41" s="58"/>
      <c r="I41" s="58"/>
    </row>
    <row r="42" spans="2:20" ht="14.4">
      <c r="B42" s="50" t="s">
        <v>6</v>
      </c>
      <c r="C42" s="51"/>
      <c r="D42" s="51"/>
      <c r="E42" s="51"/>
      <c r="F42" s="51"/>
      <c r="G42" s="54">
        <f>G40+G34</f>
        <v>292000</v>
      </c>
      <c r="H42" s="54">
        <f>H40+H34</f>
        <v>93400</v>
      </c>
      <c r="I42" s="54">
        <f>I40+I34</f>
        <v>385400</v>
      </c>
      <c r="K42" s="7"/>
    </row>
    <row r="43" spans="2:20" ht="14.4">
      <c r="B43" s="67"/>
      <c r="C43" s="55"/>
      <c r="D43" s="55"/>
      <c r="E43" s="56"/>
      <c r="F43" s="56"/>
      <c r="G43" s="58"/>
      <c r="H43" s="58"/>
      <c r="I43" s="58"/>
    </row>
    <row r="44" spans="2:20" ht="14.4">
      <c r="B44" s="50" t="s">
        <v>50</v>
      </c>
      <c r="C44" s="51"/>
      <c r="D44" s="51"/>
      <c r="E44" s="52"/>
      <c r="F44" s="52"/>
      <c r="G44" s="54">
        <f>G42*0.07</f>
        <v>20440.000000000004</v>
      </c>
      <c r="H44" s="54">
        <f t="shared" ref="H44:I44" si="7">H42*0.07</f>
        <v>6538.0000000000009</v>
      </c>
      <c r="I44" s="54">
        <f t="shared" si="7"/>
        <v>26978.000000000004</v>
      </c>
      <c r="K44" s="7"/>
    </row>
    <row r="45" spans="2:20" ht="14.4">
      <c r="B45" s="68"/>
      <c r="C45" s="59"/>
      <c r="D45" s="59"/>
      <c r="E45" s="60"/>
      <c r="F45" s="60"/>
      <c r="G45" s="62"/>
      <c r="H45" s="62"/>
      <c r="I45" s="69"/>
    </row>
    <row r="46" spans="2:20" ht="14.4">
      <c r="B46" s="70" t="s">
        <v>42</v>
      </c>
      <c r="C46" s="71"/>
      <c r="D46" s="71"/>
      <c r="E46" s="72"/>
      <c r="F46" s="72"/>
      <c r="G46" s="73">
        <f>G42+G44</f>
        <v>312440</v>
      </c>
      <c r="H46" s="73">
        <f t="shared" ref="H46:I46" si="8">H42+H44</f>
        <v>99938</v>
      </c>
      <c r="I46" s="73">
        <f t="shared" si="8"/>
        <v>412378</v>
      </c>
      <c r="K46" s="7"/>
    </row>
    <row r="47" spans="2:20">
      <c r="B47" s="8"/>
      <c r="C47" s="9"/>
      <c r="D47" s="9"/>
      <c r="E47" s="9"/>
      <c r="F47" s="9"/>
      <c r="G47" s="9"/>
      <c r="H47" s="9"/>
      <c r="I47" s="9"/>
      <c r="K47" s="7"/>
    </row>
    <row r="48" spans="2:20">
      <c r="B48" s="8"/>
      <c r="C48" s="9"/>
      <c r="D48" s="9"/>
      <c r="E48" s="9"/>
      <c r="F48" s="9"/>
      <c r="G48" s="9"/>
      <c r="H48" s="9"/>
      <c r="I48" s="9"/>
      <c r="L48" s="7"/>
    </row>
    <row r="49" spans="1:12" ht="14.4">
      <c r="A49" s="21"/>
      <c r="B49" s="238" t="s">
        <v>38</v>
      </c>
      <c r="C49" s="239"/>
      <c r="D49" s="239"/>
      <c r="E49" s="239"/>
      <c r="F49" s="239"/>
      <c r="G49" s="239"/>
      <c r="H49" s="239"/>
      <c r="I49" s="240"/>
    </row>
    <row r="50" spans="1:12" ht="14.4">
      <c r="A50" s="21"/>
      <c r="B50" s="77"/>
      <c r="C50" s="78"/>
      <c r="D50" s="78"/>
      <c r="E50" s="78"/>
      <c r="F50" s="78"/>
      <c r="G50" s="78"/>
      <c r="H50" s="78"/>
      <c r="I50" s="78"/>
    </row>
    <row r="51" spans="1:12" ht="15" customHeight="1">
      <c r="A51" s="21"/>
      <c r="B51" s="79" t="s">
        <v>80</v>
      </c>
      <c r="C51" s="80" t="s">
        <v>1</v>
      </c>
      <c r="D51" s="80" t="s">
        <v>2</v>
      </c>
      <c r="E51" s="80" t="s">
        <v>0</v>
      </c>
      <c r="F51" s="80" t="s">
        <v>7</v>
      </c>
      <c r="G51" s="80" t="s">
        <v>12</v>
      </c>
      <c r="H51" s="80" t="s">
        <v>13</v>
      </c>
      <c r="I51" s="80" t="s">
        <v>8</v>
      </c>
      <c r="L51" s="7"/>
    </row>
    <row r="52" spans="1:12" ht="14.4">
      <c r="A52" s="21"/>
      <c r="B52" s="81"/>
      <c r="C52" s="82"/>
      <c r="D52" s="82"/>
      <c r="E52" s="82"/>
      <c r="F52" s="82"/>
      <c r="G52" s="82"/>
      <c r="H52" s="82"/>
      <c r="I52" s="82"/>
      <c r="L52" s="7"/>
    </row>
    <row r="53" spans="1:12" ht="21.75" customHeight="1">
      <c r="A53" s="21"/>
      <c r="B53" s="247" t="s">
        <v>134</v>
      </c>
      <c r="C53" s="83" t="s">
        <v>81</v>
      </c>
      <c r="D53" s="83" t="s">
        <v>3</v>
      </c>
      <c r="E53" s="84">
        <v>60</v>
      </c>
      <c r="F53" s="85">
        <v>600</v>
      </c>
      <c r="G53" s="86">
        <f>40*600</f>
        <v>24000</v>
      </c>
      <c r="H53" s="86">
        <f>20*600</f>
        <v>12000</v>
      </c>
      <c r="I53" s="86">
        <f>G53+H53</f>
        <v>36000</v>
      </c>
      <c r="L53" s="7"/>
    </row>
    <row r="54" spans="1:12" ht="25.5" customHeight="1">
      <c r="A54" s="21"/>
      <c r="B54" s="249"/>
      <c r="C54" s="83" t="s">
        <v>82</v>
      </c>
      <c r="D54" s="83" t="s">
        <v>3</v>
      </c>
      <c r="E54" s="84">
        <v>140</v>
      </c>
      <c r="F54" s="85">
        <v>200</v>
      </c>
      <c r="G54" s="86">
        <f>100*200</f>
        <v>20000</v>
      </c>
      <c r="H54" s="86">
        <f>40*200</f>
        <v>8000</v>
      </c>
      <c r="I54" s="86">
        <f>G54+H54</f>
        <v>28000</v>
      </c>
    </row>
    <row r="55" spans="1:12" ht="24" customHeight="1">
      <c r="A55" s="21"/>
      <c r="B55" s="249"/>
      <c r="C55" s="83" t="s">
        <v>18</v>
      </c>
      <c r="D55" s="83" t="s">
        <v>4</v>
      </c>
      <c r="E55" s="84"/>
      <c r="F55" s="85"/>
      <c r="G55" s="86">
        <v>6500</v>
      </c>
      <c r="H55" s="86">
        <v>3500</v>
      </c>
      <c r="I55" s="86">
        <f t="shared" ref="I55" si="9">SUM(G55:H55)</f>
        <v>10000</v>
      </c>
    </row>
    <row r="56" spans="1:12" ht="24" customHeight="1">
      <c r="A56" s="21"/>
      <c r="B56" s="248"/>
      <c r="C56" s="83" t="s">
        <v>19</v>
      </c>
      <c r="D56" s="83" t="s">
        <v>45</v>
      </c>
      <c r="E56" s="84">
        <v>15</v>
      </c>
      <c r="F56" s="85">
        <v>5000</v>
      </c>
      <c r="G56" s="86">
        <f>10*5000</f>
        <v>50000</v>
      </c>
      <c r="H56" s="86">
        <f>5*5000</f>
        <v>25000</v>
      </c>
      <c r="I56" s="86">
        <f>H56+G56</f>
        <v>75000</v>
      </c>
    </row>
    <row r="57" spans="1:12" ht="14.4">
      <c r="A57" s="21"/>
      <c r="B57" s="87" t="s">
        <v>83</v>
      </c>
      <c r="C57" s="88"/>
      <c r="D57" s="88"/>
      <c r="E57" s="89"/>
      <c r="F57" s="90"/>
      <c r="G57" s="91">
        <f>SUM(G53:G56)</f>
        <v>100500</v>
      </c>
      <c r="H57" s="91">
        <f>SUM(H53:H56)</f>
        <v>48500</v>
      </c>
      <c r="I57" s="91">
        <f>SUM(I53:I56)</f>
        <v>149000</v>
      </c>
    </row>
    <row r="58" spans="1:12" ht="45" customHeight="1">
      <c r="A58" s="21"/>
      <c r="B58" s="247" t="s">
        <v>135</v>
      </c>
      <c r="C58" s="92" t="s">
        <v>46</v>
      </c>
      <c r="D58" s="92" t="s">
        <v>47</v>
      </c>
      <c r="E58" s="93">
        <v>12</v>
      </c>
      <c r="F58" s="94">
        <v>7000</v>
      </c>
      <c r="G58" s="95">
        <f>F58*7</f>
        <v>49000</v>
      </c>
      <c r="H58" s="95">
        <f>F58*5</f>
        <v>35000</v>
      </c>
      <c r="I58" s="95">
        <f>G58+H58</f>
        <v>84000</v>
      </c>
    </row>
    <row r="59" spans="1:12" ht="52.5" customHeight="1">
      <c r="A59" s="21"/>
      <c r="B59" s="248"/>
      <c r="C59" s="92" t="s">
        <v>72</v>
      </c>
      <c r="D59" s="92" t="s">
        <v>4</v>
      </c>
      <c r="E59" s="93"/>
      <c r="F59" s="94"/>
      <c r="G59" s="95">
        <v>10000</v>
      </c>
      <c r="H59" s="95">
        <v>5000</v>
      </c>
      <c r="I59" s="95">
        <f>SUM(G59:H59)</f>
        <v>15000</v>
      </c>
    </row>
    <row r="60" spans="1:12" ht="14.4">
      <c r="A60" s="21"/>
      <c r="B60" s="87" t="s">
        <v>84</v>
      </c>
      <c r="C60" s="96"/>
      <c r="D60" s="96"/>
      <c r="E60" s="97"/>
      <c r="F60" s="98"/>
      <c r="G60" s="99">
        <f>SUM(G58:G59)</f>
        <v>59000</v>
      </c>
      <c r="H60" s="99">
        <f>SUM(H58:H59)</f>
        <v>40000</v>
      </c>
      <c r="I60" s="99">
        <f>SUM(I58:I59)</f>
        <v>99000</v>
      </c>
    </row>
    <row r="61" spans="1:12" ht="25.5" customHeight="1">
      <c r="A61" s="21"/>
      <c r="B61" s="247" t="s">
        <v>136</v>
      </c>
      <c r="C61" s="92" t="s">
        <v>86</v>
      </c>
      <c r="D61" s="92" t="s">
        <v>48</v>
      </c>
      <c r="E61" s="93">
        <v>6</v>
      </c>
      <c r="F61" s="94">
        <v>5000</v>
      </c>
      <c r="G61" s="95">
        <f>F61*4</f>
        <v>20000</v>
      </c>
      <c r="H61" s="95">
        <f>F61*2</f>
        <v>10000</v>
      </c>
      <c r="I61" s="95">
        <f>G61+H61</f>
        <v>30000</v>
      </c>
    </row>
    <row r="62" spans="1:12" ht="26.25" customHeight="1">
      <c r="A62" s="21"/>
      <c r="B62" s="249"/>
      <c r="C62" s="92" t="s">
        <v>103</v>
      </c>
      <c r="D62" s="92" t="s">
        <v>4</v>
      </c>
      <c r="E62" s="93">
        <v>1</v>
      </c>
      <c r="F62" s="94">
        <v>0</v>
      </c>
      <c r="G62" s="95">
        <v>15000</v>
      </c>
      <c r="H62" s="95">
        <v>30000</v>
      </c>
      <c r="I62" s="95">
        <f>SUM(G62:H62)</f>
        <v>45000</v>
      </c>
    </row>
    <row r="63" spans="1:12" ht="26.25" customHeight="1">
      <c r="A63" s="21"/>
      <c r="B63" s="249"/>
      <c r="C63" s="92" t="s">
        <v>87</v>
      </c>
      <c r="D63" s="92" t="s">
        <v>49</v>
      </c>
      <c r="E63" s="93">
        <v>2</v>
      </c>
      <c r="F63" s="94">
        <v>20000</v>
      </c>
      <c r="G63" s="95">
        <f>1*20000</f>
        <v>20000</v>
      </c>
      <c r="H63" s="95">
        <f>1*20000</f>
        <v>20000</v>
      </c>
      <c r="I63" s="95">
        <f>H63+G63</f>
        <v>40000</v>
      </c>
    </row>
    <row r="64" spans="1:12" ht="92.25" customHeight="1">
      <c r="A64" s="21"/>
      <c r="B64" s="248"/>
      <c r="C64" s="92" t="s">
        <v>88</v>
      </c>
      <c r="D64" s="92" t="s">
        <v>4</v>
      </c>
      <c r="E64" s="93">
        <v>1</v>
      </c>
      <c r="F64" s="94">
        <v>24000</v>
      </c>
      <c r="G64" s="95"/>
      <c r="H64" s="95">
        <v>24000</v>
      </c>
      <c r="I64" s="95">
        <f>H64+G64</f>
        <v>24000</v>
      </c>
    </row>
    <row r="65" spans="1:14" ht="14.4">
      <c r="A65" s="21"/>
      <c r="B65" s="87" t="s">
        <v>85</v>
      </c>
      <c r="C65" s="96"/>
      <c r="D65" s="96"/>
      <c r="E65" s="97"/>
      <c r="F65" s="98"/>
      <c r="G65" s="99">
        <f>SUM(G61:G64)</f>
        <v>55000</v>
      </c>
      <c r="H65" s="99">
        <f>SUM(H61:H64)</f>
        <v>84000</v>
      </c>
      <c r="I65" s="99">
        <f>SUM(I61:I64)</f>
        <v>139000</v>
      </c>
    </row>
    <row r="66" spans="1:14" ht="14.4">
      <c r="A66" s="21"/>
      <c r="B66" s="100"/>
      <c r="C66" s="101"/>
      <c r="D66" s="101"/>
      <c r="E66" s="102"/>
      <c r="F66" s="102"/>
      <c r="G66" s="103"/>
      <c r="H66" s="103"/>
      <c r="I66" s="103"/>
    </row>
    <row r="67" spans="1:14" ht="14.4">
      <c r="A67" s="21"/>
      <c r="B67" s="87" t="s">
        <v>6</v>
      </c>
      <c r="C67" s="88"/>
      <c r="D67" s="88"/>
      <c r="E67" s="88"/>
      <c r="F67" s="88"/>
      <c r="G67" s="91">
        <f>G57+G60+G65</f>
        <v>214500</v>
      </c>
      <c r="H67" s="91">
        <f>H57+H60+H65</f>
        <v>172500</v>
      </c>
      <c r="I67" s="91">
        <f>I57+I60+I65</f>
        <v>387000</v>
      </c>
      <c r="K67" s="19"/>
      <c r="L67" s="20"/>
      <c r="M67" s="21"/>
      <c r="N67" s="21"/>
    </row>
    <row r="68" spans="1:14" ht="14.4">
      <c r="A68" s="21"/>
      <c r="B68" s="104"/>
      <c r="C68" s="105"/>
      <c r="D68" s="105"/>
      <c r="E68" s="106"/>
      <c r="F68" s="106"/>
      <c r="G68" s="37"/>
      <c r="H68" s="37"/>
      <c r="I68" s="37"/>
      <c r="K68" s="7"/>
      <c r="L68" s="7"/>
    </row>
    <row r="69" spans="1:14" ht="14.4">
      <c r="A69" s="21"/>
      <c r="B69" s="87" t="s">
        <v>50</v>
      </c>
      <c r="C69" s="88"/>
      <c r="D69" s="88"/>
      <c r="E69" s="89"/>
      <c r="F69" s="89"/>
      <c r="G69" s="91">
        <f>G67*7%</f>
        <v>15015.000000000002</v>
      </c>
      <c r="H69" s="91">
        <f>H67*7%</f>
        <v>12075.000000000002</v>
      </c>
      <c r="I69" s="91">
        <f>I67*7%</f>
        <v>27090.000000000004</v>
      </c>
      <c r="J69" s="7"/>
    </row>
    <row r="70" spans="1:14" ht="14.4">
      <c r="A70" s="21"/>
      <c r="B70" s="107"/>
      <c r="C70" s="108"/>
      <c r="D70" s="108"/>
      <c r="E70" s="109"/>
      <c r="F70" s="109"/>
      <c r="G70" s="110"/>
      <c r="H70" s="110"/>
      <c r="I70" s="111"/>
    </row>
    <row r="71" spans="1:14" ht="14.4">
      <c r="A71" s="21"/>
      <c r="B71" s="112" t="s">
        <v>41</v>
      </c>
      <c r="C71" s="113"/>
      <c r="D71" s="113"/>
      <c r="E71" s="114"/>
      <c r="F71" s="114"/>
      <c r="G71" s="115">
        <f>G67+G69</f>
        <v>229515</v>
      </c>
      <c r="H71" s="115">
        <f>H67+H69</f>
        <v>184575</v>
      </c>
      <c r="I71" s="115">
        <f>I67+I69</f>
        <v>414090</v>
      </c>
      <c r="K71" s="7"/>
    </row>
    <row r="72" spans="1:14">
      <c r="B72" s="8"/>
      <c r="C72" s="9"/>
      <c r="D72" s="9"/>
      <c r="E72" s="9"/>
      <c r="F72" s="9"/>
      <c r="G72" s="9"/>
      <c r="H72" s="9"/>
      <c r="I72" s="9"/>
      <c r="K72" s="7"/>
    </row>
    <row r="73" spans="1:14">
      <c r="B73" s="8"/>
      <c r="C73" s="9"/>
      <c r="D73" s="9"/>
      <c r="E73" s="9"/>
      <c r="F73" s="9"/>
      <c r="G73" s="9"/>
      <c r="H73" s="9"/>
      <c r="I73" s="9"/>
    </row>
    <row r="74" spans="1:14" ht="14.4">
      <c r="B74" s="244" t="s">
        <v>39</v>
      </c>
      <c r="C74" s="245"/>
      <c r="D74" s="245"/>
      <c r="E74" s="245"/>
      <c r="F74" s="245"/>
      <c r="G74" s="245"/>
      <c r="H74" s="245"/>
      <c r="I74" s="246"/>
    </row>
    <row r="75" spans="1:14" ht="14.4">
      <c r="B75" s="116"/>
      <c r="C75" s="117"/>
      <c r="D75" s="117"/>
      <c r="E75" s="117"/>
      <c r="F75" s="117"/>
      <c r="G75" s="117"/>
      <c r="H75" s="117"/>
      <c r="I75" s="117"/>
    </row>
    <row r="76" spans="1:14" ht="14.4">
      <c r="B76" s="118" t="s">
        <v>93</v>
      </c>
      <c r="C76" s="119" t="s">
        <v>1</v>
      </c>
      <c r="D76" s="119" t="s">
        <v>2</v>
      </c>
      <c r="E76" s="119" t="s">
        <v>0</v>
      </c>
      <c r="F76" s="119" t="s">
        <v>7</v>
      </c>
      <c r="G76" s="119" t="s">
        <v>12</v>
      </c>
      <c r="H76" s="119" t="s">
        <v>13</v>
      </c>
      <c r="I76" s="119" t="s">
        <v>8</v>
      </c>
    </row>
    <row r="77" spans="1:14" ht="14.4">
      <c r="B77" s="120"/>
      <c r="C77" s="121"/>
      <c r="D77" s="121"/>
      <c r="E77" s="121"/>
      <c r="F77" s="121"/>
      <c r="G77" s="121"/>
      <c r="H77" s="121"/>
      <c r="I77" s="121"/>
    </row>
    <row r="78" spans="1:14" ht="24.75" customHeight="1">
      <c r="B78" s="229" t="s">
        <v>137</v>
      </c>
      <c r="C78" s="122" t="s">
        <v>29</v>
      </c>
      <c r="D78" s="122" t="s">
        <v>3</v>
      </c>
      <c r="E78" s="123">
        <v>30</v>
      </c>
      <c r="F78" s="123">
        <v>600</v>
      </c>
      <c r="G78" s="124">
        <f>F78*E78</f>
        <v>18000</v>
      </c>
      <c r="H78" s="124">
        <v>0</v>
      </c>
      <c r="I78" s="124">
        <f>G78+H78</f>
        <v>18000</v>
      </c>
      <c r="J78" s="7"/>
    </row>
    <row r="79" spans="1:14" ht="22.5" customHeight="1">
      <c r="B79" s="230"/>
      <c r="C79" s="122" t="s">
        <v>30</v>
      </c>
      <c r="D79" s="122" t="s">
        <v>3</v>
      </c>
      <c r="E79" s="123">
        <v>30</v>
      </c>
      <c r="F79" s="123">
        <v>200</v>
      </c>
      <c r="G79" s="124">
        <f>F79*E79</f>
        <v>6000</v>
      </c>
      <c r="H79" s="124">
        <v>0</v>
      </c>
      <c r="I79" s="124">
        <f t="shared" ref="I79:I80" si="10">G79+H79</f>
        <v>6000</v>
      </c>
      <c r="J79" s="7"/>
    </row>
    <row r="80" spans="1:14" ht="30" customHeight="1">
      <c r="B80" s="231"/>
      <c r="C80" s="122" t="s">
        <v>25</v>
      </c>
      <c r="D80" s="122" t="s">
        <v>4</v>
      </c>
      <c r="E80" s="123">
        <v>1</v>
      </c>
      <c r="F80" s="123">
        <v>5000</v>
      </c>
      <c r="G80" s="124">
        <f>F80*E80</f>
        <v>5000</v>
      </c>
      <c r="H80" s="124">
        <v>0</v>
      </c>
      <c r="I80" s="124">
        <f t="shared" si="10"/>
        <v>5000</v>
      </c>
      <c r="J80" s="7"/>
    </row>
    <row r="81" spans="2:11" ht="14.4">
      <c r="B81" s="125" t="s">
        <v>96</v>
      </c>
      <c r="C81" s="126"/>
      <c r="D81" s="126"/>
      <c r="E81" s="127"/>
      <c r="F81" s="127"/>
      <c r="G81" s="128">
        <f>SUM(G78:G80)</f>
        <v>29000</v>
      </c>
      <c r="H81" s="128">
        <f>SUM(H78:H78)</f>
        <v>0</v>
      </c>
      <c r="I81" s="128">
        <f>SUM(I78:I80)</f>
        <v>29000</v>
      </c>
    </row>
    <row r="82" spans="2:11" ht="26.25" customHeight="1">
      <c r="B82" s="224" t="s">
        <v>138</v>
      </c>
      <c r="C82" s="129" t="s">
        <v>22</v>
      </c>
      <c r="D82" s="129" t="s">
        <v>4</v>
      </c>
      <c r="E82" s="130">
        <v>1</v>
      </c>
      <c r="F82" s="130"/>
      <c r="G82" s="131">
        <v>20000</v>
      </c>
      <c r="H82" s="132">
        <v>0</v>
      </c>
      <c r="I82" s="131">
        <f>SUM(G82:H82)</f>
        <v>20000</v>
      </c>
    </row>
    <row r="83" spans="2:11" ht="23.25" customHeight="1">
      <c r="B83" s="225"/>
      <c r="C83" s="129" t="s">
        <v>23</v>
      </c>
      <c r="D83" s="129" t="s">
        <v>4</v>
      </c>
      <c r="E83" s="130">
        <v>1</v>
      </c>
      <c r="F83" s="130"/>
      <c r="G83" s="131">
        <v>50000</v>
      </c>
      <c r="H83" s="132">
        <v>0</v>
      </c>
      <c r="I83" s="131">
        <f>SUM(G83:H83)</f>
        <v>50000</v>
      </c>
    </row>
    <row r="84" spans="2:11" ht="23.25" customHeight="1">
      <c r="B84" s="225"/>
      <c r="C84" s="129" t="s">
        <v>76</v>
      </c>
      <c r="D84" s="129" t="s">
        <v>4</v>
      </c>
      <c r="E84" s="130">
        <v>1</v>
      </c>
      <c r="F84" s="130"/>
      <c r="G84" s="131">
        <v>0</v>
      </c>
      <c r="H84" s="131">
        <v>20000</v>
      </c>
      <c r="I84" s="131">
        <f>SUM(G84:H84)</f>
        <v>20000</v>
      </c>
    </row>
    <row r="85" spans="2:11" ht="24.75" customHeight="1">
      <c r="B85" s="226"/>
      <c r="C85" s="133" t="s">
        <v>24</v>
      </c>
      <c r="D85" s="129" t="s">
        <v>4</v>
      </c>
      <c r="E85" s="134">
        <v>1</v>
      </c>
      <c r="F85" s="134"/>
      <c r="G85" s="135">
        <v>25000</v>
      </c>
      <c r="H85" s="135">
        <v>0</v>
      </c>
      <c r="I85" s="135">
        <f>G85+H85</f>
        <v>25000</v>
      </c>
      <c r="J85" s="7"/>
    </row>
    <row r="86" spans="2:11" ht="14.4">
      <c r="B86" s="125" t="s">
        <v>97</v>
      </c>
      <c r="C86" s="126"/>
      <c r="D86" s="126"/>
      <c r="E86" s="127"/>
      <c r="F86" s="127"/>
      <c r="G86" s="128">
        <f>SUM(G82:G85)</f>
        <v>95000</v>
      </c>
      <c r="H86" s="128">
        <f t="shared" ref="H86:I86" si="11">SUM(H82:H85)</f>
        <v>20000</v>
      </c>
      <c r="I86" s="128">
        <f t="shared" si="11"/>
        <v>115000</v>
      </c>
    </row>
    <row r="87" spans="2:11" ht="24.75" customHeight="1">
      <c r="B87" s="227" t="s">
        <v>139</v>
      </c>
      <c r="C87" s="136" t="s">
        <v>26</v>
      </c>
      <c r="D87" s="136" t="s">
        <v>4</v>
      </c>
      <c r="E87" s="137">
        <v>1</v>
      </c>
      <c r="F87" s="137">
        <v>40000</v>
      </c>
      <c r="G87" s="138">
        <v>0</v>
      </c>
      <c r="H87" s="138">
        <f>F87*E87</f>
        <v>40000</v>
      </c>
      <c r="I87" s="138">
        <f>E87*F87</f>
        <v>40000</v>
      </c>
    </row>
    <row r="88" spans="2:11" ht="21" customHeight="1">
      <c r="B88" s="228"/>
      <c r="C88" s="136" t="s">
        <v>27</v>
      </c>
      <c r="D88" s="136" t="s">
        <v>4</v>
      </c>
      <c r="E88" s="137">
        <v>1</v>
      </c>
      <c r="F88" s="137">
        <v>10000</v>
      </c>
      <c r="G88" s="138">
        <f>E88*F88</f>
        <v>10000</v>
      </c>
      <c r="H88" s="138"/>
      <c r="I88" s="138">
        <f>SUM(G88:H88)</f>
        <v>10000</v>
      </c>
    </row>
    <row r="89" spans="2:11" ht="14.4">
      <c r="B89" s="125" t="s">
        <v>98</v>
      </c>
      <c r="C89" s="139"/>
      <c r="D89" s="139"/>
      <c r="E89" s="140"/>
      <c r="F89" s="140"/>
      <c r="G89" s="141">
        <f>SUM(G87:G88)</f>
        <v>10000</v>
      </c>
      <c r="H89" s="141">
        <f>SUM(H87:H88)</f>
        <v>40000</v>
      </c>
      <c r="I89" s="141">
        <f>SUM(I87:I88)</f>
        <v>50000</v>
      </c>
    </row>
    <row r="90" spans="2:11" ht="65.55" customHeight="1">
      <c r="B90" s="142" t="s">
        <v>140</v>
      </c>
      <c r="C90" s="136" t="s">
        <v>94</v>
      </c>
      <c r="D90" s="136" t="s">
        <v>4</v>
      </c>
      <c r="E90" s="137">
        <v>2</v>
      </c>
      <c r="F90" s="137">
        <v>25000</v>
      </c>
      <c r="G90" s="138">
        <v>0</v>
      </c>
      <c r="H90" s="138">
        <f>F90*E90</f>
        <v>50000</v>
      </c>
      <c r="I90" s="138">
        <f t="shared" ref="I90:I96" si="12">SUM(G90:H90)</f>
        <v>50000</v>
      </c>
    </row>
    <row r="91" spans="2:11" ht="21" customHeight="1">
      <c r="B91" s="125" t="s">
        <v>99</v>
      </c>
      <c r="C91" s="139"/>
      <c r="D91" s="139"/>
      <c r="E91" s="140"/>
      <c r="F91" s="140"/>
      <c r="G91" s="143">
        <v>0</v>
      </c>
      <c r="H91" s="141">
        <f>SUM(H90:H90)</f>
        <v>50000</v>
      </c>
      <c r="I91" s="141">
        <f t="shared" si="12"/>
        <v>50000</v>
      </c>
    </row>
    <row r="92" spans="2:11" ht="30" customHeight="1">
      <c r="B92" s="229" t="s">
        <v>141</v>
      </c>
      <c r="C92" s="136" t="s">
        <v>29</v>
      </c>
      <c r="D92" s="136" t="s">
        <v>3</v>
      </c>
      <c r="E92" s="137">
        <v>15</v>
      </c>
      <c r="F92" s="137">
        <v>600</v>
      </c>
      <c r="G92" s="138">
        <f>F92*10</f>
        <v>6000</v>
      </c>
      <c r="H92" s="138">
        <f>F92*5</f>
        <v>3000</v>
      </c>
      <c r="I92" s="138">
        <f t="shared" si="12"/>
        <v>9000</v>
      </c>
    </row>
    <row r="93" spans="2:11" ht="37.5" customHeight="1">
      <c r="B93" s="230"/>
      <c r="C93" s="136" t="s">
        <v>28</v>
      </c>
      <c r="D93" s="136" t="s">
        <v>4</v>
      </c>
      <c r="E93" s="137">
        <v>1</v>
      </c>
      <c r="F93" s="137">
        <v>58000</v>
      </c>
      <c r="G93" s="138">
        <v>0</v>
      </c>
      <c r="H93" s="138">
        <f>F93*E93</f>
        <v>58000</v>
      </c>
      <c r="I93" s="138">
        <f t="shared" si="12"/>
        <v>58000</v>
      </c>
      <c r="K93" s="7"/>
    </row>
    <row r="94" spans="2:11" ht="14.4">
      <c r="B94" s="125" t="s">
        <v>100</v>
      </c>
      <c r="C94" s="139"/>
      <c r="D94" s="139"/>
      <c r="E94" s="140"/>
      <c r="F94" s="140"/>
      <c r="G94" s="141">
        <f>SUM(G90:G93)</f>
        <v>6000</v>
      </c>
      <c r="H94" s="141">
        <f>SUM(H92:H93)</f>
        <v>61000</v>
      </c>
      <c r="I94" s="141">
        <f t="shared" si="12"/>
        <v>67000</v>
      </c>
    </row>
    <row r="95" spans="2:11" ht="25.05" customHeight="1">
      <c r="B95" s="221" t="s">
        <v>142</v>
      </c>
      <c r="C95" s="136" t="s">
        <v>29</v>
      </c>
      <c r="D95" s="136" t="s">
        <v>3</v>
      </c>
      <c r="E95" s="137">
        <v>40</v>
      </c>
      <c r="F95" s="137">
        <v>600</v>
      </c>
      <c r="G95" s="138">
        <f>F95*30</f>
        <v>18000</v>
      </c>
      <c r="H95" s="138">
        <f>F95*10</f>
        <v>6000</v>
      </c>
      <c r="I95" s="138">
        <f t="shared" si="12"/>
        <v>24000</v>
      </c>
    </row>
    <row r="96" spans="2:11" ht="21.75" customHeight="1">
      <c r="B96" s="222"/>
      <c r="C96" s="136" t="s">
        <v>95</v>
      </c>
      <c r="D96" s="136" t="s">
        <v>4</v>
      </c>
      <c r="E96" s="137">
        <v>1</v>
      </c>
      <c r="F96" s="137">
        <v>15000</v>
      </c>
      <c r="G96" s="138">
        <v>7000</v>
      </c>
      <c r="H96" s="138">
        <v>8000</v>
      </c>
      <c r="I96" s="138">
        <f t="shared" si="12"/>
        <v>15000</v>
      </c>
    </row>
    <row r="97" spans="2:14" ht="21.75" customHeight="1">
      <c r="B97" s="223"/>
      <c r="C97" s="136" t="s">
        <v>103</v>
      </c>
      <c r="D97" s="136" t="s">
        <v>4</v>
      </c>
      <c r="E97" s="137">
        <v>1</v>
      </c>
      <c r="F97" s="137">
        <v>0</v>
      </c>
      <c r="G97" s="138">
        <v>20000</v>
      </c>
      <c r="H97" s="138">
        <v>25000</v>
      </c>
      <c r="I97" s="138">
        <f>G97+H97</f>
        <v>45000</v>
      </c>
    </row>
    <row r="98" spans="2:14" ht="21" customHeight="1">
      <c r="B98" s="125" t="s">
        <v>101</v>
      </c>
      <c r="C98" s="139"/>
      <c r="D98" s="139"/>
      <c r="E98" s="140"/>
      <c r="F98" s="140"/>
      <c r="G98" s="141">
        <f>SUM(G95:G97)</f>
        <v>45000</v>
      </c>
      <c r="H98" s="141">
        <f>SUM(H95:H97)</f>
        <v>39000</v>
      </c>
      <c r="I98" s="141">
        <f>SUM(I95:I97)</f>
        <v>84000</v>
      </c>
    </row>
    <row r="99" spans="2:14" ht="21" customHeight="1">
      <c r="B99" s="144"/>
      <c r="C99" s="145"/>
      <c r="D99" s="145"/>
      <c r="E99" s="146"/>
      <c r="F99" s="146"/>
      <c r="G99" s="147"/>
      <c r="H99" s="147"/>
      <c r="I99" s="147"/>
    </row>
    <row r="100" spans="2:14" ht="21" customHeight="1">
      <c r="B100" s="125" t="s">
        <v>6</v>
      </c>
      <c r="C100" s="139"/>
      <c r="D100" s="139"/>
      <c r="E100" s="140"/>
      <c r="F100" s="140"/>
      <c r="G100" s="141">
        <f>G98+G94+G91+G89+G86+G81</f>
        <v>185000</v>
      </c>
      <c r="H100" s="141">
        <f>H98+H94+H91+H89+H86+H81</f>
        <v>210000</v>
      </c>
      <c r="I100" s="141">
        <f>I98+I94+I91+I89+I86+I81</f>
        <v>395000</v>
      </c>
    </row>
    <row r="101" spans="2:14" ht="21" customHeight="1">
      <c r="B101" s="148"/>
      <c r="C101" s="145"/>
      <c r="D101" s="145"/>
      <c r="E101" s="146"/>
      <c r="F101" s="146"/>
      <c r="G101" s="147"/>
      <c r="H101" s="147"/>
      <c r="I101" s="147"/>
    </row>
    <row r="102" spans="2:14" ht="21" customHeight="1">
      <c r="B102" s="125" t="s">
        <v>50</v>
      </c>
      <c r="C102" s="139"/>
      <c r="D102" s="139"/>
      <c r="E102" s="140"/>
      <c r="F102" s="140"/>
      <c r="G102" s="141">
        <f>G100*0.07</f>
        <v>12950.000000000002</v>
      </c>
      <c r="H102" s="141">
        <f t="shared" ref="H102:I102" si="13">H100*0.07</f>
        <v>14700.000000000002</v>
      </c>
      <c r="I102" s="141">
        <f t="shared" si="13"/>
        <v>27650.000000000004</v>
      </c>
    </row>
    <row r="103" spans="2:14" ht="14.4">
      <c r="B103" s="149"/>
      <c r="C103" s="150"/>
      <c r="D103" s="150"/>
      <c r="E103" s="151"/>
      <c r="F103" s="151"/>
      <c r="G103" s="152"/>
      <c r="H103" s="152"/>
      <c r="I103" s="153"/>
      <c r="K103" s="21"/>
      <c r="L103" s="21"/>
      <c r="M103" s="21"/>
      <c r="N103" s="21"/>
    </row>
    <row r="104" spans="2:14" ht="21" customHeight="1">
      <c r="B104" s="154" t="s">
        <v>40</v>
      </c>
      <c r="C104" s="155"/>
      <c r="D104" s="155"/>
      <c r="E104" s="156"/>
      <c r="F104" s="156"/>
      <c r="G104" s="157">
        <f>G100+G102</f>
        <v>197950</v>
      </c>
      <c r="H104" s="157">
        <f t="shared" ref="H104:I104" si="14">H100+H102</f>
        <v>224700</v>
      </c>
      <c r="I104" s="157">
        <f t="shared" si="14"/>
        <v>422650</v>
      </c>
      <c r="K104" s="21"/>
      <c r="L104" s="21"/>
      <c r="M104" s="21"/>
      <c r="N104" s="21"/>
    </row>
    <row r="105" spans="2:14">
      <c r="K105" s="21"/>
      <c r="L105" s="21"/>
      <c r="M105" s="21"/>
      <c r="N105" s="21"/>
    </row>
    <row r="106" spans="2:14" ht="14.4">
      <c r="B106" s="212" t="s">
        <v>106</v>
      </c>
      <c r="C106" s="213"/>
      <c r="D106" s="213"/>
      <c r="E106" s="213"/>
      <c r="F106" s="213"/>
      <c r="G106" s="213"/>
      <c r="H106" s="213"/>
      <c r="I106" s="213"/>
    </row>
    <row r="107" spans="2:14" ht="14.4">
      <c r="B107" s="168"/>
      <c r="C107" s="169"/>
      <c r="D107" s="169"/>
      <c r="E107" s="169"/>
      <c r="F107" s="169"/>
      <c r="G107" s="169"/>
      <c r="H107" s="169"/>
      <c r="I107" s="169"/>
    </row>
    <row r="108" spans="2:14" ht="14.4">
      <c r="B108" s="170" t="s">
        <v>144</v>
      </c>
      <c r="C108" s="171" t="s">
        <v>1</v>
      </c>
      <c r="D108" s="171" t="s">
        <v>2</v>
      </c>
      <c r="E108" s="171" t="s">
        <v>0</v>
      </c>
      <c r="F108" s="171" t="s">
        <v>7</v>
      </c>
      <c r="G108" s="171" t="s">
        <v>145</v>
      </c>
      <c r="H108" s="171" t="s">
        <v>146</v>
      </c>
      <c r="I108" s="171" t="s">
        <v>8</v>
      </c>
      <c r="L108" s="38"/>
    </row>
    <row r="109" spans="2:14" ht="14.4">
      <c r="B109" s="172"/>
      <c r="C109" s="173"/>
      <c r="D109" s="173"/>
      <c r="E109" s="173"/>
      <c r="F109" s="173"/>
      <c r="G109" s="173"/>
      <c r="H109" s="173"/>
      <c r="I109" s="173"/>
      <c r="L109" s="38"/>
    </row>
    <row r="110" spans="2:14" ht="14.4">
      <c r="B110" s="214" t="s">
        <v>107</v>
      </c>
      <c r="C110" s="174" t="s">
        <v>108</v>
      </c>
      <c r="D110" s="174" t="s">
        <v>3</v>
      </c>
      <c r="E110" s="175">
        <v>60</v>
      </c>
      <c r="F110" s="176">
        <v>600</v>
      </c>
      <c r="G110" s="176">
        <f>F110*E110</f>
        <v>36000</v>
      </c>
      <c r="H110" s="176"/>
      <c r="I110" s="176">
        <f>G110+H110</f>
        <v>36000</v>
      </c>
    </row>
    <row r="111" spans="2:14" ht="14.4">
      <c r="B111" s="215"/>
      <c r="C111" s="177" t="s">
        <v>109</v>
      </c>
      <c r="D111" s="177" t="s">
        <v>110</v>
      </c>
      <c r="E111" s="178">
        <v>1</v>
      </c>
      <c r="F111" s="179">
        <v>15000</v>
      </c>
      <c r="G111" s="179">
        <v>15000</v>
      </c>
      <c r="H111" s="179"/>
      <c r="I111" s="176">
        <f>SUM(G111:H111)</f>
        <v>15000</v>
      </c>
    </row>
    <row r="112" spans="2:14" ht="14.4">
      <c r="B112" s="215"/>
      <c r="C112" s="180" t="s">
        <v>111</v>
      </c>
      <c r="D112" s="180" t="s">
        <v>4</v>
      </c>
      <c r="E112" s="178">
        <v>1</v>
      </c>
      <c r="F112" s="179">
        <v>25000</v>
      </c>
      <c r="G112" s="179">
        <f>E112*F112</f>
        <v>25000</v>
      </c>
      <c r="H112" s="179"/>
      <c r="I112" s="176">
        <f>G112+H112</f>
        <v>25000</v>
      </c>
    </row>
    <row r="113" spans="2:9" ht="14.4">
      <c r="B113" s="215"/>
      <c r="C113" s="180" t="s">
        <v>112</v>
      </c>
      <c r="D113" s="180" t="s">
        <v>4</v>
      </c>
      <c r="E113" s="178">
        <v>1</v>
      </c>
      <c r="F113" s="179">
        <v>150000</v>
      </c>
      <c r="G113" s="179">
        <f>E113*F113</f>
        <v>150000</v>
      </c>
      <c r="H113" s="179"/>
      <c r="I113" s="176">
        <f>G113+H113</f>
        <v>150000</v>
      </c>
    </row>
    <row r="114" spans="2:9" ht="14.4">
      <c r="B114" s="215"/>
      <c r="C114" s="180" t="s">
        <v>113</v>
      </c>
      <c r="D114" s="180" t="s">
        <v>4</v>
      </c>
      <c r="E114" s="178">
        <v>1</v>
      </c>
      <c r="F114" s="179">
        <v>20000</v>
      </c>
      <c r="G114" s="179">
        <f>E114*F114</f>
        <v>20000</v>
      </c>
      <c r="H114" s="179"/>
      <c r="I114" s="176">
        <f>G114+H114</f>
        <v>20000</v>
      </c>
    </row>
    <row r="115" spans="2:9" ht="14.4">
      <c r="B115" s="215"/>
      <c r="C115" s="180" t="s">
        <v>114</v>
      </c>
      <c r="D115" s="180" t="s">
        <v>4</v>
      </c>
      <c r="E115" s="178">
        <v>1</v>
      </c>
      <c r="F115" s="179">
        <v>20000</v>
      </c>
      <c r="G115" s="179">
        <f>F115*E115</f>
        <v>20000</v>
      </c>
      <c r="H115" s="179"/>
      <c r="I115" s="176">
        <f>SUM(G115:H115)</f>
        <v>20000</v>
      </c>
    </row>
    <row r="116" spans="2:9" ht="14.4">
      <c r="B116" s="181" t="s">
        <v>115</v>
      </c>
      <c r="C116" s="182"/>
      <c r="D116" s="182"/>
      <c r="E116" s="183"/>
      <c r="F116" s="184"/>
      <c r="G116" s="185">
        <f>SUM(G110:G115)</f>
        <v>266000</v>
      </c>
      <c r="H116" s="185">
        <f>SUM(H110:H115)</f>
        <v>0</v>
      </c>
      <c r="I116" s="185">
        <f>SUM(I110:I115)</f>
        <v>266000</v>
      </c>
    </row>
    <row r="117" spans="2:9" ht="14.4">
      <c r="B117" s="216" t="s">
        <v>116</v>
      </c>
      <c r="C117" s="174" t="s">
        <v>108</v>
      </c>
      <c r="D117" s="174" t="s">
        <v>3</v>
      </c>
      <c r="E117" s="175">
        <v>10</v>
      </c>
      <c r="F117" s="176">
        <v>600</v>
      </c>
      <c r="G117" s="176">
        <f>F117*E117</f>
        <v>6000</v>
      </c>
      <c r="H117" s="176"/>
      <c r="I117" s="176">
        <f>G117+H117</f>
        <v>6000</v>
      </c>
    </row>
    <row r="118" spans="2:9" ht="14.4">
      <c r="B118" s="217"/>
      <c r="C118" s="174" t="s">
        <v>117</v>
      </c>
      <c r="D118" s="180" t="s">
        <v>4</v>
      </c>
      <c r="E118" s="175">
        <v>1</v>
      </c>
      <c r="F118" s="176">
        <v>25000</v>
      </c>
      <c r="G118" s="176">
        <f>0.7*(E118*F118)</f>
        <v>17500</v>
      </c>
      <c r="H118" s="176">
        <f>0.3*(E118*F118)</f>
        <v>7500</v>
      </c>
      <c r="I118" s="176">
        <f>(G118+H118)</f>
        <v>25000</v>
      </c>
    </row>
    <row r="119" spans="2:9" ht="14.4">
      <c r="B119" s="217"/>
      <c r="C119" s="174" t="s">
        <v>143</v>
      </c>
      <c r="D119" s="186" t="s">
        <v>4</v>
      </c>
      <c r="E119" s="187">
        <v>2</v>
      </c>
      <c r="F119" s="188">
        <v>25000</v>
      </c>
      <c r="G119" s="189">
        <v>25000</v>
      </c>
      <c r="H119" s="176">
        <v>25000</v>
      </c>
      <c r="I119" s="176">
        <f>SUM(G119:H119)</f>
        <v>50000</v>
      </c>
    </row>
    <row r="120" spans="2:9">
      <c r="B120" s="217"/>
      <c r="C120" s="28" t="s">
        <v>118</v>
      </c>
      <c r="D120" s="29" t="s">
        <v>4</v>
      </c>
      <c r="E120" s="30">
        <v>1</v>
      </c>
      <c r="F120" s="31">
        <v>69000</v>
      </c>
      <c r="G120" s="32">
        <f>0.7*(E120*F120)</f>
        <v>48300</v>
      </c>
      <c r="H120" s="33">
        <f>0.3*(E120*F120)</f>
        <v>20700</v>
      </c>
      <c r="I120" s="33">
        <f>(G120+H120)</f>
        <v>69000</v>
      </c>
    </row>
    <row r="121" spans="2:9" ht="37.950000000000003" customHeight="1">
      <c r="B121" s="217"/>
      <c r="C121" s="180" t="s">
        <v>119</v>
      </c>
      <c r="D121" s="180" t="s">
        <v>4</v>
      </c>
      <c r="E121" s="178">
        <v>1</v>
      </c>
      <c r="F121" s="179">
        <v>14000</v>
      </c>
      <c r="G121" s="179">
        <f>0.7*(F121*E121)</f>
        <v>9800</v>
      </c>
      <c r="H121" s="179">
        <f>0.3*(F121*E121)</f>
        <v>4200</v>
      </c>
      <c r="I121" s="176">
        <f>SUM(G121:H121)</f>
        <v>14000</v>
      </c>
    </row>
    <row r="122" spans="2:9" ht="14.4">
      <c r="B122" s="3" t="s">
        <v>120</v>
      </c>
      <c r="C122" s="182"/>
      <c r="D122" s="182"/>
      <c r="E122" s="183"/>
      <c r="F122" s="183"/>
      <c r="G122" s="185">
        <f>SUM(G117:G121)</f>
        <v>106600</v>
      </c>
      <c r="H122" s="185">
        <f>SUM(H117:H121)</f>
        <v>57400</v>
      </c>
      <c r="I122" s="185">
        <f>SUM(I117:I121)</f>
        <v>164000</v>
      </c>
    </row>
    <row r="123" spans="2:9" ht="14.4">
      <c r="B123" s="215" t="s">
        <v>121</v>
      </c>
      <c r="C123" s="180" t="s">
        <v>122</v>
      </c>
      <c r="D123" s="186" t="s">
        <v>4</v>
      </c>
      <c r="E123" s="187">
        <v>1</v>
      </c>
      <c r="F123" s="188">
        <v>30000</v>
      </c>
      <c r="G123" s="176"/>
      <c r="H123" s="176">
        <v>30000</v>
      </c>
      <c r="I123" s="176">
        <f t="shared" ref="I123:I129" si="15">SUM(G123:H123)</f>
        <v>30000</v>
      </c>
    </row>
    <row r="124" spans="2:9" ht="14.4">
      <c r="B124" s="215"/>
      <c r="C124" s="174" t="s">
        <v>147</v>
      </c>
      <c r="D124" s="190" t="s">
        <v>110</v>
      </c>
      <c r="E124" s="187">
        <v>5</v>
      </c>
      <c r="F124" s="188">
        <v>3000</v>
      </c>
      <c r="G124" s="176"/>
      <c r="H124" s="176">
        <f>E124*F124</f>
        <v>15000</v>
      </c>
      <c r="I124" s="176">
        <f t="shared" si="15"/>
        <v>15000</v>
      </c>
    </row>
    <row r="125" spans="2:9" ht="14.4">
      <c r="B125" s="215"/>
      <c r="C125" s="180" t="s">
        <v>123</v>
      </c>
      <c r="D125" s="186" t="s">
        <v>3</v>
      </c>
      <c r="E125" s="187">
        <v>20</v>
      </c>
      <c r="F125" s="188">
        <v>200</v>
      </c>
      <c r="G125" s="176">
        <f>0.5*(E125*F125)</f>
        <v>2000</v>
      </c>
      <c r="H125" s="176">
        <f>0.5*(E125*F125)</f>
        <v>2000</v>
      </c>
      <c r="I125" s="176">
        <f t="shared" si="15"/>
        <v>4000</v>
      </c>
    </row>
    <row r="126" spans="2:9" ht="14.4">
      <c r="B126" s="215"/>
      <c r="C126" s="191" t="s">
        <v>148</v>
      </c>
      <c r="D126" s="192" t="s">
        <v>3</v>
      </c>
      <c r="E126" s="187">
        <v>25</v>
      </c>
      <c r="F126" s="188">
        <v>300</v>
      </c>
      <c r="G126" s="176">
        <f>0.7*(E126*F126)</f>
        <v>5250</v>
      </c>
      <c r="H126" s="176">
        <f>0.3*(E126*F126)</f>
        <v>2250</v>
      </c>
      <c r="I126" s="176">
        <f t="shared" si="15"/>
        <v>7500</v>
      </c>
    </row>
    <row r="127" spans="2:9" ht="14.4">
      <c r="B127" s="215"/>
      <c r="C127" s="193" t="s">
        <v>149</v>
      </c>
      <c r="D127" s="192" t="s">
        <v>4</v>
      </c>
      <c r="E127" s="187">
        <v>1</v>
      </c>
      <c r="F127" s="188">
        <v>30000</v>
      </c>
      <c r="G127" s="194"/>
      <c r="H127" s="176">
        <f>F127*E127</f>
        <v>30000</v>
      </c>
      <c r="I127" s="176">
        <f t="shared" si="15"/>
        <v>30000</v>
      </c>
    </row>
    <row r="128" spans="2:9" ht="14.4">
      <c r="B128" s="215"/>
      <c r="C128" s="192" t="s">
        <v>124</v>
      </c>
      <c r="D128" s="192" t="s">
        <v>4</v>
      </c>
      <c r="E128" s="187">
        <v>6</v>
      </c>
      <c r="F128" s="188">
        <v>5000</v>
      </c>
      <c r="G128" s="194"/>
      <c r="H128" s="176">
        <f>F128*E128</f>
        <v>30000</v>
      </c>
      <c r="I128" s="176">
        <f t="shared" si="15"/>
        <v>30000</v>
      </c>
    </row>
    <row r="129" spans="2:11" ht="14.4">
      <c r="B129" s="215"/>
      <c r="C129" s="34" t="s">
        <v>125</v>
      </c>
      <c r="D129" s="34" t="s">
        <v>4</v>
      </c>
      <c r="E129" s="34">
        <v>6</v>
      </c>
      <c r="F129" s="35">
        <v>10000</v>
      </c>
      <c r="G129" s="36"/>
      <c r="H129" s="37">
        <f>F129*E129</f>
        <v>60000</v>
      </c>
      <c r="I129" s="37">
        <f t="shared" si="15"/>
        <v>60000</v>
      </c>
    </row>
    <row r="130" spans="2:11" ht="14.4">
      <c r="B130" s="3" t="s">
        <v>126</v>
      </c>
      <c r="C130" s="4"/>
      <c r="D130" s="4"/>
      <c r="E130" s="5"/>
      <c r="F130" s="5"/>
      <c r="G130" s="6">
        <f>SUM(G123:G129)</f>
        <v>7250</v>
      </c>
      <c r="H130" s="6">
        <f>SUM(H123:H129)</f>
        <v>169250</v>
      </c>
      <c r="I130" s="6">
        <f>SUM(I123:I129)</f>
        <v>176500</v>
      </c>
    </row>
    <row r="131" spans="2:11" ht="14.4">
      <c r="B131" s="195"/>
      <c r="C131" s="174" t="s">
        <v>127</v>
      </c>
      <c r="D131" s="174" t="s">
        <v>110</v>
      </c>
      <c r="E131" s="175">
        <v>1</v>
      </c>
      <c r="F131" s="189">
        <v>153000</v>
      </c>
      <c r="G131" s="176">
        <f>0.7*(F131)</f>
        <v>107100</v>
      </c>
      <c r="H131" s="176">
        <f>0.3*(F131)</f>
        <v>45900</v>
      </c>
      <c r="I131" s="176">
        <f>SUM(G131:H131)</f>
        <v>153000</v>
      </c>
    </row>
    <row r="132" spans="2:11" ht="14.4">
      <c r="B132" s="196" t="s">
        <v>128</v>
      </c>
      <c r="C132" s="197"/>
      <c r="D132" s="197"/>
      <c r="E132" s="198"/>
      <c r="F132" s="198"/>
      <c r="G132" s="185">
        <f>SUM(G131:G131)</f>
        <v>107100</v>
      </c>
      <c r="H132" s="185">
        <f>SUM(H131:H131)</f>
        <v>45900</v>
      </c>
      <c r="I132" s="185">
        <f>SUM(I131:I131)</f>
        <v>153000</v>
      </c>
    </row>
    <row r="133" spans="2:11" ht="14.4">
      <c r="B133" s="199"/>
      <c r="C133" s="174"/>
      <c r="D133" s="174"/>
      <c r="E133" s="175"/>
      <c r="F133" s="175"/>
      <c r="G133" s="176"/>
      <c r="H133" s="176"/>
      <c r="I133" s="176"/>
    </row>
    <row r="134" spans="2:11" ht="14.4">
      <c r="B134" s="181" t="s">
        <v>6</v>
      </c>
      <c r="C134" s="182"/>
      <c r="D134" s="182"/>
      <c r="E134" s="182"/>
      <c r="F134" s="182"/>
      <c r="G134" s="185">
        <f>G132+G130+G122+G116</f>
        <v>486950</v>
      </c>
      <c r="H134" s="185">
        <f>H132+H130+H122+H116</f>
        <v>272550</v>
      </c>
      <c r="I134" s="185">
        <f>I116+I122+I130+I132</f>
        <v>759500</v>
      </c>
    </row>
    <row r="135" spans="2:11" ht="14.4">
      <c r="B135" s="199"/>
      <c r="C135" s="174"/>
      <c r="D135" s="174"/>
      <c r="E135" s="175"/>
      <c r="F135" s="175"/>
      <c r="G135" s="176"/>
      <c r="H135" s="176"/>
      <c r="I135" s="176"/>
    </row>
    <row r="136" spans="2:11" ht="14.4">
      <c r="B136" s="181" t="s">
        <v>50</v>
      </c>
      <c r="C136" s="182"/>
      <c r="D136" s="182"/>
      <c r="E136" s="183"/>
      <c r="F136" s="183"/>
      <c r="G136" s="185">
        <f>G134*0.07</f>
        <v>34086.5</v>
      </c>
      <c r="H136" s="185">
        <f>H134*0.07</f>
        <v>19078.5</v>
      </c>
      <c r="I136" s="185">
        <f>I134*0.07</f>
        <v>53165.000000000007</v>
      </c>
    </row>
    <row r="137" spans="2:11" ht="14.4">
      <c r="B137" s="200"/>
      <c r="C137" s="180"/>
      <c r="D137" s="180"/>
      <c r="E137" s="178"/>
      <c r="F137" s="178"/>
      <c r="G137" s="179"/>
      <c r="H137" s="179"/>
      <c r="I137" s="201"/>
    </row>
    <row r="138" spans="2:11" ht="14.4">
      <c r="B138" s="202" t="s">
        <v>53</v>
      </c>
      <c r="C138" s="203"/>
      <c r="D138" s="203"/>
      <c r="E138" s="204"/>
      <c r="F138" s="204"/>
      <c r="G138" s="205">
        <f>G134+G136</f>
        <v>521036.5</v>
      </c>
      <c r="H138" s="205">
        <f>H134+H136</f>
        <v>291628.5</v>
      </c>
      <c r="I138" s="205">
        <f>I134+I136</f>
        <v>812665</v>
      </c>
      <c r="K138" s="38"/>
    </row>
    <row r="141" spans="2:11">
      <c r="G141" s="10" t="s">
        <v>129</v>
      </c>
      <c r="H141" s="10" t="s">
        <v>13</v>
      </c>
      <c r="I141" s="10" t="s">
        <v>102</v>
      </c>
    </row>
    <row r="142" spans="2:11" ht="15.6">
      <c r="B142" s="22" t="s">
        <v>52</v>
      </c>
      <c r="C142" s="22"/>
      <c r="D142" s="23"/>
      <c r="E142" s="23"/>
      <c r="F142" s="23"/>
      <c r="G142" s="24">
        <f>G134+G100+G67+G42+G18</f>
        <v>1971650</v>
      </c>
      <c r="H142" s="24">
        <f>H134+H100+H67+H42+H18</f>
        <v>831850</v>
      </c>
      <c r="I142" s="24">
        <f>G142+H142</f>
        <v>2803500</v>
      </c>
    </row>
    <row r="143" spans="2:11" ht="15.6">
      <c r="B143" s="22" t="s">
        <v>50</v>
      </c>
      <c r="C143" s="22"/>
      <c r="D143" s="23"/>
      <c r="E143" s="23"/>
      <c r="F143" s="23"/>
      <c r="G143" s="24">
        <f>G136+G102+G69+G44+G20</f>
        <v>138015.5</v>
      </c>
      <c r="H143" s="24">
        <f>H136+H102+H69+H44+H20</f>
        <v>58229.5</v>
      </c>
      <c r="I143" s="24">
        <f>G143+H143</f>
        <v>196245</v>
      </c>
    </row>
    <row r="144" spans="2:11" ht="15.6">
      <c r="B144" s="22" t="s">
        <v>53</v>
      </c>
      <c r="C144" s="22"/>
      <c r="D144" s="23"/>
      <c r="E144" s="23"/>
      <c r="F144" s="23"/>
      <c r="G144" s="24">
        <f>SUM(G142:G143)</f>
        <v>2109665.5</v>
      </c>
      <c r="H144" s="24">
        <f t="shared" ref="H144:I144" si="16">SUM(H142:H143)</f>
        <v>890079.5</v>
      </c>
      <c r="I144" s="24">
        <f t="shared" si="16"/>
        <v>2999745</v>
      </c>
    </row>
  </sheetData>
  <mergeCells count="28">
    <mergeCell ref="X3:X4"/>
    <mergeCell ref="K2:X2"/>
    <mergeCell ref="B74:I74"/>
    <mergeCell ref="B25:I25"/>
    <mergeCell ref="B58:B59"/>
    <mergeCell ref="B53:B56"/>
    <mergeCell ref="B61:B64"/>
    <mergeCell ref="W3:W4"/>
    <mergeCell ref="O3:Q3"/>
    <mergeCell ref="R3:T3"/>
    <mergeCell ref="U3:U4"/>
    <mergeCell ref="V3:V4"/>
    <mergeCell ref="B1:I1"/>
    <mergeCell ref="B29:B32"/>
    <mergeCell ref="B35:B39"/>
    <mergeCell ref="B49:I49"/>
    <mergeCell ref="B7:B15"/>
    <mergeCell ref="B106:I106"/>
    <mergeCell ref="B110:B115"/>
    <mergeCell ref="B117:B121"/>
    <mergeCell ref="B123:B129"/>
    <mergeCell ref="L3:N3"/>
    <mergeCell ref="B95:B97"/>
    <mergeCell ref="B82:B85"/>
    <mergeCell ref="B87:B88"/>
    <mergeCell ref="B78:B80"/>
    <mergeCell ref="B92:B93"/>
    <mergeCell ref="L19:M19"/>
  </mergeCells>
  <pageMargins left="0.89" right="0.7" top="0.52" bottom="0.26" header="0.18" footer="0.17"/>
  <pageSetup paperSize="9" scale="25" orientation="landscape" horizontalDpi="4294967295" verticalDpi="4294967295" r:id="rId1"/>
  <headerFooter alignWithMargins="0"/>
  <ignoredErrors>
    <ignoredError sqref="H81" formula="1"/>
    <ignoredError sqref="I9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L14"/>
  <sheetViews>
    <sheetView workbookViewId="0">
      <selection activeCell="P9" sqref="P9"/>
    </sheetView>
  </sheetViews>
  <sheetFormatPr defaultColWidth="8.77734375" defaultRowHeight="14.4"/>
  <sheetData>
    <row r="14" spans="12:12">
      <c r="L14"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UNDP-UNFPA-UNICEF - budget RYCO</vt:lpstr>
      <vt:lpstr>Sheet1</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Xhesi Mane</dc:creator>
  <cp:lastModifiedBy>rodika.goci</cp:lastModifiedBy>
  <cp:lastPrinted>2018-10-05T12:41:19Z</cp:lastPrinted>
  <dcterms:created xsi:type="dcterms:W3CDTF">2009-10-30T12:11:16Z</dcterms:created>
  <dcterms:modified xsi:type="dcterms:W3CDTF">2020-07-24T11:53:07Z</dcterms:modified>
</cp:coreProperties>
</file>