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matthew_flynn_un_org/Documents/UN Habitat Somalia/2. Dhulka Nabada/Budget/"/>
    </mc:Choice>
  </mc:AlternateContent>
  <xr:revisionPtr revIDLastSave="0" documentId="8_{FFB4FBC3-3212-4F24-AB6D-D517BBF7604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Output budget" sheetId="1" r:id="rId1"/>
    <sheet name=" Bud Cat" sheetId="5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3" i="5" l="1"/>
  <c r="Q12" i="5"/>
  <c r="Q11" i="5"/>
  <c r="Q10" i="5"/>
  <c r="Q9" i="5"/>
  <c r="Q8" i="5"/>
  <c r="Q7" i="5"/>
  <c r="Q14" i="5"/>
  <c r="Q15" i="5"/>
  <c r="Q16" i="5"/>
  <c r="O15" i="5"/>
  <c r="O14" i="5"/>
  <c r="O13" i="5"/>
  <c r="O12" i="5"/>
  <c r="O11" i="5"/>
  <c r="O10" i="5"/>
  <c r="O9" i="5"/>
  <c r="O8" i="5"/>
  <c r="O7" i="5"/>
  <c r="O16" i="5"/>
  <c r="N16" i="5"/>
  <c r="K16" i="5"/>
  <c r="L15" i="5"/>
  <c r="E15" i="5"/>
  <c r="E16" i="5" s="1"/>
  <c r="M14" i="5"/>
  <c r="M16" i="5" s="1"/>
  <c r="L14" i="5"/>
  <c r="I14" i="5"/>
  <c r="G14" i="5"/>
  <c r="F14" i="5"/>
  <c r="E14" i="5"/>
  <c r="J13" i="5"/>
  <c r="J14" i="5" s="1"/>
  <c r="J15" i="5" s="1"/>
  <c r="H13" i="5"/>
  <c r="H14" i="5" s="1"/>
  <c r="D13" i="5"/>
  <c r="B13" i="5"/>
  <c r="N13" i="5" s="1"/>
  <c r="P12" i="5"/>
  <c r="D12" i="5"/>
  <c r="B12" i="5"/>
  <c r="N12" i="5" s="1"/>
  <c r="D11" i="5"/>
  <c r="P11" i="5" s="1"/>
  <c r="B11" i="5"/>
  <c r="N11" i="5" s="1"/>
  <c r="D10" i="5"/>
  <c r="P10" i="5" s="1"/>
  <c r="B10" i="5"/>
  <c r="N10" i="5" s="1"/>
  <c r="P9" i="5"/>
  <c r="N9" i="5"/>
  <c r="P8" i="5"/>
  <c r="B8" i="5"/>
  <c r="N7" i="5"/>
  <c r="D7" i="5"/>
  <c r="D15" i="5" s="1"/>
  <c r="B7" i="5"/>
  <c r="B14" i="5" l="1"/>
  <c r="B15" i="5"/>
  <c r="P13" i="5"/>
  <c r="L16" i="5"/>
  <c r="H15" i="5"/>
  <c r="H16" i="5" s="1"/>
  <c r="N14" i="5"/>
  <c r="B16" i="5"/>
  <c r="N15" i="5"/>
  <c r="N8" i="5"/>
  <c r="P7" i="5"/>
  <c r="G15" i="5"/>
  <c r="P15" i="5" s="1"/>
  <c r="J16" i="5"/>
  <c r="D14" i="5"/>
  <c r="G39" i="1"/>
  <c r="H39" i="1"/>
  <c r="I39" i="1"/>
  <c r="J50" i="1"/>
  <c r="I43" i="1"/>
  <c r="I45" i="1" s="1"/>
  <c r="D39" i="1"/>
  <c r="E39" i="1"/>
  <c r="F39" i="1"/>
  <c r="C39" i="1"/>
  <c r="D19" i="1"/>
  <c r="D43" i="1"/>
  <c r="D45" i="1"/>
  <c r="G45" i="1" s="1"/>
  <c r="E19" i="1"/>
  <c r="F19" i="1"/>
  <c r="G19" i="1"/>
  <c r="H19" i="1"/>
  <c r="C19" i="1"/>
  <c r="C45" i="1"/>
  <c r="E43" i="1"/>
  <c r="E45" i="1" s="1"/>
  <c r="G16" i="5" l="1"/>
  <c r="D16" i="5"/>
  <c r="P16" i="5" s="1"/>
  <c r="P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pfleiderer</author>
  </authors>
  <commentList>
    <comment ref="F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ruth pfleiderer:</t>
        </r>
        <r>
          <rPr>
            <sz val="9"/>
            <color indexed="81"/>
            <rFont val="Tahoma"/>
            <family val="2"/>
          </rPr>
          <t xml:space="preserve">
excluding staff, direct costs and indirect support</t>
        </r>
      </text>
    </comment>
    <comment ref="C4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ruth pfleiderer:</t>
        </r>
        <r>
          <rPr>
            <sz val="9"/>
            <color indexed="81"/>
            <rFont val="Tahoma"/>
            <family val="2"/>
          </rPr>
          <t xml:space="preserve">
this was 115,331  I added 56,581</t>
        </r>
      </text>
    </comment>
  </commentList>
</comments>
</file>

<file path=xl/sharedStrings.xml><?xml version="1.0" encoding="utf-8"?>
<sst xmlns="http://schemas.openxmlformats.org/spreadsheetml/2006/main" count="99" uniqueCount="86">
  <si>
    <t>Annex D - PBF project budget</t>
  </si>
  <si>
    <t>Outcome/ Output number</t>
  </si>
  <si>
    <t>Outcome/ output/ activity formulation:</t>
  </si>
  <si>
    <t>TOTAL $ FOR OUTCOME 1:</t>
  </si>
  <si>
    <t>TOTAL $ FOR OUTCOME 2:</t>
  </si>
  <si>
    <t>SUB-TOTAL PROJECT BUDGET: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</si>
  <si>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</si>
  <si>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</si>
  <si>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</si>
  <si>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</si>
  <si>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</si>
  <si>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</si>
  <si>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</si>
  <si>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</si>
  <si>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</si>
  <si>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</si>
  <si>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</si>
  <si>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</si>
  <si>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</si>
  <si>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</si>
  <si>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</si>
  <si>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</si>
  <si>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</si>
  <si>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</si>
  <si>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</si>
  <si>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</si>
  <si>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</si>
  <si>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</si>
  <si>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</si>
  <si>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</si>
  <si>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Output 2.2: Functional formal and community system, with proper information management on land cases to improve effective delivery of services on land disputes.</t>
  </si>
  <si>
    <t>Output 1.1: Capacity of federal government and member states to advocate and influence policy on Land rights is enhanced.</t>
  </si>
  <si>
    <t>OUTCOME 1: Strengthened capacity of authorities in policy development and legislation to increase justice, remedial and adjudication on land issues</t>
  </si>
  <si>
    <t xml:space="preserve">OUTCOME 2: Streamlined delivery of land administration and land rights services through appropriate infrastructure and information management systems </t>
  </si>
  <si>
    <t>Activity 1.1.1:Organization of two high level forums on land, conflict and state building</t>
  </si>
  <si>
    <t>Activity 1.1.2: Sponsor the participation of Federal Government and Federal Member States Delegates to participate in bilateral study tours in relevant and similar context States.</t>
  </si>
  <si>
    <t xml:space="preserve">Activity 1.1.3: Conduct training to government officials on policy development, drafting and implementation </t>
  </si>
  <si>
    <t xml:space="preserve">Activity 1.1.4: Development of Tool-kit on Best Practices on Land Governance </t>
  </si>
  <si>
    <t xml:space="preserve">Activity 1.1.5: Facilitate the participation of key technical specialists in each region to attend World Bank Land and Poverty Conference </t>
  </si>
  <si>
    <t xml:space="preserve">Output 1.2: Improved dialogue processes between communities and state officials on land dispute resolutions </t>
  </si>
  <si>
    <t>Activity 1.2.1: Organization of dialogue forums on land dispute resolution in target locations</t>
  </si>
  <si>
    <t>Activity 1.2.2: Development of community led dispute resolution toolkit</t>
  </si>
  <si>
    <t xml:space="preserve">Activity 1.2.3: Development of training manual for land dispute adjudicators </t>
  </si>
  <si>
    <t>Output 2.1: Established land dispute tribunals and committees’ capacity on land dispute cases is strengthened.</t>
  </si>
  <si>
    <t>Activity 2.1.1:  Establish and capacitate land dispute tribunals or committees</t>
  </si>
  <si>
    <t>Activity 2.1.2: Training on legal statutory analysis and legal reasoning for civil servants and customary leaders</t>
  </si>
  <si>
    <t>Activity 2.1.3: Support to capacitating and formalizing land dispute commissions</t>
  </si>
  <si>
    <t>Activity 2.1.4: Mobile outreach and legal aid support for land disputes (Vulnerable groups and IDP settlements)</t>
  </si>
  <si>
    <t>Activity 2.1.5: Development of training manuals for training session on grass-root negotiations, district level negotiations and FMS negotiations:</t>
  </si>
  <si>
    <t>Activity 2.2.1: Train district and community stakeholders on the core concepts, principles and methodologies for land and land disputes information management leveraging on the existing IOM Displacement Tracking Matrix system.</t>
  </si>
  <si>
    <t>Activity 2.2.2: Provide information technology equipment (laptops, data storage devices, printer/scanner etc.) to local authorities as institutional capacity building for improved information management on land cases.</t>
  </si>
  <si>
    <t>Activity 2.2.3: Provide support for registration, management and archiving of land cases</t>
  </si>
  <si>
    <t>Activity 2.2.4: Strengthen evidence based case referral systems on land disputes to formal land adjudication systems.</t>
  </si>
  <si>
    <t xml:space="preserve">Output 2.3: Appropriate infrastructure for land administration, land management, civil and administrative adjudication is established or upgraded. </t>
  </si>
  <si>
    <t>Activity 2.3.1: Conduct participatory infrastructural capacity assessment.</t>
  </si>
  <si>
    <t xml:space="preserve">Activity 2.3.2: Develop architectural designs and costed bills of quantity to facilitate rehabilitation or development of infrastructure. </t>
  </si>
  <si>
    <t>Activity 2.3.3: Facilitate selection and profiling of cash for work beneficiaries.</t>
  </si>
  <si>
    <t>Activity 2.3.4: Rehabilitate and/or develop key public infrastructure for land administration, land management, civil and administrative adjudication in target districts.</t>
  </si>
  <si>
    <t xml:space="preserve">Activity 2.3.5: Participatory land boundary demarcation exercises </t>
  </si>
  <si>
    <t>Activity 2.3.6 Develop land tenure databases</t>
  </si>
  <si>
    <t>Amount Recipient  Agency UNDP</t>
  </si>
  <si>
    <t xml:space="preserve">Established land dispute desks at Community Dispute Resolution Houseses in Jubaland (2), Southwest (2), Hirshabelle (1) and Galmudug (1) and their capacity on land dispute cases is strengthened. </t>
  </si>
  <si>
    <t>Budget by recipient organization (not including staff, general operating costs and indirect fee) - Please add a new column for each recipient organization (UN-Habitat)</t>
  </si>
  <si>
    <t>Amount Recipient  Agency IOM</t>
  </si>
  <si>
    <t>Amount Recipient  Agency UN-Habitat</t>
  </si>
  <si>
    <t>Budget by recipient organization (not including staff, general operating costs and indirect fee)- Please add a new column for each recipient organization (UNHCR)</t>
  </si>
  <si>
    <t>Budget by recipient organization (not including staff, general operating costs and indirect fee)- Please add a new column for each recipient organization (IOM)</t>
  </si>
  <si>
    <t>Budget by recipient organization (not including staff, general operating costs and indirect fee) - Please add a new column for each recipient organization (UNDP)</t>
  </si>
  <si>
    <t>Amount Recipient  Agency UNHCR</t>
  </si>
  <si>
    <t>Project Total</t>
  </si>
  <si>
    <t>Indirect support costs (7%):</t>
  </si>
  <si>
    <t>For this output, 25% of the budget will be dedicated to each of the four regions.</t>
  </si>
  <si>
    <t>For this output, 25% of the budget will be dedicated to each of the four regions. **This is contigent on realities of operation on the ground that will impact costs.</t>
  </si>
  <si>
    <t>this is staffing costs</t>
  </si>
  <si>
    <t xml:space="preserve"> DPC</t>
  </si>
  <si>
    <t>GMS</t>
  </si>
  <si>
    <t xml:space="preserve">Expenditure June 2020 </t>
  </si>
  <si>
    <t>Expenditure</t>
  </si>
  <si>
    <r>
      <t xml:space="preserve">16000   </t>
    </r>
    <r>
      <rPr>
        <sz val="12"/>
        <color theme="9"/>
        <rFont val="Times New Roman"/>
        <family val="1"/>
      </rPr>
      <t>16000</t>
    </r>
  </si>
  <si>
    <r>
      <t xml:space="preserve">14000 </t>
    </r>
    <r>
      <rPr>
        <sz val="12"/>
        <color theme="9"/>
        <rFont val="Times New Roman"/>
        <family val="1"/>
      </rPr>
      <t>14000</t>
    </r>
  </si>
  <si>
    <r>
      <t xml:space="preserve">20000   </t>
    </r>
    <r>
      <rPr>
        <sz val="12"/>
        <color theme="9"/>
        <rFont val="Times New Roman"/>
        <family val="1"/>
      </rPr>
      <t>20000</t>
    </r>
  </si>
  <si>
    <t>20000   20000</t>
  </si>
  <si>
    <r>
      <t xml:space="preserve">60000 </t>
    </r>
    <r>
      <rPr>
        <sz val="12"/>
        <color theme="9"/>
        <rFont val="Times New Roman"/>
        <family val="1"/>
      </rPr>
      <t>20000</t>
    </r>
  </si>
  <si>
    <r>
      <t xml:space="preserve">136000  </t>
    </r>
    <r>
      <rPr>
        <sz val="12"/>
        <color theme="9"/>
        <rFont val="Times New Roman"/>
        <family val="1"/>
      </rPr>
      <t>84,811</t>
    </r>
  </si>
  <si>
    <r>
      <t xml:space="preserve">171581 </t>
    </r>
    <r>
      <rPr>
        <sz val="12"/>
        <color theme="9"/>
        <rFont val="Times New Roman"/>
        <family val="1"/>
      </rPr>
      <t>33,135</t>
    </r>
  </si>
  <si>
    <t>Total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</si>
</sst>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0.000000000%"/>
    <numFmt numFmtId="167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2"/>
      <color theme="4" tint="-0.24997711111789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</font>
    <font>
      <b/>
      <sz val="12"/>
      <color theme="0"/>
      <name val="Times New Roman"/>
      <family val="1"/>
    </font>
    <font>
      <sz val="12"/>
      <color theme="9"/>
      <name val="Times New Roman"/>
      <family val="1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3" fontId="0" fillId="0" borderId="0" xfId="0" applyNumberFormat="1"/>
    <xf numFmtId="43" fontId="5" fillId="0" borderId="10" xfId="1" applyFont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5" fillId="4" borderId="10" xfId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43" fontId="0" fillId="0" borderId="0" xfId="1" applyFont="1"/>
    <xf numFmtId="165" fontId="0" fillId="0" borderId="0" xfId="2" applyNumberFormat="1" applyFont="1"/>
    <xf numFmtId="166" fontId="0" fillId="0" borderId="0" xfId="2" applyNumberFormat="1" applyFont="1"/>
    <xf numFmtId="164" fontId="0" fillId="0" borderId="0" xfId="0" applyNumberFormat="1"/>
    <xf numFmtId="9" fontId="0" fillId="0" borderId="0" xfId="0" applyNumberFormat="1"/>
    <xf numFmtId="43" fontId="5" fillId="6" borderId="10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3" fontId="1" fillId="7" borderId="4" xfId="0" applyNumberFormat="1" applyFont="1" applyFill="1" applyBorder="1" applyAlignment="1">
      <alignment vertical="center" wrapText="1"/>
    </xf>
    <xf numFmtId="9" fontId="1" fillId="7" borderId="4" xfId="0" applyNumberFormat="1" applyFont="1" applyFill="1" applyBorder="1" applyAlignment="1">
      <alignment vertical="center" wrapText="1"/>
    </xf>
    <xf numFmtId="43" fontId="2" fillId="7" borderId="6" xfId="1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164" fontId="2" fillId="7" borderId="6" xfId="1" applyNumberFormat="1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1" fillId="7" borderId="1" xfId="0" applyNumberFormat="1" applyFont="1" applyFill="1" applyBorder="1" applyAlignment="1">
      <alignment vertical="center" wrapText="1"/>
    </xf>
    <xf numFmtId="43" fontId="2" fillId="7" borderId="1" xfId="0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vertical="center" wrapText="1"/>
    </xf>
    <xf numFmtId="3" fontId="15" fillId="7" borderId="1" xfId="0" applyNumberFormat="1" applyFont="1" applyFill="1" applyBorder="1" applyAlignment="1">
      <alignment vertical="center" wrapText="1"/>
    </xf>
    <xf numFmtId="43" fontId="15" fillId="7" borderId="1" xfId="0" applyNumberFormat="1" applyFont="1" applyFill="1" applyBorder="1" applyAlignment="1">
      <alignment vertical="center" wrapText="1"/>
    </xf>
    <xf numFmtId="43" fontId="5" fillId="7" borderId="10" xfId="1" applyFont="1" applyFill="1" applyBorder="1" applyAlignment="1">
      <alignment horizontal="right" vertical="center" wrapText="1"/>
    </xf>
    <xf numFmtId="43" fontId="5" fillId="7" borderId="10" xfId="1" applyFont="1" applyFill="1" applyBorder="1" applyAlignment="1">
      <alignment horizontal="center" vertical="center" wrapText="1"/>
    </xf>
    <xf numFmtId="43" fontId="16" fillId="7" borderId="10" xfId="1" applyFont="1" applyFill="1" applyBorder="1" applyAlignment="1">
      <alignment horizontal="right" vertical="center" wrapText="1"/>
    </xf>
    <xf numFmtId="43" fontId="16" fillId="5" borderId="10" xfId="1" applyFont="1" applyFill="1" applyBorder="1" applyAlignment="1">
      <alignment horizontal="right" vertical="center" wrapText="1"/>
    </xf>
    <xf numFmtId="43" fontId="0" fillId="7" borderId="0" xfId="0" applyNumberFormat="1" applyFill="1"/>
    <xf numFmtId="0" fontId="0" fillId="7" borderId="0" xfId="0" applyFill="1"/>
    <xf numFmtId="43" fontId="14" fillId="7" borderId="0" xfId="0" applyNumberFormat="1" applyFont="1" applyFill="1"/>
    <xf numFmtId="0" fontId="14" fillId="7" borderId="0" xfId="0" applyFont="1" applyFill="1"/>
    <xf numFmtId="4" fontId="12" fillId="7" borderId="3" xfId="0" applyNumberFormat="1" applyFont="1" applyFill="1" applyBorder="1" applyAlignment="1">
      <alignment vertical="center" wrapText="1"/>
    </xf>
    <xf numFmtId="2" fontId="1" fillId="7" borderId="1" xfId="0" applyNumberFormat="1" applyFont="1" applyFill="1" applyBorder="1" applyAlignment="1">
      <alignment vertical="center" wrapText="1"/>
    </xf>
    <xf numFmtId="9" fontId="0" fillId="0" borderId="0" xfId="2" applyFont="1"/>
    <xf numFmtId="44" fontId="0" fillId="0" borderId="0" xfId="0" applyNumberFormat="1"/>
    <xf numFmtId="0" fontId="12" fillId="10" borderId="2" xfId="0" applyFont="1" applyFill="1" applyBorder="1" applyAlignment="1">
      <alignment vertical="center" wrapText="1"/>
    </xf>
    <xf numFmtId="3" fontId="1" fillId="9" borderId="4" xfId="0" applyNumberFormat="1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43" fontId="1" fillId="9" borderId="4" xfId="1" applyFont="1" applyFill="1" applyBorder="1" applyAlignment="1">
      <alignment vertical="center" wrapText="1"/>
    </xf>
    <xf numFmtId="43" fontId="12" fillId="9" borderId="4" xfId="1" applyFont="1" applyFill="1" applyBorder="1" applyAlignment="1">
      <alignment vertical="center" wrapText="1"/>
    </xf>
    <xf numFmtId="43" fontId="12" fillId="9" borderId="1" xfId="1" applyFont="1" applyFill="1" applyBorder="1" applyAlignment="1">
      <alignment vertical="center" wrapText="1"/>
    </xf>
    <xf numFmtId="43" fontId="2" fillId="9" borderId="1" xfId="1" applyFont="1" applyFill="1" applyBorder="1" applyAlignment="1">
      <alignment vertical="center" wrapText="1"/>
    </xf>
    <xf numFmtId="43" fontId="12" fillId="9" borderId="3" xfId="1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44" fontId="1" fillId="9" borderId="4" xfId="0" applyNumberFormat="1" applyFont="1" applyFill="1" applyBorder="1" applyAlignment="1">
      <alignment vertical="center" wrapText="1"/>
    </xf>
    <xf numFmtId="44" fontId="1" fillId="9" borderId="4" xfId="1" applyNumberFormat="1" applyFont="1" applyFill="1" applyBorder="1" applyAlignment="1">
      <alignment vertical="center" wrapText="1"/>
    </xf>
    <xf numFmtId="44" fontId="1" fillId="9" borderId="1" xfId="1" applyNumberFormat="1" applyFont="1" applyFill="1" applyBorder="1" applyAlignment="1">
      <alignment vertical="center" wrapText="1"/>
    </xf>
    <xf numFmtId="44" fontId="2" fillId="9" borderId="1" xfId="0" applyNumberFormat="1" applyFont="1" applyFill="1" applyBorder="1" applyAlignment="1">
      <alignment vertical="center" wrapText="1"/>
    </xf>
    <xf numFmtId="164" fontId="2" fillId="9" borderId="6" xfId="1" applyNumberFormat="1" applyFont="1" applyFill="1" applyBorder="1" applyAlignment="1">
      <alignment vertical="center" wrapText="1"/>
    </xf>
    <xf numFmtId="44" fontId="17" fillId="11" borderId="1" xfId="0" applyNumberFormat="1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43" fontId="5" fillId="9" borderId="10" xfId="1" applyFont="1" applyFill="1" applyBorder="1" applyAlignment="1">
      <alignment horizontal="right" vertical="center" wrapText="1"/>
    </xf>
    <xf numFmtId="43" fontId="4" fillId="9" borderId="10" xfId="1" applyFont="1" applyFill="1" applyBorder="1" applyAlignment="1">
      <alignment horizontal="right" vertical="center" wrapText="1"/>
    </xf>
    <xf numFmtId="0" fontId="4" fillId="12" borderId="10" xfId="0" applyFont="1" applyFill="1" applyBorder="1" applyAlignment="1">
      <alignment horizontal="center" vertical="center" wrapText="1"/>
    </xf>
    <xf numFmtId="43" fontId="5" fillId="12" borderId="10" xfId="1" applyFont="1" applyFill="1" applyBorder="1" applyAlignment="1">
      <alignment horizontal="right" vertical="center" wrapText="1"/>
    </xf>
    <xf numFmtId="167" fontId="19" fillId="12" borderId="16" xfId="1" applyNumberFormat="1" applyFont="1" applyFill="1" applyBorder="1"/>
    <xf numFmtId="43" fontId="0" fillId="12" borderId="16" xfId="1" applyFont="1" applyFill="1" applyBorder="1"/>
    <xf numFmtId="43" fontId="16" fillId="13" borderId="10" xfId="1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43" fontId="16" fillId="5" borderId="17" xfId="1" applyFont="1" applyFill="1" applyBorder="1" applyAlignment="1">
      <alignment horizontal="right" vertical="center" wrapText="1"/>
    </xf>
    <xf numFmtId="43" fontId="5" fillId="0" borderId="18" xfId="1" applyFont="1" applyBorder="1" applyAlignment="1">
      <alignment horizontal="right" vertical="center" wrapText="1"/>
    </xf>
    <xf numFmtId="43" fontId="4" fillId="4" borderId="18" xfId="1" applyFont="1" applyFill="1" applyBorder="1" applyAlignment="1">
      <alignment horizontal="right" vertical="center" wrapText="1"/>
    </xf>
    <xf numFmtId="43" fontId="4" fillId="12" borderId="1" xfId="1" applyFont="1" applyFill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zoomScale="110" zoomScaleNormal="80" zoomScaleSheetLayoutView="100" zoomScalePageLayoutView="80" workbookViewId="0">
      <pane ySplit="7" topLeftCell="A8" activePane="bottomLeft" state="frozen"/>
      <selection pane="bottomLeft" activeCell="E43" sqref="E43"/>
    </sheetView>
  </sheetViews>
  <sheetFormatPr defaultColWidth="8.7265625" defaultRowHeight="14.5" x14ac:dyDescent="0.35"/>
  <cols>
    <col min="1" max="1" width="24" customWidth="1"/>
    <col min="2" max="5" width="24.453125" customWidth="1"/>
    <col min="6" max="6" width="25.453125" customWidth="1"/>
    <col min="7" max="7" width="22.453125" customWidth="1"/>
    <col min="8" max="9" width="20.7265625" customWidth="1"/>
    <col min="10" max="12" width="28.453125" customWidth="1"/>
    <col min="13" max="13" width="34.1796875" customWidth="1"/>
  </cols>
  <sheetData>
    <row r="1" spans="1:12" ht="21" x14ac:dyDescent="0.5">
      <c r="A1" s="7" t="s">
        <v>0</v>
      </c>
      <c r="B1" s="6"/>
      <c r="C1" s="6"/>
      <c r="D1" s="6"/>
      <c r="E1" s="6"/>
    </row>
    <row r="2" spans="1:12" ht="15.5" x14ac:dyDescent="0.35">
      <c r="A2" s="1"/>
      <c r="B2" s="1"/>
      <c r="C2" s="1"/>
      <c r="D2" s="1"/>
      <c r="E2" s="1"/>
    </row>
    <row r="3" spans="1:12" ht="15.5" x14ac:dyDescent="0.35">
      <c r="A3" s="1" t="s">
        <v>24</v>
      </c>
      <c r="B3" s="1"/>
      <c r="C3" s="1"/>
      <c r="D3" s="1"/>
      <c r="E3" s="1"/>
    </row>
    <row r="5" spans="1:12" ht="15.5" x14ac:dyDescent="0.35">
      <c r="A5" s="1" t="s">
        <v>29</v>
      </c>
    </row>
    <row r="6" spans="1:12" ht="15" thickBot="1" x14ac:dyDescent="0.4"/>
    <row r="7" spans="1:12" ht="87" customHeight="1" thickBot="1" x14ac:dyDescent="0.4">
      <c r="A7" s="22" t="s">
        <v>1</v>
      </c>
      <c r="B7" s="23" t="s">
        <v>2</v>
      </c>
      <c r="C7" s="23" t="s">
        <v>62</v>
      </c>
      <c r="D7" s="23" t="s">
        <v>66</v>
      </c>
      <c r="E7" s="23" t="s">
        <v>65</v>
      </c>
      <c r="F7" s="54" t="s">
        <v>67</v>
      </c>
      <c r="G7" s="23" t="s">
        <v>7</v>
      </c>
      <c r="H7" s="23" t="s">
        <v>8</v>
      </c>
      <c r="I7" s="62" t="s">
        <v>76</v>
      </c>
    </row>
    <row r="8" spans="1:12" ht="15.5" thickBot="1" x14ac:dyDescent="0.4">
      <c r="A8" s="81" t="s">
        <v>32</v>
      </c>
      <c r="B8" s="82"/>
      <c r="C8" s="82"/>
      <c r="D8" s="82"/>
      <c r="E8" s="82"/>
      <c r="F8" s="82"/>
      <c r="G8" s="82"/>
      <c r="H8" s="83"/>
      <c r="L8">
        <v>72</v>
      </c>
    </row>
    <row r="9" spans="1:12" ht="90.5" thickBot="1" x14ac:dyDescent="0.4">
      <c r="A9" s="24" t="s">
        <v>31</v>
      </c>
      <c r="B9" s="25"/>
      <c r="C9" s="25"/>
      <c r="D9" s="25"/>
      <c r="E9" s="25"/>
      <c r="F9" s="25"/>
      <c r="G9" s="25"/>
      <c r="H9" s="26" t="s">
        <v>71</v>
      </c>
      <c r="I9" s="26"/>
    </row>
    <row r="10" spans="1:12" ht="62.5" thickBot="1" x14ac:dyDescent="0.4">
      <c r="A10" s="27" t="s">
        <v>34</v>
      </c>
      <c r="B10" s="25"/>
      <c r="C10" s="28">
        <v>35000</v>
      </c>
      <c r="D10" s="25"/>
      <c r="E10" s="25"/>
      <c r="F10" s="25"/>
      <c r="G10" s="29">
        <v>0.05</v>
      </c>
      <c r="H10" s="25"/>
      <c r="I10" s="25"/>
    </row>
    <row r="11" spans="1:12" ht="124.5" thickBot="1" x14ac:dyDescent="0.4">
      <c r="A11" s="27" t="s">
        <v>35</v>
      </c>
      <c r="B11" s="25"/>
      <c r="C11" s="28">
        <v>18000</v>
      </c>
      <c r="D11" s="25"/>
      <c r="E11" s="25"/>
      <c r="F11" s="25"/>
      <c r="G11" s="25"/>
      <c r="H11" s="25"/>
      <c r="I11" s="25"/>
    </row>
    <row r="12" spans="1:12" ht="78" thickBot="1" x14ac:dyDescent="0.4">
      <c r="A12" s="27" t="s">
        <v>36</v>
      </c>
      <c r="B12" s="25"/>
      <c r="C12" s="28" t="s">
        <v>78</v>
      </c>
      <c r="D12" s="28"/>
      <c r="E12" s="28"/>
      <c r="F12" s="25"/>
      <c r="G12" s="29">
        <v>0.1</v>
      </c>
      <c r="H12" s="25"/>
      <c r="I12" s="25"/>
    </row>
    <row r="13" spans="1:12" ht="62.5" thickBot="1" x14ac:dyDescent="0.4">
      <c r="A13" s="27" t="s">
        <v>37</v>
      </c>
      <c r="B13" s="25"/>
      <c r="C13" s="28" t="s">
        <v>79</v>
      </c>
      <c r="D13" s="28"/>
      <c r="E13" s="28"/>
      <c r="F13" s="25"/>
      <c r="G13" s="25"/>
      <c r="H13" s="25"/>
      <c r="I13" s="25"/>
    </row>
    <row r="14" spans="1:12" ht="93.5" thickBot="1" x14ac:dyDescent="0.4">
      <c r="A14" s="27" t="s">
        <v>38</v>
      </c>
      <c r="B14" s="25"/>
      <c r="C14" s="28">
        <v>36000</v>
      </c>
      <c r="D14" s="28"/>
      <c r="E14" s="28"/>
      <c r="F14" s="25"/>
      <c r="G14" s="25"/>
      <c r="H14" s="25"/>
      <c r="I14" s="25"/>
    </row>
    <row r="15" spans="1:12" ht="75.5" thickBot="1" x14ac:dyDescent="0.4">
      <c r="A15" s="24" t="s">
        <v>39</v>
      </c>
      <c r="B15" s="25"/>
      <c r="C15" s="25"/>
      <c r="D15" s="25"/>
      <c r="E15" s="25"/>
      <c r="F15" s="25"/>
      <c r="G15" s="25"/>
      <c r="H15" s="25"/>
      <c r="I15" s="25"/>
    </row>
    <row r="16" spans="1:12" ht="78" thickBot="1" x14ac:dyDescent="0.4">
      <c r="A16" s="27" t="s">
        <v>40</v>
      </c>
      <c r="B16" s="25"/>
      <c r="C16" s="28">
        <v>20000</v>
      </c>
      <c r="D16" s="28"/>
      <c r="E16" s="28">
        <v>162960</v>
      </c>
      <c r="F16" s="25"/>
      <c r="G16" s="29">
        <v>0.1</v>
      </c>
      <c r="H16" s="26" t="s">
        <v>71</v>
      </c>
      <c r="I16" s="26"/>
    </row>
    <row r="17" spans="1:10" ht="62.5" thickBot="1" x14ac:dyDescent="0.4">
      <c r="A17" s="27" t="s">
        <v>41</v>
      </c>
      <c r="B17" s="25"/>
      <c r="C17" s="28" t="s">
        <v>80</v>
      </c>
      <c r="D17" s="28"/>
      <c r="E17" s="28"/>
      <c r="F17" s="25"/>
      <c r="G17" s="25"/>
      <c r="H17" s="25"/>
      <c r="I17" s="25"/>
    </row>
    <row r="18" spans="1:10" ht="62.5" thickBot="1" x14ac:dyDescent="0.4">
      <c r="A18" s="27" t="s">
        <v>42</v>
      </c>
      <c r="B18" s="25"/>
      <c r="C18" s="28" t="s">
        <v>81</v>
      </c>
      <c r="D18" s="28"/>
      <c r="E18" s="28"/>
      <c r="F18" s="25"/>
      <c r="G18" s="25"/>
      <c r="H18" s="25"/>
      <c r="I18" s="25"/>
    </row>
    <row r="19" spans="1:10" ht="16.5" customHeight="1" thickBot="1" x14ac:dyDescent="0.4">
      <c r="A19" s="77" t="s">
        <v>3</v>
      </c>
      <c r="B19" s="78"/>
      <c r="C19" s="30">
        <f>SUM(C9:C18)</f>
        <v>109000</v>
      </c>
      <c r="D19" s="30">
        <f t="shared" ref="D19:H19" si="0">SUM(D9:D18)</f>
        <v>0</v>
      </c>
      <c r="E19" s="30">
        <f t="shared" si="0"/>
        <v>162960</v>
      </c>
      <c r="F19" s="30">
        <f t="shared" si="0"/>
        <v>0</v>
      </c>
      <c r="G19" s="30">
        <f t="shared" si="0"/>
        <v>0.25</v>
      </c>
      <c r="H19" s="30">
        <f t="shared" si="0"/>
        <v>0</v>
      </c>
      <c r="I19" s="30"/>
    </row>
    <row r="20" spans="1:10" ht="15.5" thickBot="1" x14ac:dyDescent="0.4">
      <c r="A20" s="81" t="s">
        <v>33</v>
      </c>
      <c r="B20" s="84"/>
      <c r="C20" s="84"/>
      <c r="D20" s="84"/>
      <c r="E20" s="84"/>
      <c r="F20" s="84"/>
      <c r="G20" s="82"/>
      <c r="H20" s="83"/>
    </row>
    <row r="21" spans="1:10" ht="75.5" thickBot="1" x14ac:dyDescent="0.4">
      <c r="A21" s="31" t="s">
        <v>43</v>
      </c>
      <c r="B21" s="22"/>
      <c r="C21" s="23"/>
      <c r="D21" s="23"/>
      <c r="E21" s="23"/>
      <c r="F21" s="23"/>
      <c r="G21" s="25"/>
      <c r="H21" s="26" t="s">
        <v>71</v>
      </c>
      <c r="I21" s="26"/>
    </row>
    <row r="22" spans="1:10" ht="140" thickBot="1" x14ac:dyDescent="0.4">
      <c r="A22" s="27" t="s">
        <v>44</v>
      </c>
      <c r="B22" s="25" t="s">
        <v>61</v>
      </c>
      <c r="C22" s="25"/>
      <c r="D22" s="25"/>
      <c r="E22" s="25"/>
      <c r="F22" s="55">
        <v>521000</v>
      </c>
      <c r="G22" s="29">
        <v>0.05</v>
      </c>
      <c r="H22" s="56"/>
      <c r="I22" s="55">
        <v>170263.63</v>
      </c>
      <c r="J22" s="8"/>
    </row>
    <row r="23" spans="1:10" ht="78" thickBot="1" x14ac:dyDescent="0.4">
      <c r="A23" s="27" t="s">
        <v>45</v>
      </c>
      <c r="B23" s="25"/>
      <c r="C23" s="28">
        <v>12000</v>
      </c>
      <c r="D23" s="25"/>
      <c r="E23" s="25"/>
      <c r="F23" s="25"/>
      <c r="G23" s="25"/>
      <c r="H23" s="25"/>
      <c r="I23" s="25"/>
    </row>
    <row r="24" spans="1:10" ht="62.5" thickBot="1" x14ac:dyDescent="0.4">
      <c r="A24" s="27" t="s">
        <v>46</v>
      </c>
      <c r="B24" s="25"/>
      <c r="C24" s="28" t="s">
        <v>82</v>
      </c>
      <c r="D24" s="25"/>
      <c r="E24" s="25"/>
      <c r="F24" s="25"/>
      <c r="G24" s="25"/>
      <c r="H24" s="25"/>
      <c r="I24" s="25"/>
    </row>
    <row r="25" spans="1:10" ht="78" thickBot="1" x14ac:dyDescent="0.4">
      <c r="A25" s="27" t="s">
        <v>47</v>
      </c>
      <c r="B25" s="25"/>
      <c r="C25" s="25"/>
      <c r="D25" s="25"/>
      <c r="E25" s="25"/>
      <c r="F25" s="25"/>
      <c r="G25" s="25"/>
      <c r="H25" s="25"/>
      <c r="I25" s="25"/>
    </row>
    <row r="26" spans="1:10" ht="109" thickBot="1" x14ac:dyDescent="0.4">
      <c r="A26" s="27" t="s">
        <v>48</v>
      </c>
      <c r="B26" s="25"/>
      <c r="C26" s="25"/>
      <c r="D26" s="25"/>
      <c r="E26" s="25"/>
      <c r="F26" s="25"/>
      <c r="G26" s="25"/>
      <c r="H26" s="25"/>
      <c r="I26" s="25"/>
    </row>
    <row r="27" spans="1:10" ht="135.5" thickBot="1" x14ac:dyDescent="0.4">
      <c r="A27" s="24" t="s">
        <v>30</v>
      </c>
      <c r="B27" s="25"/>
      <c r="C27" s="25"/>
      <c r="D27" s="28">
        <v>25800</v>
      </c>
      <c r="E27" s="25"/>
      <c r="F27" s="25"/>
      <c r="G27" s="25"/>
      <c r="H27" s="26" t="s">
        <v>72</v>
      </c>
      <c r="I27" s="26"/>
    </row>
    <row r="28" spans="1:10" ht="155.5" thickBot="1" x14ac:dyDescent="0.4">
      <c r="A28" s="27" t="s">
        <v>49</v>
      </c>
      <c r="B28" s="25"/>
      <c r="C28" s="25"/>
      <c r="D28" s="25">
        <v>4500</v>
      </c>
      <c r="E28" s="28">
        <v>10000</v>
      </c>
      <c r="F28" s="25"/>
      <c r="G28" s="25"/>
      <c r="H28" s="25"/>
      <c r="I28" s="25"/>
    </row>
    <row r="29" spans="1:10" ht="155.5" thickBot="1" x14ac:dyDescent="0.4">
      <c r="A29" s="27" t="s">
        <v>50</v>
      </c>
      <c r="B29" s="25"/>
      <c r="C29" s="25"/>
      <c r="D29" s="28">
        <v>18000</v>
      </c>
      <c r="E29" s="28">
        <v>25000</v>
      </c>
      <c r="F29" s="25"/>
      <c r="G29" s="25"/>
      <c r="H29" s="25"/>
      <c r="I29" s="25"/>
    </row>
    <row r="30" spans="1:10" ht="62.5" thickBot="1" x14ac:dyDescent="0.4">
      <c r="A30" s="27" t="s">
        <v>51</v>
      </c>
      <c r="B30" s="25"/>
      <c r="C30" s="25"/>
      <c r="D30" s="28">
        <v>3300</v>
      </c>
      <c r="E30" s="25"/>
      <c r="F30" s="25"/>
      <c r="G30" s="25"/>
      <c r="H30" s="25"/>
      <c r="I30" s="25"/>
    </row>
    <row r="31" spans="1:10" ht="78" thickBot="1" x14ac:dyDescent="0.4">
      <c r="A31" s="27" t="s">
        <v>52</v>
      </c>
      <c r="B31" s="25"/>
      <c r="C31" s="25"/>
      <c r="D31" s="25"/>
      <c r="E31" s="25"/>
      <c r="F31" s="25"/>
      <c r="G31" s="25"/>
      <c r="H31" s="25"/>
      <c r="I31" s="25"/>
    </row>
    <row r="32" spans="1:10" ht="105.5" thickBot="1" x14ac:dyDescent="0.4">
      <c r="A32" s="24" t="s">
        <v>53</v>
      </c>
      <c r="B32" s="25"/>
      <c r="C32" s="25"/>
      <c r="D32" s="25"/>
      <c r="E32" s="25"/>
      <c r="F32" s="25"/>
      <c r="G32" s="25"/>
      <c r="H32" s="26" t="s">
        <v>71</v>
      </c>
      <c r="I32" s="26"/>
    </row>
    <row r="33" spans="1:11" ht="62.5" thickBot="1" x14ac:dyDescent="0.4">
      <c r="A33" s="27" t="s">
        <v>54</v>
      </c>
      <c r="B33" s="25"/>
      <c r="C33" s="25"/>
      <c r="D33" s="28">
        <v>3450</v>
      </c>
      <c r="E33" s="25"/>
      <c r="F33" s="25"/>
      <c r="G33" s="25"/>
      <c r="H33" s="25"/>
      <c r="I33" s="25"/>
    </row>
    <row r="34" spans="1:11" ht="48" customHeight="1" thickBot="1" x14ac:dyDescent="0.4">
      <c r="A34" s="27" t="s">
        <v>55</v>
      </c>
      <c r="B34" s="25"/>
      <c r="C34" s="25"/>
      <c r="D34" s="28">
        <v>22500</v>
      </c>
      <c r="E34" s="25"/>
      <c r="F34" s="25"/>
      <c r="G34" s="25"/>
      <c r="H34" s="25"/>
      <c r="I34" s="25"/>
    </row>
    <row r="35" spans="1:11" ht="62.5" thickBot="1" x14ac:dyDescent="0.4">
      <c r="A35" s="27" t="s">
        <v>56</v>
      </c>
      <c r="B35" s="25"/>
      <c r="C35" s="25"/>
      <c r="D35" s="28">
        <v>48750</v>
      </c>
      <c r="E35" s="25"/>
      <c r="F35" s="25"/>
      <c r="G35" s="25"/>
      <c r="H35" s="25"/>
      <c r="I35" s="25"/>
    </row>
    <row r="36" spans="1:11" ht="140" thickBot="1" x14ac:dyDescent="0.4">
      <c r="A36" s="22" t="s">
        <v>57</v>
      </c>
      <c r="B36" s="25"/>
      <c r="C36" s="25"/>
      <c r="D36" s="28">
        <v>288750</v>
      </c>
      <c r="E36" s="25"/>
      <c r="F36" s="25"/>
      <c r="G36" s="25"/>
      <c r="H36" s="25"/>
      <c r="I36" s="25"/>
    </row>
    <row r="37" spans="1:11" ht="62.5" thickBot="1" x14ac:dyDescent="0.4">
      <c r="A37" s="22" t="s">
        <v>58</v>
      </c>
      <c r="B37" s="25"/>
      <c r="C37" s="25"/>
      <c r="D37" s="28">
        <v>3300</v>
      </c>
      <c r="E37" s="25"/>
      <c r="F37" s="25"/>
      <c r="G37" s="25"/>
      <c r="H37" s="25"/>
      <c r="I37" s="25"/>
    </row>
    <row r="38" spans="1:11" ht="31.5" thickBot="1" x14ac:dyDescent="0.4">
      <c r="A38" s="22" t="s">
        <v>59</v>
      </c>
      <c r="B38" s="25"/>
      <c r="C38" s="25"/>
      <c r="D38" s="28"/>
      <c r="E38" s="28">
        <v>80000</v>
      </c>
      <c r="F38" s="25"/>
      <c r="G38" s="25"/>
      <c r="H38" s="25"/>
      <c r="I38" s="25"/>
    </row>
    <row r="39" spans="1:11" ht="16.5" customHeight="1" thickBot="1" x14ac:dyDescent="0.4">
      <c r="A39" s="77" t="s">
        <v>4</v>
      </c>
      <c r="B39" s="78"/>
      <c r="C39" s="32">
        <f>SUM(C21:C38)</f>
        <v>12000</v>
      </c>
      <c r="D39" s="32">
        <f t="shared" ref="D39:I39" si="1">SUM(D21:D38)</f>
        <v>418350</v>
      </c>
      <c r="E39" s="32">
        <f t="shared" si="1"/>
        <v>115000</v>
      </c>
      <c r="F39" s="67">
        <f t="shared" si="1"/>
        <v>521000</v>
      </c>
      <c r="G39" s="32">
        <f t="shared" si="1"/>
        <v>0.05</v>
      </c>
      <c r="H39" s="32">
        <f t="shared" si="1"/>
        <v>0</v>
      </c>
      <c r="I39" s="67">
        <f t="shared" si="1"/>
        <v>170263.63</v>
      </c>
    </row>
    <row r="40" spans="1:11" ht="51.75" customHeight="1" thickBot="1" x14ac:dyDescent="0.4">
      <c r="A40" s="22" t="s">
        <v>25</v>
      </c>
      <c r="B40" s="25"/>
      <c r="C40" s="28" t="s">
        <v>83</v>
      </c>
      <c r="D40" s="28">
        <v>198688</v>
      </c>
      <c r="E40" s="25"/>
      <c r="F40" s="57">
        <v>154960</v>
      </c>
      <c r="G40" s="25"/>
      <c r="H40" s="25"/>
      <c r="I40" s="63">
        <v>125179.81</v>
      </c>
      <c r="J40" t="s">
        <v>73</v>
      </c>
    </row>
    <row r="41" spans="1:11" ht="50.25" customHeight="1" thickBot="1" x14ac:dyDescent="0.4">
      <c r="A41" s="22" t="s">
        <v>26</v>
      </c>
      <c r="B41" s="25"/>
      <c r="C41" s="39" t="s">
        <v>84</v>
      </c>
      <c r="D41" s="28">
        <v>45075</v>
      </c>
      <c r="E41" s="28">
        <v>10000</v>
      </c>
      <c r="F41" s="58">
        <v>103091.6</v>
      </c>
      <c r="G41" s="25"/>
      <c r="H41" s="25"/>
      <c r="I41" s="64">
        <v>50582.69</v>
      </c>
      <c r="J41" s="53" t="s">
        <v>74</v>
      </c>
    </row>
    <row r="42" spans="1:11" ht="16" thickBot="1" x14ac:dyDescent="0.4">
      <c r="A42" s="27" t="s">
        <v>27</v>
      </c>
      <c r="B42" s="33"/>
      <c r="C42" s="34"/>
      <c r="D42" s="34"/>
      <c r="E42" s="28"/>
      <c r="F42" s="59">
        <v>117052.25</v>
      </c>
      <c r="G42" s="22"/>
      <c r="H42" s="22"/>
      <c r="I42" s="65">
        <v>7480.53</v>
      </c>
    </row>
    <row r="43" spans="1:11" ht="16.5" customHeight="1" thickBot="1" x14ac:dyDescent="0.4">
      <c r="A43" s="77" t="s">
        <v>5</v>
      </c>
      <c r="B43" s="78"/>
      <c r="C43" s="40">
        <v>558581</v>
      </c>
      <c r="D43" s="35">
        <f t="shared" ref="D43:E43" si="2">D42+D41+D40+D39+D19</f>
        <v>662113</v>
      </c>
      <c r="E43" s="35">
        <f t="shared" si="2"/>
        <v>287960</v>
      </c>
      <c r="F43" s="60">
        <v>896103.85</v>
      </c>
      <c r="G43" s="35"/>
      <c r="H43" s="35"/>
      <c r="I43" s="66">
        <f>I40+I41+I42</f>
        <v>183243.03</v>
      </c>
      <c r="K43" s="52"/>
    </row>
    <row r="44" spans="1:11" ht="16.5" customHeight="1" thickBot="1" x14ac:dyDescent="0.4">
      <c r="A44" s="79" t="s">
        <v>70</v>
      </c>
      <c r="B44" s="80"/>
      <c r="C44" s="50">
        <v>39100.67</v>
      </c>
      <c r="D44" s="22">
        <v>46347.91</v>
      </c>
      <c r="E44" s="51">
        <v>20157.2</v>
      </c>
      <c r="F44" s="61">
        <v>62727.27</v>
      </c>
      <c r="G44" s="37"/>
      <c r="H44" s="22"/>
      <c r="I44" s="65">
        <v>16432.22</v>
      </c>
      <c r="J44" s="8" t="s">
        <v>75</v>
      </c>
    </row>
    <row r="45" spans="1:11" ht="16.5" customHeight="1" thickBot="1" x14ac:dyDescent="0.4">
      <c r="A45" s="77" t="s">
        <v>6</v>
      </c>
      <c r="B45" s="78"/>
      <c r="C45" s="41">
        <f>C43+C44</f>
        <v>597681.67000000004</v>
      </c>
      <c r="D45" s="38">
        <f t="shared" ref="D45:E45" si="3">D43+D44</f>
        <v>708460.91</v>
      </c>
      <c r="E45" s="38">
        <f t="shared" si="3"/>
        <v>308117.2</v>
      </c>
      <c r="F45" s="36">
        <v>958831.12</v>
      </c>
      <c r="G45" s="38">
        <f>SUM(C45:F46)</f>
        <v>2573090.9</v>
      </c>
      <c r="H45" s="38">
        <v>2573090.23</v>
      </c>
      <c r="I45" s="68">
        <f>SUM(I39,I43,I44)</f>
        <v>369938.88</v>
      </c>
      <c r="J45" s="19"/>
    </row>
    <row r="47" spans="1:11" ht="15.5" x14ac:dyDescent="0.35">
      <c r="B47" s="15"/>
      <c r="C47" s="14"/>
      <c r="D47" s="14"/>
      <c r="E47" s="14"/>
      <c r="F47" s="14"/>
      <c r="G47" s="13"/>
      <c r="J47" s="8"/>
    </row>
    <row r="48" spans="1:11" ht="15.5" x14ac:dyDescent="0.35">
      <c r="B48" s="15"/>
      <c r="C48" s="14"/>
      <c r="D48" s="14"/>
      <c r="E48" s="14"/>
      <c r="F48" s="14"/>
      <c r="G48" s="13"/>
      <c r="J48" s="12"/>
      <c r="K48" s="20"/>
    </row>
    <row r="49" spans="2:11" x14ac:dyDescent="0.35">
      <c r="B49" s="15"/>
      <c r="C49" s="8"/>
      <c r="D49" s="8"/>
      <c r="E49" s="8"/>
      <c r="F49" s="8"/>
      <c r="G49" s="13"/>
      <c r="J49" s="46"/>
      <c r="K49" s="47"/>
    </row>
    <row r="50" spans="2:11" x14ac:dyDescent="0.35">
      <c r="D50" s="12"/>
      <c r="F50" s="8"/>
      <c r="J50" s="48">
        <f>J48-J47</f>
        <v>0</v>
      </c>
      <c r="K50" s="49"/>
    </row>
    <row r="51" spans="2:11" ht="25.5" customHeight="1" x14ac:dyDescent="0.35">
      <c r="B51" s="15"/>
      <c r="C51" s="8"/>
      <c r="D51" s="8"/>
      <c r="E51" s="8"/>
      <c r="F51" s="8"/>
      <c r="G51" s="8"/>
      <c r="J51" s="8"/>
    </row>
    <row r="52" spans="2:11" x14ac:dyDescent="0.35">
      <c r="B52" s="15"/>
    </row>
  </sheetData>
  <mergeCells count="7">
    <mergeCell ref="A45:B45"/>
    <mergeCell ref="A44:B44"/>
    <mergeCell ref="A8:H8"/>
    <mergeCell ref="A20:H20"/>
    <mergeCell ref="A19:B19"/>
    <mergeCell ref="A39:B39"/>
    <mergeCell ref="A43:B43"/>
  </mergeCells>
  <pageMargins left="0.7" right="0.7" top="0.75" bottom="0.75" header="0.3" footer="0.3"/>
  <pageSetup scale="74" orientation="landscape"/>
  <rowBreaks count="1" manualBreakCount="1">
    <brk id="48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"/>
  <sheetViews>
    <sheetView tabSelected="1" zoomScale="111" zoomScaleNormal="90" zoomScalePageLayoutView="90" workbookViewId="0">
      <selection activeCell="R9" sqref="R9"/>
    </sheetView>
  </sheetViews>
  <sheetFormatPr defaultColWidth="8.7265625" defaultRowHeight="14.5" x14ac:dyDescent="0.35"/>
  <cols>
    <col min="1" max="1" width="15.453125" customWidth="1"/>
    <col min="2" max="3" width="14" customWidth="1"/>
    <col min="4" max="4" width="13.7265625" customWidth="1"/>
    <col min="5" max="5" width="14.1796875" customWidth="1"/>
    <col min="6" max="6" width="13.453125" customWidth="1"/>
    <col min="7" max="8" width="14" customWidth="1"/>
    <col min="9" max="9" width="13" customWidth="1"/>
    <col min="10" max="11" width="18.453125" customWidth="1"/>
    <col min="12" max="12" width="10.7265625" customWidth="1"/>
    <col min="13" max="13" width="17.1796875" customWidth="1"/>
    <col min="14" max="15" width="13.7265625" customWidth="1"/>
    <col min="16" max="16" width="17.453125" customWidth="1"/>
    <col min="17" max="17" width="11.26953125" bestFit="1" customWidth="1"/>
    <col min="21" max="22" width="11.453125" bestFit="1" customWidth="1"/>
  </cols>
  <sheetData>
    <row r="1" spans="1:22" ht="15.5" x14ac:dyDescent="0.35">
      <c r="A1" s="1" t="s">
        <v>28</v>
      </c>
      <c r="B1" s="1"/>
      <c r="C1" s="1"/>
      <c r="D1" s="1"/>
      <c r="E1" s="1"/>
      <c r="F1" s="1"/>
    </row>
    <row r="2" spans="1:22" x14ac:dyDescent="0.35">
      <c r="A2" s="5"/>
      <c r="B2" s="5"/>
      <c r="C2" s="5"/>
      <c r="D2" s="5"/>
      <c r="E2" s="5"/>
      <c r="F2" s="5"/>
    </row>
    <row r="3" spans="1:22" x14ac:dyDescent="0.35">
      <c r="A3" s="5" t="s">
        <v>24</v>
      </c>
      <c r="B3" s="5"/>
      <c r="C3" s="5"/>
      <c r="D3" s="5"/>
      <c r="E3" s="5"/>
      <c r="F3" s="5"/>
      <c r="U3" s="16"/>
      <c r="V3" s="16"/>
    </row>
    <row r="4" spans="1:22" ht="15" thickBot="1" x14ac:dyDescent="0.4">
      <c r="U4" s="16"/>
      <c r="V4" s="16"/>
    </row>
    <row r="5" spans="1:22" ht="15" thickBot="1" x14ac:dyDescent="0.4">
      <c r="A5" s="85" t="s">
        <v>9</v>
      </c>
      <c r="B5" s="87" t="s">
        <v>63</v>
      </c>
      <c r="C5" s="88"/>
      <c r="D5" s="89"/>
      <c r="E5" s="90" t="s">
        <v>60</v>
      </c>
      <c r="F5" s="95"/>
      <c r="G5" s="91"/>
      <c r="H5" s="92" t="s">
        <v>64</v>
      </c>
      <c r="I5" s="93"/>
      <c r="J5" s="94"/>
      <c r="K5" s="92" t="s">
        <v>68</v>
      </c>
      <c r="L5" s="93"/>
      <c r="M5" s="94"/>
      <c r="N5" s="85" t="s">
        <v>22</v>
      </c>
      <c r="O5" s="85" t="s">
        <v>85</v>
      </c>
      <c r="P5" s="85" t="s">
        <v>23</v>
      </c>
      <c r="Q5" s="85" t="s">
        <v>69</v>
      </c>
    </row>
    <row r="6" spans="1:22" ht="15" thickBot="1" x14ac:dyDescent="0.4">
      <c r="A6" s="86"/>
      <c r="B6" s="2" t="s">
        <v>11</v>
      </c>
      <c r="C6" s="2" t="s">
        <v>77</v>
      </c>
      <c r="D6" s="2" t="s">
        <v>12</v>
      </c>
      <c r="E6" s="2" t="s">
        <v>11</v>
      </c>
      <c r="F6" s="2" t="s">
        <v>77</v>
      </c>
      <c r="G6" s="2" t="s">
        <v>12</v>
      </c>
      <c r="H6" s="2" t="s">
        <v>11</v>
      </c>
      <c r="I6" s="69" t="s">
        <v>77</v>
      </c>
      <c r="J6" s="2" t="s">
        <v>12</v>
      </c>
      <c r="K6" s="2" t="s">
        <v>11</v>
      </c>
      <c r="L6" s="72" t="s">
        <v>77</v>
      </c>
      <c r="M6" s="2" t="s">
        <v>12</v>
      </c>
      <c r="N6" s="86"/>
      <c r="O6" s="86"/>
      <c r="P6" s="86"/>
      <c r="Q6" s="86"/>
      <c r="U6" s="8"/>
      <c r="V6" s="8"/>
    </row>
    <row r="7" spans="1:22" ht="26.5" thickBot="1" x14ac:dyDescent="0.4">
      <c r="A7" s="3" t="s">
        <v>13</v>
      </c>
      <c r="B7" s="9">
        <f>198688*70%</f>
        <v>139081.59999999998</v>
      </c>
      <c r="C7" s="76">
        <v>35620</v>
      </c>
      <c r="D7" s="9">
        <f>198688*30%</f>
        <v>59606.399999999994</v>
      </c>
      <c r="E7" s="42">
        <v>108472</v>
      </c>
      <c r="F7" s="42">
        <v>125179.81</v>
      </c>
      <c r="G7" s="42">
        <v>46488</v>
      </c>
      <c r="H7" s="9">
        <v>95200</v>
      </c>
      <c r="I7" s="70">
        <v>84811</v>
      </c>
      <c r="J7" s="9">
        <v>40800</v>
      </c>
      <c r="K7" s="9">
        <v>114072</v>
      </c>
      <c r="L7" s="73"/>
      <c r="M7" s="9">
        <v>48888</v>
      </c>
      <c r="N7" s="21">
        <f>SUM(B7,E7,H7,K7)</f>
        <v>456825.59999999998</v>
      </c>
      <c r="O7" s="21">
        <f>SUM(C7,F7,I7,L7)</f>
        <v>245610.81</v>
      </c>
      <c r="P7" s="21">
        <f>SUM(D7,G7,J7,M7)</f>
        <v>195782.39999999999</v>
      </c>
      <c r="Q7" s="10">
        <f t="shared" ref="Q7:Q13" si="0">SUM(N7+P7)</f>
        <v>652608</v>
      </c>
    </row>
    <row r="8" spans="1:22" ht="39.5" thickBot="1" x14ac:dyDescent="0.4">
      <c r="A8" s="3" t="s">
        <v>14</v>
      </c>
      <c r="B8" s="9">
        <f>18000*70%</f>
        <v>12600</v>
      </c>
      <c r="C8" s="76">
        <v>0</v>
      </c>
      <c r="D8" s="9">
        <v>5400</v>
      </c>
      <c r="E8" s="43">
        <v>24998.400000000001</v>
      </c>
      <c r="F8" s="43"/>
      <c r="G8" s="42">
        <v>10713.6</v>
      </c>
      <c r="H8" s="9">
        <v>3500</v>
      </c>
      <c r="I8" s="70"/>
      <c r="J8" s="9">
        <v>1500</v>
      </c>
      <c r="K8" s="9"/>
      <c r="L8" s="73"/>
      <c r="M8" s="9"/>
      <c r="N8" s="21">
        <f>SUM(B8,E8,H8,K8)</f>
        <v>41098.400000000001</v>
      </c>
      <c r="O8" s="21">
        <f>SUM(C8,F8,I8,L8)</f>
        <v>0</v>
      </c>
      <c r="P8" s="21">
        <f>SUM(D8,G8,J8,M8)</f>
        <v>17613.599999999999</v>
      </c>
      <c r="Q8" s="10">
        <f t="shared" si="0"/>
        <v>58712</v>
      </c>
    </row>
    <row r="9" spans="1:22" ht="65.5" thickBot="1" x14ac:dyDescent="0.4">
      <c r="A9" s="3" t="s">
        <v>15</v>
      </c>
      <c r="B9" s="9">
        <v>0</v>
      </c>
      <c r="C9" s="76">
        <v>0</v>
      </c>
      <c r="D9" s="9">
        <v>0</v>
      </c>
      <c r="E9" s="42">
        <v>0</v>
      </c>
      <c r="F9" s="42"/>
      <c r="G9" s="42">
        <v>0</v>
      </c>
      <c r="H9" s="9">
        <v>2100</v>
      </c>
      <c r="I9" s="70"/>
      <c r="J9" s="9">
        <v>900</v>
      </c>
      <c r="K9" s="9"/>
      <c r="L9" s="73"/>
      <c r="M9" s="9"/>
      <c r="N9" s="21">
        <f>SUM(B9,E9,H9,K9)</f>
        <v>2100</v>
      </c>
      <c r="O9" s="21">
        <f>SUM(C9,F9,I9,L9)</f>
        <v>0</v>
      </c>
      <c r="P9" s="21">
        <f>SUM(D9,G9,J9,M9)</f>
        <v>900</v>
      </c>
      <c r="Q9" s="10">
        <f t="shared" si="0"/>
        <v>3000</v>
      </c>
    </row>
    <row r="10" spans="1:22" ht="26.5" thickBot="1" x14ac:dyDescent="0.4">
      <c r="A10" s="3" t="s">
        <v>16</v>
      </c>
      <c r="B10" s="9">
        <f>319200*70%</f>
        <v>223440</v>
      </c>
      <c r="C10" s="76">
        <v>175294</v>
      </c>
      <c r="D10" s="9">
        <f>319200*30%</f>
        <v>95760</v>
      </c>
      <c r="E10" s="42">
        <v>0</v>
      </c>
      <c r="F10" s="42"/>
      <c r="G10" s="42">
        <v>0</v>
      </c>
      <c r="H10" s="9">
        <v>215740</v>
      </c>
      <c r="I10" s="70">
        <v>156114</v>
      </c>
      <c r="J10" s="9">
        <v>92460</v>
      </c>
      <c r="K10" s="9"/>
      <c r="L10" s="74">
        <v>72000</v>
      </c>
      <c r="M10" s="9"/>
      <c r="N10" s="21">
        <f>SUM(B10,E10,H10,K10)</f>
        <v>439180</v>
      </c>
      <c r="O10" s="21">
        <f>SUM(C10,F10,I10,L10)</f>
        <v>403408</v>
      </c>
      <c r="P10" s="21">
        <f>SUM(D10,G10,J10,M10)</f>
        <v>188220</v>
      </c>
      <c r="Q10" s="10">
        <f t="shared" si="0"/>
        <v>627400</v>
      </c>
    </row>
    <row r="11" spans="1:22" ht="15" thickBot="1" x14ac:dyDescent="0.4">
      <c r="A11" s="3" t="s">
        <v>17</v>
      </c>
      <c r="B11" s="9">
        <f>6600*70%</f>
        <v>4620</v>
      </c>
      <c r="C11" s="76">
        <v>11644</v>
      </c>
      <c r="D11" s="9">
        <f>6600*30%</f>
        <v>1980</v>
      </c>
      <c r="E11" s="42">
        <v>58329.599999999999</v>
      </c>
      <c r="F11" s="42">
        <v>7480.53</v>
      </c>
      <c r="G11" s="42">
        <v>24998.400000000001</v>
      </c>
      <c r="H11" s="9">
        <v>11991</v>
      </c>
      <c r="I11" s="70">
        <v>5827</v>
      </c>
      <c r="J11" s="9">
        <v>5139</v>
      </c>
      <c r="K11" s="9"/>
      <c r="L11" s="73"/>
      <c r="M11" s="9"/>
      <c r="N11" s="21">
        <f>SUM(B11,E11,H11,K11)</f>
        <v>74940.600000000006</v>
      </c>
      <c r="O11" s="21">
        <f>SUM(C11,F11,I11,L11)</f>
        <v>24951.53</v>
      </c>
      <c r="P11" s="21">
        <f>SUM(D11,G11,J11,M11)</f>
        <v>32117.4</v>
      </c>
      <c r="Q11" s="10">
        <f t="shared" si="0"/>
        <v>107058</v>
      </c>
    </row>
    <row r="12" spans="1:22" ht="39.5" thickBot="1" x14ac:dyDescent="0.4">
      <c r="A12" s="3" t="s">
        <v>18</v>
      </c>
      <c r="B12" s="9">
        <f>48750*70%</f>
        <v>34125</v>
      </c>
      <c r="C12" s="76">
        <v>26613</v>
      </c>
      <c r="D12" s="9">
        <f>48750*30%</f>
        <v>14625</v>
      </c>
      <c r="E12" s="42">
        <v>364053.75</v>
      </c>
      <c r="F12" s="42">
        <v>170264</v>
      </c>
      <c r="G12" s="42">
        <v>154958.5</v>
      </c>
      <c r="H12" s="9">
        <v>0</v>
      </c>
      <c r="I12" s="70"/>
      <c r="J12" s="9">
        <v>0</v>
      </c>
      <c r="K12" s="9">
        <v>87500</v>
      </c>
      <c r="L12" s="74">
        <v>98484.62</v>
      </c>
      <c r="M12" s="9">
        <v>37500</v>
      </c>
      <c r="N12" s="21">
        <f>SUM(B12,E12,H12,K12)</f>
        <v>485678.75</v>
      </c>
      <c r="O12" s="21">
        <f>SUM(C12,F12,I12,L12)</f>
        <v>295361.62</v>
      </c>
      <c r="P12" s="21">
        <f>SUM(D12,G12,J12,M12)</f>
        <v>207083.5</v>
      </c>
      <c r="Q12" s="10">
        <f t="shared" si="0"/>
        <v>692762.25</v>
      </c>
    </row>
    <row r="13" spans="1:22" ht="39.5" thickBot="1" x14ac:dyDescent="0.4">
      <c r="A13" s="3" t="s">
        <v>19</v>
      </c>
      <c r="B13" s="9">
        <f>70875*70%</f>
        <v>49612.5</v>
      </c>
      <c r="C13" s="76">
        <v>105280</v>
      </c>
      <c r="D13" s="9">
        <f>70875*30%</f>
        <v>21262.5</v>
      </c>
      <c r="E13" s="44">
        <v>72261</v>
      </c>
      <c r="F13" s="44">
        <v>50582.69</v>
      </c>
      <c r="G13" s="44">
        <v>30830.6</v>
      </c>
      <c r="H13" s="9">
        <f>62475.7-0.44</f>
        <v>62475.259999999995</v>
      </c>
      <c r="I13" s="70">
        <v>33135</v>
      </c>
      <c r="J13" s="9">
        <f>26775.3-0.19</f>
        <v>26775.11</v>
      </c>
      <c r="K13" s="9"/>
      <c r="L13" s="73"/>
      <c r="M13" s="9"/>
      <c r="N13" s="21">
        <f>SUM(B13,E13,H13,K13)</f>
        <v>184348.76</v>
      </c>
      <c r="O13" s="21">
        <f>SUM(C13,F13,I13,L13)</f>
        <v>188997.69</v>
      </c>
      <c r="P13" s="21">
        <f>SUM(D13,G13,J13,M13)</f>
        <v>78868.209999999992</v>
      </c>
      <c r="Q13" s="10">
        <f t="shared" si="0"/>
        <v>263216.96999999997</v>
      </c>
    </row>
    <row r="14" spans="1:22" ht="26.5" thickBot="1" x14ac:dyDescent="0.4">
      <c r="A14" s="4" t="s">
        <v>20</v>
      </c>
      <c r="B14" s="11">
        <f>SUM(B7:B13)</f>
        <v>463479.1</v>
      </c>
      <c r="C14" s="76">
        <v>354451</v>
      </c>
      <c r="D14" s="11">
        <f t="shared" ref="D14:J14" si="1">SUM(D7:D13)</f>
        <v>198633.9</v>
      </c>
      <c r="E14" s="45">
        <f>SUM(E7:E13)</f>
        <v>628114.75</v>
      </c>
      <c r="F14" s="45">
        <f>SUM(F7:F13)</f>
        <v>353507.02999999997</v>
      </c>
      <c r="G14" s="45">
        <f t="shared" si="1"/>
        <v>267989.09999999998</v>
      </c>
      <c r="H14" s="11">
        <f t="shared" si="1"/>
        <v>391006.26</v>
      </c>
      <c r="I14" s="70">
        <f t="shared" si="1"/>
        <v>279887</v>
      </c>
      <c r="J14" s="11">
        <f t="shared" si="1"/>
        <v>167574.10999999999</v>
      </c>
      <c r="K14" s="11">
        <v>201572</v>
      </c>
      <c r="L14" s="96">
        <f>SUM(L7:L13)</f>
        <v>170484.62</v>
      </c>
      <c r="M14" s="11">
        <f>SUM(M7:M13)</f>
        <v>86388</v>
      </c>
      <c r="N14" s="11">
        <f>SUM(B14,E14,H14,K14)</f>
        <v>1684172.11</v>
      </c>
      <c r="O14" s="11">
        <f>SUM(C14,F14,I14,L14)</f>
        <v>1158329.6499999999</v>
      </c>
      <c r="P14" s="11">
        <f>SUM(D14,G14,J14,M14)</f>
        <v>720585.11</v>
      </c>
      <c r="Q14" s="10">
        <f>SUM(N14+P14)</f>
        <v>2404757.2200000002</v>
      </c>
    </row>
    <row r="15" spans="1:22" ht="26.5" thickBot="1" x14ac:dyDescent="0.4">
      <c r="A15" s="3" t="s">
        <v>21</v>
      </c>
      <c r="B15" s="9">
        <f>7%*(SUM(B7:B13))</f>
        <v>32443.537</v>
      </c>
      <c r="C15" s="76">
        <v>24812</v>
      </c>
      <c r="D15" s="9">
        <f>7%*(SUM(D7:D13))</f>
        <v>13904.373000000001</v>
      </c>
      <c r="E15" s="42">
        <f>E14*0.07</f>
        <v>43968.032500000001</v>
      </c>
      <c r="F15" s="42">
        <v>16432.22</v>
      </c>
      <c r="G15" s="42">
        <f>G14*0.07</f>
        <v>18759.237000000001</v>
      </c>
      <c r="H15" s="9">
        <f>0.07*H14</f>
        <v>27370.438200000004</v>
      </c>
      <c r="I15" s="70">
        <v>19592.09</v>
      </c>
      <c r="J15" s="9">
        <f>0.07*J14</f>
        <v>11730.1877</v>
      </c>
      <c r="K15" s="97">
        <v>14110.04</v>
      </c>
      <c r="L15" s="75">
        <f>SUM(L8:L13)*0.07</f>
        <v>11933.923400000001</v>
      </c>
      <c r="M15" s="9">
        <v>6047.16</v>
      </c>
      <c r="N15" s="21">
        <f>SUM(B15,E15,H15,K15)</f>
        <v>117892.0477</v>
      </c>
      <c r="O15" s="21">
        <f>SUM(C15,F15,I15,L15)</f>
        <v>72770.233399999997</v>
      </c>
      <c r="P15" s="21">
        <f>SUM(D15,G15,J15,M15)</f>
        <v>50440.957699999999</v>
      </c>
      <c r="Q15" s="10">
        <f>SUM(N15+P15)</f>
        <v>168333.00539999999</v>
      </c>
    </row>
    <row r="16" spans="1:22" ht="15" thickBot="1" x14ac:dyDescent="0.4">
      <c r="A16" s="4" t="s">
        <v>10</v>
      </c>
      <c r="B16" s="10">
        <f>B14+B15</f>
        <v>495922.63699999999</v>
      </c>
      <c r="C16" s="10">
        <v>379263</v>
      </c>
      <c r="D16" s="10">
        <f>D14+D15</f>
        <v>212538.27299999999</v>
      </c>
      <c r="E16" s="10">
        <f>E14+E15</f>
        <v>672082.78249999997</v>
      </c>
      <c r="F16" s="10">
        <v>369939.25</v>
      </c>
      <c r="G16" s="10">
        <f>G14+G15</f>
        <v>286748.337</v>
      </c>
      <c r="H16" s="10">
        <f>H14+H15</f>
        <v>418376.69819999998</v>
      </c>
      <c r="I16" s="71">
        <v>299479.09000000003</v>
      </c>
      <c r="J16" s="10">
        <f>J14+J15</f>
        <v>179304.2977</v>
      </c>
      <c r="K16" s="98">
        <f>K14+K15</f>
        <v>215682.04</v>
      </c>
      <c r="L16" s="99">
        <f>SUM(L14:L15)</f>
        <v>182418.5434</v>
      </c>
      <c r="M16" s="10">
        <f>M14+M15</f>
        <v>92435.16</v>
      </c>
      <c r="N16" s="10">
        <f>SUM(B16,E16,H16,K16)</f>
        <v>1802064.1576999999</v>
      </c>
      <c r="O16" s="10">
        <f>SUM(C16,F16,I16,L16)</f>
        <v>1231099.8834000002</v>
      </c>
      <c r="P16" s="10">
        <f>SUM(D16,G16,J16,M16)</f>
        <v>771026.06770000001</v>
      </c>
      <c r="Q16" s="10">
        <f>SUM(N16+P16)</f>
        <v>2573090.2253999999</v>
      </c>
    </row>
    <row r="17" spans="2:16" x14ac:dyDescent="0.3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2:16" x14ac:dyDescent="0.35">
      <c r="F18" s="16"/>
      <c r="M18" s="13"/>
    </row>
    <row r="19" spans="2:16" x14ac:dyDescent="0.35">
      <c r="B19" s="17"/>
      <c r="C19" s="17"/>
      <c r="D19" s="17"/>
      <c r="E19" s="13"/>
      <c r="F19" s="13"/>
      <c r="G19" s="17"/>
      <c r="H19" s="17"/>
      <c r="I19" s="16"/>
      <c r="J19" s="17"/>
      <c r="K19" s="17"/>
      <c r="L19" s="17"/>
      <c r="M19" s="17"/>
      <c r="N19" s="17"/>
      <c r="O19" s="17"/>
      <c r="P19" s="17"/>
    </row>
    <row r="20" spans="2:16" x14ac:dyDescent="0.35">
      <c r="E20" s="18"/>
      <c r="F20" s="8"/>
      <c r="M20" s="8"/>
    </row>
    <row r="21" spans="2:16" x14ac:dyDescent="0.35">
      <c r="E21" s="8"/>
      <c r="F21" s="8"/>
    </row>
  </sheetData>
  <mergeCells count="9">
    <mergeCell ref="N5:N6"/>
    <mergeCell ref="P5:P6"/>
    <mergeCell ref="Q5:Q6"/>
    <mergeCell ref="A5:A6"/>
    <mergeCell ref="B5:D5"/>
    <mergeCell ref="E5:G5"/>
    <mergeCell ref="H5:J5"/>
    <mergeCell ref="K5:M5"/>
    <mergeCell ref="O5:O6"/>
  </mergeCells>
  <pageMargins left="0.7" right="0.7" top="0.75" bottom="0.75" header="0.3" footer="0.3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51F5BDF81494D93B86D755849E120" ma:contentTypeVersion="13" ma:contentTypeDescription="Create a new document." ma:contentTypeScope="" ma:versionID="4f3e868caf3b5437ddcf9fea92157f75">
  <xsd:schema xmlns:xsd="http://www.w3.org/2001/XMLSchema" xmlns:xs="http://www.w3.org/2001/XMLSchema" xmlns:p="http://schemas.microsoft.com/office/2006/metadata/properties" xmlns:ns3="40d5d30c-7f01-48a2-9a20-a1340c159d1b" xmlns:ns4="c46f3a78-a028-490c-9626-f3aeb2da18b9" targetNamespace="http://schemas.microsoft.com/office/2006/metadata/properties" ma:root="true" ma:fieldsID="21297db78b8302df64820a714f44dd69" ns3:_="" ns4:_="">
    <xsd:import namespace="40d5d30c-7f01-48a2-9a20-a1340c159d1b"/>
    <xsd:import namespace="c46f3a78-a028-490c-9626-f3aeb2da18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5d30c-7f01-48a2-9a20-a1340c159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f3a78-a028-490c-9626-f3aeb2da1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92B45-0465-4CEE-A398-5EE8B6D8422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6f3a78-a028-490c-9626-f3aeb2da18b9"/>
    <ds:schemaRef ds:uri="http://purl.org/dc/elements/1.1/"/>
    <ds:schemaRef ds:uri="http://schemas.microsoft.com/office/2006/metadata/properties"/>
    <ds:schemaRef ds:uri="40d5d30c-7f01-48a2-9a20-a1340c159d1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44B638-3D0B-40B7-BAEE-8067C3C9A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4F1B73-DC5E-44EC-B15A-4FB03FA28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5d30c-7f01-48a2-9a20-a1340c159d1b"/>
    <ds:schemaRef ds:uri="c46f3a78-a028-490c-9626-f3aeb2da18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 budget</vt:lpstr>
      <vt:lpstr> Bud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Matthew Flynn</cp:lastModifiedBy>
  <cp:lastPrinted>2017-12-11T22:51:21Z</cp:lastPrinted>
  <dcterms:created xsi:type="dcterms:W3CDTF">2017-11-15T21:17:43Z</dcterms:created>
  <dcterms:modified xsi:type="dcterms:W3CDTF">2020-09-04T11:00:56Z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0x0101000C151F5BDF81494D93B86D755849E120</vt:lpwstr>
  </property>
</Properties>
</file>