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joachim.ouedraogo\Desktop\PBF_Ojoachim\Dossiers par projets\ISP\"/>
    </mc:Choice>
  </mc:AlternateContent>
  <xr:revisionPtr revIDLastSave="0" documentId="8_{F5B500F5-EFBA-42E8-B9CA-6E838315050A}" xr6:coauthVersionLast="45" xr6:coauthVersionMax="45" xr10:uidLastSave="{00000000-0000-0000-0000-000000000000}"/>
  <bookViews>
    <workbookView xWindow="-110" yWindow="-110" windowWidth="19420" windowHeight="10420" tabRatio="848" xr2:uid="{00000000-000D-0000-FFFF-FFFF00000000}"/>
  </bookViews>
  <sheets>
    <sheet name="RAP ISP PAR CATEGORIE BUDGET" sheetId="5" r:id="rId1"/>
    <sheet name="RAP ISP PAR RESULTAT 1JUIN 2020" sheetId="4" r:id="rId2"/>
    <sheet name="SEARCH" sheetId="18" r:id="rId3"/>
    <sheet name="AAA 30 OCT 2020" sheetId="14" r:id="rId4"/>
    <sheet name="Feuil2" sheetId="17" r:id="rId5"/>
  </sheets>
  <externalReferences>
    <externalReference r:id="rId6"/>
    <externalReference r:id="rId7"/>
    <externalReference r:id="rId8"/>
  </externalReferences>
  <definedNames>
    <definedName name="_xlnm._FilterDatabase" localSheetId="3" hidden="1">'AAA 30 OCT 2020'!$A$1:$AF$167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5" l="1"/>
  <c r="K30" i="5" s="1"/>
  <c r="J30" i="5"/>
  <c r="J32" i="5" s="1"/>
  <c r="K27" i="5"/>
  <c r="K25" i="5"/>
  <c r="K23" i="5"/>
  <c r="K29" i="5"/>
  <c r="D15" i="18"/>
  <c r="C15" i="18"/>
  <c r="C17" i="18" s="1"/>
  <c r="E14" i="18"/>
  <c r="F14" i="18" s="1"/>
  <c r="E13" i="18"/>
  <c r="F13" i="18" s="1"/>
  <c r="G13" i="18" s="1"/>
  <c r="E12" i="18"/>
  <c r="F12" i="18" s="1"/>
  <c r="E11" i="18"/>
  <c r="F11" i="18" s="1"/>
  <c r="E10" i="18"/>
  <c r="F10" i="18" s="1"/>
  <c r="E9" i="18"/>
  <c r="F9" i="18" s="1"/>
  <c r="E8" i="18"/>
  <c r="E15" i="18" s="1"/>
  <c r="H14" i="18" l="1"/>
  <c r="G14" i="18"/>
  <c r="H9" i="18"/>
  <c r="G9" i="18"/>
  <c r="H10" i="18"/>
  <c r="G10" i="18"/>
  <c r="H11" i="18"/>
  <c r="G11" i="18"/>
  <c r="E16" i="18"/>
  <c r="E17" i="18"/>
  <c r="H12" i="18"/>
  <c r="G12" i="18"/>
  <c r="F8" i="18"/>
  <c r="D16" i="18"/>
  <c r="D17" i="18" s="1"/>
  <c r="H8" i="18" l="1"/>
  <c r="F15" i="18"/>
  <c r="G8" i="18"/>
  <c r="G15" i="18" s="1"/>
  <c r="F16" i="18" l="1"/>
  <c r="H16" i="18" s="1"/>
  <c r="F17" i="18"/>
  <c r="H17" i="18" s="1"/>
  <c r="H15" i="18"/>
  <c r="G17" i="18"/>
  <c r="G16" i="18"/>
  <c r="C96" i="4" l="1"/>
  <c r="M31" i="5"/>
  <c r="M25" i="5"/>
  <c r="M26" i="5"/>
  <c r="M27" i="5"/>
  <c r="M28" i="5"/>
  <c r="M24" i="5"/>
  <c r="M23" i="5"/>
  <c r="C11" i="5"/>
  <c r="B11" i="5"/>
  <c r="E11" i="5" s="1"/>
  <c r="B10" i="5"/>
  <c r="E10" i="5" s="1"/>
  <c r="C9" i="5"/>
  <c r="B9" i="5"/>
  <c r="C8" i="5"/>
  <c r="B8" i="5"/>
  <c r="C7" i="5"/>
  <c r="B7" i="5"/>
  <c r="C6" i="5"/>
  <c r="B6" i="5"/>
  <c r="C5" i="5"/>
  <c r="B5" i="5"/>
  <c r="E6" i="5" l="1"/>
  <c r="E8" i="5"/>
  <c r="B12" i="5"/>
  <c r="C12" i="5"/>
  <c r="E7" i="5"/>
  <c r="E9" i="5"/>
  <c r="B13" i="5"/>
  <c r="B14" i="5" s="1"/>
  <c r="E12" i="5"/>
  <c r="C13" i="5"/>
  <c r="C14" i="5" s="1"/>
  <c r="E5" i="5"/>
  <c r="E13" i="5" l="1"/>
  <c r="E14" i="5" s="1"/>
  <c r="J28" i="5" l="1"/>
  <c r="D158" i="4" l="1"/>
  <c r="F123" i="4"/>
  <c r="F120" i="4"/>
  <c r="F119" i="4"/>
  <c r="F136" i="4"/>
  <c r="F137" i="4"/>
  <c r="C29" i="5"/>
  <c r="AC168" i="14"/>
  <c r="M29" i="5" l="1"/>
  <c r="J23" i="5"/>
  <c r="D121" i="4"/>
  <c r="C121" i="4"/>
  <c r="C30" i="5" l="1"/>
  <c r="D30" i="5"/>
  <c r="D32" i="5" s="1"/>
  <c r="E30" i="5"/>
  <c r="E32" i="5" s="1"/>
  <c r="B29" i="5"/>
  <c r="B28" i="5"/>
  <c r="B27" i="5"/>
  <c r="B25" i="5"/>
  <c r="B26" i="5"/>
  <c r="B24" i="5"/>
  <c r="B23" i="5"/>
  <c r="M30" i="5" l="1"/>
  <c r="F23" i="5"/>
  <c r="N23" i="5" s="1"/>
  <c r="G23" i="5"/>
  <c r="L23" i="5"/>
  <c r="O23" i="5" s="1"/>
  <c r="G27" i="5"/>
  <c r="F27" i="5"/>
  <c r="L27" i="5"/>
  <c r="O27" i="5" s="1"/>
  <c r="F29" i="5"/>
  <c r="L29" i="5"/>
  <c r="O29" i="5" s="1"/>
  <c r="G29" i="5"/>
  <c r="L24" i="5"/>
  <c r="O24" i="5" s="1"/>
  <c r="G24" i="5"/>
  <c r="F24" i="5"/>
  <c r="F28" i="5"/>
  <c r="L28" i="5"/>
  <c r="O28" i="5" s="1"/>
  <c r="G28" i="5"/>
  <c r="G26" i="5"/>
  <c r="L26" i="5"/>
  <c r="O26" i="5" s="1"/>
  <c r="F26" i="5"/>
  <c r="G25" i="5"/>
  <c r="L25" i="5"/>
  <c r="O25" i="5" s="1"/>
  <c r="F25" i="5"/>
  <c r="J27" i="5"/>
  <c r="N27" i="5" s="1"/>
  <c r="J29" i="5"/>
  <c r="N29" i="5" s="1"/>
  <c r="N28" i="5"/>
  <c r="J25" i="5"/>
  <c r="N25" i="5" s="1"/>
  <c r="J24" i="5"/>
  <c r="K24" i="5"/>
  <c r="B30" i="5"/>
  <c r="G30" i="5" s="1"/>
  <c r="K26" i="5"/>
  <c r="J26" i="5"/>
  <c r="C32" i="5"/>
  <c r="I32" i="5"/>
  <c r="M32" i="5" l="1"/>
  <c r="N26" i="5"/>
  <c r="N24" i="5"/>
  <c r="C157" i="4"/>
  <c r="G157" i="4" s="1"/>
  <c r="I157" i="4" s="1"/>
  <c r="B31" i="5"/>
  <c r="F30" i="5"/>
  <c r="L30" i="5"/>
  <c r="O30" i="5"/>
  <c r="C156" i="4"/>
  <c r="H31" i="5"/>
  <c r="K31" i="5" s="1"/>
  <c r="H157" i="4" l="1"/>
  <c r="L31" i="5"/>
  <c r="O31" i="5" s="1"/>
  <c r="G31" i="5"/>
  <c r="F31" i="5"/>
  <c r="J31" i="5"/>
  <c r="H32" i="5"/>
  <c r="K32" i="5" s="1"/>
  <c r="D104" i="4"/>
  <c r="D95" i="4"/>
  <c r="D82" i="4"/>
  <c r="D72" i="4"/>
  <c r="D24" i="4"/>
  <c r="D144" i="4"/>
  <c r="I144" i="4" s="1"/>
  <c r="D143" i="4"/>
  <c r="I143" i="4" s="1"/>
  <c r="D141" i="4"/>
  <c r="D137" i="4"/>
  <c r="D136" i="4"/>
  <c r="D135" i="4"/>
  <c r="I135" i="4" s="1"/>
  <c r="D134" i="4"/>
  <c r="D133" i="4"/>
  <c r="D132" i="4"/>
  <c r="D128" i="4"/>
  <c r="I128" i="4" s="1"/>
  <c r="D127" i="4"/>
  <c r="I127" i="4" s="1"/>
  <c r="D126" i="4"/>
  <c r="I126" i="4" s="1"/>
  <c r="D125" i="4"/>
  <c r="D124" i="4"/>
  <c r="I124" i="4" s="1"/>
  <c r="D123" i="4"/>
  <c r="D122" i="4"/>
  <c r="C129" i="4"/>
  <c r="I129" i="4" s="1"/>
  <c r="C136" i="4"/>
  <c r="C134" i="4"/>
  <c r="I134" i="4" s="1"/>
  <c r="C133" i="4"/>
  <c r="I133" i="4" s="1"/>
  <c r="C131" i="4"/>
  <c r="I131" i="4" s="1"/>
  <c r="G138" i="4"/>
  <c r="G147" i="4"/>
  <c r="H147" i="4"/>
  <c r="E130" i="4"/>
  <c r="E24" i="4"/>
  <c r="C33" i="4"/>
  <c r="C51" i="4"/>
  <c r="G145" i="4"/>
  <c r="H145" i="4"/>
  <c r="N31" i="5" l="1"/>
  <c r="D145" i="4"/>
  <c r="I136" i="4"/>
  <c r="B32" i="5"/>
  <c r="D130" i="4"/>
  <c r="D138" i="4"/>
  <c r="D146" i="4"/>
  <c r="D147" i="4" s="1"/>
  <c r="C146" i="4"/>
  <c r="C142" i="4"/>
  <c r="I142" i="4" s="1"/>
  <c r="C141" i="4"/>
  <c r="I141" i="4" s="1"/>
  <c r="C140" i="4"/>
  <c r="I140" i="4" s="1"/>
  <c r="C139" i="4"/>
  <c r="I139" i="4" s="1"/>
  <c r="C137" i="4"/>
  <c r="I137" i="4" s="1"/>
  <c r="C132" i="4"/>
  <c r="C125" i="4"/>
  <c r="I125" i="4" s="1"/>
  <c r="C123" i="4"/>
  <c r="I123" i="4" s="1"/>
  <c r="C122" i="4"/>
  <c r="I122" i="4" s="1"/>
  <c r="I121" i="4"/>
  <c r="C120" i="4"/>
  <c r="I120" i="4" s="1"/>
  <c r="C119" i="4"/>
  <c r="I119" i="4" s="1"/>
  <c r="D115" i="4"/>
  <c r="D114" i="4"/>
  <c r="D113" i="4"/>
  <c r="D112" i="4"/>
  <c r="D111" i="4"/>
  <c r="D110" i="4"/>
  <c r="D109" i="4"/>
  <c r="D108" i="4"/>
  <c r="D107" i="4"/>
  <c r="D106" i="4"/>
  <c r="D105" i="4"/>
  <c r="C103" i="4"/>
  <c r="I103" i="4" s="1"/>
  <c r="C102" i="4"/>
  <c r="I102" i="4" s="1"/>
  <c r="C101" i="4"/>
  <c r="I101" i="4" s="1"/>
  <c r="C100" i="4"/>
  <c r="I100" i="4" s="1"/>
  <c r="C99" i="4"/>
  <c r="I99" i="4" s="1"/>
  <c r="C98" i="4"/>
  <c r="I98" i="4" s="1"/>
  <c r="C94" i="4"/>
  <c r="I94" i="4" s="1"/>
  <c r="C93" i="4"/>
  <c r="I93" i="4" s="1"/>
  <c r="C92" i="4"/>
  <c r="I92" i="4" s="1"/>
  <c r="C91" i="4"/>
  <c r="I91" i="4" s="1"/>
  <c r="C90" i="4"/>
  <c r="I90" i="4" s="1"/>
  <c r="C89" i="4"/>
  <c r="I89" i="4" s="1"/>
  <c r="C88" i="4"/>
  <c r="I88" i="4" s="1"/>
  <c r="C87" i="4"/>
  <c r="I87" i="4" s="1"/>
  <c r="C86" i="4"/>
  <c r="I86" i="4" s="1"/>
  <c r="C85" i="4"/>
  <c r="I85" i="4" s="1"/>
  <c r="C84" i="4"/>
  <c r="I84" i="4" s="1"/>
  <c r="C83" i="4"/>
  <c r="I83" i="4" s="1"/>
  <c r="C81" i="4"/>
  <c r="I81" i="4" s="1"/>
  <c r="C80" i="4"/>
  <c r="I80" i="4" s="1"/>
  <c r="C79" i="4"/>
  <c r="I79" i="4" s="1"/>
  <c r="C78" i="4"/>
  <c r="I78" i="4" s="1"/>
  <c r="C77" i="4"/>
  <c r="I77" i="4" s="1"/>
  <c r="C76" i="4"/>
  <c r="I76" i="4" s="1"/>
  <c r="C75" i="4"/>
  <c r="I75" i="4" s="1"/>
  <c r="C74" i="4"/>
  <c r="I74" i="4" s="1"/>
  <c r="C73" i="4"/>
  <c r="I73" i="4" s="1"/>
  <c r="C71" i="4"/>
  <c r="I71" i="4" s="1"/>
  <c r="C67" i="4"/>
  <c r="I67" i="4" s="1"/>
  <c r="C70" i="4"/>
  <c r="I70" i="4" s="1"/>
  <c r="C69" i="4"/>
  <c r="I69" i="4" s="1"/>
  <c r="C68" i="4"/>
  <c r="I68" i="4" s="1"/>
  <c r="C66" i="4"/>
  <c r="I66" i="4" s="1"/>
  <c r="C65" i="4"/>
  <c r="I65" i="4" s="1"/>
  <c r="C64" i="4"/>
  <c r="I64" i="4" s="1"/>
  <c r="D50" i="4"/>
  <c r="D49" i="4"/>
  <c r="D48" i="4"/>
  <c r="D47" i="4"/>
  <c r="D46" i="4"/>
  <c r="D45" i="4"/>
  <c r="D44" i="4"/>
  <c r="D43" i="4"/>
  <c r="D42" i="4"/>
  <c r="D41" i="4"/>
  <c r="D40" i="4"/>
  <c r="D39" i="4"/>
  <c r="D38" i="4"/>
  <c r="D37" i="4"/>
  <c r="D36" i="4"/>
  <c r="D35" i="4"/>
  <c r="D34" i="4"/>
  <c r="D32" i="4"/>
  <c r="D31" i="4"/>
  <c r="D30" i="4"/>
  <c r="D29" i="4"/>
  <c r="D28" i="4"/>
  <c r="D27" i="4"/>
  <c r="D26" i="4"/>
  <c r="D25" i="4"/>
  <c r="C19" i="4"/>
  <c r="I19" i="4" s="1"/>
  <c r="C18" i="4"/>
  <c r="I18" i="4" s="1"/>
  <c r="C17" i="4"/>
  <c r="I17" i="4" s="1"/>
  <c r="C16" i="4"/>
  <c r="C15" i="4"/>
  <c r="I15" i="4" s="1"/>
  <c r="C14" i="4"/>
  <c r="I14" i="4" s="1"/>
  <c r="C13" i="4"/>
  <c r="I13" i="4" s="1"/>
  <c r="F32" i="5" l="1"/>
  <c r="L32" i="5"/>
  <c r="O32" i="5" s="1"/>
  <c r="G32" i="5"/>
  <c r="C147" i="4"/>
  <c r="I146" i="4"/>
  <c r="C138" i="4"/>
  <c r="I132" i="4"/>
  <c r="D33" i="4"/>
  <c r="D51" i="4"/>
  <c r="D116" i="4"/>
  <c r="D117" i="4" s="1"/>
  <c r="D148" i="4"/>
  <c r="C72" i="4"/>
  <c r="C82" i="4"/>
  <c r="D62" i="4"/>
  <c r="C95" i="4"/>
  <c r="C104" i="4"/>
  <c r="C130" i="4"/>
  <c r="C145" i="4"/>
  <c r="C12" i="4"/>
  <c r="I12" i="4" s="1"/>
  <c r="C11" i="4"/>
  <c r="I11" i="4" s="1"/>
  <c r="C10" i="4"/>
  <c r="I10" i="4" s="1"/>
  <c r="C148" i="4" l="1"/>
  <c r="C24" i="4"/>
  <c r="C62" i="4" s="1"/>
  <c r="H138" i="4" l="1"/>
  <c r="G130" i="4"/>
  <c r="H130" i="4"/>
  <c r="G116" i="4"/>
  <c r="H116" i="4"/>
  <c r="G104" i="4"/>
  <c r="H104" i="4"/>
  <c r="G82" i="4"/>
  <c r="G51" i="4"/>
  <c r="H51" i="4"/>
  <c r="G72" i="4"/>
  <c r="H72" i="4"/>
  <c r="G95" i="4"/>
  <c r="H95" i="4"/>
  <c r="G33" i="4"/>
  <c r="H33" i="4"/>
  <c r="H24" i="4"/>
  <c r="G148" i="4" l="1"/>
  <c r="H62" i="4"/>
  <c r="H148" i="4"/>
  <c r="H117" i="4"/>
  <c r="G117" i="4"/>
  <c r="G96" i="4"/>
  <c r="E147" i="4" l="1"/>
  <c r="E145" i="4"/>
  <c r="E138" i="4"/>
  <c r="E116" i="4"/>
  <c r="C116" i="4"/>
  <c r="E104" i="4"/>
  <c r="E95" i="4"/>
  <c r="E82" i="4"/>
  <c r="E72" i="4"/>
  <c r="E61" i="4"/>
  <c r="D61" i="4"/>
  <c r="C61" i="4"/>
  <c r="F60" i="4"/>
  <c r="F59" i="4"/>
  <c r="F58" i="4"/>
  <c r="F57" i="4"/>
  <c r="F56" i="4"/>
  <c r="F55" i="4"/>
  <c r="F54" i="4"/>
  <c r="F53" i="4"/>
  <c r="E51" i="4"/>
  <c r="E33" i="4"/>
  <c r="F23" i="4"/>
  <c r="F22" i="4"/>
  <c r="F21" i="4"/>
  <c r="F20" i="4"/>
  <c r="E62" i="4" l="1"/>
  <c r="E148" i="4"/>
  <c r="F24" i="4"/>
  <c r="E117" i="4"/>
  <c r="D96" i="4"/>
  <c r="E96" i="4"/>
  <c r="C117" i="4"/>
  <c r="F61" i="4"/>
  <c r="F51" i="4"/>
  <c r="F33" i="4"/>
  <c r="I33" i="4" s="1"/>
  <c r="G61" i="4"/>
  <c r="F95" i="4"/>
  <c r="I95" i="4" s="1"/>
  <c r="F104" i="4"/>
  <c r="I104" i="4" s="1"/>
  <c r="F82" i="4"/>
  <c r="I82" i="4" s="1"/>
  <c r="F72" i="4"/>
  <c r="F130" i="4"/>
  <c r="I130" i="4" s="1"/>
  <c r="F138" i="4"/>
  <c r="I138" i="4" s="1"/>
  <c r="F147" i="4"/>
  <c r="I147" i="4" s="1"/>
  <c r="I72" i="4" l="1"/>
  <c r="I96" i="4" s="1"/>
  <c r="H82" i="4"/>
  <c r="H96" i="4" s="1"/>
  <c r="H150" i="4" s="1"/>
  <c r="H152" i="4" s="1"/>
  <c r="F156" i="4" s="1"/>
  <c r="F62" i="4"/>
  <c r="I51" i="4"/>
  <c r="C150" i="4"/>
  <c r="C151" i="4" s="1"/>
  <c r="C152" i="4" s="1"/>
  <c r="B156" i="4" s="1"/>
  <c r="E150" i="4"/>
  <c r="E151" i="4" s="1"/>
  <c r="D150" i="4"/>
  <c r="D151" i="4" s="1"/>
  <c r="D152" i="4" s="1"/>
  <c r="B157" i="4" s="1"/>
  <c r="F96" i="4"/>
  <c r="F116" i="4"/>
  <c r="F145" i="4"/>
  <c r="F158" i="4" l="1"/>
  <c r="G156" i="4"/>
  <c r="I156" i="4" s="1"/>
  <c r="I16" i="4"/>
  <c r="G24" i="4"/>
  <c r="B158" i="4"/>
  <c r="E152" i="4"/>
  <c r="F148" i="4"/>
  <c r="I145" i="4"/>
  <c r="F117" i="4"/>
  <c r="I117" i="4" s="1"/>
  <c r="I116" i="4"/>
  <c r="H156" i="4" l="1"/>
  <c r="G158" i="4"/>
  <c r="I158" i="4" s="1"/>
  <c r="G62" i="4"/>
  <c r="I24" i="4"/>
  <c r="F150" i="4"/>
  <c r="I148" i="4"/>
  <c r="G150" i="4" l="1"/>
  <c r="I150" i="4" s="1"/>
  <c r="I62" i="4"/>
  <c r="F152" i="4"/>
  <c r="I151" i="4" l="1"/>
  <c r="G152" i="4" l="1"/>
  <c r="E157" i="4"/>
  <c r="C158" i="4"/>
  <c r="I152" i="4" l="1"/>
  <c r="D156" i="4"/>
  <c r="E156" i="4" s="1"/>
  <c r="E158" i="4" s="1"/>
  <c r="H158" i="4" l="1"/>
  <c r="N30" i="5" l="1"/>
  <c r="N3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Sory Conde</author>
  </authors>
  <commentList>
    <comment ref="K25" authorId="0" shapeId="0" xr:uid="{9E716859-FD04-431B-90CF-11439D1B522B}">
      <text>
        <r>
          <rPr>
            <b/>
            <sz val="9"/>
            <color indexed="81"/>
            <rFont val="Tahoma"/>
            <family val="2"/>
          </rPr>
          <t>Sory Conde:</t>
        </r>
        <r>
          <rPr>
            <sz val="9"/>
            <color indexed="81"/>
            <rFont val="Tahoma"/>
            <family val="2"/>
          </rPr>
          <t xml:space="preserve">
SEARCH: Il y a un depassement sur cette ligne car 2 ordinateurs ont ete achetes au debut du projet pour le staff du projet. Toutfeois, il n y a pas de depassement sur le budget</t>
        </r>
      </text>
    </comment>
    <comment ref="O28" authorId="0" shapeId="0" xr:uid="{CB4375D1-C3C0-4047-862E-73BC436C5FEC}">
      <text>
        <r>
          <rPr>
            <b/>
            <sz val="9"/>
            <color indexed="81"/>
            <rFont val="Tahoma"/>
            <family val="2"/>
          </rPr>
          <t>Sory Conde:</t>
        </r>
        <r>
          <rPr>
            <sz val="9"/>
            <color indexed="81"/>
            <rFont val="Tahoma"/>
            <family val="2"/>
          </rPr>
          <t xml:space="preserve">
REALISATION DES HIMO AVEC 4 ONG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Sory Conde</author>
  </authors>
  <commentList>
    <comment ref="B9" authorId="0" shapeId="0" xr:uid="{CA9D5A1D-ED32-4F3B-B42D-5A3F2F8B7CE2}">
      <text>
        <r>
          <rPr>
            <b/>
            <sz val="9"/>
            <color indexed="81"/>
            <rFont val="Tahoma"/>
            <family val="2"/>
          </rPr>
          <t>Sory Conde:</t>
        </r>
        <r>
          <rPr>
            <sz val="9"/>
            <color indexed="81"/>
            <rFont val="Tahoma"/>
            <family val="2"/>
          </rPr>
          <t xml:space="preserve">
Sera financé sur le budget du Secrétariat PBF</t>
        </r>
      </text>
    </comment>
  </commentList>
</comments>
</file>

<file path=xl/sharedStrings.xml><?xml version="1.0" encoding="utf-8"?>
<sst xmlns="http://schemas.openxmlformats.org/spreadsheetml/2006/main" count="2690" uniqueCount="661">
  <si>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</si>
  <si>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</si>
  <si>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</si>
  <si>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</si>
  <si>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</si>
  <si>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</si>
  <si>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</si>
  <si>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Sous-budget total du projet</t>
  </si>
  <si>
    <t>Coûts indirects (7%):</t>
  </si>
  <si>
    <t xml:space="preserve"> </t>
  </si>
  <si>
    <t>Tableau 1 - Budget du projet PBF par résultat, produit et activité</t>
  </si>
  <si>
    <t>Nombre de resultat/ produit</t>
  </si>
  <si>
    <t>Total</t>
  </si>
  <si>
    <t>Notes quelconque le cas echeant (.e.g sur types des entrants ou justification du budget)</t>
  </si>
  <si>
    <t>PNUD</t>
  </si>
  <si>
    <t>SEARCH</t>
  </si>
  <si>
    <t>Activite 1.1.5</t>
  </si>
  <si>
    <t>Activite 1.1.6</t>
  </si>
  <si>
    <t>Activite 1.1.7</t>
  </si>
  <si>
    <t>Activite 1.1.8</t>
  </si>
  <si>
    <t>Produit total</t>
  </si>
  <si>
    <t>Produit 1.4:</t>
  </si>
  <si>
    <t>Activite 1.4.1</t>
  </si>
  <si>
    <t>Activite 1.4.2</t>
  </si>
  <si>
    <t>Activite 1.4.3</t>
  </si>
  <si>
    <t>Activite 1.4.4</t>
  </si>
  <si>
    <t>Activite 1.4.5</t>
  </si>
  <si>
    <t>Activite 1.4.6</t>
  </si>
  <si>
    <t>Activite 1.4.7</t>
  </si>
  <si>
    <t>Activite 1.4.8</t>
  </si>
  <si>
    <t>Atelier de validation de la srtucture et missions de l'ANP</t>
  </si>
  <si>
    <t>Orientation et appui à la nouvelle équipe de l'ANP</t>
  </si>
  <si>
    <t>Cout de personnel du projet si pas inclus dans les activites si-dessus</t>
  </si>
  <si>
    <t>1 Chef de projet - SB5 (PNUD)</t>
  </si>
  <si>
    <t>1 Spécialiste HIMO - SB4 (PNUD)</t>
  </si>
  <si>
    <t>2 Agents de zone  - SB3</t>
  </si>
  <si>
    <t>Gestionnaire comptable financier, SB4, à 50% par agence</t>
  </si>
  <si>
    <t>Chauffeurs</t>
  </si>
  <si>
    <t>1 Coordinateur administration</t>
  </si>
  <si>
    <t>Assistante au Projet , SB3</t>
  </si>
  <si>
    <t>Directeur Pays</t>
  </si>
  <si>
    <t>1 Country Finance manager</t>
  </si>
  <si>
    <t>Equipe technique régionale</t>
  </si>
  <si>
    <t>Appui technique Programme PNUD</t>
  </si>
  <si>
    <t>Couts operationnels si pas inclus dans les activites si-dessus</t>
  </si>
  <si>
    <t>Achat 1 véhicule</t>
  </si>
  <si>
    <t>Fonctionnement 2 véhicules</t>
  </si>
  <si>
    <t>Locations bureaux et charges locatives</t>
  </si>
  <si>
    <t>Communication</t>
  </si>
  <si>
    <t>Support IT</t>
  </si>
  <si>
    <t>Fournitures et consommables  bureau</t>
  </si>
  <si>
    <t>Equipements de bureau</t>
  </si>
  <si>
    <t>Budget de suivi</t>
  </si>
  <si>
    <t>Rencontre du comité technique de suivi</t>
  </si>
  <si>
    <t>Reunion du comité de pilotage</t>
  </si>
  <si>
    <t>Missions conjointes de suivi terrain</t>
  </si>
  <si>
    <t>1 Chargé de suivi évaluation (PNUD)</t>
  </si>
  <si>
    <t>Support ILT (suivi évaluation)</t>
  </si>
  <si>
    <t>1 Coordonnateur Suivi Evaluation (Search)</t>
  </si>
  <si>
    <t>Budget pour l'évaluation finale indépendante</t>
  </si>
  <si>
    <t>Evaluation à mi-parcours et finale du projet</t>
  </si>
  <si>
    <t>Totaux</t>
  </si>
  <si>
    <t>Conduire de manière participative les exercices d’analyse des conflits dans les 7 préfectures de la région forestière () ;Activite 1.3.1</t>
  </si>
  <si>
    <t>Soutenir le dialogue inter acteurs dans les communautés pendant la période électorale ;  Activite 1.3.2</t>
  </si>
  <si>
    <t>Soutenir l’animation de l’émission « Médias produits par les jeunes - Emission radio UDD (interviews jeunes/membres ISP) Activite 1.3.3</t>
  </si>
  <si>
    <t xml:space="preserve">Réaliser deux enquêtes de perception Activite 1.1.1: </t>
  </si>
  <si>
    <t>Faire un état des lieux des Synergies et identifier les initiatives paralelles de prévention et résolution des conflits  Activite 1.1.2:</t>
  </si>
  <si>
    <t xml:space="preserve"> Redynamiser et améliorer la coordination des synergies des acteurs de paix dans la région;  Activite 1.1.3:</t>
  </si>
  <si>
    <t>Faciliter les échanges de bonnes pratiques et d’expérience entre synergies.  Activite 1.1.4</t>
  </si>
  <si>
    <t>Elaborer un référentiel (cahier des charges) sensible aux conflits et aux droits de l’homme sur le rôle des Synergies locales des acteurs de la Paix ;  Activite 1.2.1</t>
  </si>
  <si>
    <t xml:space="preserve"> Former les synergies sur le référentiel  Activite 1.2.2</t>
  </si>
  <si>
    <t>Former les jeunes sur le processus électoral et la prévention et gestion des conflits en période électorale ;  Activite 2.1.1</t>
  </si>
  <si>
    <t>Soutenir l’élaboration et à la mise en œuvre des plans d’action des jeunes pour la prévention / résolution des conflits Activite 2.1.2</t>
  </si>
  <si>
    <t xml:space="preserve"> Identifier et appuyer les initiatives féminines de prévention des conflits et préservation de la paix ; Activite 2.2.1</t>
  </si>
  <si>
    <t>Vulgariser la résolution 1325 et renforcer le rôles des femmes de la région forestière sur les dynamiques sous régionales de prévention des conflits et préservation de la paix ;  Activite' 2.2.2</t>
  </si>
  <si>
    <t>Appuyer les rencontres de partage d’expérience entre les initiatives des femmes des 7 préfectures de la région forestière ;  Activite 2.2.3</t>
  </si>
  <si>
    <t>Identifier avec les communes les activités prioritaires de HIMO sur des besoins d’intérêts publics ; Activite 2.3.1</t>
  </si>
  <si>
    <t>Identifier les jeunes à risques dans les communes cibles ;  Activite 2.3.2</t>
  </si>
  <si>
    <t xml:space="preserve"> Former les jeunes sur l’approche HIMO, la méthode 3X6 et l’éducation à la citoyenneté;  Activite 2.3.3</t>
  </si>
  <si>
    <t xml:space="preserve"> Réaliser les travaux HIMO  Activite 2.3.4</t>
  </si>
  <si>
    <t xml:space="preserve"> Appuyer les initiatives de sensibilisation par les jeunes à risque sur la citoyenneté et la paix à Cky  Activite 2.3.5</t>
  </si>
  <si>
    <t>Etude et conception de l'ANP  Activite 3.1.1</t>
  </si>
  <si>
    <t>Soutenir la mise en place effective de l’ANP au niveau national et en région forestière  Activite 3.1.2</t>
  </si>
  <si>
    <t>Concevoir un outil de collecte, d’analyse et de reporting des alertes Activite 3.2.1</t>
  </si>
  <si>
    <t>Définir un mécanisme de réponse aux alertes ;  Activite 3.2.2</t>
  </si>
  <si>
    <t>Produire et diffuser deux rapports d'analyse des alertes et des conflits de la région forestière  Activite 3.2.3</t>
  </si>
  <si>
    <t xml:space="preserve">Produit 1.1: Les synergies des acteurs de la Paix des sept préfectures de la Région Forestière sont restructurées et redynamisées. </t>
  </si>
  <si>
    <t>Formulation du resultat/ produit/ activite</t>
  </si>
  <si>
    <t>Budget par agence recipiendiaire en USD - Veuillez ajouter une nouvelle colonne par agence recipiendiaire PNUD</t>
  </si>
  <si>
    <t xml:space="preserve">Niveau de depense/ engagement actuel en USD (a remplir au moment des rapports de projet)          HCDH   </t>
  </si>
  <si>
    <t>Commitement</t>
  </si>
  <si>
    <t>Avances non justifiées</t>
  </si>
  <si>
    <t>Taux de Réalisation par ligne budgetaire</t>
  </si>
  <si>
    <t>Budget par agence recipiendiaire en USD - Veuillez ajouter une nouvelle colonne par agence recipiendiaire SEARCH</t>
  </si>
  <si>
    <t>Niveau de depense/ engagement actuel en USD (a remplir au moment des rapports de projet)          PNUD  et SEARCH</t>
  </si>
  <si>
    <t xml:space="preserve">Produit 1.2: Les Synergies locales disposent d’outils harmonisés et appropriés, et leurs capacités sont renforcées   </t>
  </si>
  <si>
    <t>Produit 1.3: Les acteurs locaux (personnes ressources) renforcent les dispositions de prévention des conflits en période électorale</t>
  </si>
  <si>
    <t>TOTAL RESULTAT 1</t>
  </si>
  <si>
    <t>Produit total 1.3</t>
  </si>
  <si>
    <t>Produit total 1.2</t>
  </si>
  <si>
    <t>Produit total 1.1</t>
  </si>
  <si>
    <t>RESULTAT 2:  Les jeunes et les femmes contribuent à réduire les violences en période électorale à travers leur engagement citoyen et des initiatives socio-économiques.</t>
  </si>
  <si>
    <t>RESULTAT 1:  Les Synergies locales des acteurs de la Paix sont structurées, mieux coordonnées et assurent la prévention et la résolution des conflits en région forestière, en particulier pendant la période électorale</t>
  </si>
  <si>
    <t xml:space="preserve">Produit 2.1  Les associations de jeunes, membres des Synergies, mettent en place des initiatives de prévention et de gestion des conflits en période électorale </t>
  </si>
  <si>
    <t>Produit total 2.1</t>
  </si>
  <si>
    <r>
      <rPr>
        <b/>
        <sz val="9"/>
        <color theme="1"/>
        <rFont val="Calibri"/>
        <family val="2"/>
        <scheme val="minor"/>
      </rPr>
      <t xml:space="preserve">Produit 2.2     </t>
    </r>
    <r>
      <rPr>
        <sz val="9"/>
        <color theme="1"/>
        <rFont val="Calibri"/>
        <family val="2"/>
        <scheme val="minor"/>
      </rPr>
      <t xml:space="preserve">Les initiatives des femmes évoluant dans la prévention et la résolution des conflits sont renforcées et mieux structurées  </t>
    </r>
  </si>
  <si>
    <r>
      <rPr>
        <b/>
        <sz val="9"/>
        <color theme="1"/>
        <rFont val="Calibri"/>
        <family val="2"/>
        <scheme val="minor"/>
      </rPr>
      <t xml:space="preserve">Produit 2.3: </t>
    </r>
    <r>
      <rPr>
        <sz val="9"/>
        <color theme="1"/>
        <rFont val="Calibri"/>
        <family val="2"/>
        <scheme val="minor"/>
      </rPr>
      <t xml:space="preserve">500 jeunes (250 femmes et 250 hommes) à risque sont reconvertis en vecteur de paix à partir des activités de haute intensité de main d’œuvre et d’une éducation à la citoyenneté en période électorale dans la zone spéciale de Conakry </t>
    </r>
  </si>
  <si>
    <t>Produit total 2.3</t>
  </si>
  <si>
    <t>TOTAL RESULTAT 2</t>
  </si>
  <si>
    <t>RESULTAT 3:  L’architecture nationale de Paix est mise en place et renforce les mécanismes locaux de prévention et gestion des conflits en Guinée Forestière</t>
  </si>
  <si>
    <r>
      <rPr>
        <b/>
        <sz val="9"/>
        <color theme="1"/>
        <rFont val="Calibri"/>
        <family val="2"/>
        <scheme val="minor"/>
      </rPr>
      <t>Produit 3.1</t>
    </r>
    <r>
      <rPr>
        <sz val="9"/>
        <color theme="1"/>
        <rFont val="Calibri"/>
        <family val="2"/>
        <scheme val="minor"/>
      </rPr>
      <t xml:space="preserve"> ANP est mise en place au niveau national et opérationnelle en région forestière </t>
    </r>
  </si>
  <si>
    <t>Produit 3.2:  Le mécanisme national de collecte, d’analyse d</t>
  </si>
  <si>
    <t>Produit total 3.1</t>
  </si>
  <si>
    <t>Produit total 3.2</t>
  </si>
  <si>
    <t>Produit total 2.2</t>
  </si>
  <si>
    <t>GESTION DU PROJET</t>
  </si>
  <si>
    <t>PNUD 35 %</t>
  </si>
  <si>
    <t>SEARCH 35%</t>
  </si>
  <si>
    <t>COUT TOTAL ACTIVITE DU PROJET</t>
  </si>
  <si>
    <t>TOTAL RESULTAT 3</t>
  </si>
  <si>
    <t>TOTAL GENERAL</t>
  </si>
  <si>
    <t>GMS 7%</t>
  </si>
  <si>
    <t xml:space="preserve">Appui à la prévention des conflits en période électorale et à la pérennisation des Synergies locales des acteurs pour la paix en Guinée Forestière </t>
  </si>
  <si>
    <t>COMMITMENT</t>
  </si>
  <si>
    <t>AVANCE NON JUSTIFIER</t>
  </si>
  <si>
    <t>Recipient Agency 2 SEARCH</t>
  </si>
  <si>
    <t>Annexe D - Budget du projet PBF PAR RESULTAT</t>
  </si>
  <si>
    <t>Recipient Agency 1 Lead PNUD</t>
  </si>
  <si>
    <t>DEPENSE TOTALE</t>
  </si>
  <si>
    <t>Taux de realisation</t>
  </si>
  <si>
    <t>Description par categorie budgetaire</t>
  </si>
  <si>
    <t>Coûts Total Gestion du Projet</t>
  </si>
  <si>
    <t>Budget par agence recipiendiaire en USD</t>
  </si>
  <si>
    <t>BUDGET APPROUVE</t>
  </si>
  <si>
    <t>Commitment/PO</t>
  </si>
  <si>
    <t>Total Dépenses</t>
  </si>
  <si>
    <t>Avance</t>
  </si>
  <si>
    <t>Solde</t>
  </si>
  <si>
    <t>%Tage de Réalisation</t>
  </si>
  <si>
    <t xml:space="preserve">Commentaire sur les dépenses / activités </t>
  </si>
  <si>
    <t>Préparé par CONDE SORY</t>
  </si>
  <si>
    <t>Gestionnaire Comptable et Financier PNUD/PBF</t>
  </si>
  <si>
    <t>RECAPITULATIF DE LA SITUTION FINANCIERE DU PROJET ISP</t>
  </si>
  <si>
    <t>ACTIVITY 1 PNUD</t>
  </si>
  <si>
    <t>ACTIVITY 4 PNUD</t>
  </si>
  <si>
    <t>ACTIVITY 5 PNUD</t>
  </si>
  <si>
    <t>ACTIVITY 2 SEARCH</t>
  </si>
  <si>
    <t>ACTIVITY 3 SEARCH</t>
  </si>
  <si>
    <t>ACTIVITY 6 PNUD</t>
  </si>
  <si>
    <t>ACTIVITY 7 PNUD</t>
  </si>
  <si>
    <t>ACTIVITY 8 PNUD ET SEARCH</t>
  </si>
  <si>
    <t>PBF</t>
  </si>
  <si>
    <t>Transaction Type</t>
  </si>
  <si>
    <t>Transaction Id</t>
  </si>
  <si>
    <t>Accounting Date</t>
  </si>
  <si>
    <t>Date Posted</t>
  </si>
  <si>
    <t>GL Business Unit</t>
  </si>
  <si>
    <t xml:space="preserve">Account </t>
  </si>
  <si>
    <t>Account Description</t>
  </si>
  <si>
    <t>Operating Unit</t>
  </si>
  <si>
    <t>Fund</t>
  </si>
  <si>
    <t>Department</t>
  </si>
  <si>
    <t>Implementing Agent</t>
  </si>
  <si>
    <t>Donor (Agency)</t>
  </si>
  <si>
    <t>PC Business Unit</t>
  </si>
  <si>
    <t>Project Id</t>
  </si>
  <si>
    <t>Activity Id</t>
  </si>
  <si>
    <t>Analysis Type</t>
  </si>
  <si>
    <t>Open Item Key</t>
  </si>
  <si>
    <t>Vendor Id</t>
  </si>
  <si>
    <t>Vendor Name</t>
  </si>
  <si>
    <t>Related Voucher</t>
  </si>
  <si>
    <t>Description</t>
  </si>
  <si>
    <t>Description2</t>
  </si>
  <si>
    <t>Journal Ref</t>
  </si>
  <si>
    <t>Journal ID</t>
  </si>
  <si>
    <t>Journal Line No</t>
  </si>
  <si>
    <t>Journal Date</t>
  </si>
  <si>
    <t>Local Curr Amount</t>
  </si>
  <si>
    <t>Local Curr</t>
  </si>
  <si>
    <t>USD Amount</t>
  </si>
  <si>
    <t>Journal Source</t>
  </si>
  <si>
    <t>Fiscal Year</t>
  </si>
  <si>
    <t>Accounting Period</t>
  </si>
  <si>
    <t>Voucher</t>
  </si>
  <si>
    <t>GIN10-00090364-1-1-ACCR-DST</t>
  </si>
  <si>
    <t>UNDP1</t>
  </si>
  <si>
    <t>SVC CO-TRAINING AND EDUC SERV</t>
  </si>
  <si>
    <t>GIN</t>
  </si>
  <si>
    <t>GIN10</t>
  </si>
  <si>
    <t>ACTIVITY 1</t>
  </si>
  <si>
    <t>ECOBANK</t>
  </si>
  <si>
    <t>FRAIS SYNERGIE LCALE CNFLIT GF</t>
  </si>
  <si>
    <t>Frais synergie Lcale Cnflit GF</t>
  </si>
  <si>
    <t>AP08561371</t>
  </si>
  <si>
    <t>GNF</t>
  </si>
  <si>
    <t>AP</t>
  </si>
  <si>
    <t>GIN10-00090402-1-1-ACCR-DST</t>
  </si>
  <si>
    <t>COMMON SERVICES-COMMUNICATIONS</t>
  </si>
  <si>
    <t>ACTIVITY8</t>
  </si>
  <si>
    <t>ORANGE GUINEE</t>
  </si>
  <si>
    <t>ACHAT KITS ENERGIE  RCHRGE</t>
  </si>
  <si>
    <t>Achat Kits Energie&amp; Rchrge</t>
  </si>
  <si>
    <t>AP08569724</t>
  </si>
  <si>
    <t>GIN10-00090529-1-2-ACCR-DST</t>
  </si>
  <si>
    <t>ACTIVITY 5</t>
  </si>
  <si>
    <t>CONDE SEYDOU</t>
  </si>
  <si>
    <t>PRISE.CHRGE.PRTICIPANTS</t>
  </si>
  <si>
    <t>Prise.Chrge.Prticipants</t>
  </si>
  <si>
    <t>AP08584957</t>
  </si>
  <si>
    <t>GIN10-00090615-1-1-ACCR-DST</t>
  </si>
  <si>
    <t>03-AUG-2020</t>
  </si>
  <si>
    <t>05-AUG-2020</t>
  </si>
  <si>
    <t>MOBILE TELEPHONE CHARGES</t>
  </si>
  <si>
    <t>EXPENSE DISTRIBUTION</t>
  </si>
  <si>
    <t>Frais Rcharge.Cpte ISP</t>
  </si>
  <si>
    <t>AP08601348</t>
  </si>
  <si>
    <t>GIN10-00090655-1-1-ACCR-DST</t>
  </si>
  <si>
    <t>06-AUG-2020</t>
  </si>
  <si>
    <t>10-AUG-2020</t>
  </si>
  <si>
    <t>SVC CO-COMMUNICATIONS SERVICE</t>
  </si>
  <si>
    <t>MAMADOU SALIOU DIALLO</t>
  </si>
  <si>
    <t>FRAIS CVERTUREMDIATIQ.CPTE ISP</t>
  </si>
  <si>
    <t>FRais CvertureMdiatiq.Cpte ISP</t>
  </si>
  <si>
    <t>AP08606613</t>
  </si>
  <si>
    <t>GIN10-00090667-1-1-ACCR-DST</t>
  </si>
  <si>
    <t>07-AUG-2020</t>
  </si>
  <si>
    <t>FURNITURE</t>
  </si>
  <si>
    <t>ACT</t>
  </si>
  <si>
    <t>SOCIETE TECH 224</t>
  </si>
  <si>
    <t>E) FURNITURE ACCESSORIES</t>
  </si>
  <si>
    <t>Pmnt Fact N°127</t>
  </si>
  <si>
    <t>AP08604115</t>
  </si>
  <si>
    <t>GIN10-00090745-1-1-ACCR-DST</t>
  </si>
  <si>
    <t>17-AUG-2020</t>
  </si>
  <si>
    <t>18-AUG-2020</t>
  </si>
  <si>
    <t>TRNWRKSHP CONF - STIPENDS</t>
  </si>
  <si>
    <t>PAPETERIE DIOP</t>
  </si>
  <si>
    <t>FOURNITURES ATELIER</t>
  </si>
  <si>
    <t>AP08616615</t>
  </si>
  <si>
    <t>GIN10-00090747-1-1-ACCR-DST</t>
  </si>
  <si>
    <t>RIVIERA ROYAL HOTEL</t>
  </si>
  <si>
    <t>FRAIS PAUSE ATELIER</t>
  </si>
  <si>
    <t>GIN10-00090776-1-1-ACCR-DST</t>
  </si>
  <si>
    <t>19-AUG-2020</t>
  </si>
  <si>
    <t>21-AUG-2020</t>
  </si>
  <si>
    <t>UTILITIES</t>
  </si>
  <si>
    <t>SELECT PUB SARL</t>
  </si>
  <si>
    <t>PMNT FACT N P026</t>
  </si>
  <si>
    <t>Pmnt Fact N°P026</t>
  </si>
  <si>
    <t>AP08620438</t>
  </si>
  <si>
    <t>GIN10-00090842-1-1-ACCR-DST</t>
  </si>
  <si>
    <t>25-AUG-2020</t>
  </si>
  <si>
    <t>26-AUG-2020</t>
  </si>
  <si>
    <t>GUINEE MULTI VISION</t>
  </si>
  <si>
    <t>Pmnt Fact N°0033/20</t>
  </si>
  <si>
    <t>AP08625257</t>
  </si>
  <si>
    <t>GIN10-00090875-1-1-ACCR-DST</t>
  </si>
  <si>
    <t>30-AUG-2020</t>
  </si>
  <si>
    <t>31-AUG-2020</t>
  </si>
  <si>
    <t>PROJECT CASH ADVANCE (PCA)</t>
  </si>
  <si>
    <t>SAFIATOU KABA</t>
  </si>
  <si>
    <t>FRAIS ATLI LNCMNT ISP GF</t>
  </si>
  <si>
    <t>Frais Atli Lncmnt ISP GF</t>
  </si>
  <si>
    <t>AP08630347</t>
  </si>
  <si>
    <t>GIN10-00090976-1-1-ACCR-DST</t>
  </si>
  <si>
    <t>MARIAMA DIOUBATE</t>
  </si>
  <si>
    <t>ATELIER PREVENT.CONFL.YOMOU</t>
  </si>
  <si>
    <t>AP08636836</t>
  </si>
  <si>
    <t>GIN10-00090977-1-1-ACCR-DST</t>
  </si>
  <si>
    <t>ATELIER PREVENT.CONFL.BEYLA</t>
  </si>
  <si>
    <t>GIN10-00090978-1-1-ACCR-DST</t>
  </si>
  <si>
    <t>ATELIER PREVENT.CONFL.LOLA</t>
  </si>
  <si>
    <t>GIN10-00090979-1-1-ACCR-DST</t>
  </si>
  <si>
    <t>ATELIER PREVENT.CONFL.NZREKORE</t>
  </si>
  <si>
    <t>AP Jrnl Vchr</t>
  </si>
  <si>
    <t>GIN10-00091004-1-1-ACCR-DST</t>
  </si>
  <si>
    <t>SVC CO-PUBLIC ADMIN, POLITICS</t>
  </si>
  <si>
    <t>JR00091004</t>
  </si>
  <si>
    <t>JUSTIF V  90979</t>
  </si>
  <si>
    <t>JUSTIF V= 90979</t>
  </si>
  <si>
    <t>AP08640338</t>
  </si>
  <si>
    <t>GIN10-00091004-1-2-ACCR-DST</t>
  </si>
  <si>
    <t>GIN10-00091007-1-1-ACCR-DST</t>
  </si>
  <si>
    <t>JR00091007</t>
  </si>
  <si>
    <t>REGUL VOUCHER 90875</t>
  </si>
  <si>
    <t>Regul Voucher 90875</t>
  </si>
  <si>
    <t>AP08640335</t>
  </si>
  <si>
    <t>GIN10-00091007-1-2-ACCR-DST</t>
  </si>
  <si>
    <t>GIN10-00091008-1-1-ACCR-DST</t>
  </si>
  <si>
    <t>FRAIS LANCEM.HIMO INFRAST.SOC</t>
  </si>
  <si>
    <t>GIN10-00091024-1-1-ACCR-DST</t>
  </si>
  <si>
    <t>VIRGINIE KOTTO BEAVOGUI</t>
  </si>
  <si>
    <t>BUDGET PREFECTURE.GUECKEDOU</t>
  </si>
  <si>
    <t>Format.230Jeunes.7Prefecture</t>
  </si>
  <si>
    <t>AP08645477</t>
  </si>
  <si>
    <t>GIN10-00091024-2-1-ACCR-DST</t>
  </si>
  <si>
    <t>BUDGET PREFECTURE.MACENTA</t>
  </si>
  <si>
    <t>GIN10-00091024-3-1-ACCR-DST</t>
  </si>
  <si>
    <t>BUDGET PREFECTURE.KISSIDOUGOU</t>
  </si>
  <si>
    <t>GIN10-00091069-1-1-ACCR-DST</t>
  </si>
  <si>
    <t>REGULAR VCHER 00091008</t>
  </si>
  <si>
    <t>Regular Vcher 00091008</t>
  </si>
  <si>
    <t>AP08648200</t>
  </si>
  <si>
    <t>GIN10-00091069-1-2-ACCR-DST</t>
  </si>
  <si>
    <t>JR00091069</t>
  </si>
  <si>
    <t>GIN10-00091086-1-1-ACCR-DST</t>
  </si>
  <si>
    <t>MEDICAL KITS</t>
  </si>
  <si>
    <t>ACHAT KITS SANITAIRE HIMO</t>
  </si>
  <si>
    <t>AP08649704</t>
  </si>
  <si>
    <t>GIN10-00091087-1-1-ACCR-DST</t>
  </si>
  <si>
    <t>ACQUISITION OF COMMUNIC EQUIP</t>
  </si>
  <si>
    <t>ACHAT FOURNITURE ISP</t>
  </si>
  <si>
    <t>GIN10-00091088-1-1-ACCR-DST</t>
  </si>
  <si>
    <t>CONFECTION  IMPRESSION HIMO</t>
  </si>
  <si>
    <t>CONFECTION &amp;IMPRESSION HIMO</t>
  </si>
  <si>
    <t>GIN10-00091118-1-1-ACCR-DST</t>
  </si>
  <si>
    <t>DIABY MAMADOU</t>
  </si>
  <si>
    <t>FRAIS SENSIB COVID</t>
  </si>
  <si>
    <t>Frais Sensib COVID</t>
  </si>
  <si>
    <t>AP08652742</t>
  </si>
  <si>
    <t>GIN10-00091120-1-1-ACCR-DST</t>
  </si>
  <si>
    <t>GUILAVOGUI MARCEL</t>
  </si>
  <si>
    <t>FRAIS ATEL COVID 19</t>
  </si>
  <si>
    <t>Frais Atel Covid 19</t>
  </si>
  <si>
    <t>GIN10-00091122-1-1-ACCR-DST</t>
  </si>
  <si>
    <t>OUMAR BAH</t>
  </si>
  <si>
    <t>FRAIS QUIT COVID</t>
  </si>
  <si>
    <t>Frais Quit COVID</t>
  </si>
  <si>
    <t>GIN10-00091131-1-1-ACCR-DST</t>
  </si>
  <si>
    <t>PUBLICATIONS</t>
  </si>
  <si>
    <t>LE LYNX</t>
  </si>
  <si>
    <t>PMNT FACT N/REF0353LX-LC/2PSTE</t>
  </si>
  <si>
    <t>Pmnt Fact N/Ref0353LX-LC/2Pste</t>
  </si>
  <si>
    <t>GIN10-00091145-1-1-ACCR-DST</t>
  </si>
  <si>
    <t>GUINEA WORK SARL</t>
  </si>
  <si>
    <t>PMNT FACT N FAC/2020/044</t>
  </si>
  <si>
    <t>Pmnt Fact N°FAC/2020/044</t>
  </si>
  <si>
    <t>AP08654697</t>
  </si>
  <si>
    <t>GIN10-00091173-1-1-ACCR-DST</t>
  </si>
  <si>
    <t>Frais.Frmat.Jeune.Prefect.Beyl</t>
  </si>
  <si>
    <t>AP08654698</t>
  </si>
  <si>
    <t>GIN10-00091192-1-1-ACCR-DST</t>
  </si>
  <si>
    <t>CORRECTION V  91004</t>
  </si>
  <si>
    <t>CORRECTION V= 91004</t>
  </si>
  <si>
    <t>AP08656651</t>
  </si>
  <si>
    <t>AP08658948</t>
  </si>
  <si>
    <t>AP08659707</t>
  </si>
  <si>
    <t>GIN10-00091192-1-2-ACCR-DST</t>
  </si>
  <si>
    <t>GIN10-00091219-1-1-ACCR-DST</t>
  </si>
  <si>
    <t>RESTAURANT CHEZ AIDA</t>
  </si>
  <si>
    <t>FRAIS RESTAURATION HIMO</t>
  </si>
  <si>
    <t>AP08659710</t>
  </si>
  <si>
    <t>GIN10-00091232-1-1-ACCR-DST</t>
  </si>
  <si>
    <t>REGULAR VCHER 00090976</t>
  </si>
  <si>
    <t>Regular Vcher 00090976</t>
  </si>
  <si>
    <t>AP08659711</t>
  </si>
  <si>
    <t>AP08661914</t>
  </si>
  <si>
    <t>AP08661313</t>
  </si>
  <si>
    <t>GIN10-00091232-1-2-ACCR-DST</t>
  </si>
  <si>
    <t>JR00091232</t>
  </si>
  <si>
    <t>GIN10-00091234-1-1-ACCR-DST</t>
  </si>
  <si>
    <t>REGULAR VCHER 00090978</t>
  </si>
  <si>
    <t>Regular Vcher 00090978</t>
  </si>
  <si>
    <t>GIN10-00091234-1-2-ACCR-DST</t>
  </si>
  <si>
    <t>JR00091234</t>
  </si>
  <si>
    <t>GIN10-00091237-1-1-ACCR-DST</t>
  </si>
  <si>
    <t>REGULAR VCHER 00090977</t>
  </si>
  <si>
    <t>Regular Vcher 00090977</t>
  </si>
  <si>
    <t>GIN10-00091237-1-2-ACCR-DST</t>
  </si>
  <si>
    <t>JR00091237</t>
  </si>
  <si>
    <t>GIN10-00091245-1-1-ACCR-DST</t>
  </si>
  <si>
    <t>REGULAR VCHER 00091173</t>
  </si>
  <si>
    <t>Regular Vcher 00091173</t>
  </si>
  <si>
    <t>AP08664582</t>
  </si>
  <si>
    <t>GIN10-00091245-1-2-ACCR-DST</t>
  </si>
  <si>
    <t>JR00091245</t>
  </si>
  <si>
    <t>GIN10-00091369-1-1-ACCR-DST</t>
  </si>
  <si>
    <t>FRAIS ORGANISAT.ATLIER.HIMO</t>
  </si>
  <si>
    <t>Frais Organisat.Atlier.HIMO</t>
  </si>
  <si>
    <t>AP08678431</t>
  </si>
  <si>
    <t>GIN10-00091370-1-1-ACCR-DST</t>
  </si>
  <si>
    <t>FRAIS.FNALSAT.PLAN.SYCAP SYPAP</t>
  </si>
  <si>
    <t>Frais.Fnalsat.Plan.SYCAP&amp;SYPAP</t>
  </si>
  <si>
    <t>GIN10-00091392-2-1-ACCR-DST</t>
  </si>
  <si>
    <t>ACTIVITY 3</t>
  </si>
  <si>
    <t>JUIN,JUIL,AO T 2020 FRAIS COM</t>
  </si>
  <si>
    <t>Juin,Juil,Août 2020 Frais Com</t>
  </si>
  <si>
    <t>AP08691505</t>
  </si>
  <si>
    <t>GIN10-00091392-2-1-PYMN-RXG</t>
  </si>
  <si>
    <t>REALIZED GAIN</t>
  </si>
  <si>
    <t>AP08692437</t>
  </si>
  <si>
    <t>GIN10-00091408-1-1-ACCR-DST</t>
  </si>
  <si>
    <t>REGULAR VOUCHER 91369</t>
  </si>
  <si>
    <t>AP08682196</t>
  </si>
  <si>
    <t>GIN10-00091408-1-2-ACCR-DST</t>
  </si>
  <si>
    <t>JR00091408</t>
  </si>
  <si>
    <t>GIN10-00091482-1-1-ACCR-DST</t>
  </si>
  <si>
    <t>MAINT, OPER OF TRANSPORT EQUIP</t>
  </si>
  <si>
    <t>GARAGE SWISS CARS</t>
  </si>
  <si>
    <t>PMNT FACT.N GSC/FAC2608/20</t>
  </si>
  <si>
    <t>Pmnt Fact.N°GSC/FAC2608/20</t>
  </si>
  <si>
    <t>AP08693292</t>
  </si>
  <si>
    <t>GIN10-00091510-1-1-ACCR-DST</t>
  </si>
  <si>
    <t>JR00091510</t>
  </si>
  <si>
    <t>REGUL VCHR 91024</t>
  </si>
  <si>
    <t>Regul vchr 91024</t>
  </si>
  <si>
    <t>AP08696685</t>
  </si>
  <si>
    <t>GIN10-00091510-1-2-ACCR-DST</t>
  </si>
  <si>
    <t>GIN10-00091510-1-3-ACCR-DST</t>
  </si>
  <si>
    <t>GIN10-00091510-1-4-ACCR-DST</t>
  </si>
  <si>
    <t>Projects Jrnl</t>
  </si>
  <si>
    <t>UNDP1-0008582266-30-JUN-2020-5144</t>
  </si>
  <si>
    <t>Facilities &amp; Admin - Implement</t>
  </si>
  <si>
    <t>SFA</t>
  </si>
  <si>
    <t>UNDP GMS June 2020 Run2 - Journal3</t>
  </si>
  <si>
    <t>2020 FNA Debit</t>
  </si>
  <si>
    <t>USD</t>
  </si>
  <si>
    <t>PC</t>
  </si>
  <si>
    <t>UNDP1-0008582266-30-JUN-2020-5145</t>
  </si>
  <si>
    <t>Fees-General Mgmt Support GMS</t>
  </si>
  <si>
    <t>OFA</t>
  </si>
  <si>
    <t>2020 FNA Credit</t>
  </si>
  <si>
    <t>UNDP1-0008582275-17-JUL-2020-4755</t>
  </si>
  <si>
    <t>UNDP GMS July 2020 - Run1</t>
  </si>
  <si>
    <t>UNDP1-0008582275-17-JUL-2020-9328</t>
  </si>
  <si>
    <t>UNDP1-0008582275-17-JUL-2020-2011</t>
  </si>
  <si>
    <t>UNDP1-0008596955-31-JUL-2020-3858</t>
  </si>
  <si>
    <t>01-AUG-2020</t>
  </si>
  <si>
    <t>UNDP GMS July 2020 - Run2 - Journal 2</t>
  </si>
  <si>
    <t>UNDP1-0008596955-31-JUL-2020-3859</t>
  </si>
  <si>
    <t>UNDP1-0008614802-31-JUL-2020-4901</t>
  </si>
  <si>
    <t>UNDP GMS July 2020 - Run3 - Journal 2</t>
  </si>
  <si>
    <t>UNDP1-0008614802-31-JUL-2020-4902</t>
  </si>
  <si>
    <t>UNDP1-0008614804-15-AUG-2020-3665</t>
  </si>
  <si>
    <t>15-AUG-2020</t>
  </si>
  <si>
    <t>UNDP GMS August 2020 - Run1 - Journal 2</t>
  </si>
  <si>
    <t>UNDP1-0008614804-15-AUG-2020-3663</t>
  </si>
  <si>
    <t>UNDP1-0008614804-15-AUG-2020-3664</t>
  </si>
  <si>
    <t>UNDP1-0008614804-15-AUG-2020-3666</t>
  </si>
  <si>
    <t>UNDP1-0008646760-31-AUG-2020-4616</t>
  </si>
  <si>
    <t>UNDP GMS August 2020 - Run2 - Journal 3</t>
  </si>
  <si>
    <t>UNDP1-0008646760-31-AUG-2020-4617</t>
  </si>
  <si>
    <t>UNDP1-0008646760-31-AUG-2020-4614</t>
  </si>
  <si>
    <t>UNDP1-0008646760-31-AUG-2020-4615</t>
  </si>
  <si>
    <t>UNDP1-0008646874-11-SEP-2020-3243</t>
  </si>
  <si>
    <t>UNDP GMS September 2020 - Run1 - Journal 2</t>
  </si>
  <si>
    <t>UNDP1-0008646874-11-SEP-2020-3242</t>
  </si>
  <si>
    <t>UNDP1-0008662445-25-SEP-2020-3890</t>
  </si>
  <si>
    <t>UNDP GMS September 2020 - Run2 - Journal 2</t>
  </si>
  <si>
    <t>UNDP1-0008662445-25-SEP-2020-3889</t>
  </si>
  <si>
    <t>UNDP1-0008662445-25-SEP-2020-3891</t>
  </si>
  <si>
    <t>GL Journal</t>
  </si>
  <si>
    <t>UNDP1-0008679015-30-SEP-2020-96</t>
  </si>
  <si>
    <t>Foreign Exch Translation Loss</t>
  </si>
  <si>
    <t>GLE</t>
  </si>
  <si>
    <t>Cash arrangements FX Sept20</t>
  </si>
  <si>
    <t>FXR</t>
  </si>
  <si>
    <t>UNDP1-0008679015-30-SEP-2020-1</t>
  </si>
  <si>
    <t>Project Cash Advance (PCA)</t>
  </si>
  <si>
    <t>UNDP1-0008679015-30-SEP-2020-7</t>
  </si>
  <si>
    <t>UNDP1-0008679015-30-SEP-2020-90</t>
  </si>
  <si>
    <t>Foreign Exch Translation Gain</t>
  </si>
  <si>
    <t>UNDP1-0008690171-30-SEP-2020-4089</t>
  </si>
  <si>
    <t>UNDP GMS September 2020 - Run3 - Journal 3</t>
  </si>
  <si>
    <t>UNDP1-0008690171-30-SEP-2020-4086</t>
  </si>
  <si>
    <t>UNDP1-0008690171-30-SEP-2020-4087</t>
  </si>
  <si>
    <t>UNDP1-0008690171-30-SEP-2020-4088</t>
  </si>
  <si>
    <t>UNDP1-0008690179-16-OCT-2020-4084</t>
  </si>
  <si>
    <t>UNDP GMS October 2020 - Run1 - Journal 2</t>
  </si>
  <si>
    <t>UNDP1-0008690179-16-OCT-2020-4085</t>
  </si>
  <si>
    <t>UNDP1-0008690179-16-OCT-2020-4083</t>
  </si>
  <si>
    <t>UNDP1-0008690179-16-OCT-2020-4086</t>
  </si>
  <si>
    <t>UNDP1-CAR8453452-01-MAR-2020-5</t>
  </si>
  <si>
    <t>Contributions</t>
  </si>
  <si>
    <t>Contract Admin Revenue</t>
  </si>
  <si>
    <t>CAR8453452</t>
  </si>
  <si>
    <t>CA</t>
  </si>
  <si>
    <t>UNDP1-CAR8453452-01-MAR-2020-3</t>
  </si>
  <si>
    <t>UNDP1-CAR8453452-01-MAR-2020-1</t>
  </si>
  <si>
    <t>UNDP1-CAR8453452-01-MAR-2020-6</t>
  </si>
  <si>
    <t>Unbilled AR Contracts</t>
  </si>
  <si>
    <t>UNDP1-CAR8453452-01-MAR-2020-2</t>
  </si>
  <si>
    <t>UNDP1-CAR8453452-01-MAR-2020-4</t>
  </si>
  <si>
    <t>Payroll Jrnl</t>
  </si>
  <si>
    <t>UNDP1-GIN20M07SC-31-JUL-2020-92</t>
  </si>
  <si>
    <t>Contribution to Security SC</t>
  </si>
  <si>
    <t>PAY</t>
  </si>
  <si>
    <t>Payroll</t>
  </si>
  <si>
    <t>GIN20M07SC</t>
  </si>
  <si>
    <t>GP</t>
  </si>
  <si>
    <t>UNDP1-GIN20M07SC-31-JUL-2020-47</t>
  </si>
  <si>
    <t>Service Contracts-Individuals</t>
  </si>
  <si>
    <t>UNDP1-GIN20M08SC-31-AUG-2020-52</t>
  </si>
  <si>
    <t>GIN20M08SC</t>
  </si>
  <si>
    <t>UNDP1-GIN20M08SC-31-AUG-2020-95</t>
  </si>
  <si>
    <t>UNDP1-GIN20M08SC-31-AUG-2020-100</t>
  </si>
  <si>
    <t>UNDP1-GIN20M08SC-31-AUG-2020-47</t>
  </si>
  <si>
    <t>UNDP1-GIN20M09SC-30-SEP-2020-98</t>
  </si>
  <si>
    <t>GIN20M09SC</t>
  </si>
  <si>
    <t>UNDP1-GIN20M09SC-30-SEP-2020-103</t>
  </si>
  <si>
    <t>UNDP1-GIN20M09SC-30-SEP-2020-50</t>
  </si>
  <si>
    <t>UNDP1-GIN20M09SC-30-SEP-2020-55</t>
  </si>
  <si>
    <t>UNDP1-GINRAM07SC-31-JUL-2020-36</t>
  </si>
  <si>
    <t>MAIP Premium SC</t>
  </si>
  <si>
    <t>GINRAM07SC</t>
  </si>
  <si>
    <t>UNDP1-GINRAM08SC-31-AUG-2020-36</t>
  </si>
  <si>
    <t>GINRAM08SC</t>
  </si>
  <si>
    <t>UNDP1-GINRAM08SC-31-AUG-2020-31</t>
  </si>
  <si>
    <t>UNDP1-GINRAM09SC-30-SEP-2020-32</t>
  </si>
  <si>
    <t>GINRAM09SC</t>
  </si>
  <si>
    <t>UNDP1-GINRAM09SC-30-SEP-2020-37</t>
  </si>
  <si>
    <t>GIN10-11363-151974-1-2</t>
  </si>
  <si>
    <t>Contributions Receivable</t>
  </si>
  <si>
    <t>REV</t>
  </si>
  <si>
    <t>AR08454971</t>
  </si>
  <si>
    <t>AR</t>
  </si>
  <si>
    <t>Misc Deposits</t>
  </si>
  <si>
    <t>GIN10-5745-1-1</t>
  </si>
  <si>
    <t>DJA</t>
  </si>
  <si>
    <t>REVERSEMENT FOND</t>
  </si>
  <si>
    <t>AR08665152</t>
  </si>
  <si>
    <t>GIN10-5746-1-1</t>
  </si>
  <si>
    <t>REVERSEMENT OPEN ITEM</t>
  </si>
  <si>
    <t>GIN10-5747-1-1</t>
  </si>
  <si>
    <t>GIN10-5750-1-1</t>
  </si>
  <si>
    <t>Travel - Other</t>
  </si>
  <si>
    <t>REVERSEMENT FRAIS CARBURANT MI</t>
  </si>
  <si>
    <t>AR08673748</t>
  </si>
  <si>
    <t>Billing</t>
  </si>
  <si>
    <t>GIN10-151974-1-1</t>
  </si>
  <si>
    <t>Project Level Co-Financing</t>
  </si>
  <si>
    <t>BI08451138</t>
  </si>
  <si>
    <t>BI</t>
  </si>
  <si>
    <t>Expense Jrnl</t>
  </si>
  <si>
    <t>UNDP1-0000543188-1-1</t>
  </si>
  <si>
    <t>Daily Subsistence Allow-Local</t>
  </si>
  <si>
    <t>X000015577</t>
  </si>
  <si>
    <t>YAO KOFFI BERTIN</t>
  </si>
  <si>
    <t>DSA (Standard)</t>
  </si>
  <si>
    <t>Expense Accrual</t>
  </si>
  <si>
    <t>EX08559765</t>
  </si>
  <si>
    <t>EX</t>
  </si>
  <si>
    <t>UNDP1-0000543199-1-1</t>
  </si>
  <si>
    <t>N000040403</t>
  </si>
  <si>
    <t>IGNACE HABA</t>
  </si>
  <si>
    <t>UNDP1-0000543206-1-1</t>
  </si>
  <si>
    <t>MAOMOU FASSOU</t>
  </si>
  <si>
    <t>UNDP1-0000543210-1-1</t>
  </si>
  <si>
    <t>N000051701</t>
  </si>
  <si>
    <t>SEKOU CAMARA</t>
  </si>
  <si>
    <t>UNDP1-0000543211-1-1</t>
  </si>
  <si>
    <t>Daily Subsistence Allow-Intl</t>
  </si>
  <si>
    <t>X000019040</t>
  </si>
  <si>
    <t>KEITA  MORY</t>
  </si>
  <si>
    <t>DSA (Adjustments)</t>
  </si>
  <si>
    <t>EX08570459</t>
  </si>
  <si>
    <t>UNDP1-0000548529-1-1</t>
  </si>
  <si>
    <t>11-AUG-2020</t>
  </si>
  <si>
    <t>N000052255</t>
  </si>
  <si>
    <t>MANSARE AIME STEPHANE</t>
  </si>
  <si>
    <t>Balance Due to Traveler</t>
  </si>
  <si>
    <t>EX08608468</t>
  </si>
  <si>
    <t>UNDP1-0000553250-1-1</t>
  </si>
  <si>
    <t>28-AUG-2020</t>
  </si>
  <si>
    <t>29-AUG-2020</t>
  </si>
  <si>
    <t>N000044890</t>
  </si>
  <si>
    <t>RICHARD KOUROUMA</t>
  </si>
  <si>
    <t>EX08629975</t>
  </si>
  <si>
    <t>UNDP1-0000553250-2-1</t>
  </si>
  <si>
    <t>Miscellaneous</t>
  </si>
  <si>
    <t>UNDP1-0000553250-3-1</t>
  </si>
  <si>
    <t>UNDP1-0000553250-4-1</t>
  </si>
  <si>
    <t>UNDP1-0000553256-1-1</t>
  </si>
  <si>
    <t>X000018028</t>
  </si>
  <si>
    <t>NOEL KONE</t>
  </si>
  <si>
    <t>UNDP1-0000553258-1-1</t>
  </si>
  <si>
    <t>Travel Tickets-Local</t>
  </si>
  <si>
    <t>DIALLO MAMADOU SALIOU</t>
  </si>
  <si>
    <t>UNDP1-0000553261-1-1</t>
  </si>
  <si>
    <t>N000069069</t>
  </si>
  <si>
    <t>BARRY IBRAHIMA</t>
  </si>
  <si>
    <t>EX08637389</t>
  </si>
  <si>
    <t>UNDP1-0000553262-1-1</t>
  </si>
  <si>
    <t>N000053307</t>
  </si>
  <si>
    <t>BANGOURA FACINET</t>
  </si>
  <si>
    <t>UNDP1-0000560089-1-1</t>
  </si>
  <si>
    <t>EX08665205</t>
  </si>
  <si>
    <t>UNDP1-0000560099-1-1</t>
  </si>
  <si>
    <t>UNDP1-0000560103-1-1</t>
  </si>
  <si>
    <t>EX08698951</t>
  </si>
  <si>
    <t>UNDP1-0000562663-1-1</t>
  </si>
  <si>
    <t>N000052647</t>
  </si>
  <si>
    <t>MAMADOU TOUNKARA</t>
  </si>
  <si>
    <t>EX08682713</t>
  </si>
  <si>
    <t>UNDP1-0000562663-2-1</t>
  </si>
  <si>
    <t>UNDP1-0000562672-1-1</t>
  </si>
  <si>
    <t>UNDP1-0000562676-1-1</t>
  </si>
  <si>
    <t>UNDP1-0000562678-1-1</t>
  </si>
  <si>
    <t>N000043212</t>
  </si>
  <si>
    <t>CAMARA FODE</t>
  </si>
  <si>
    <t>UNDP1-0000562689-1-1</t>
  </si>
  <si>
    <t>EX08684693</t>
  </si>
  <si>
    <t>UNDP1-0000562689-2-1</t>
  </si>
  <si>
    <t>UNDP1-0000562700-1-1</t>
  </si>
  <si>
    <t>EX08681221</t>
  </si>
  <si>
    <t>UNDP1-0000562700-2-1</t>
  </si>
  <si>
    <t>Fuel, petroleum and other oils</t>
  </si>
  <si>
    <t>UNDP1-0000562704-1-1</t>
  </si>
  <si>
    <t>X000008351</t>
  </si>
  <si>
    <t>DIANE MAMADOU</t>
  </si>
  <si>
    <t>UNDP1-0000562746-1-1</t>
  </si>
  <si>
    <t>UNDP1-0000562746-2-1</t>
  </si>
  <si>
    <t>UNDP1-0000562748-1-1</t>
  </si>
  <si>
    <t>UNDP1-0000564428-1-1</t>
  </si>
  <si>
    <t>EX08688324</t>
  </si>
  <si>
    <t>UNDP1-0000564432-1-1</t>
  </si>
  <si>
    <t>BUDGET TOTAL</t>
  </si>
  <si>
    <t>Dépenses+GMS</t>
  </si>
  <si>
    <t>TOTAL DEPENSES</t>
  </si>
  <si>
    <t xml:space="preserve">BUDGET PBF PAR CATEGORIE SEMESTRE 2, AU 30 OCTOBRE 2020 </t>
  </si>
  <si>
    <t>BUDGET TRANCHE 1</t>
  </si>
  <si>
    <t>DECAISSEMENT TOTAL TRCHE 1</t>
  </si>
  <si>
    <t>DECAISSEMENT T0TAL TRCHE1</t>
  </si>
  <si>
    <t>SOLDE TRANCHE 1</t>
  </si>
  <si>
    <t>Organisation recipiendiaire 1</t>
  </si>
  <si>
    <t>Organisation recipiendiaire 2</t>
  </si>
  <si>
    <t>Organisation recipiendiaire 3</t>
  </si>
  <si>
    <t>TOTAL</t>
  </si>
  <si>
    <t>Ce taux est de 90% est avec les engagemens et les avances non justifer qui seront justifiées d'ici fin decembre 2020</t>
  </si>
  <si>
    <t>PREMIERE TRANCHE RECU PAR LES RECIPIENDAIRES PNUD ET SEARCH</t>
  </si>
  <si>
    <t>RAPPORT COMPILE PNUD+SEARCH</t>
  </si>
  <si>
    <t>QUARTERLY FINANCIAL REPORT</t>
  </si>
  <si>
    <t>Project: GUINEA CONFLICT PREVENTION DURING ELECTIONS</t>
  </si>
  <si>
    <t>Country: GUINEA</t>
  </si>
  <si>
    <t>Reporting period: JULY - SEPTEMBER 2020</t>
  </si>
  <si>
    <t>BUDGET CATEGORY</t>
  </si>
  <si>
    <t>TRANSFER RECEIVED</t>
  </si>
  <si>
    <t>EXPENSES PREVIOUSLY REPORTED</t>
  </si>
  <si>
    <t>DEPENSES FOR THIS PERIOD</t>
  </si>
  <si>
    <t>TOTAL EXPENSES</t>
  </si>
  <si>
    <t>VARIANCE</t>
  </si>
  <si>
    <t>BURN RATE</t>
  </si>
  <si>
    <t>COMMENTS</t>
  </si>
  <si>
    <t>1. Staff and other personnel</t>
  </si>
  <si>
    <t>2. Supplies, Commodities, Materials</t>
  </si>
  <si>
    <t>3. Equipment, Vehicles, and Furniture (including Depreciation)</t>
  </si>
  <si>
    <t>Il y a un depassement sur cette ligne car 2 ordinateurs ont ete achetes au debut du projet pour le staff du projet. Toutfeois, il n y a pas de depassement sur le budget global</t>
  </si>
  <si>
    <t>4. Contractual services</t>
  </si>
  <si>
    <t>5. Travel</t>
  </si>
  <si>
    <t>6. Transfers and Grants to Counterparts</t>
  </si>
  <si>
    <t>N/A</t>
  </si>
  <si>
    <t>7. General Operating and other Costs</t>
  </si>
  <si>
    <t xml:space="preserve">Sub-total </t>
  </si>
  <si>
    <t>7% Indirect Costs</t>
  </si>
  <si>
    <t>Koly Koivogui</t>
  </si>
  <si>
    <t>Country Finance Manager</t>
  </si>
  <si>
    <t>Signature</t>
  </si>
  <si>
    <t>Date</t>
  </si>
  <si>
    <t>Sami El Salem</t>
  </si>
  <si>
    <t>Senior Project Finance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</si>
</sst>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 #,##0.00\ &quot;FG&quot;_-;\-* #,##0.00\ &quot;FG&quot;_-;_-* &quot;-&quot;??\ &quot;FG&quot;_-;_-@_-"/>
    <numFmt numFmtId="165" formatCode="_(* #,##0.00_);_(* \(#,##0.00\);_(* &quot;-&quot;??_);_(@_)"/>
    <numFmt numFmtId="166" formatCode="_(&quot;$&quot;* #,##0.00_);_(&quot;$&quot;* \(#,##0.00\);_(&quot;$&quot;* &quot;-&quot;??_);_(@_)"/>
    <numFmt numFmtId="167" formatCode="_-* #,##0.00\ _€_-;\-* #,##0.00\ _€_-;_-* &quot;-&quot;??\ _€_-;_-@_-"/>
    <numFmt numFmtId="168" formatCode="_-* #,##0.00\ _F_G_-;\-* #,##0.00\ _F_G_-;_-* &quot;-&quot;??\ _F_G_-;_-@_-"/>
    <numFmt numFmtId="169" formatCode="_-[$$-409]* #,##0.00_ ;_-[$$-409]* \-#,##0.00\ ;_-[$$-409]* &quot;-&quot;_ ;_-@_ "/>
    <numFmt numFmtId="170" formatCode="_-* #,##0.00_-;\-* #,##0.00_-;_-* &quot;-&quot;_-;_-@_-"/>
    <numFmt numFmtId="171" formatCode="_(* #,##0_);_(* \(#,##0\);_(* &quot;-&quot;??_);_(@_)"/>
    <numFmt numFmtId="172" formatCode="&quot;$&quot;#,##0;\-&quot;$&quot;#,##0"/>
  </numFmts>
  <fonts count="29" x14ac:knownFonts="1">
    <font>
      <sz val="11"/>
      <color theme="1"/>
      <name val="Calibri"/>
      <family val="2"/>
      <scheme val="minor"/>
    </font>
    <font>
      <sz val="11"/>
      <color theme="1"/>
      <name val="Calibri"/>
      <family val="2"/>
      <scheme val="minor"/>
    </font>
    <font>
      <b/>
      <sz val="12"/>
      <color theme="1"/>
      <name val="Calibri"/>
      <family val="2"/>
      <scheme val="minor"/>
    </font>
    <font>
      <sz val="14"/>
      <color theme="1"/>
      <name val="Calibri"/>
      <family val="2"/>
      <scheme val="minor"/>
    </font>
    <font>
      <sz val="10"/>
      <name val="Arial"/>
      <family val="2"/>
    </font>
    <font>
      <sz val="10"/>
      <name val="Helvetica"/>
      <family val="2"/>
    </font>
    <font>
      <b/>
      <sz val="11"/>
      <color theme="1"/>
      <name val="Calibri"/>
      <family val="2"/>
      <scheme val="minor"/>
    </font>
    <font>
      <sz val="12"/>
      <color theme="1"/>
      <name val="Calibri"/>
      <family val="2"/>
      <scheme val="minor"/>
    </font>
    <font>
      <sz val="10"/>
      <name val="Times New Roman"/>
      <family val="1"/>
    </font>
    <font>
      <b/>
      <sz val="10"/>
      <color theme="1"/>
      <name val="Calibri"/>
      <family val="2"/>
      <scheme val="minor"/>
    </font>
    <font>
      <b/>
      <sz val="10"/>
      <color rgb="FF00B0F0"/>
      <name val="Calibri"/>
      <family val="2"/>
      <scheme val="minor"/>
    </font>
    <font>
      <sz val="10"/>
      <color theme="1"/>
      <name val="Calibri"/>
      <family val="2"/>
      <scheme val="minor"/>
    </font>
    <font>
      <b/>
      <sz val="10"/>
      <color rgb="FFFF0000"/>
      <name val="Calibri"/>
      <family val="2"/>
      <scheme val="minor"/>
    </font>
    <font>
      <sz val="10"/>
      <name val="Calibri"/>
      <family val="2"/>
      <scheme val="minor"/>
    </font>
    <font>
      <sz val="10"/>
      <color rgb="FF000000"/>
      <name val="Calibri"/>
      <family val="2"/>
      <scheme val="minor"/>
    </font>
    <font>
      <sz val="9"/>
      <color theme="1"/>
      <name val="Calibri"/>
      <family val="2"/>
      <scheme val="minor"/>
    </font>
    <font>
      <sz val="9"/>
      <color theme="1"/>
      <name val="Times New Roman"/>
      <family val="1"/>
    </font>
    <font>
      <sz val="10"/>
      <color theme="1"/>
      <name val="Times New Roman"/>
      <family val="1"/>
    </font>
    <font>
      <b/>
      <sz val="9"/>
      <color theme="1"/>
      <name val="Calibri"/>
      <family val="2"/>
      <scheme val="minor"/>
    </font>
    <font>
      <b/>
      <sz val="10"/>
      <color theme="0"/>
      <name val="Calibri"/>
      <family val="2"/>
      <scheme val="minor"/>
    </font>
    <font>
      <sz val="9"/>
      <name val="Calibri"/>
      <family val="2"/>
      <scheme val="minor"/>
    </font>
    <font>
      <b/>
      <sz val="8"/>
      <color theme="1"/>
      <name val="Calibri"/>
      <family val="2"/>
      <scheme val="minor"/>
    </font>
    <font>
      <sz val="9"/>
      <color indexed="81"/>
      <name val="Tahoma"/>
      <family val="2"/>
    </font>
    <font>
      <b/>
      <sz val="9"/>
      <color indexed="81"/>
      <name val="Tahoma"/>
      <family val="2"/>
    </font>
    <font>
      <sz val="10"/>
      <color rgb="FFFF0000"/>
      <name val="Calibri"/>
      <family val="2"/>
      <scheme val="minor"/>
    </font>
    <font>
      <b/>
      <sz val="12"/>
      <color theme="1"/>
      <name val="Calibri"/>
      <family val="2"/>
    </font>
    <font>
      <sz val="11"/>
      <name val="Calibri"/>
      <family val="2"/>
      <scheme val="minor"/>
    </font>
    <font>
      <b/>
      <sz val="10"/>
      <name val="Arial"/>
      <family val="2"/>
    </font>
    <font>
      <b/>
      <sz val="11"/>
      <name val="Calibri"/>
      <family val="2"/>
      <scheme val="minor"/>
    </font>
  </fonts>
  <fills count="17">
    <fill>
      <patternFill patternType="none"/>
    </fill>
    <fill>
      <patternFill patternType="gray125"/>
    </fill>
    <fill>
      <patternFill patternType="solid">
        <fgColor rgb="FFFFFFFF"/>
        <bgColor indexed="64"/>
      </patternFill>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00FFFF"/>
        <bgColor indexed="64"/>
      </patternFill>
    </fill>
    <fill>
      <patternFill patternType="solid">
        <fgColor theme="5" tint="0.59999389629810485"/>
        <bgColor indexed="64"/>
      </patternFill>
    </fill>
    <fill>
      <patternFill patternType="solid">
        <fgColor rgb="FF0099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s>
  <borders count="7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top/>
      <bottom style="thin">
        <color rgb="FF000000"/>
      </bottom>
      <diagonal/>
    </border>
    <border>
      <left/>
      <right style="medium">
        <color indexed="64"/>
      </right>
      <top/>
      <bottom/>
      <diagonal/>
    </border>
  </borders>
  <cellStyleXfs count="7">
    <xf numFmtId="0" fontId="0" fillId="0" borderId="0"/>
    <xf numFmtId="165" fontId="1" fillId="0" borderId="0" applyFont="0" applyFill="0" applyBorder="0" applyAlignment="0" applyProtection="0"/>
    <xf numFmtId="9" fontId="1" fillId="0" borderId="0" applyFont="0" applyFill="0" applyBorder="0" applyAlignment="0" applyProtection="0"/>
    <xf numFmtId="0" fontId="4" fillId="0" borderId="0">
      <alignment vertical="top"/>
    </xf>
    <xf numFmtId="0" fontId="4" fillId="0" borderId="0"/>
    <xf numFmtId="164" fontId="1" fillId="0" borderId="0" applyFont="0" applyFill="0" applyBorder="0" applyAlignment="0" applyProtection="0"/>
    <xf numFmtId="41" fontId="1" fillId="0" borderId="0" applyFont="0" applyFill="0" applyBorder="0" applyAlignment="0" applyProtection="0"/>
  </cellStyleXfs>
  <cellXfs count="519">
    <xf numFmtId="0" fontId="0" fillId="0" borderId="0" xfId="0"/>
    <xf numFmtId="3" fontId="8" fillId="0" borderId="2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3" fontId="8" fillId="0" borderId="26" xfId="0" applyNumberFormat="1" applyFont="1" applyBorder="1" applyAlignment="1">
      <alignment horizontal="center" vertical="center" wrapText="1"/>
    </xf>
    <xf numFmtId="3" fontId="8" fillId="0" borderId="36" xfId="0" applyNumberFormat="1" applyFont="1" applyBorder="1" applyAlignment="1">
      <alignment horizontal="center" vertical="center" wrapText="1"/>
    </xf>
    <xf numFmtId="3" fontId="8" fillId="0" borderId="45" xfId="0" applyNumberFormat="1" applyFont="1" applyBorder="1" applyAlignment="1">
      <alignment horizontal="center" vertical="center" wrapText="1"/>
    </xf>
    <xf numFmtId="3" fontId="8" fillId="0" borderId="61" xfId="0" applyNumberFormat="1" applyFont="1" applyBorder="1" applyAlignment="1">
      <alignment horizontal="center" vertical="center" wrapText="1"/>
    </xf>
    <xf numFmtId="3" fontId="8" fillId="0" borderId="46"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3" fontId="8" fillId="0" borderId="56" xfId="0" applyNumberFormat="1" applyFont="1" applyBorder="1" applyAlignment="1">
      <alignment horizontal="center" vertical="center" wrapText="1"/>
    </xf>
    <xf numFmtId="0" fontId="9" fillId="0" borderId="0" xfId="0" applyFont="1" applyAlignment="1">
      <alignment wrapText="1"/>
    </xf>
    <xf numFmtId="0" fontId="11" fillId="0" borderId="0" xfId="0" applyFont="1" applyAlignment="1">
      <alignment wrapText="1"/>
    </xf>
    <xf numFmtId="0" fontId="11" fillId="5" borderId="0" xfId="0" applyFont="1" applyFill="1" applyAlignment="1">
      <alignment wrapText="1"/>
    </xf>
    <xf numFmtId="164" fontId="9" fillId="0" borderId="0" xfId="5" applyFont="1" applyAlignment="1">
      <alignment vertical="center" wrapText="1"/>
    </xf>
    <xf numFmtId="166" fontId="11" fillId="8" borderId="8" xfId="5" applyNumberFormat="1" applyFont="1" applyFill="1" applyBorder="1" applyAlignment="1" applyProtection="1">
      <alignment horizontal="center" vertical="center" wrapText="1"/>
      <protection locked="0"/>
    </xf>
    <xf numFmtId="166" fontId="11" fillId="0" borderId="8" xfId="5" applyNumberFormat="1" applyFont="1" applyBorder="1" applyAlignment="1" applyProtection="1">
      <alignment horizontal="center" vertical="center" wrapText="1"/>
      <protection locked="0"/>
    </xf>
    <xf numFmtId="9" fontId="11" fillId="0" borderId="5" xfId="2" applyFont="1" applyBorder="1" applyAlignment="1" applyProtection="1">
      <alignment horizontal="center" vertical="center" wrapText="1"/>
      <protection locked="0"/>
    </xf>
    <xf numFmtId="166" fontId="11" fillId="0" borderId="0" xfId="5" applyNumberFormat="1" applyFont="1" applyAlignment="1">
      <alignment horizontal="center" vertical="center" wrapText="1"/>
    </xf>
    <xf numFmtId="166" fontId="11" fillId="8" borderId="22" xfId="5" applyNumberFormat="1" applyFont="1" applyFill="1" applyBorder="1" applyAlignment="1" applyProtection="1">
      <alignment horizontal="center" vertical="center" wrapText="1"/>
      <protection locked="0"/>
    </xf>
    <xf numFmtId="166" fontId="11" fillId="0" borderId="22" xfId="5" applyNumberFormat="1" applyFont="1" applyBorder="1" applyAlignment="1" applyProtection="1">
      <alignment horizontal="center" vertical="center" wrapText="1"/>
      <protection locked="0"/>
    </xf>
    <xf numFmtId="166" fontId="11" fillId="8" borderId="5" xfId="5" applyNumberFormat="1" applyFont="1" applyFill="1" applyBorder="1" applyAlignment="1" applyProtection="1">
      <alignment horizontal="center" vertical="center" wrapText="1"/>
      <protection locked="0"/>
    </xf>
    <xf numFmtId="166" fontId="11" fillId="0" borderId="5" xfId="5" applyNumberFormat="1" applyFont="1" applyBorder="1" applyAlignment="1" applyProtection="1">
      <alignment horizontal="center" vertical="center" wrapText="1"/>
      <protection locked="0"/>
    </xf>
    <xf numFmtId="166" fontId="11" fillId="8" borderId="33" xfId="5" applyNumberFormat="1" applyFont="1" applyFill="1" applyBorder="1" applyAlignment="1" applyProtection="1">
      <alignment horizontal="center" vertical="center" wrapText="1"/>
      <protection locked="0"/>
    </xf>
    <xf numFmtId="166" fontId="11" fillId="0" borderId="33" xfId="5" applyNumberFormat="1" applyFont="1" applyBorder="1" applyAlignment="1" applyProtection="1">
      <alignment horizontal="center" vertical="center" wrapText="1"/>
      <protection locked="0"/>
    </xf>
    <xf numFmtId="166" fontId="11" fillId="8" borderId="34" xfId="5" applyNumberFormat="1" applyFont="1" applyFill="1" applyBorder="1" applyAlignment="1" applyProtection="1">
      <alignment horizontal="center" vertical="center" wrapText="1"/>
      <protection locked="0"/>
    </xf>
    <xf numFmtId="166" fontId="11" fillId="0" borderId="34" xfId="5" applyNumberFormat="1" applyFont="1" applyBorder="1" applyAlignment="1" applyProtection="1">
      <alignment horizontal="center" vertical="center" wrapText="1"/>
      <protection locked="0"/>
    </xf>
    <xf numFmtId="0" fontId="11" fillId="7" borderId="2" xfId="0" applyFont="1" applyFill="1" applyBorder="1" applyAlignment="1">
      <alignment vertical="center" wrapText="1"/>
    </xf>
    <xf numFmtId="0" fontId="11" fillId="0" borderId="2" xfId="0" applyFont="1" applyBorder="1" applyAlignment="1" applyProtection="1">
      <alignment horizontal="left" vertical="top" wrapText="1"/>
      <protection locked="0"/>
    </xf>
    <xf numFmtId="166" fontId="11" fillId="8" borderId="2" xfId="5" applyNumberFormat="1" applyFont="1" applyFill="1" applyBorder="1" applyAlignment="1" applyProtection="1">
      <alignment horizontal="center" vertical="center" wrapText="1"/>
      <protection locked="0"/>
    </xf>
    <xf numFmtId="166" fontId="11" fillId="0" borderId="2" xfId="5" applyNumberFormat="1" applyFont="1" applyBorder="1" applyAlignment="1" applyProtection="1">
      <alignment horizontal="center" vertical="center" wrapText="1"/>
      <protection locked="0"/>
    </xf>
    <xf numFmtId="9" fontId="11" fillId="0" borderId="2" xfId="2" applyFont="1" applyBorder="1" applyAlignment="1" applyProtection="1">
      <alignment horizontal="center" vertical="center" wrapText="1"/>
      <protection locked="0"/>
    </xf>
    <xf numFmtId="0" fontId="11" fillId="7" borderId="5" xfId="0" applyFont="1" applyFill="1" applyBorder="1" applyAlignment="1">
      <alignment vertical="center" wrapText="1"/>
    </xf>
    <xf numFmtId="0" fontId="11" fillId="0" borderId="5" xfId="0" applyFont="1" applyBorder="1" applyAlignment="1" applyProtection="1">
      <alignment horizontal="left" vertical="top" wrapText="1"/>
      <protection locked="0"/>
    </xf>
    <xf numFmtId="0" fontId="11" fillId="5" borderId="5" xfId="0" applyFont="1" applyFill="1" applyBorder="1" applyAlignment="1" applyProtection="1">
      <alignment horizontal="left" vertical="top" wrapText="1"/>
      <protection locked="0"/>
    </xf>
    <xf numFmtId="166" fontId="11" fillId="5" borderId="5" xfId="5" applyNumberFormat="1" applyFont="1" applyFill="1" applyBorder="1" applyAlignment="1" applyProtection="1">
      <alignment horizontal="center" vertical="center" wrapText="1"/>
      <protection locked="0"/>
    </xf>
    <xf numFmtId="9" fontId="11" fillId="5" borderId="5" xfId="2" applyFont="1" applyFill="1" applyBorder="1" applyAlignment="1" applyProtection="1">
      <alignment horizontal="center" vertical="center" wrapText="1"/>
      <protection locked="0"/>
    </xf>
    <xf numFmtId="164" fontId="9" fillId="0" borderId="0" xfId="5" applyFont="1" applyAlignment="1">
      <alignment horizontal="center" vertical="center" wrapText="1"/>
    </xf>
    <xf numFmtId="166" fontId="11" fillId="9" borderId="22" xfId="5" applyNumberFormat="1" applyFont="1" applyFill="1" applyBorder="1" applyAlignment="1" applyProtection="1">
      <alignment horizontal="center" vertical="center" wrapText="1"/>
      <protection locked="0"/>
    </xf>
    <xf numFmtId="166" fontId="11" fillId="9" borderId="5" xfId="5" applyNumberFormat="1" applyFont="1" applyFill="1" applyBorder="1" applyAlignment="1" applyProtection="1">
      <alignment horizontal="center" vertical="center" wrapText="1"/>
      <protection locked="0"/>
    </xf>
    <xf numFmtId="166" fontId="11" fillId="9" borderId="8" xfId="5" applyNumberFormat="1" applyFont="1" applyFill="1" applyBorder="1" applyAlignment="1" applyProtection="1">
      <alignment horizontal="center" vertical="center" wrapText="1"/>
      <protection locked="0"/>
    </xf>
    <xf numFmtId="166" fontId="13" fillId="9" borderId="22" xfId="5" applyNumberFormat="1" applyFont="1" applyFill="1" applyBorder="1" applyAlignment="1" applyProtection="1">
      <alignment horizontal="center" vertical="center" wrapText="1"/>
      <protection locked="0"/>
    </xf>
    <xf numFmtId="166" fontId="13" fillId="9" borderId="5" xfId="5" applyNumberFormat="1" applyFont="1" applyFill="1" applyBorder="1" applyAlignment="1" applyProtection="1">
      <alignment horizontal="center" vertical="center" wrapText="1"/>
      <protection locked="0"/>
    </xf>
    <xf numFmtId="166" fontId="13" fillId="9" borderId="33" xfId="5" applyNumberFormat="1" applyFont="1" applyFill="1" applyBorder="1" applyAlignment="1" applyProtection="1">
      <alignment horizontal="center" vertical="center" wrapText="1"/>
      <protection locked="0"/>
    </xf>
    <xf numFmtId="166" fontId="9" fillId="6" borderId="8" xfId="5" applyNumberFormat="1" applyFont="1" applyFill="1" applyBorder="1" applyAlignment="1">
      <alignment horizontal="center" vertical="center" wrapText="1"/>
    </xf>
    <xf numFmtId="166" fontId="13" fillId="9" borderId="2" xfId="5" applyNumberFormat="1" applyFont="1" applyFill="1" applyBorder="1" applyAlignment="1" applyProtection="1">
      <alignment horizontal="center" vertical="center" wrapText="1"/>
      <protection locked="0"/>
    </xf>
    <xf numFmtId="166" fontId="13" fillId="9" borderId="48" xfId="5" applyNumberFormat="1" applyFont="1" applyFill="1" applyBorder="1" applyAlignment="1" applyProtection="1">
      <alignment horizontal="center" vertical="center" wrapText="1"/>
      <protection locked="0"/>
    </xf>
    <xf numFmtId="166" fontId="13" fillId="9" borderId="50" xfId="5" applyNumberFormat="1" applyFont="1" applyFill="1" applyBorder="1" applyAlignment="1" applyProtection="1">
      <alignment horizontal="center" vertical="center" wrapText="1"/>
      <protection locked="0"/>
    </xf>
    <xf numFmtId="166" fontId="13" fillId="9" borderId="51" xfId="5" applyNumberFormat="1" applyFont="1" applyFill="1" applyBorder="1" applyAlignment="1" applyProtection="1">
      <alignment horizontal="center" vertical="center" wrapText="1"/>
      <protection locked="0"/>
    </xf>
    <xf numFmtId="0" fontId="11" fillId="5" borderId="0" xfId="0" applyFont="1" applyFill="1" applyAlignment="1" applyProtection="1">
      <alignment vertical="center" wrapText="1"/>
      <protection locked="0"/>
    </xf>
    <xf numFmtId="166" fontId="11" fillId="8" borderId="48" xfId="5" applyNumberFormat="1" applyFont="1" applyFill="1" applyBorder="1" applyAlignment="1" applyProtection="1">
      <alignment horizontal="center" vertical="center" wrapText="1"/>
      <protection locked="0"/>
    </xf>
    <xf numFmtId="166" fontId="11" fillId="8" borderId="50" xfId="5" applyNumberFormat="1" applyFont="1" applyFill="1" applyBorder="1" applyAlignment="1" applyProtection="1">
      <alignment horizontal="center" vertical="center" wrapText="1"/>
      <protection locked="0"/>
    </xf>
    <xf numFmtId="166" fontId="11" fillId="8" borderId="52" xfId="5" applyNumberFormat="1" applyFont="1" applyFill="1" applyBorder="1" applyAlignment="1" applyProtection="1">
      <alignment horizontal="center" vertical="center" wrapText="1"/>
      <protection locked="0"/>
    </xf>
    <xf numFmtId="166" fontId="11" fillId="8" borderId="51" xfId="5" applyNumberFormat="1" applyFont="1" applyFill="1" applyBorder="1" applyAlignment="1" applyProtection="1">
      <alignment horizontal="center" vertical="center" wrapText="1"/>
      <protection locked="0"/>
    </xf>
    <xf numFmtId="166" fontId="11" fillId="0" borderId="41" xfId="5" applyNumberFormat="1" applyFont="1" applyBorder="1" applyAlignment="1" applyProtection="1">
      <alignment horizontal="center" vertical="center" wrapText="1"/>
      <protection locked="0"/>
    </xf>
    <xf numFmtId="0" fontId="11" fillId="0" borderId="55" xfId="0" applyFont="1" applyBorder="1" applyAlignment="1" applyProtection="1">
      <alignment horizontal="left" vertical="center" wrapText="1"/>
      <protection locked="0"/>
    </xf>
    <xf numFmtId="166" fontId="11" fillId="8" borderId="20" xfId="5" applyNumberFormat="1" applyFont="1" applyFill="1" applyBorder="1" applyAlignment="1" applyProtection="1">
      <alignment horizontal="center" vertical="center" wrapText="1"/>
      <protection locked="0"/>
    </xf>
    <xf numFmtId="166" fontId="11" fillId="0" borderId="55" xfId="5" applyNumberFormat="1" applyFont="1" applyBorder="1" applyAlignment="1" applyProtection="1">
      <alignment horizontal="center" vertical="center" wrapText="1"/>
      <protection locked="0"/>
    </xf>
    <xf numFmtId="9" fontId="11" fillId="0" borderId="55" xfId="2" applyFont="1" applyBorder="1" applyAlignment="1" applyProtection="1">
      <alignment horizontal="center" vertical="center" wrapText="1"/>
      <protection locked="0"/>
    </xf>
    <xf numFmtId="0" fontId="9" fillId="5" borderId="0" xfId="0" applyFont="1" applyFill="1" applyAlignment="1">
      <alignment vertical="center" wrapText="1"/>
    </xf>
    <xf numFmtId="164" fontId="11" fillId="5" borderId="0" xfId="5" applyFont="1" applyFill="1" applyAlignment="1" applyProtection="1">
      <alignment vertical="center" wrapText="1"/>
      <protection locked="0"/>
    </xf>
    <xf numFmtId="166" fontId="13" fillId="8" borderId="52" xfId="5" applyNumberFormat="1" applyFont="1" applyFill="1" applyBorder="1" applyAlignment="1" applyProtection="1">
      <alignment horizontal="center" vertical="center" wrapText="1"/>
      <protection locked="0"/>
    </xf>
    <xf numFmtId="166" fontId="13" fillId="9" borderId="57" xfId="5" applyNumberFormat="1" applyFont="1" applyFill="1" applyBorder="1" applyAlignment="1" applyProtection="1">
      <alignment horizontal="center" vertical="center" wrapText="1"/>
      <protection locked="0"/>
    </xf>
    <xf numFmtId="3" fontId="13" fillId="0" borderId="38" xfId="0" applyNumberFormat="1" applyFont="1" applyBorder="1" applyAlignment="1">
      <alignment vertical="center" wrapText="1"/>
    </xf>
    <xf numFmtId="164" fontId="11" fillId="0" borderId="22" xfId="5" applyFont="1" applyBorder="1" applyAlignment="1" applyProtection="1">
      <alignment vertical="center" wrapText="1"/>
      <protection locked="0"/>
    </xf>
    <xf numFmtId="3" fontId="13" fillId="0" borderId="40" xfId="0" applyNumberFormat="1" applyFont="1" applyBorder="1" applyAlignment="1">
      <alignment vertical="center" wrapText="1"/>
    </xf>
    <xf numFmtId="164" fontId="11" fillId="0" borderId="5" xfId="5" applyFont="1" applyBorder="1" applyAlignment="1" applyProtection="1">
      <alignment vertical="center" wrapText="1"/>
      <protection locked="0"/>
    </xf>
    <xf numFmtId="3" fontId="13" fillId="0" borderId="42" xfId="0" applyNumberFormat="1" applyFont="1" applyBorder="1" applyAlignment="1">
      <alignment vertical="center" wrapText="1"/>
    </xf>
    <xf numFmtId="3" fontId="13" fillId="0" borderId="44" xfId="0" applyNumberFormat="1" applyFont="1" applyBorder="1" applyAlignment="1">
      <alignment vertical="center" wrapText="1"/>
    </xf>
    <xf numFmtId="166" fontId="11" fillId="9" borderId="33" xfId="5" applyNumberFormat="1" applyFont="1" applyFill="1" applyBorder="1" applyAlignment="1" applyProtection="1">
      <alignment horizontal="center" vertical="center" wrapText="1"/>
      <protection locked="0"/>
    </xf>
    <xf numFmtId="164" fontId="11" fillId="0" borderId="33" xfId="5" applyFont="1" applyBorder="1" applyAlignment="1" applyProtection="1">
      <alignment vertical="center" wrapText="1"/>
      <protection locked="0"/>
    </xf>
    <xf numFmtId="9" fontId="11" fillId="0" borderId="0" xfId="2" applyFont="1" applyAlignment="1">
      <alignment wrapText="1"/>
    </xf>
    <xf numFmtId="3" fontId="13" fillId="0" borderId="22" xfId="0" applyNumberFormat="1" applyFont="1" applyBorder="1" applyAlignment="1">
      <alignment vertical="center" wrapText="1"/>
    </xf>
    <xf numFmtId="3" fontId="13" fillId="0" borderId="5" xfId="0" applyNumberFormat="1" applyFont="1" applyBorder="1" applyAlignment="1">
      <alignment vertical="center" wrapText="1"/>
    </xf>
    <xf numFmtId="166" fontId="13" fillId="8" borderId="5" xfId="5" applyNumberFormat="1" applyFont="1" applyFill="1" applyBorder="1" applyAlignment="1" applyProtection="1">
      <alignment horizontal="center" vertical="center" wrapText="1"/>
      <protection locked="0"/>
    </xf>
    <xf numFmtId="3" fontId="13" fillId="0" borderId="8" xfId="0" applyNumberFormat="1" applyFont="1" applyBorder="1" applyAlignment="1">
      <alignment vertical="center" wrapText="1"/>
    </xf>
    <xf numFmtId="164" fontId="11" fillId="0" borderId="8" xfId="5" applyFont="1" applyBorder="1" applyAlignment="1" applyProtection="1">
      <alignment vertical="center" wrapText="1"/>
      <protection locked="0"/>
    </xf>
    <xf numFmtId="3" fontId="13" fillId="0" borderId="33" xfId="0" applyNumberFormat="1" applyFont="1" applyBorder="1" applyAlignment="1">
      <alignment vertical="center" wrapText="1"/>
    </xf>
    <xf numFmtId="0" fontId="11" fillId="5" borderId="54" xfId="0" applyFont="1" applyFill="1" applyBorder="1" applyAlignment="1" applyProtection="1">
      <alignment vertical="center" wrapText="1"/>
      <protection locked="0"/>
    </xf>
    <xf numFmtId="164" fontId="11" fillId="8" borderId="55" xfId="5" applyFont="1" applyFill="1" applyBorder="1" applyAlignment="1" applyProtection="1">
      <alignment vertical="center" wrapText="1"/>
      <protection locked="0"/>
    </xf>
    <xf numFmtId="164" fontId="11" fillId="9" borderId="55" xfId="5" applyFont="1" applyFill="1" applyBorder="1" applyAlignment="1" applyProtection="1">
      <alignment vertical="center" wrapText="1"/>
      <protection locked="0"/>
    </xf>
    <xf numFmtId="164" fontId="11" fillId="0" borderId="55" xfId="5" applyFont="1" applyBorder="1" applyAlignment="1" applyProtection="1">
      <alignment vertical="center" wrapText="1"/>
      <protection locked="0"/>
    </xf>
    <xf numFmtId="0" fontId="9" fillId="5" borderId="0" xfId="0" applyFont="1" applyFill="1" applyAlignment="1" applyProtection="1">
      <alignment vertical="center" wrapText="1"/>
      <protection locked="0"/>
    </xf>
    <xf numFmtId="0" fontId="11" fillId="0" borderId="0" xfId="0" applyFont="1" applyAlignment="1">
      <alignment vertical="center" wrapText="1"/>
    </xf>
    <xf numFmtId="0" fontId="9" fillId="0" borderId="0" xfId="0" applyFont="1" applyAlignment="1">
      <alignment vertical="center" wrapText="1"/>
    </xf>
    <xf numFmtId="0" fontId="16" fillId="0" borderId="15" xfId="0" applyFont="1" applyBorder="1" applyAlignment="1">
      <alignment vertical="center" wrapText="1"/>
    </xf>
    <xf numFmtId="0" fontId="16" fillId="10" borderId="15" xfId="0" applyFont="1" applyFill="1" applyBorder="1" applyAlignment="1">
      <alignment horizontal="left" vertical="center" wrapText="1"/>
    </xf>
    <xf numFmtId="0" fontId="15" fillId="0" borderId="0" xfId="0" applyFont="1"/>
    <xf numFmtId="0" fontId="16" fillId="0" borderId="67" xfId="0" applyFont="1" applyBorder="1" applyAlignment="1">
      <alignment vertical="center" wrapText="1"/>
    </xf>
    <xf numFmtId="0" fontId="9" fillId="7" borderId="2" xfId="0" applyFont="1" applyFill="1" applyBorder="1" applyAlignment="1">
      <alignment vertical="center" wrapText="1"/>
    </xf>
    <xf numFmtId="0" fontId="9" fillId="5" borderId="55" xfId="0" applyFont="1" applyFill="1" applyBorder="1" applyAlignment="1" applyProtection="1">
      <alignment horizontal="center" vertical="center" wrapText="1"/>
      <protection locked="0"/>
    </xf>
    <xf numFmtId="0" fontId="12" fillId="6" borderId="67" xfId="0" applyFont="1" applyFill="1" applyBorder="1" applyAlignment="1">
      <alignment horizontal="center" vertical="center" wrapText="1"/>
    </xf>
    <xf numFmtId="0" fontId="11" fillId="0" borderId="54" xfId="0" applyFont="1" applyBorder="1" applyAlignment="1" applyProtection="1">
      <alignment horizontal="left" vertical="top" wrapText="1"/>
      <protection locked="0"/>
    </xf>
    <xf numFmtId="166" fontId="11" fillId="8" borderId="55" xfId="5" applyNumberFormat="1" applyFont="1" applyFill="1" applyBorder="1" applyAlignment="1" applyProtection="1">
      <alignment horizontal="center" vertical="center" wrapText="1"/>
      <protection locked="0"/>
    </xf>
    <xf numFmtId="0" fontId="11" fillId="5" borderId="8" xfId="0" applyFont="1" applyFill="1" applyBorder="1" applyAlignment="1" applyProtection="1">
      <alignment horizontal="left" vertical="top" wrapText="1"/>
      <protection locked="0"/>
    </xf>
    <xf numFmtId="166" fontId="11" fillId="5" borderId="8" xfId="5" applyNumberFormat="1" applyFont="1" applyFill="1" applyBorder="1" applyAlignment="1" applyProtection="1">
      <alignment horizontal="center" vertical="center" wrapText="1"/>
      <protection locked="0"/>
    </xf>
    <xf numFmtId="9" fontId="11" fillId="5" borderId="8" xfId="2" applyFont="1" applyFill="1" applyBorder="1" applyAlignment="1" applyProtection="1">
      <alignment horizontal="center" vertical="center" wrapText="1"/>
      <protection locked="0"/>
    </xf>
    <xf numFmtId="166" fontId="9" fillId="6" borderId="55" xfId="5" applyNumberFormat="1" applyFont="1" applyFill="1" applyBorder="1" applyAlignment="1">
      <alignment horizontal="center" vertical="center" wrapText="1"/>
    </xf>
    <xf numFmtId="164" fontId="9" fillId="6" borderId="20" xfId="5" applyFont="1" applyFill="1" applyBorder="1" applyAlignment="1">
      <alignment horizontal="center" vertical="center" wrapText="1"/>
    </xf>
    <xf numFmtId="0" fontId="9" fillId="6" borderId="8" xfId="0" applyFont="1" applyFill="1" applyBorder="1" applyAlignment="1">
      <alignment vertical="center" wrapText="1"/>
    </xf>
    <xf numFmtId="166" fontId="9" fillId="6" borderId="68" xfId="5" applyNumberFormat="1" applyFont="1" applyFill="1" applyBorder="1" applyAlignment="1">
      <alignment horizontal="center" vertical="center" wrapText="1"/>
    </xf>
    <xf numFmtId="0" fontId="9" fillId="13" borderId="0" xfId="0" applyFont="1" applyFill="1" applyAlignment="1">
      <alignment vertical="center" wrapText="1"/>
    </xf>
    <xf numFmtId="3" fontId="20" fillId="0" borderId="40" xfId="0" applyNumberFormat="1" applyFont="1" applyBorder="1" applyAlignment="1">
      <alignment vertical="center" wrapText="1"/>
    </xf>
    <xf numFmtId="166" fontId="9" fillId="6" borderId="56" xfId="5" applyNumberFormat="1" applyFont="1" applyFill="1" applyBorder="1" applyAlignment="1">
      <alignment horizontal="center" vertical="center" wrapText="1"/>
    </xf>
    <xf numFmtId="168" fontId="9" fillId="11" borderId="68" xfId="0" applyNumberFormat="1" applyFont="1" applyFill="1" applyBorder="1" applyAlignment="1" applyProtection="1">
      <alignment vertical="top" wrapText="1"/>
      <protection locked="0"/>
    </xf>
    <xf numFmtId="0" fontId="9" fillId="11" borderId="56" xfId="0" applyFont="1" applyFill="1" applyBorder="1" applyAlignment="1" applyProtection="1">
      <alignment vertical="top" wrapText="1"/>
      <protection locked="0"/>
    </xf>
    <xf numFmtId="0" fontId="9" fillId="11" borderId="67" xfId="0" applyFont="1" applyFill="1" applyBorder="1" applyAlignment="1" applyProtection="1">
      <alignment vertical="center" wrapText="1"/>
      <protection locked="0"/>
    </xf>
    <xf numFmtId="0" fontId="11" fillId="6" borderId="20" xfId="0" applyFont="1" applyFill="1" applyBorder="1" applyAlignment="1">
      <alignment wrapText="1"/>
    </xf>
    <xf numFmtId="164" fontId="9" fillId="6" borderId="67" xfId="5" applyFont="1" applyFill="1" applyBorder="1" applyAlignment="1">
      <alignment horizontal="center" vertical="center" wrapText="1"/>
    </xf>
    <xf numFmtId="169" fontId="9" fillId="11" borderId="68" xfId="5" applyNumberFormat="1" applyFont="1" applyFill="1" applyBorder="1" applyAlignment="1">
      <alignment vertical="center" wrapText="1"/>
    </xf>
    <xf numFmtId="9" fontId="17" fillId="0" borderId="28" xfId="2" applyFont="1" applyBorder="1" applyAlignment="1">
      <alignment horizontal="center" vertical="center" wrapText="1"/>
    </xf>
    <xf numFmtId="169" fontId="9" fillId="6" borderId="55" xfId="5" applyNumberFormat="1" applyFont="1" applyFill="1" applyBorder="1" applyAlignment="1">
      <alignment horizontal="center" vertical="center" wrapText="1"/>
    </xf>
    <xf numFmtId="169" fontId="5" fillId="2" borderId="5" xfId="4" applyNumberFormat="1" applyFont="1" applyFill="1" applyBorder="1" applyAlignment="1">
      <alignment horizontal="right"/>
    </xf>
    <xf numFmtId="169" fontId="11" fillId="0" borderId="60" xfId="2" applyNumberFormat="1" applyFont="1" applyBorder="1" applyAlignment="1" applyProtection="1">
      <alignment vertical="center" wrapText="1"/>
      <protection locked="0"/>
    </xf>
    <xf numFmtId="169" fontId="11" fillId="5" borderId="0" xfId="5" applyNumberFormat="1" applyFont="1" applyFill="1" applyAlignment="1" applyProtection="1">
      <alignment vertical="center" wrapText="1"/>
      <protection locked="0"/>
    </xf>
    <xf numFmtId="169" fontId="11" fillId="0" borderId="0" xfId="0" applyNumberFormat="1" applyFont="1" applyAlignment="1">
      <alignment wrapText="1"/>
    </xf>
    <xf numFmtId="169" fontId="17" fillId="0" borderId="28" xfId="0" applyNumberFormat="1" applyFont="1" applyBorder="1" applyAlignment="1">
      <alignment horizontal="center" vertical="center" wrapText="1"/>
    </xf>
    <xf numFmtId="169" fontId="11" fillId="6" borderId="55" xfId="0" applyNumberFormat="1" applyFont="1" applyFill="1" applyBorder="1" applyAlignment="1">
      <alignment horizontal="center" vertical="center" wrapText="1"/>
    </xf>
    <xf numFmtId="169" fontId="11" fillId="0" borderId="55" xfId="2" applyNumberFormat="1" applyFont="1" applyBorder="1" applyAlignment="1" applyProtection="1">
      <alignment horizontal="center" vertical="center" wrapText="1"/>
      <protection locked="0"/>
    </xf>
    <xf numFmtId="169" fontId="11" fillId="0" borderId="29" xfId="2" applyNumberFormat="1" applyFont="1" applyBorder="1" applyAlignment="1" applyProtection="1">
      <alignment horizontal="center" vertical="center" wrapText="1"/>
      <protection locked="0"/>
    </xf>
    <xf numFmtId="169" fontId="11" fillId="0" borderId="4" xfId="2" applyNumberFormat="1" applyFont="1" applyBorder="1" applyAlignment="1" applyProtection="1">
      <alignment horizontal="center" vertical="center" wrapText="1"/>
      <protection locked="0"/>
    </xf>
    <xf numFmtId="169" fontId="11" fillId="0" borderId="35" xfId="2" applyNumberFormat="1" applyFont="1" applyBorder="1" applyAlignment="1" applyProtection="1">
      <alignment horizontal="center" vertical="center" wrapText="1"/>
      <protection locked="0"/>
    </xf>
    <xf numFmtId="169" fontId="11" fillId="0" borderId="1" xfId="2" applyNumberFormat="1" applyFont="1" applyBorder="1" applyAlignment="1" applyProtection="1">
      <alignment horizontal="center" vertical="center" wrapText="1"/>
      <protection locked="0"/>
    </xf>
    <xf numFmtId="169" fontId="11" fillId="0" borderId="12" xfId="2" applyNumberFormat="1" applyFont="1" applyBorder="1" applyAlignment="1" applyProtection="1">
      <alignment horizontal="center" vertical="center" wrapText="1"/>
      <protection locked="0"/>
    </xf>
    <xf numFmtId="169" fontId="11" fillId="0" borderId="58" xfId="2" applyNumberFormat="1" applyFont="1" applyBorder="1" applyAlignment="1" applyProtection="1">
      <alignment horizontal="center" vertical="center" wrapText="1"/>
      <protection locked="0"/>
    </xf>
    <xf numFmtId="169" fontId="11" fillId="0" borderId="63" xfId="2" applyNumberFormat="1" applyFont="1" applyBorder="1" applyAlignment="1" applyProtection="1">
      <alignment horizontal="center" vertical="center" wrapText="1"/>
      <protection locked="0"/>
    </xf>
    <xf numFmtId="169" fontId="11" fillId="0" borderId="22" xfId="2" applyNumberFormat="1" applyFont="1" applyBorder="1" applyAlignment="1" applyProtection="1">
      <alignment horizontal="center" vertical="center" wrapText="1"/>
      <protection locked="0"/>
    </xf>
    <xf numFmtId="169" fontId="11" fillId="0" borderId="59" xfId="2" applyNumberFormat="1" applyFont="1" applyBorder="1" applyAlignment="1" applyProtection="1">
      <alignment horizontal="center" vertical="center" wrapText="1"/>
      <protection locked="0"/>
    </xf>
    <xf numFmtId="169" fontId="11" fillId="0" borderId="34" xfId="2" applyNumberFormat="1" applyFont="1" applyBorder="1" applyAlignment="1" applyProtection="1">
      <alignment horizontal="center" vertical="center" wrapText="1"/>
      <protection locked="0"/>
    </xf>
    <xf numFmtId="169" fontId="11" fillId="0" borderId="64" xfId="2" applyNumberFormat="1" applyFont="1" applyBorder="1" applyAlignment="1" applyProtection="1">
      <alignment horizontal="center" vertical="center" wrapText="1"/>
      <protection locked="0"/>
    </xf>
    <xf numFmtId="169" fontId="11" fillId="0" borderId="2" xfId="2" applyNumberFormat="1" applyFont="1" applyBorder="1" applyAlignment="1" applyProtection="1">
      <alignment horizontal="center" vertical="center" wrapText="1"/>
      <protection locked="0"/>
    </xf>
    <xf numFmtId="169" fontId="11" fillId="0" borderId="5" xfId="2" applyNumberFormat="1" applyFont="1" applyBorder="1" applyAlignment="1" applyProtection="1">
      <alignment horizontal="center" vertical="center" wrapText="1"/>
      <protection locked="0"/>
    </xf>
    <xf numFmtId="169" fontId="11" fillId="5" borderId="5" xfId="2" applyNumberFormat="1" applyFont="1" applyFill="1" applyBorder="1" applyAlignment="1" applyProtection="1">
      <alignment horizontal="center" vertical="center" wrapText="1"/>
      <protection locked="0"/>
    </xf>
    <xf numFmtId="169" fontId="11" fillId="5" borderId="8" xfId="2" applyNumberFormat="1" applyFont="1" applyFill="1" applyBorder="1" applyAlignment="1" applyProtection="1">
      <alignment horizontal="center" vertical="center" wrapText="1"/>
      <protection locked="0"/>
    </xf>
    <xf numFmtId="169" fontId="13" fillId="0" borderId="22" xfId="2" applyNumberFormat="1" applyFont="1" applyBorder="1" applyAlignment="1" applyProtection="1">
      <alignment horizontal="center" vertical="center" wrapText="1"/>
      <protection locked="0"/>
    </xf>
    <xf numFmtId="169" fontId="13" fillId="0" borderId="59" xfId="2" applyNumberFormat="1" applyFont="1" applyBorder="1" applyAlignment="1" applyProtection="1">
      <alignment horizontal="center" vertical="center" wrapText="1"/>
      <protection locked="0"/>
    </xf>
    <xf numFmtId="169" fontId="13" fillId="0" borderId="5" xfId="2" applyNumberFormat="1" applyFont="1" applyBorder="1" applyAlignment="1" applyProtection="1">
      <alignment horizontal="center" vertical="center" wrapText="1"/>
      <protection locked="0"/>
    </xf>
    <xf numFmtId="169" fontId="13" fillId="0" borderId="6" xfId="2" applyNumberFormat="1" applyFont="1" applyBorder="1" applyAlignment="1" applyProtection="1">
      <alignment horizontal="center" vertical="center" wrapText="1"/>
      <protection locked="0"/>
    </xf>
    <xf numFmtId="169" fontId="13" fillId="0" borderId="8" xfId="2" applyNumberFormat="1" applyFont="1" applyBorder="1" applyAlignment="1" applyProtection="1">
      <alignment horizontal="center" vertical="center" wrapText="1"/>
      <protection locked="0"/>
    </xf>
    <xf numFmtId="169" fontId="13" fillId="0" borderId="9" xfId="2" applyNumberFormat="1" applyFont="1" applyBorder="1" applyAlignment="1" applyProtection="1">
      <alignment horizontal="center" vertical="center" wrapText="1"/>
      <protection locked="0"/>
    </xf>
    <xf numFmtId="169" fontId="13" fillId="0" borderId="33" xfId="2" applyNumberFormat="1" applyFont="1" applyBorder="1" applyAlignment="1" applyProtection="1">
      <alignment horizontal="center" vertical="center" wrapText="1"/>
      <protection locked="0"/>
    </xf>
    <xf numFmtId="169" fontId="13" fillId="0" borderId="60" xfId="2" applyNumberFormat="1" applyFont="1" applyBorder="1" applyAlignment="1" applyProtection="1">
      <alignment horizontal="center" vertical="center" wrapText="1"/>
      <protection locked="0"/>
    </xf>
    <xf numFmtId="169" fontId="11" fillId="0" borderId="23" xfId="2" applyNumberFormat="1" applyFont="1" applyBorder="1" applyAlignment="1" applyProtection="1">
      <alignment horizontal="center" vertical="center" wrapText="1"/>
      <protection locked="0"/>
    </xf>
    <xf numFmtId="169" fontId="11" fillId="0" borderId="45" xfId="2" applyNumberFormat="1" applyFont="1" applyBorder="1" applyAlignment="1" applyProtection="1">
      <alignment horizontal="center" vertical="center" wrapText="1"/>
      <protection locked="0"/>
    </xf>
    <xf numFmtId="169" fontId="11" fillId="0" borderId="36" xfId="2" applyNumberFormat="1" applyFont="1" applyBorder="1" applyAlignment="1" applyProtection="1">
      <alignment horizontal="center" vertical="center" wrapText="1"/>
      <protection locked="0"/>
    </xf>
    <xf numFmtId="169" fontId="11" fillId="0" borderId="41" xfId="2" applyNumberFormat="1" applyFont="1" applyBorder="1" applyAlignment="1" applyProtection="1">
      <alignment horizontal="center" vertical="center" wrapText="1"/>
      <protection locked="0"/>
    </xf>
    <xf numFmtId="169" fontId="11" fillId="0" borderId="13" xfId="2" applyNumberFormat="1" applyFont="1" applyBorder="1" applyAlignment="1" applyProtection="1">
      <alignment horizontal="center" vertical="center" wrapText="1"/>
      <protection locked="0"/>
    </xf>
    <xf numFmtId="169" fontId="11" fillId="0" borderId="8" xfId="2" applyNumberFormat="1" applyFont="1" applyBorder="1" applyAlignment="1" applyProtection="1">
      <alignment horizontal="center" vertical="center" wrapText="1"/>
      <protection locked="0"/>
    </xf>
    <xf numFmtId="169" fontId="11" fillId="0" borderId="9" xfId="2" applyNumberFormat="1" applyFont="1" applyBorder="1" applyAlignment="1" applyProtection="1">
      <alignment horizontal="center" vertical="center" wrapText="1"/>
      <protection locked="0"/>
    </xf>
    <xf numFmtId="169" fontId="11" fillId="0" borderId="33" xfId="2" applyNumberFormat="1" applyFont="1" applyBorder="1" applyAlignment="1" applyProtection="1">
      <alignment horizontal="center" vertical="center" wrapText="1"/>
      <protection locked="0"/>
    </xf>
    <xf numFmtId="169" fontId="11" fillId="0" borderId="60" xfId="2" applyNumberFormat="1" applyFont="1" applyBorder="1" applyAlignment="1" applyProtection="1">
      <alignment horizontal="center" vertical="center" wrapText="1"/>
      <protection locked="0"/>
    </xf>
    <xf numFmtId="169" fontId="13" fillId="0" borderId="39" xfId="2" applyNumberFormat="1" applyFont="1" applyBorder="1" applyAlignment="1" applyProtection="1">
      <alignment horizontal="center" vertical="center" wrapText="1"/>
      <protection locked="0"/>
    </xf>
    <xf numFmtId="169" fontId="9" fillId="6" borderId="8" xfId="5" applyNumberFormat="1" applyFont="1" applyFill="1" applyBorder="1" applyAlignment="1">
      <alignment horizontal="center" vertical="center" wrapText="1"/>
    </xf>
    <xf numFmtId="169" fontId="11" fillId="0" borderId="3" xfId="2" applyNumberFormat="1" applyFont="1" applyBorder="1" applyAlignment="1" applyProtection="1">
      <alignment horizontal="center" vertical="center" wrapText="1"/>
      <protection locked="0"/>
    </xf>
    <xf numFmtId="169" fontId="11" fillId="0" borderId="6" xfId="2" applyNumberFormat="1" applyFont="1" applyBorder="1" applyAlignment="1" applyProtection="1">
      <alignment horizontal="center" vertical="center" wrapText="1"/>
      <protection locked="0"/>
    </xf>
    <xf numFmtId="169" fontId="11" fillId="0" borderId="66" xfId="2" applyNumberFormat="1" applyFont="1" applyBorder="1" applyAlignment="1" applyProtection="1">
      <alignment horizontal="center" vertical="center" wrapText="1"/>
      <protection locked="0"/>
    </xf>
    <xf numFmtId="169" fontId="9" fillId="11" borderId="68" xfId="0" applyNumberFormat="1" applyFont="1" applyFill="1" applyBorder="1" applyAlignment="1" applyProtection="1">
      <alignment vertical="top" wrapText="1"/>
      <protection locked="0"/>
    </xf>
    <xf numFmtId="169" fontId="13" fillId="0" borderId="2" xfId="2" applyNumberFormat="1" applyFont="1" applyBorder="1" applyAlignment="1" applyProtection="1">
      <alignment horizontal="center" vertical="center" wrapText="1"/>
      <protection locked="0"/>
    </xf>
    <xf numFmtId="169" fontId="13" fillId="0" borderId="3" xfId="2" applyNumberFormat="1" applyFont="1" applyBorder="1" applyAlignment="1" applyProtection="1">
      <alignment horizontal="center" vertical="center" wrapText="1"/>
      <protection locked="0"/>
    </xf>
    <xf numFmtId="169" fontId="5" fillId="2" borderId="0" xfId="4" applyNumberFormat="1" applyFont="1" applyFill="1" applyAlignment="1">
      <alignment horizontal="right"/>
    </xf>
    <xf numFmtId="169" fontId="5" fillId="0" borderId="0" xfId="4" applyNumberFormat="1" applyFont="1" applyFill="1" applyAlignment="1">
      <alignment horizontal="right"/>
    </xf>
    <xf numFmtId="169" fontId="11" fillId="0" borderId="22" xfId="2" applyNumberFormat="1" applyFont="1" applyBorder="1" applyAlignment="1" applyProtection="1">
      <alignment vertical="center" wrapText="1"/>
      <protection locked="0"/>
    </xf>
    <xf numFmtId="169" fontId="11" fillId="0" borderId="59" xfId="2" applyNumberFormat="1" applyFont="1" applyBorder="1" applyAlignment="1" applyProtection="1">
      <alignment vertical="center" wrapText="1"/>
      <protection locked="0"/>
    </xf>
    <xf numFmtId="169" fontId="11" fillId="0" borderId="6" xfId="2" applyNumberFormat="1" applyFont="1" applyBorder="1" applyAlignment="1" applyProtection="1">
      <alignment vertical="center" wrapText="1"/>
      <protection locked="0"/>
    </xf>
    <xf numFmtId="169" fontId="11" fillId="0" borderId="5" xfId="2" applyNumberFormat="1" applyFont="1" applyBorder="1" applyAlignment="1" applyProtection="1">
      <alignment vertical="center" wrapText="1"/>
      <protection locked="0"/>
    </xf>
    <xf numFmtId="169" fontId="11" fillId="0" borderId="3" xfId="2" applyNumberFormat="1" applyFont="1" applyBorder="1" applyAlignment="1" applyProtection="1">
      <alignment vertical="center" wrapText="1"/>
      <protection locked="0"/>
    </xf>
    <xf numFmtId="169" fontId="11" fillId="0" borderId="9" xfId="2" applyNumberFormat="1" applyFont="1" applyBorder="1" applyAlignment="1" applyProtection="1">
      <alignment vertical="center" wrapText="1"/>
      <protection locked="0"/>
    </xf>
    <xf numFmtId="164" fontId="11" fillId="14" borderId="5" xfId="5" applyFont="1" applyFill="1" applyBorder="1" applyAlignment="1" applyProtection="1">
      <alignment vertical="center" wrapText="1"/>
      <protection locked="0"/>
    </xf>
    <xf numFmtId="169" fontId="9" fillId="0" borderId="0" xfId="0" applyNumberFormat="1" applyFont="1" applyAlignment="1">
      <alignment wrapText="1"/>
    </xf>
    <xf numFmtId="169" fontId="16" fillId="10" borderId="15" xfId="0" applyNumberFormat="1" applyFont="1" applyFill="1" applyBorder="1" applyAlignment="1">
      <alignment horizontal="left" vertical="center" wrapText="1"/>
    </xf>
    <xf numFmtId="169" fontId="9" fillId="6" borderId="55" xfId="0" applyNumberFormat="1" applyFont="1" applyFill="1" applyBorder="1" applyAlignment="1">
      <alignment horizontal="center" vertical="center" wrapText="1"/>
    </xf>
    <xf numFmtId="169" fontId="11" fillId="6" borderId="2" xfId="5" applyNumberFormat="1" applyFont="1" applyFill="1" applyBorder="1" applyAlignment="1">
      <alignment horizontal="center" vertical="center" wrapText="1"/>
    </xf>
    <xf numFmtId="169" fontId="11" fillId="6" borderId="5" xfId="5" applyNumberFormat="1" applyFont="1" applyFill="1" applyBorder="1" applyAlignment="1">
      <alignment horizontal="center" vertical="center" wrapText="1"/>
    </xf>
    <xf numFmtId="169" fontId="11" fillId="6" borderId="8" xfId="5" applyNumberFormat="1" applyFont="1" applyFill="1" applyBorder="1" applyAlignment="1">
      <alignment horizontal="center" vertical="center" wrapText="1"/>
    </xf>
    <xf numFmtId="169" fontId="9" fillId="6" borderId="68" xfId="5" applyNumberFormat="1" applyFont="1" applyFill="1" applyBorder="1" applyAlignment="1">
      <alignment horizontal="center" vertical="center" wrapText="1"/>
    </xf>
    <xf numFmtId="169" fontId="5" fillId="0" borderId="5" xfId="4" applyNumberFormat="1" applyFont="1" applyFill="1" applyBorder="1" applyAlignment="1">
      <alignment horizontal="right"/>
    </xf>
    <xf numFmtId="169" fontId="11" fillId="0" borderId="22" xfId="5" applyNumberFormat="1" applyFont="1" applyFill="1" applyBorder="1" applyAlignment="1">
      <alignment vertical="center" wrapText="1"/>
    </xf>
    <xf numFmtId="169" fontId="11" fillId="0" borderId="5" xfId="5" applyNumberFormat="1" applyFont="1" applyFill="1" applyBorder="1" applyAlignment="1">
      <alignment vertical="center" wrapText="1"/>
    </xf>
    <xf numFmtId="169" fontId="11" fillId="0" borderId="6" xfId="2" applyNumberFormat="1" applyFont="1" applyFill="1" applyBorder="1" applyAlignment="1" applyProtection="1">
      <alignment horizontal="center" vertical="center" wrapText="1"/>
      <protection locked="0"/>
    </xf>
    <xf numFmtId="169" fontId="5" fillId="0" borderId="6" xfId="4" applyNumberFormat="1" applyFont="1" applyFill="1" applyBorder="1" applyAlignment="1">
      <alignment horizontal="right"/>
    </xf>
    <xf numFmtId="169" fontId="11" fillId="0" borderId="8" xfId="5" applyNumberFormat="1" applyFont="1" applyFill="1" applyBorder="1" applyAlignment="1">
      <alignment vertical="center" wrapText="1"/>
    </xf>
    <xf numFmtId="169" fontId="11" fillId="0" borderId="2" xfId="5" applyNumberFormat="1" applyFont="1" applyFill="1" applyBorder="1" applyAlignment="1">
      <alignment horizontal="center" vertical="center" wrapText="1"/>
    </xf>
    <xf numFmtId="169" fontId="11" fillId="0" borderId="34" xfId="5" applyNumberFormat="1" applyFont="1" applyFill="1" applyBorder="1" applyAlignment="1">
      <alignment horizontal="center" vertical="center" wrapText="1"/>
    </xf>
    <xf numFmtId="169" fontId="11" fillId="0" borderId="22" xfId="5" applyNumberFormat="1" applyFont="1" applyFill="1" applyBorder="1" applyAlignment="1">
      <alignment horizontal="center" vertical="center" wrapText="1"/>
    </xf>
    <xf numFmtId="169" fontId="11" fillId="0" borderId="41" xfId="5" applyNumberFormat="1" applyFont="1" applyFill="1" applyBorder="1" applyAlignment="1">
      <alignment horizontal="center" vertical="center" wrapText="1"/>
    </xf>
    <xf numFmtId="169" fontId="11" fillId="0" borderId="55" xfId="5" applyNumberFormat="1" applyFont="1" applyFill="1" applyBorder="1" applyAlignment="1">
      <alignment horizontal="center" vertical="center" wrapText="1"/>
    </xf>
    <xf numFmtId="169" fontId="11" fillId="0" borderId="5" xfId="5" applyNumberFormat="1" applyFont="1" applyFill="1" applyBorder="1" applyAlignment="1">
      <alignment horizontal="center" vertical="center" wrapText="1"/>
    </xf>
    <xf numFmtId="169" fontId="11" fillId="0" borderId="33" xfId="5" applyNumberFormat="1" applyFont="1" applyFill="1" applyBorder="1" applyAlignment="1">
      <alignment horizontal="center" vertical="center" wrapText="1"/>
    </xf>
    <xf numFmtId="169" fontId="11" fillId="0" borderId="8" xfId="5" applyNumberFormat="1" applyFont="1" applyFill="1" applyBorder="1" applyAlignment="1">
      <alignment horizontal="center" vertical="center" wrapText="1"/>
    </xf>
    <xf numFmtId="169" fontId="11" fillId="0" borderId="23" xfId="5" applyNumberFormat="1" applyFont="1" applyFill="1" applyBorder="1" applyAlignment="1">
      <alignment horizontal="center" vertical="center" wrapText="1"/>
    </xf>
    <xf numFmtId="169" fontId="11" fillId="0" borderId="26" xfId="5" applyNumberFormat="1" applyFont="1" applyFill="1" applyBorder="1" applyAlignment="1">
      <alignment horizontal="center" vertical="center" wrapText="1"/>
    </xf>
    <xf numFmtId="169" fontId="11" fillId="0" borderId="36" xfId="5" applyNumberFormat="1" applyFont="1" applyFill="1" applyBorder="1" applyAlignment="1">
      <alignment horizontal="center" vertical="center" wrapText="1"/>
    </xf>
    <xf numFmtId="169" fontId="9" fillId="15" borderId="70" xfId="5" applyNumberFormat="1" applyFont="1" applyFill="1" applyBorder="1" applyAlignment="1">
      <alignment vertical="center" wrapText="1"/>
    </xf>
    <xf numFmtId="0" fontId="9" fillId="15" borderId="31" xfId="0" applyFont="1" applyFill="1" applyBorder="1" applyAlignment="1" applyProtection="1">
      <alignment vertical="center" wrapText="1"/>
      <protection locked="0"/>
    </xf>
    <xf numFmtId="169" fontId="9" fillId="15" borderId="19" xfId="0" applyNumberFormat="1" applyFont="1" applyFill="1" applyBorder="1" applyAlignment="1">
      <alignment vertical="center" wrapText="1"/>
    </xf>
    <xf numFmtId="169" fontId="9" fillId="15" borderId="55" xfId="0" applyNumberFormat="1" applyFont="1" applyFill="1" applyBorder="1" applyAlignment="1">
      <alignment vertical="center" wrapText="1"/>
    </xf>
    <xf numFmtId="0" fontId="11" fillId="15" borderId="20" xfId="0" applyFont="1" applyFill="1" applyBorder="1" applyAlignment="1">
      <alignment vertical="center" wrapText="1"/>
    </xf>
    <xf numFmtId="169" fontId="11" fillId="0" borderId="70" xfId="0" applyNumberFormat="1" applyFont="1" applyFill="1" applyBorder="1" applyAlignment="1">
      <alignment vertical="center" wrapText="1"/>
    </xf>
    <xf numFmtId="0" fontId="11" fillId="0" borderId="31" xfId="0" applyFont="1" applyFill="1" applyBorder="1" applyAlignment="1">
      <alignment vertical="center" wrapText="1"/>
    </xf>
    <xf numFmtId="0" fontId="11" fillId="0" borderId="0" xfId="0" applyFont="1" applyFill="1" applyAlignment="1">
      <alignment vertical="center" wrapText="1"/>
    </xf>
    <xf numFmtId="169" fontId="11" fillId="0" borderId="55" xfId="5" applyNumberFormat="1" applyFont="1" applyFill="1" applyBorder="1" applyAlignment="1">
      <alignment vertical="center" wrapText="1"/>
    </xf>
    <xf numFmtId="0" fontId="21" fillId="0" borderId="54" xfId="0" applyFont="1" applyFill="1" applyBorder="1" applyAlignment="1">
      <alignment vertical="center" wrapText="1"/>
    </xf>
    <xf numFmtId="9" fontId="11" fillId="6" borderId="56" xfId="2" applyFont="1" applyFill="1" applyBorder="1" applyAlignment="1">
      <alignment horizontal="center" vertical="center" wrapText="1"/>
    </xf>
    <xf numFmtId="9" fontId="9" fillId="11" borderId="68" xfId="2" applyFont="1" applyFill="1" applyBorder="1" applyAlignment="1" applyProtection="1">
      <alignment horizontal="center" vertical="center" wrapText="1"/>
      <protection locked="0"/>
    </xf>
    <xf numFmtId="9" fontId="11" fillId="5" borderId="0" xfId="2" applyFont="1" applyFill="1" applyAlignment="1" applyProtection="1">
      <alignment horizontal="center" vertical="center" wrapText="1"/>
      <protection locked="0"/>
    </xf>
    <xf numFmtId="9" fontId="11" fillId="0" borderId="0" xfId="2" applyFont="1" applyAlignment="1">
      <alignment horizontal="center" vertical="center" wrapText="1"/>
    </xf>
    <xf numFmtId="169" fontId="9" fillId="6" borderId="34" xfId="5" applyNumberFormat="1" applyFont="1" applyFill="1" applyBorder="1" applyAlignment="1">
      <alignment horizontal="center" vertical="center" wrapText="1"/>
    </xf>
    <xf numFmtId="169" fontId="11" fillId="0" borderId="71" xfId="2" applyNumberFormat="1" applyFont="1" applyBorder="1" applyAlignment="1" applyProtection="1">
      <alignment horizontal="center" vertical="center" wrapText="1"/>
      <protection locked="0"/>
    </xf>
    <xf numFmtId="9" fontId="11" fillId="6" borderId="55" xfId="2" applyFont="1" applyFill="1" applyBorder="1" applyAlignment="1" applyProtection="1">
      <alignment horizontal="center" vertical="center" wrapText="1"/>
      <protection locked="0"/>
    </xf>
    <xf numFmtId="9" fontId="9" fillId="6" borderId="55" xfId="2" applyFont="1" applyFill="1" applyBorder="1" applyAlignment="1" applyProtection="1">
      <alignment horizontal="center" vertical="center" wrapText="1"/>
      <protection locked="0"/>
    </xf>
    <xf numFmtId="9" fontId="9" fillId="11" borderId="55" xfId="2" applyFont="1" applyFill="1" applyBorder="1" applyAlignment="1" applyProtection="1">
      <alignment horizontal="center" vertical="center" wrapText="1"/>
      <protection locked="0"/>
    </xf>
    <xf numFmtId="9" fontId="9" fillId="15" borderId="55" xfId="2" applyFont="1" applyFill="1" applyBorder="1" applyAlignment="1" applyProtection="1">
      <alignment horizontal="center" vertical="center" wrapText="1"/>
      <protection locked="0"/>
    </xf>
    <xf numFmtId="9" fontId="9" fillId="0" borderId="55" xfId="2" applyFont="1" applyFill="1" applyBorder="1" applyAlignment="1" applyProtection="1">
      <alignment horizontal="center" vertical="center" wrapText="1"/>
      <protection locked="0"/>
    </xf>
    <xf numFmtId="9" fontId="11" fillId="0" borderId="55" xfId="2" applyFont="1" applyFill="1" applyBorder="1" applyAlignment="1" applyProtection="1">
      <alignment horizontal="center" vertical="center" wrapText="1"/>
      <protection locked="0"/>
    </xf>
    <xf numFmtId="0" fontId="9" fillId="5" borderId="68" xfId="0" applyFont="1" applyFill="1" applyBorder="1" applyAlignment="1" applyProtection="1">
      <alignment horizontal="center" vertical="center" wrapText="1"/>
      <protection locked="0"/>
    </xf>
    <xf numFmtId="0" fontId="7" fillId="0" borderId="0" xfId="0" applyFont="1"/>
    <xf numFmtId="0" fontId="2" fillId="0" borderId="0" xfId="0" applyFont="1"/>
    <xf numFmtId="0" fontId="11" fillId="0" borderId="0" xfId="0" applyFont="1"/>
    <xf numFmtId="0" fontId="6" fillId="11" borderId="18" xfId="0" applyFont="1" applyFill="1" applyBorder="1" applyAlignment="1">
      <alignment wrapText="1"/>
    </xf>
    <xf numFmtId="0" fontId="0" fillId="0" borderId="18" xfId="0" applyFont="1" applyFill="1" applyBorder="1" applyAlignment="1">
      <alignment wrapText="1"/>
    </xf>
    <xf numFmtId="0" fontId="0" fillId="3" borderId="3" xfId="0" applyFont="1" applyFill="1" applyBorder="1" applyAlignment="1">
      <alignment vertical="center" wrapText="1"/>
    </xf>
    <xf numFmtId="0" fontId="0" fillId="0" borderId="6" xfId="0" applyFont="1" applyBorder="1" applyAlignment="1">
      <alignment vertical="center" wrapText="1"/>
    </xf>
    <xf numFmtId="0" fontId="0" fillId="3" borderId="6" xfId="0" applyFont="1" applyFill="1" applyBorder="1" applyAlignment="1">
      <alignment vertical="center" wrapText="1"/>
    </xf>
    <xf numFmtId="0" fontId="0" fillId="3" borderId="9" xfId="0" applyFont="1" applyFill="1" applyBorder="1" applyAlignment="1">
      <alignment vertical="center" wrapText="1"/>
    </xf>
    <xf numFmtId="0" fontId="21" fillId="8" borderId="18" xfId="0" applyFont="1" applyFill="1" applyBorder="1" applyAlignment="1">
      <alignment horizontal="left" vertical="center" wrapText="1"/>
    </xf>
    <xf numFmtId="0" fontId="6" fillId="8" borderId="14" xfId="0" applyFont="1" applyFill="1" applyBorder="1" applyAlignment="1">
      <alignment horizontal="center" vertical="center"/>
    </xf>
    <xf numFmtId="9" fontId="6" fillId="8" borderId="28" xfId="2" applyFont="1" applyFill="1" applyBorder="1" applyAlignment="1">
      <alignment horizontal="center" vertical="center" wrapText="1"/>
    </xf>
    <xf numFmtId="0" fontId="6" fillId="8" borderId="11" xfId="0" applyFont="1" applyFill="1" applyBorder="1" applyAlignment="1">
      <alignment horizontal="center" vertical="center" wrapText="1"/>
    </xf>
    <xf numFmtId="9" fontId="6" fillId="15" borderId="28" xfId="2" applyFont="1" applyFill="1" applyBorder="1" applyAlignment="1">
      <alignment horizontal="center" vertical="center" wrapText="1"/>
    </xf>
    <xf numFmtId="0" fontId="6" fillId="8" borderId="28" xfId="0" applyFont="1" applyFill="1" applyBorder="1" applyAlignment="1">
      <alignment horizontal="center" vertical="center" wrapText="1"/>
    </xf>
    <xf numFmtId="0" fontId="18" fillId="0" borderId="62" xfId="0" applyFont="1" applyBorder="1" applyAlignment="1">
      <alignment horizontal="center" vertical="center"/>
    </xf>
    <xf numFmtId="167" fontId="0" fillId="0" borderId="14" xfId="1" applyNumberFormat="1" applyFont="1" applyBorder="1" applyAlignment="1">
      <alignment horizontal="center" vertical="center"/>
    </xf>
    <xf numFmtId="165" fontId="0" fillId="0" borderId="28" xfId="1" applyFont="1" applyBorder="1" applyAlignment="1">
      <alignment horizontal="center" vertical="center"/>
    </xf>
    <xf numFmtId="167" fontId="0" fillId="0" borderId="11" xfId="2" applyNumberFormat="1" applyFont="1" applyBorder="1" applyAlignment="1">
      <alignment horizontal="center" vertical="center"/>
    </xf>
    <xf numFmtId="165" fontId="6" fillId="15" borderId="28" xfId="1" applyFont="1" applyFill="1" applyBorder="1" applyAlignment="1">
      <alignment horizontal="center" vertical="center"/>
    </xf>
    <xf numFmtId="0" fontId="18" fillId="0" borderId="73" xfId="0" applyFont="1" applyBorder="1" applyAlignment="1">
      <alignment horizontal="center" vertical="center"/>
    </xf>
    <xf numFmtId="167" fontId="0" fillId="0" borderId="18" xfId="1" applyNumberFormat="1" applyFont="1" applyBorder="1" applyAlignment="1">
      <alignment horizontal="center" vertical="center"/>
    </xf>
    <xf numFmtId="165" fontId="0" fillId="0" borderId="67" xfId="1" applyFont="1" applyBorder="1" applyAlignment="1">
      <alignment horizontal="center" vertical="center"/>
    </xf>
    <xf numFmtId="167" fontId="6" fillId="0" borderId="18" xfId="0" applyNumberFormat="1" applyFont="1" applyBorder="1" applyAlignment="1">
      <alignment horizontal="center" vertical="center"/>
    </xf>
    <xf numFmtId="165" fontId="6" fillId="0" borderId="67" xfId="1" applyFont="1" applyBorder="1" applyAlignment="1">
      <alignment horizontal="center" vertical="center"/>
    </xf>
    <xf numFmtId="9" fontId="0" fillId="0" borderId="67" xfId="2" applyFont="1" applyBorder="1" applyAlignment="1">
      <alignment horizontal="center" vertical="center"/>
    </xf>
    <xf numFmtId="165" fontId="7" fillId="0" borderId="0" xfId="1" applyFont="1" applyAlignment="1">
      <alignment horizontal="left"/>
    </xf>
    <xf numFmtId="0" fontId="7" fillId="0" borderId="0" xfId="0" applyFont="1" applyAlignment="1">
      <alignment horizontal="left"/>
    </xf>
    <xf numFmtId="165" fontId="2" fillId="0" borderId="0" xfId="1" applyFont="1" applyAlignment="1">
      <alignment horizontal="center" vertical="center"/>
    </xf>
    <xf numFmtId="15" fontId="7" fillId="0" borderId="0" xfId="1" applyNumberFormat="1" applyFont="1" applyAlignment="1">
      <alignment horizontal="left"/>
    </xf>
    <xf numFmtId="0" fontId="6" fillId="0" borderId="18" xfId="0" applyFont="1" applyBorder="1" applyAlignment="1">
      <alignment horizontal="center" vertical="center"/>
    </xf>
    <xf numFmtId="167" fontId="0" fillId="0" borderId="28" xfId="2" applyNumberFormat="1" applyFont="1" applyBorder="1" applyAlignment="1">
      <alignment horizontal="center" vertical="center"/>
    </xf>
    <xf numFmtId="167" fontId="0" fillId="0" borderId="67" xfId="2" applyNumberFormat="1" applyFont="1" applyBorder="1" applyAlignment="1">
      <alignment horizontal="center" vertical="center"/>
    </xf>
    <xf numFmtId="0" fontId="9" fillId="0" borderId="0" xfId="0" applyFont="1" applyFill="1" applyBorder="1" applyAlignment="1" applyProtection="1">
      <alignment horizontal="center" vertical="center" wrapText="1"/>
      <protection locked="0"/>
    </xf>
    <xf numFmtId="169" fontId="9" fillId="0" borderId="0" xfId="5" applyNumberFormat="1" applyFont="1" applyFill="1" applyBorder="1" applyAlignment="1">
      <alignment vertical="center" wrapText="1"/>
    </xf>
    <xf numFmtId="9" fontId="9" fillId="0" borderId="0" xfId="2"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wrapText="1"/>
      <protection locked="0"/>
    </xf>
    <xf numFmtId="9" fontId="9" fillId="0" borderId="0" xfId="2" applyFont="1" applyAlignment="1">
      <alignment horizontal="center" vertical="center" wrapText="1"/>
    </xf>
    <xf numFmtId="3" fontId="13" fillId="0" borderId="40" xfId="0" applyNumberFormat="1" applyFont="1" applyFill="1" applyBorder="1" applyAlignment="1">
      <alignment vertical="center" wrapText="1"/>
    </xf>
    <xf numFmtId="166" fontId="11" fillId="0" borderId="66" xfId="5"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3" fontId="8" fillId="0" borderId="6" xfId="0" applyNumberFormat="1" applyFont="1" applyBorder="1" applyAlignment="1">
      <alignment horizontal="center" vertical="center" wrapText="1"/>
    </xf>
    <xf numFmtId="3" fontId="8" fillId="0" borderId="60" xfId="0" applyNumberFormat="1" applyFont="1" applyBorder="1" applyAlignment="1">
      <alignment horizontal="center" vertical="center" wrapText="1"/>
    </xf>
    <xf numFmtId="3" fontId="8" fillId="0" borderId="9" xfId="0" applyNumberFormat="1" applyFont="1" applyBorder="1" applyAlignment="1">
      <alignment horizontal="center" vertical="center" wrapText="1"/>
    </xf>
    <xf numFmtId="3" fontId="8" fillId="0" borderId="59" xfId="0" applyNumberFormat="1" applyFont="1" applyBorder="1" applyAlignment="1">
      <alignment horizontal="center" vertical="center" wrapText="1"/>
    </xf>
    <xf numFmtId="3" fontId="8" fillId="0" borderId="64" xfId="0" applyNumberFormat="1" applyFont="1" applyBorder="1" applyAlignment="1">
      <alignment horizontal="center" vertical="center" wrapText="1"/>
    </xf>
    <xf numFmtId="3" fontId="8" fillId="0" borderId="65" xfId="0" applyNumberFormat="1" applyFont="1" applyBorder="1" applyAlignment="1">
      <alignment horizontal="center" vertical="center" wrapText="1"/>
    </xf>
    <xf numFmtId="3" fontId="8" fillId="0" borderId="13" xfId="0" applyNumberFormat="1" applyFont="1" applyBorder="1" applyAlignment="1">
      <alignment horizontal="center" vertical="center" wrapText="1"/>
    </xf>
    <xf numFmtId="3" fontId="8" fillId="0" borderId="66" xfId="0" applyNumberFormat="1" applyFont="1" applyBorder="1" applyAlignment="1">
      <alignment horizontal="center" vertical="center" wrapText="1"/>
    </xf>
    <xf numFmtId="3" fontId="8" fillId="0" borderId="74" xfId="0" applyNumberFormat="1" applyFont="1" applyBorder="1" applyAlignment="1">
      <alignment horizontal="center" vertical="center" wrapText="1"/>
    </xf>
    <xf numFmtId="15" fontId="0" fillId="0" borderId="0" xfId="0" applyNumberFormat="1"/>
    <xf numFmtId="170" fontId="0" fillId="0" borderId="0" xfId="6" applyNumberFormat="1" applyFont="1"/>
    <xf numFmtId="0" fontId="9" fillId="16" borderId="54" xfId="0" applyFont="1" applyFill="1" applyBorder="1" applyAlignment="1">
      <alignment horizontal="center" vertical="center" wrapText="1"/>
    </xf>
    <xf numFmtId="0" fontId="9" fillId="16" borderId="56" xfId="0" applyFont="1" applyFill="1" applyBorder="1" applyAlignment="1">
      <alignment horizontal="center" vertical="center" wrapText="1"/>
    </xf>
    <xf numFmtId="0" fontId="9" fillId="15" borderId="54" xfId="0" applyFont="1" applyFill="1" applyBorder="1" applyAlignment="1">
      <alignment horizontal="center" vertical="center" wrapText="1"/>
    </xf>
    <xf numFmtId="0" fontId="9" fillId="15" borderId="55" xfId="0" applyFont="1" applyFill="1" applyBorder="1" applyAlignment="1">
      <alignment horizontal="center" vertical="center" wrapText="1"/>
    </xf>
    <xf numFmtId="166" fontId="0" fillId="0" borderId="0" xfId="0" applyNumberFormat="1"/>
    <xf numFmtId="168" fontId="0" fillId="0" borderId="0" xfId="0" applyNumberFormat="1"/>
    <xf numFmtId="169" fontId="24" fillId="0" borderId="4" xfId="2" applyNumberFormat="1" applyFont="1" applyBorder="1" applyAlignment="1" applyProtection="1">
      <alignment horizontal="center" vertical="center" wrapText="1"/>
      <protection locked="0"/>
    </xf>
    <xf numFmtId="0" fontId="6" fillId="11" borderId="28" xfId="0" applyFont="1" applyFill="1" applyBorder="1" applyAlignment="1">
      <alignment horizontal="center" vertical="center" wrapText="1"/>
    </xf>
    <xf numFmtId="167" fontId="0" fillId="11" borderId="69" xfId="2" applyNumberFormat="1" applyFont="1" applyFill="1" applyBorder="1" applyAlignment="1">
      <alignment horizontal="center" vertical="center"/>
    </xf>
    <xf numFmtId="167" fontId="6" fillId="11" borderId="67" xfId="2" applyNumberFormat="1" applyFont="1" applyFill="1" applyBorder="1" applyAlignment="1">
      <alignment horizontal="center" vertical="center"/>
    </xf>
    <xf numFmtId="0" fontId="0" fillId="0" borderId="0" xfId="0" applyFill="1"/>
    <xf numFmtId="41" fontId="0" fillId="0" borderId="0" xfId="6" applyFont="1" applyFill="1"/>
    <xf numFmtId="170" fontId="0" fillId="0" borderId="0" xfId="6" applyNumberFormat="1" applyFont="1" applyFill="1"/>
    <xf numFmtId="15" fontId="0" fillId="0" borderId="0" xfId="0" applyNumberFormat="1" applyFill="1"/>
    <xf numFmtId="170" fontId="6" fillId="0" borderId="67" xfId="6" applyNumberFormat="1" applyFont="1" applyFill="1" applyBorder="1"/>
    <xf numFmtId="0" fontId="9" fillId="15" borderId="66" xfId="0" applyFont="1" applyFill="1" applyBorder="1" applyAlignment="1">
      <alignment horizontal="center" wrapText="1"/>
    </xf>
    <xf numFmtId="0" fontId="7" fillId="0" borderId="0" xfId="0" applyFont="1" applyAlignment="1">
      <alignment wrapText="1"/>
    </xf>
    <xf numFmtId="0" fontId="2" fillId="6" borderId="25" xfId="0" applyFont="1" applyFill="1" applyBorder="1" applyAlignment="1">
      <alignment horizontal="center" wrapText="1"/>
    </xf>
    <xf numFmtId="164" fontId="2" fillId="6" borderId="5" xfId="5" applyFont="1" applyFill="1" applyBorder="1" applyAlignment="1" applyProtection="1">
      <alignment horizontal="center" vertical="center" wrapText="1"/>
    </xf>
    <xf numFmtId="0" fontId="2" fillId="6" borderId="47" xfId="0" applyFont="1" applyFill="1" applyBorder="1" applyAlignment="1">
      <alignment horizontal="center" wrapText="1"/>
    </xf>
    <xf numFmtId="166" fontId="2" fillId="6" borderId="5" xfId="0" applyNumberFormat="1" applyFont="1" applyFill="1" applyBorder="1" applyAlignment="1">
      <alignment horizontal="center" wrapText="1"/>
    </xf>
    <xf numFmtId="0" fontId="25" fillId="6" borderId="57" xfId="0" applyFont="1" applyFill="1" applyBorder="1" applyAlignment="1">
      <alignment vertical="center" wrapText="1"/>
    </xf>
    <xf numFmtId="166" fontId="7" fillId="6" borderId="2" xfId="0" applyNumberFormat="1" applyFont="1" applyFill="1" applyBorder="1" applyAlignment="1">
      <alignment wrapText="1"/>
    </xf>
    <xf numFmtId="166" fontId="2" fillId="6" borderId="43" xfId="0" applyNumberFormat="1" applyFont="1" applyFill="1" applyBorder="1" applyAlignment="1">
      <alignment wrapText="1"/>
    </xf>
    <xf numFmtId="0" fontId="25" fillId="6" borderId="50" xfId="0" applyFont="1" applyFill="1" applyBorder="1" applyAlignment="1">
      <alignment vertical="center" wrapText="1"/>
    </xf>
    <xf numFmtId="166" fontId="2" fillId="6" borderId="26" xfId="0" applyNumberFormat="1" applyFont="1" applyFill="1" applyBorder="1" applyAlignment="1">
      <alignment wrapText="1"/>
    </xf>
    <xf numFmtId="0" fontId="25" fillId="6" borderId="50" xfId="0" applyFont="1" applyFill="1" applyBorder="1" applyAlignment="1" applyProtection="1">
      <alignment vertical="center" wrapText="1"/>
      <protection locked="0"/>
    </xf>
    <xf numFmtId="164" fontId="7" fillId="5" borderId="0" xfId="5" applyFont="1" applyFill="1" applyBorder="1" applyAlignment="1" applyProtection="1">
      <alignment vertical="center" wrapText="1"/>
      <protection locked="0"/>
    </xf>
    <xf numFmtId="164" fontId="7" fillId="5" borderId="0" xfId="5" applyFont="1" applyFill="1" applyBorder="1" applyAlignment="1" applyProtection="1">
      <alignment vertical="center" wrapText="1"/>
    </xf>
    <xf numFmtId="166" fontId="7" fillId="6" borderId="5" xfId="0" applyNumberFormat="1" applyFont="1" applyFill="1" applyBorder="1" applyAlignment="1">
      <alignment wrapText="1"/>
    </xf>
    <xf numFmtId="0" fontId="7" fillId="6" borderId="40" xfId="0" applyFont="1" applyFill="1" applyBorder="1" applyAlignment="1">
      <alignment vertical="center" wrapText="1"/>
    </xf>
    <xf numFmtId="166" fontId="7" fillId="6" borderId="5" xfId="5" applyNumberFormat="1" applyFont="1" applyFill="1" applyBorder="1" applyAlignment="1">
      <alignment wrapText="1"/>
    </xf>
    <xf numFmtId="166" fontId="7" fillId="6" borderId="26" xfId="0" applyNumberFormat="1" applyFont="1" applyFill="1" applyBorder="1" applyAlignment="1">
      <alignment wrapText="1"/>
    </xf>
    <xf numFmtId="166" fontId="7" fillId="6" borderId="33" xfId="0" applyNumberFormat="1" applyFont="1" applyFill="1" applyBorder="1" applyAlignment="1">
      <alignment wrapText="1"/>
    </xf>
    <xf numFmtId="166" fontId="7" fillId="6" borderId="36" xfId="0" applyNumberFormat="1" applyFont="1" applyFill="1" applyBorder="1" applyAlignment="1">
      <alignment wrapText="1"/>
    </xf>
    <xf numFmtId="166" fontId="2" fillId="5" borderId="0" xfId="0" applyNumberFormat="1" applyFont="1" applyFill="1" applyAlignment="1">
      <alignment vertical="center" wrapText="1"/>
    </xf>
    <xf numFmtId="166" fontId="7" fillId="5" borderId="0" xfId="0" applyNumberFormat="1" applyFont="1" applyFill="1" applyAlignment="1">
      <alignment vertical="center" wrapText="1"/>
    </xf>
    <xf numFmtId="0" fontId="7" fillId="5" borderId="0" xfId="0" applyFont="1" applyFill="1" applyAlignment="1">
      <alignment wrapText="1"/>
    </xf>
    <xf numFmtId="0" fontId="2" fillId="6" borderId="32" xfId="0" applyFont="1" applyFill="1" applyBorder="1" applyAlignment="1">
      <alignment wrapText="1"/>
    </xf>
    <xf numFmtId="166" fontId="2" fillId="6" borderId="34" xfId="0" applyNumberFormat="1" applyFont="1" applyFill="1" applyBorder="1" applyAlignment="1">
      <alignment wrapText="1"/>
    </xf>
    <xf numFmtId="166" fontId="2" fillId="6" borderId="37" xfId="0" applyNumberFormat="1" applyFont="1" applyFill="1" applyBorder="1" applyAlignment="1">
      <alignment wrapText="1"/>
    </xf>
    <xf numFmtId="0" fontId="2" fillId="6" borderId="53" xfId="0" applyFont="1" applyFill="1" applyBorder="1" applyAlignment="1">
      <alignment horizontal="center" vertical="center" wrapText="1"/>
    </xf>
    <xf numFmtId="0" fontId="2" fillId="6" borderId="43" xfId="0" applyFont="1" applyFill="1" applyBorder="1" applyAlignment="1">
      <alignment horizontal="center" vertical="center" wrapText="1"/>
    </xf>
    <xf numFmtId="0" fontId="9" fillId="16" borderId="67" xfId="0" applyFont="1" applyFill="1" applyBorder="1" applyAlignment="1">
      <alignment horizontal="center" vertical="center"/>
    </xf>
    <xf numFmtId="0" fontId="2" fillId="15" borderId="28" xfId="0" applyFont="1" applyFill="1" applyBorder="1" applyAlignment="1">
      <alignment horizontal="center" vertical="center" wrapText="1"/>
    </xf>
    <xf numFmtId="0" fontId="2" fillId="6" borderId="67" xfId="0" applyFont="1" applyFill="1" applyBorder="1" applyAlignment="1">
      <alignment vertical="center" wrapText="1"/>
    </xf>
    <xf numFmtId="0" fontId="9" fillId="6" borderId="67" xfId="0" applyFont="1" applyFill="1" applyBorder="1" applyAlignment="1">
      <alignment vertical="center"/>
    </xf>
    <xf numFmtId="0" fontId="2" fillId="6" borderId="20" xfId="0" applyFont="1" applyFill="1" applyBorder="1" applyAlignment="1">
      <alignment horizontal="center" vertical="center" wrapText="1"/>
    </xf>
    <xf numFmtId="0" fontId="6" fillId="16" borderId="20" xfId="0" applyFont="1" applyFill="1" applyBorder="1" applyAlignment="1">
      <alignment horizontal="center" vertical="center" wrapText="1"/>
    </xf>
    <xf numFmtId="166" fontId="0" fillId="8" borderId="47" xfId="0" applyNumberFormat="1" applyFont="1" applyFill="1" applyBorder="1" applyAlignment="1">
      <alignment vertical="center" wrapText="1"/>
    </xf>
    <xf numFmtId="166" fontId="0" fillId="8" borderId="2" xfId="0" applyNumberFormat="1" applyFont="1" applyFill="1" applyBorder="1" applyAlignment="1">
      <alignment vertical="center" wrapText="1"/>
    </xf>
    <xf numFmtId="166" fontId="0" fillId="8" borderId="3" xfId="0" applyNumberFormat="1" applyFont="1" applyFill="1" applyBorder="1" applyAlignment="1">
      <alignment vertical="center" wrapText="1"/>
    </xf>
    <xf numFmtId="166" fontId="0" fillId="8" borderId="1" xfId="0" applyNumberFormat="1" applyFont="1" applyFill="1" applyBorder="1" applyAlignment="1">
      <alignment vertical="center" wrapText="1"/>
    </xf>
    <xf numFmtId="166" fontId="0" fillId="8" borderId="43" xfId="0" applyNumberFormat="1" applyFont="1" applyFill="1" applyBorder="1" applyAlignment="1">
      <alignment vertical="center" wrapText="1"/>
    </xf>
    <xf numFmtId="166" fontId="0" fillId="8" borderId="72" xfId="0" applyNumberFormat="1" applyFont="1" applyFill="1" applyBorder="1" applyAlignment="1">
      <alignment vertical="center" wrapText="1"/>
    </xf>
    <xf numFmtId="166" fontId="0" fillId="8" borderId="57" xfId="0" applyNumberFormat="1" applyFont="1" applyFill="1" applyBorder="1" applyAlignment="1">
      <alignment vertical="center" wrapText="1"/>
    </xf>
    <xf numFmtId="0" fontId="0" fillId="0" borderId="0" xfId="0" applyFont="1"/>
    <xf numFmtId="166" fontId="0" fillId="0" borderId="47" xfId="0" applyNumberFormat="1" applyFont="1" applyFill="1" applyBorder="1" applyAlignment="1">
      <alignment vertical="center" wrapText="1"/>
    </xf>
    <xf numFmtId="166" fontId="0" fillId="0" borderId="2" xfId="0" applyNumberFormat="1" applyFont="1" applyFill="1" applyBorder="1" applyAlignment="1">
      <alignment vertical="center" wrapText="1"/>
    </xf>
    <xf numFmtId="166" fontId="0" fillId="0" borderId="3" xfId="0" applyNumberFormat="1" applyFont="1" applyFill="1" applyBorder="1" applyAlignment="1">
      <alignment vertical="center" wrapText="1"/>
    </xf>
    <xf numFmtId="166" fontId="0" fillId="0" borderId="1" xfId="0" applyNumberFormat="1" applyFont="1" applyFill="1" applyBorder="1" applyAlignment="1">
      <alignment vertical="center" wrapText="1"/>
    </xf>
    <xf numFmtId="166" fontId="0" fillId="0" borderId="43" xfId="0" applyNumberFormat="1" applyFont="1" applyFill="1" applyBorder="1" applyAlignment="1">
      <alignment vertical="center" wrapText="1"/>
    </xf>
    <xf numFmtId="166" fontId="0" fillId="0" borderId="72" xfId="0" applyNumberFormat="1" applyFont="1" applyFill="1" applyBorder="1" applyAlignment="1">
      <alignment vertical="center" wrapText="1"/>
    </xf>
    <xf numFmtId="166" fontId="0" fillId="0" borderId="57" xfId="0" applyNumberFormat="1" applyFont="1" applyFill="1" applyBorder="1" applyAlignment="1">
      <alignment vertical="center" wrapText="1"/>
    </xf>
    <xf numFmtId="9" fontId="6" fillId="8" borderId="72" xfId="2" applyFont="1" applyFill="1" applyBorder="1" applyAlignment="1">
      <alignment horizontal="center" vertical="center" wrapText="1"/>
    </xf>
    <xf numFmtId="9" fontId="0" fillId="0" borderId="72" xfId="2" applyFont="1" applyFill="1" applyBorder="1" applyAlignment="1">
      <alignment horizontal="center" vertical="center" wrapText="1"/>
    </xf>
    <xf numFmtId="9" fontId="6" fillId="0" borderId="72" xfId="2" applyFont="1" applyFill="1" applyBorder="1" applyAlignment="1">
      <alignment horizontal="center" vertical="center" wrapText="1"/>
    </xf>
    <xf numFmtId="166" fontId="0" fillId="8" borderId="42" xfId="0" applyNumberFormat="1" applyFont="1" applyFill="1" applyBorder="1" applyAlignment="1">
      <alignment vertical="center" wrapText="1"/>
    </xf>
    <xf numFmtId="166" fontId="0" fillId="8" borderId="8" xfId="0" applyNumberFormat="1" applyFont="1" applyFill="1" applyBorder="1" applyAlignment="1">
      <alignment vertical="center" wrapText="1"/>
    </xf>
    <xf numFmtId="166" fontId="0" fillId="8" borderId="9" xfId="0" applyNumberFormat="1" applyFont="1" applyFill="1" applyBorder="1" applyAlignment="1">
      <alignment vertical="center" wrapText="1"/>
    </xf>
    <xf numFmtId="166" fontId="0" fillId="8" borderId="7" xfId="0" applyNumberFormat="1" applyFont="1" applyFill="1" applyBorder="1" applyAlignment="1">
      <alignment vertical="center" wrapText="1"/>
    </xf>
    <xf numFmtId="166" fontId="0" fillId="8" borderId="27" xfId="0" applyNumberFormat="1" applyFont="1" applyFill="1" applyBorder="1" applyAlignment="1">
      <alignment vertical="center" wrapText="1"/>
    </xf>
    <xf numFmtId="166" fontId="0" fillId="8" borderId="75" xfId="0" applyNumberFormat="1" applyFont="1" applyFill="1" applyBorder="1" applyAlignment="1">
      <alignment vertical="center" wrapText="1"/>
    </xf>
    <xf numFmtId="166" fontId="6" fillId="11" borderId="54" xfId="5" applyNumberFormat="1" applyFont="1" applyFill="1" applyBorder="1" applyAlignment="1">
      <alignment vertical="center" wrapText="1"/>
    </xf>
    <xf numFmtId="166" fontId="6" fillId="11" borderId="18" xfId="5" applyNumberFormat="1" applyFont="1" applyFill="1" applyBorder="1" applyAlignment="1">
      <alignment vertical="center" wrapText="1"/>
    </xf>
    <xf numFmtId="166" fontId="6" fillId="11" borderId="3" xfId="0" applyNumberFormat="1" applyFont="1" applyFill="1" applyBorder="1" applyAlignment="1">
      <alignment vertical="center" wrapText="1"/>
    </xf>
    <xf numFmtId="9" fontId="6" fillId="11" borderId="67" xfId="2" applyFont="1" applyFill="1" applyBorder="1" applyAlignment="1">
      <alignment horizontal="center" vertical="center" wrapText="1"/>
    </xf>
    <xf numFmtId="166" fontId="6" fillId="11" borderId="68" xfId="5" applyNumberFormat="1" applyFont="1" applyFill="1" applyBorder="1" applyAlignment="1">
      <alignment vertical="center" wrapText="1"/>
    </xf>
    <xf numFmtId="166" fontId="6" fillId="11" borderId="67" xfId="0" applyNumberFormat="1" applyFont="1" applyFill="1" applyBorder="1" applyAlignment="1">
      <alignment vertical="center" wrapText="1"/>
    </xf>
    <xf numFmtId="166" fontId="6" fillId="11" borderId="57" xfId="0" applyNumberFormat="1" applyFont="1" applyFill="1" applyBorder="1" applyAlignment="1">
      <alignment vertical="center" wrapText="1"/>
    </xf>
    <xf numFmtId="0" fontId="6" fillId="0" borderId="0" xfId="0" applyFont="1"/>
    <xf numFmtId="166" fontId="0" fillId="0" borderId="54" xfId="5" applyNumberFormat="1" applyFont="1" applyFill="1" applyBorder="1" applyAlignment="1">
      <alignment vertical="center" wrapText="1"/>
    </xf>
    <xf numFmtId="166" fontId="0" fillId="0" borderId="18" xfId="5" applyNumberFormat="1" applyFont="1" applyFill="1" applyBorder="1" applyAlignment="1">
      <alignment vertical="center" wrapText="1"/>
    </xf>
    <xf numFmtId="9" fontId="0" fillId="0" borderId="30" xfId="2" applyFont="1" applyFill="1" applyBorder="1" applyAlignment="1">
      <alignment horizontal="center" vertical="center" wrapText="1"/>
    </xf>
    <xf numFmtId="166" fontId="0" fillId="0" borderId="30" xfId="0" applyNumberFormat="1" applyFont="1" applyFill="1" applyBorder="1" applyAlignment="1">
      <alignment vertical="center" wrapText="1"/>
    </xf>
    <xf numFmtId="164" fontId="6" fillId="11" borderId="16" xfId="5" applyFont="1" applyFill="1" applyBorder="1" applyAlignment="1">
      <alignment wrapText="1"/>
    </xf>
    <xf numFmtId="166" fontId="6" fillId="11" borderId="32" xfId="5" applyNumberFormat="1" applyFont="1" applyFill="1" applyBorder="1" applyAlignment="1">
      <alignment vertical="center" wrapText="1"/>
    </xf>
    <xf numFmtId="166" fontId="6" fillId="11" borderId="16" xfId="5" applyNumberFormat="1" applyFont="1" applyFill="1" applyBorder="1" applyAlignment="1">
      <alignment vertical="center" wrapText="1"/>
    </xf>
    <xf numFmtId="9" fontId="26" fillId="8" borderId="72" xfId="2" applyFont="1" applyFill="1" applyBorder="1" applyAlignment="1">
      <alignment horizontal="center" vertical="center" wrapText="1"/>
    </xf>
    <xf numFmtId="9" fontId="26" fillId="8" borderId="75" xfId="2" applyFont="1" applyFill="1" applyBorder="1" applyAlignment="1">
      <alignment horizontal="center" vertical="center" wrapText="1"/>
    </xf>
    <xf numFmtId="9" fontId="26" fillId="0" borderId="72" xfId="2" applyFont="1" applyFill="1" applyBorder="1" applyAlignment="1">
      <alignment horizontal="center" vertical="center" wrapText="1"/>
    </xf>
    <xf numFmtId="0" fontId="9" fillId="0" borderId="0" xfId="0" applyFont="1"/>
    <xf numFmtId="9" fontId="11" fillId="0" borderId="0" xfId="0" applyNumberFormat="1" applyFont="1"/>
    <xf numFmtId="0" fontId="0" fillId="0" borderId="0" xfId="0" applyAlignment="1">
      <alignment vertical="center"/>
    </xf>
    <xf numFmtId="0" fontId="6" fillId="0" borderId="1" xfId="0" applyFont="1" applyBorder="1" applyAlignment="1">
      <alignmen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11" fillId="0" borderId="4" xfId="0" applyFont="1" applyBorder="1"/>
    <xf numFmtId="166" fontId="0" fillId="8" borderId="1" xfId="0" applyNumberFormat="1" applyFill="1" applyBorder="1" applyAlignment="1">
      <alignment vertical="center" wrapText="1"/>
    </xf>
    <xf numFmtId="171" fontId="11" fillId="0" borderId="5" xfId="1" applyNumberFormat="1" applyFont="1" applyBorder="1"/>
    <xf numFmtId="37" fontId="11" fillId="0" borderId="5" xfId="0" applyNumberFormat="1" applyFont="1" applyBorder="1"/>
    <xf numFmtId="9" fontId="11" fillId="0" borderId="5" xfId="2" applyFont="1" applyBorder="1"/>
    <xf numFmtId="0" fontId="11" fillId="0" borderId="6" xfId="0" applyFont="1" applyBorder="1"/>
    <xf numFmtId="166" fontId="0" fillId="0" borderId="1" xfId="0" applyNumberFormat="1" applyBorder="1" applyAlignment="1">
      <alignment vertical="center" wrapText="1"/>
    </xf>
    <xf numFmtId="0" fontId="11" fillId="0" borderId="6" xfId="0" applyFont="1" applyBorder="1" applyAlignment="1">
      <alignment wrapText="1"/>
    </xf>
    <xf numFmtId="166" fontId="0" fillId="8" borderId="7" xfId="0" applyNumberFormat="1" applyFill="1" applyBorder="1" applyAlignment="1">
      <alignment vertical="center" wrapText="1"/>
    </xf>
    <xf numFmtId="0" fontId="6" fillId="0" borderId="7" xfId="0" applyFont="1" applyBorder="1"/>
    <xf numFmtId="37" fontId="6" fillId="14" borderId="8" xfId="0" applyNumberFormat="1" applyFont="1" applyFill="1" applyBorder="1"/>
    <xf numFmtId="37" fontId="6" fillId="0" borderId="8" xfId="0" applyNumberFormat="1" applyFont="1" applyBorder="1"/>
    <xf numFmtId="9" fontId="6" fillId="0" borderId="8" xfId="2" applyFont="1" applyBorder="1"/>
    <xf numFmtId="0" fontId="0" fillId="0" borderId="9" xfId="0" applyBorder="1"/>
    <xf numFmtId="0" fontId="4" fillId="0" borderId="10" xfId="3" applyBorder="1" applyAlignment="1"/>
    <xf numFmtId="0" fontId="4" fillId="0" borderId="0" xfId="3" applyAlignment="1"/>
    <xf numFmtId="14" fontId="4" fillId="0" borderId="10" xfId="3" applyNumberFormat="1" applyBorder="1" applyAlignment="1"/>
    <xf numFmtId="0" fontId="27" fillId="0" borderId="11" xfId="3" applyFont="1" applyBorder="1" applyAlignment="1">
      <alignment horizontal="center"/>
    </xf>
    <xf numFmtId="0" fontId="27" fillId="0" borderId="0" xfId="3" applyFont="1" applyAlignment="1">
      <alignment horizontal="center"/>
    </xf>
    <xf numFmtId="3" fontId="4" fillId="0" borderId="0" xfId="3" applyNumberFormat="1" applyAlignment="1"/>
    <xf numFmtId="172" fontId="4" fillId="0" borderId="0" xfId="3" applyNumberFormat="1" applyAlignment="1">
      <alignment horizontal="center"/>
    </xf>
    <xf numFmtId="9" fontId="28" fillId="8" borderId="72" xfId="2" applyFont="1" applyFill="1" applyBorder="1" applyAlignment="1">
      <alignment horizontal="center" vertical="center" wrapText="1"/>
    </xf>
    <xf numFmtId="9" fontId="28" fillId="0" borderId="72" xfId="2" applyFont="1" applyFill="1" applyBorder="1" applyAlignment="1">
      <alignment horizontal="center" vertical="center" wrapText="1"/>
    </xf>
    <xf numFmtId="9" fontId="28" fillId="8" borderId="75" xfId="2" applyFont="1" applyFill="1" applyBorder="1" applyAlignment="1">
      <alignment horizontal="center" vertical="center" wrapText="1"/>
    </xf>
    <xf numFmtId="166" fontId="6" fillId="0" borderId="30" xfId="0" applyNumberFormat="1" applyFont="1" applyFill="1" applyBorder="1" applyAlignment="1">
      <alignment vertical="center" wrapText="1"/>
    </xf>
    <xf numFmtId="9" fontId="6" fillId="0" borderId="28" xfId="2" applyFont="1" applyFill="1" applyBorder="1" applyAlignment="1">
      <alignment horizontal="center" vertical="center" wrapText="1"/>
    </xf>
    <xf numFmtId="166" fontId="0" fillId="0" borderId="67" xfId="0" applyNumberFormat="1" applyFont="1" applyFill="1" applyBorder="1" applyAlignment="1">
      <alignment vertical="center" wrapText="1"/>
    </xf>
    <xf numFmtId="0" fontId="9" fillId="15" borderId="67" xfId="0" applyFont="1" applyFill="1" applyBorder="1" applyAlignment="1">
      <alignment horizontal="center" vertical="center"/>
    </xf>
    <xf numFmtId="9" fontId="0" fillId="8" borderId="48" xfId="2" applyFont="1" applyFill="1" applyBorder="1" applyAlignment="1">
      <alignment horizontal="center" vertical="center" wrapText="1"/>
    </xf>
    <xf numFmtId="9" fontId="0" fillId="0" borderId="50" xfId="2" applyFont="1" applyFill="1" applyBorder="1" applyAlignment="1">
      <alignment horizontal="center" vertical="center" wrapText="1"/>
    </xf>
    <xf numFmtId="9" fontId="0" fillId="8" borderId="57" xfId="2" applyFont="1" applyFill="1" applyBorder="1" applyAlignment="1">
      <alignment horizontal="center" vertical="center" wrapText="1"/>
    </xf>
    <xf numFmtId="9" fontId="0" fillId="8" borderId="31" xfId="2" applyFont="1" applyFill="1" applyBorder="1" applyAlignment="1">
      <alignment horizontal="center" vertical="center" wrapText="1"/>
    </xf>
    <xf numFmtId="169" fontId="11" fillId="0" borderId="58" xfId="2" applyNumberFormat="1" applyFont="1" applyBorder="1" applyAlignment="1" applyProtection="1">
      <alignment vertical="center" wrapText="1"/>
      <protection locked="0"/>
    </xf>
    <xf numFmtId="169" fontId="5" fillId="2" borderId="8" xfId="4" applyNumberFormat="1" applyFont="1" applyFill="1" applyBorder="1" applyAlignment="1">
      <alignment horizontal="right"/>
    </xf>
    <xf numFmtId="169" fontId="5" fillId="2" borderId="2" xfId="4" applyNumberFormat="1" applyFont="1" applyFill="1" applyBorder="1" applyAlignment="1">
      <alignment horizontal="right"/>
    </xf>
    <xf numFmtId="169" fontId="5" fillId="2" borderId="67" xfId="4" applyNumberFormat="1" applyFont="1" applyFill="1" applyBorder="1" applyAlignment="1">
      <alignment horizontal="right"/>
    </xf>
    <xf numFmtId="0" fontId="2" fillId="6" borderId="18" xfId="0" applyFont="1" applyFill="1" applyBorder="1" applyAlignment="1">
      <alignment horizontal="center" wrapText="1"/>
    </xf>
    <xf numFmtId="0" fontId="2" fillId="6" borderId="19" xfId="0" applyFont="1" applyFill="1" applyBorder="1" applyAlignment="1">
      <alignment horizontal="center" wrapText="1"/>
    </xf>
    <xf numFmtId="0" fontId="2" fillId="6" borderId="20" xfId="0" applyFont="1" applyFill="1" applyBorder="1" applyAlignment="1">
      <alignment horizontal="center" wrapText="1"/>
    </xf>
    <xf numFmtId="0" fontId="2" fillId="4" borderId="14"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7" xfId="0" applyFont="1" applyFill="1" applyBorder="1" applyAlignment="1">
      <alignment horizontal="center" vertical="center"/>
    </xf>
    <xf numFmtId="0" fontId="2" fillId="6" borderId="28"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16" borderId="18" xfId="0" applyFont="1" applyFill="1" applyBorder="1" applyAlignment="1">
      <alignment horizontal="center" wrapText="1"/>
    </xf>
    <xf numFmtId="0" fontId="2" fillId="16" borderId="19" xfId="0" applyFont="1" applyFill="1" applyBorder="1" applyAlignment="1">
      <alignment horizontal="center" wrapText="1"/>
    </xf>
    <xf numFmtId="0" fontId="2" fillId="16" borderId="20" xfId="0" applyFont="1" applyFill="1" applyBorder="1" applyAlignment="1">
      <alignment horizontal="center" wrapText="1"/>
    </xf>
    <xf numFmtId="0" fontId="2" fillId="15" borderId="18" xfId="0" applyFont="1" applyFill="1" applyBorder="1" applyAlignment="1">
      <alignment horizontal="center" wrapText="1"/>
    </xf>
    <xf numFmtId="0" fontId="2" fillId="15" borderId="19" xfId="0" applyFont="1" applyFill="1" applyBorder="1" applyAlignment="1">
      <alignment horizontal="center" wrapText="1"/>
    </xf>
    <xf numFmtId="0" fontId="2" fillId="15" borderId="20" xfId="0" applyFont="1" applyFill="1" applyBorder="1" applyAlignment="1">
      <alignment horizontal="center" wrapText="1"/>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167" fontId="6" fillId="0" borderId="18" xfId="2" applyNumberFormat="1" applyFont="1" applyBorder="1" applyAlignment="1">
      <alignment horizontal="center"/>
    </xf>
    <xf numFmtId="167" fontId="6" fillId="0" borderId="19" xfId="2" applyNumberFormat="1" applyFont="1" applyBorder="1" applyAlignment="1">
      <alignment horizontal="center"/>
    </xf>
    <xf numFmtId="167" fontId="6" fillId="0" borderId="20" xfId="2" applyNumberFormat="1" applyFont="1" applyBorder="1" applyAlignment="1">
      <alignment horizontal="center"/>
    </xf>
    <xf numFmtId="0" fontId="13" fillId="0" borderId="24" xfId="0" applyFont="1" applyBorder="1" applyAlignment="1">
      <alignment horizontal="left" vertical="center" wrapText="1"/>
    </xf>
    <xf numFmtId="0" fontId="13" fillId="0" borderId="32" xfId="0" applyFont="1" applyBorder="1" applyAlignment="1">
      <alignment horizontal="left" vertical="center" wrapText="1"/>
    </xf>
    <xf numFmtId="0" fontId="13" fillId="0" borderId="21" xfId="0" applyFont="1" applyBorder="1" applyAlignment="1">
      <alignment horizontal="left" vertical="center" wrapText="1"/>
    </xf>
    <xf numFmtId="0" fontId="11" fillId="0" borderId="39"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49" fontId="11" fillId="5" borderId="0" xfId="0" applyNumberFormat="1" applyFont="1" applyFill="1" applyBorder="1" applyAlignment="1" applyProtection="1">
      <alignment horizontal="left" vertical="top" wrapText="1"/>
      <protection locked="0"/>
    </xf>
    <xf numFmtId="49" fontId="11" fillId="5" borderId="10" xfId="0" applyNumberFormat="1" applyFont="1" applyFill="1" applyBorder="1" applyAlignment="1" applyProtection="1">
      <alignment horizontal="left" vertical="top" wrapText="1"/>
      <protection locked="0"/>
    </xf>
    <xf numFmtId="0" fontId="11" fillId="0" borderId="22"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9" fillId="6" borderId="19" xfId="0" applyFont="1" applyFill="1" applyBorder="1" applyAlignment="1">
      <alignment horizontal="center" vertical="center" wrapText="1"/>
    </xf>
    <xf numFmtId="0" fontId="9" fillId="6" borderId="68" xfId="0" applyFont="1" applyFill="1" applyBorder="1" applyAlignment="1">
      <alignment horizontal="center" vertical="center" wrapText="1"/>
    </xf>
    <xf numFmtId="0" fontId="11" fillId="0" borderId="49" xfId="0" applyFont="1" applyBorder="1" applyAlignment="1" applyProtection="1">
      <alignment horizontal="left" vertical="center" wrapText="1"/>
      <protection locked="0"/>
    </xf>
    <xf numFmtId="0" fontId="11" fillId="0" borderId="53" xfId="0" applyFont="1" applyBorder="1" applyAlignment="1" applyProtection="1">
      <alignment horizontal="left" vertical="center" wrapText="1"/>
      <protection locked="0"/>
    </xf>
    <xf numFmtId="0" fontId="11" fillId="0" borderId="37" xfId="0" applyFont="1" applyBorder="1" applyAlignment="1" applyProtection="1">
      <alignment horizontal="left" vertical="center" wrapText="1"/>
      <protection locked="0"/>
    </xf>
    <xf numFmtId="0" fontId="9" fillId="6" borderId="18"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11" fillId="0" borderId="39"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34" xfId="0" applyFont="1" applyBorder="1" applyAlignment="1" applyProtection="1">
      <alignment horizontal="left" vertical="center" wrapText="1"/>
      <protection locked="0"/>
    </xf>
    <xf numFmtId="0" fontId="11" fillId="5" borderId="2" xfId="0" applyFont="1" applyFill="1" applyBorder="1" applyAlignment="1" applyProtection="1">
      <alignment horizontal="left" vertical="top" wrapText="1"/>
      <protection locked="0"/>
    </xf>
    <xf numFmtId="0" fontId="11" fillId="0" borderId="21" xfId="0" applyFont="1" applyFill="1" applyBorder="1" applyAlignment="1">
      <alignment horizontal="left" vertical="top" wrapText="1"/>
    </xf>
    <xf numFmtId="0" fontId="11" fillId="0" borderId="24" xfId="0" applyFont="1" applyFill="1" applyBorder="1" applyAlignment="1">
      <alignment horizontal="left" vertical="top" wrapText="1"/>
    </xf>
    <xf numFmtId="0" fontId="11" fillId="0" borderId="32" xfId="0" applyFont="1" applyFill="1" applyBorder="1" applyAlignment="1">
      <alignment horizontal="left" vertical="top" wrapText="1"/>
    </xf>
    <xf numFmtId="0" fontId="10" fillId="0" borderId="0" xfId="0" applyFont="1" applyAlignment="1">
      <alignment horizontal="left" vertical="top" wrapText="1"/>
    </xf>
    <xf numFmtId="0" fontId="13" fillId="0" borderId="14" xfId="0" applyFont="1" applyBorder="1" applyAlignment="1">
      <alignment horizontal="left" vertical="center" wrapText="1"/>
    </xf>
    <xf numFmtId="0" fontId="13" fillId="0" borderId="25" xfId="0" applyFont="1" applyBorder="1" applyAlignment="1">
      <alignment horizontal="left" vertical="center" wrapText="1"/>
    </xf>
    <xf numFmtId="0" fontId="13" fillId="0" borderId="16" xfId="0" applyFont="1" applyBorder="1" applyAlignment="1">
      <alignment horizontal="left" vertical="center" wrapText="1"/>
    </xf>
    <xf numFmtId="0" fontId="16" fillId="0" borderId="28" xfId="0" applyFont="1" applyBorder="1" applyAlignment="1">
      <alignment horizontal="center" vertical="center" wrapText="1"/>
    </xf>
    <xf numFmtId="0" fontId="16" fillId="0" borderId="31" xfId="0" applyFont="1" applyBorder="1" applyAlignment="1">
      <alignment horizontal="center" vertical="center" wrapText="1"/>
    </xf>
    <xf numFmtId="0" fontId="11" fillId="0" borderId="21"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9" fillId="6" borderId="10" xfId="0" applyFont="1" applyFill="1" applyBorder="1" applyAlignment="1">
      <alignment horizontal="center" vertical="center" wrapText="1"/>
    </xf>
    <xf numFmtId="0" fontId="9" fillId="6" borderId="70" xfId="0" applyFont="1" applyFill="1" applyBorder="1" applyAlignment="1">
      <alignment horizontal="center" vertical="center" wrapText="1"/>
    </xf>
    <xf numFmtId="49" fontId="9" fillId="12" borderId="18" xfId="0" applyNumberFormat="1" applyFont="1" applyFill="1" applyBorder="1" applyAlignment="1" applyProtection="1">
      <alignment horizontal="center" vertical="top"/>
      <protection locked="0"/>
    </xf>
    <xf numFmtId="49" fontId="9" fillId="12" borderId="19" xfId="0" applyNumberFormat="1" applyFont="1" applyFill="1" applyBorder="1" applyAlignment="1" applyProtection="1">
      <alignment horizontal="center" vertical="top"/>
      <protection locked="0"/>
    </xf>
    <xf numFmtId="49" fontId="9" fillId="12" borderId="20" xfId="0" applyNumberFormat="1" applyFont="1" applyFill="1" applyBorder="1" applyAlignment="1" applyProtection="1">
      <alignment horizontal="center" vertical="top"/>
      <protection locked="0"/>
    </xf>
    <xf numFmtId="0" fontId="9" fillId="11" borderId="18" xfId="0" applyFont="1" applyFill="1" applyBorder="1" applyAlignment="1" applyProtection="1">
      <alignment horizontal="center" vertical="top" wrapText="1"/>
      <protection locked="0"/>
    </xf>
    <xf numFmtId="0" fontId="9" fillId="11" borderId="20" xfId="0" applyFont="1" applyFill="1" applyBorder="1" applyAlignment="1" applyProtection="1">
      <alignment horizontal="center" vertical="top" wrapText="1"/>
      <protection locked="0"/>
    </xf>
    <xf numFmtId="0" fontId="15" fillId="0" borderId="21"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32" xfId="0" applyFont="1" applyFill="1" applyBorder="1" applyAlignment="1">
      <alignment horizontal="left" vertical="top" wrapText="1"/>
    </xf>
    <xf numFmtId="0" fontId="9" fillId="12" borderId="65" xfId="0" applyFont="1" applyFill="1" applyBorder="1" applyAlignment="1" applyProtection="1">
      <alignment horizontal="center" vertical="top" wrapText="1"/>
      <protection locked="0"/>
    </xf>
    <xf numFmtId="0" fontId="9" fillId="12" borderId="11" xfId="0" applyFont="1" applyFill="1" applyBorder="1" applyAlignment="1" applyProtection="1">
      <alignment horizontal="center" vertical="top" wrapText="1"/>
      <protection locked="0"/>
    </xf>
    <xf numFmtId="167" fontId="0" fillId="0" borderId="1" xfId="2" applyNumberFormat="1" applyFont="1" applyBorder="1" applyAlignment="1">
      <alignment horizontal="left" vertical="center"/>
    </xf>
    <xf numFmtId="167" fontId="0" fillId="0" borderId="2" xfId="2" applyNumberFormat="1" applyFont="1" applyBorder="1" applyAlignment="1">
      <alignment horizontal="left" vertical="center"/>
    </xf>
    <xf numFmtId="167" fontId="0" fillId="0" borderId="43" xfId="2" applyNumberFormat="1" applyFont="1" applyBorder="1" applyAlignment="1">
      <alignment horizontal="left" vertical="center"/>
    </xf>
    <xf numFmtId="9" fontId="15" fillId="0" borderId="7" xfId="2" applyFont="1" applyBorder="1" applyAlignment="1">
      <alignment horizontal="center" vertical="center" wrapText="1"/>
    </xf>
    <xf numFmtId="9" fontId="15" fillId="0" borderId="8" xfId="2" applyFont="1" applyBorder="1" applyAlignment="1">
      <alignment horizontal="center" vertical="center" wrapText="1"/>
    </xf>
    <xf numFmtId="9" fontId="15" fillId="0" borderId="27" xfId="2" applyFont="1" applyBorder="1" applyAlignment="1">
      <alignment horizontal="center"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33" xfId="0" applyFont="1" applyBorder="1" applyAlignment="1">
      <alignment horizontal="left" vertical="center" wrapText="1"/>
    </xf>
    <xf numFmtId="0" fontId="11" fillId="16" borderId="28" xfId="0" applyFont="1" applyFill="1" applyBorder="1" applyAlignment="1">
      <alignment horizontal="center" vertical="center" wrapText="1"/>
    </xf>
    <xf numFmtId="0" fontId="11" fillId="16" borderId="30" xfId="0" applyFont="1" applyFill="1" applyBorder="1" applyAlignment="1">
      <alignment horizontal="center" vertical="center" wrapText="1"/>
    </xf>
    <xf numFmtId="0" fontId="11" fillId="16"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15" borderId="16" xfId="0" applyFont="1" applyFill="1" applyBorder="1" applyAlignment="1" applyProtection="1">
      <alignment horizontal="center" vertical="center" wrapText="1"/>
      <protection locked="0"/>
    </xf>
    <xf numFmtId="0" fontId="9" fillId="15" borderId="17" xfId="0" applyFont="1" applyFill="1" applyBorder="1" applyAlignment="1" applyProtection="1">
      <alignment horizontal="center" vertical="center" wrapText="1"/>
      <protection locked="0"/>
    </xf>
    <xf numFmtId="0" fontId="9" fillId="0" borderId="28"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11" borderId="18" xfId="0" applyFont="1" applyFill="1" applyBorder="1" applyAlignment="1" applyProtection="1">
      <alignment horizontal="center" vertical="center" wrapText="1"/>
      <protection locked="0"/>
    </xf>
    <xf numFmtId="0" fontId="9" fillId="11" borderId="20" xfId="0" applyFont="1" applyFill="1" applyBorder="1" applyAlignment="1" applyProtection="1">
      <alignment horizontal="center" vertical="center" wrapText="1"/>
      <protection locked="0"/>
    </xf>
    <xf numFmtId="0" fontId="9" fillId="15" borderId="18" xfId="0" applyFont="1" applyFill="1" applyBorder="1" applyAlignment="1">
      <alignment horizontal="center" vertical="center" wrapText="1"/>
    </xf>
    <xf numFmtId="0" fontId="9" fillId="15" borderId="20" xfId="0" applyFont="1" applyFill="1" applyBorder="1" applyAlignment="1">
      <alignment horizontal="center" vertical="center" wrapText="1"/>
    </xf>
    <xf numFmtId="0" fontId="11" fillId="0" borderId="25" xfId="0" applyFont="1" applyFill="1" applyBorder="1" applyAlignment="1">
      <alignment horizontal="left" vertical="top" wrapText="1"/>
    </xf>
    <xf numFmtId="0" fontId="11" fillId="0" borderId="16" xfId="0" applyFont="1" applyFill="1" applyBorder="1" applyAlignment="1">
      <alignment horizontal="left" vertical="top" wrapText="1"/>
    </xf>
    <xf numFmtId="0" fontId="15" fillId="0" borderId="21"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3" fillId="0" borderId="0" xfId="0" applyFont="1" applyAlignment="1">
      <alignment horizontal="center" wrapText="1"/>
    </xf>
    <xf numFmtId="0" fontId="9" fillId="4" borderId="25" xfId="0" applyFont="1" applyFill="1" applyBorder="1" applyAlignment="1">
      <alignment horizontal="left" wrapText="1"/>
    </xf>
    <xf numFmtId="0" fontId="9" fillId="4" borderId="0" xfId="0" applyFont="1" applyFill="1" applyBorder="1" applyAlignment="1">
      <alignment horizontal="left" wrapText="1"/>
    </xf>
    <xf numFmtId="0" fontId="3" fillId="8" borderId="18" xfId="0" applyFont="1" applyFill="1" applyBorder="1" applyAlignment="1">
      <alignment horizontal="center" wrapText="1"/>
    </xf>
    <xf numFmtId="0" fontId="3" fillId="8" borderId="19" xfId="0" applyFont="1" applyFill="1" applyBorder="1" applyAlignment="1">
      <alignment horizontal="center" wrapText="1"/>
    </xf>
    <xf numFmtId="0" fontId="3" fillId="8" borderId="20" xfId="0" applyFont="1" applyFill="1" applyBorder="1" applyAlignment="1">
      <alignment horizontal="center" wrapText="1"/>
    </xf>
    <xf numFmtId="0" fontId="6" fillId="8" borderId="54" xfId="0" applyFont="1" applyFill="1" applyBorder="1" applyAlignment="1">
      <alignment horizontal="center" vertical="center" wrapText="1"/>
    </xf>
    <xf numFmtId="0" fontId="6" fillId="8" borderId="55" xfId="0" applyFont="1" applyFill="1" applyBorder="1" applyAlignment="1">
      <alignment horizontal="center" vertical="center" wrapText="1"/>
    </xf>
    <xf numFmtId="0" fontId="6" fillId="8" borderId="56" xfId="0" applyFont="1" applyFill="1" applyBorder="1" applyAlignment="1">
      <alignment horizontal="center" vertical="center" wrapText="1"/>
    </xf>
    <xf numFmtId="0" fontId="9" fillId="0" borderId="10" xfId="0" applyFont="1" applyBorder="1" applyAlignment="1">
      <alignment horizontal="center" wrapText="1"/>
    </xf>
    <xf numFmtId="0" fontId="11" fillId="8" borderId="28" xfId="0" applyFont="1" applyFill="1" applyBorder="1" applyAlignment="1">
      <alignment horizontal="center" vertical="center" wrapText="1"/>
    </xf>
    <xf numFmtId="0" fontId="11" fillId="8" borderId="30" xfId="0" applyFont="1" applyFill="1" applyBorder="1" applyAlignment="1">
      <alignment horizontal="center" vertical="center" wrapText="1"/>
    </xf>
    <xf numFmtId="0" fontId="11" fillId="8" borderId="31" xfId="0" applyFont="1" applyFill="1" applyBorder="1" applyAlignment="1">
      <alignment horizontal="center" vertical="center" wrapText="1"/>
    </xf>
    <xf numFmtId="0" fontId="11" fillId="9" borderId="28" xfId="0" applyFont="1" applyFill="1" applyBorder="1" applyAlignment="1">
      <alignment horizontal="center" vertical="center" wrapText="1"/>
    </xf>
    <xf numFmtId="0" fontId="11" fillId="9" borderId="30" xfId="0" applyFont="1" applyFill="1" applyBorder="1" applyAlignment="1">
      <alignment horizontal="center" vertical="center" wrapText="1"/>
    </xf>
    <xf numFmtId="0" fontId="11" fillId="9" borderId="31" xfId="0" applyFont="1" applyFill="1" applyBorder="1" applyAlignment="1">
      <alignment horizontal="center" vertical="center" wrapText="1"/>
    </xf>
    <xf numFmtId="0" fontId="19" fillId="13" borderId="11" xfId="0" applyFont="1" applyFill="1" applyBorder="1" applyAlignment="1" applyProtection="1">
      <alignment horizontal="center" vertical="center" wrapText="1"/>
      <protection locked="0"/>
    </xf>
  </cellXfs>
  <cellStyles count="7">
    <cellStyle name="Milliers" xfId="1" builtinId="3"/>
    <cellStyle name="Milliers [0]" xfId="6" builtinId="6"/>
    <cellStyle name="Monétaire" xfId="5" builtinId="4"/>
    <cellStyle name="Normal" xfId="0" builtinId="0"/>
    <cellStyle name="Normal 2" xfId="3" xr:uid="{00000000-0005-0000-0000-000002000000}"/>
    <cellStyle name="Normal 3" xfId="4" xr:uid="{00000000-0005-0000-0000-000003000000}"/>
    <cellStyle name="Pourcentage" xfId="2" builtinId="5"/>
  </cellStyles>
  <dxfs count="13">
    <dxf>
      <font>
        <strike val="0"/>
        <outline val="0"/>
        <shadow val="0"/>
        <u val="none"/>
        <vertAlign val="baseline"/>
        <sz val="10"/>
        <color theme="1"/>
        <name val="Calibri"/>
        <scheme val="minor"/>
      </font>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scheme val="minor"/>
      </font>
      <numFmt numFmtId="14" formatCode="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73" formatCode="#,##0_);\(#,##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73" formatCode="#,##0_);\(#,##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Calibri"/>
        <scheme val="minor"/>
      </font>
      <numFmt numFmtId="173" formatCode="#,##0_);\(#,##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171" formatCode="_(* #,##0_);_(* \(#,##0\);_(*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dxf>
    <dxf>
      <border>
        <bottom style="thin">
          <color indexed="64"/>
        </bottom>
      </border>
    </dxf>
    <dxf>
      <font>
        <b/>
        <strike val="0"/>
        <outline val="0"/>
        <shadow val="0"/>
        <u val="none"/>
        <vertAlign val="baseline"/>
        <sz val="11"/>
        <color theme="1"/>
        <name val="Calibri"/>
        <scheme val="minor"/>
      </font>
      <alignment horizontal="general" vertical="center"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2" defaultPivotStyle="PivotStyleLight16"/>
  <colors>
    <mruColors>
      <color rgb="FF00FFFF"/>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ry.conde/Desktop/DOSSIERS%202020%20GED/NOUVEAU%20PROJET%202020%20PBF/NOUVEAU%20BUDGET%20ISP%20RICHARD%202019%202020/RICHARD%202020/Version%2027%20Nov%20Budget%20Projet%20ISP%20PBF_PBSO%20corre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ry.conde/AppData/Local/Microsoft/Windows/INetCache/Content.Outlook/0FV5Y1JX/Finacial%20Report%20UNP004_Q3%202020%20revis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ublic/Documents/Search/Responsable%20financier/INTAACT%20Nouveau%20syst&#232;me%20comptable/Financial%20Report%202020/Rapport%20UND019/Rapport%20UND019_%20Mar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P004"/>
      <sheetName val="Expenses July - Sept. 20"/>
    </sheetNames>
    <sheetDataSet>
      <sheetData sheetId="0"/>
      <sheetData sheetId="1">
        <row r="5">
          <cell r="S5" t="str">
            <v>Donor Report Category</v>
          </cell>
          <cell r="W5" t="str">
            <v>Net Amount</v>
          </cell>
        </row>
        <row r="6">
          <cell r="S6">
            <v>7</v>
          </cell>
          <cell r="W6">
            <v>126.74</v>
          </cell>
        </row>
        <row r="7">
          <cell r="S7">
            <v>7</v>
          </cell>
          <cell r="W7">
            <v>423.26</v>
          </cell>
        </row>
        <row r="8">
          <cell r="S8">
            <v>7</v>
          </cell>
          <cell r="W8">
            <v>31.41</v>
          </cell>
        </row>
        <row r="9">
          <cell r="S9">
            <v>7</v>
          </cell>
          <cell r="W9">
            <v>5.24</v>
          </cell>
        </row>
        <row r="10">
          <cell r="S10">
            <v>7</v>
          </cell>
          <cell r="W10">
            <v>10.210000000000001</v>
          </cell>
        </row>
        <row r="11">
          <cell r="S11">
            <v>7</v>
          </cell>
          <cell r="W11">
            <v>19.63</v>
          </cell>
        </row>
        <row r="12">
          <cell r="S12">
            <v>7</v>
          </cell>
          <cell r="W12">
            <v>14.4</v>
          </cell>
        </row>
        <row r="13">
          <cell r="S13">
            <v>7</v>
          </cell>
          <cell r="W13">
            <v>12.56</v>
          </cell>
        </row>
        <row r="14">
          <cell r="S14">
            <v>7</v>
          </cell>
          <cell r="W14">
            <v>1.1599999999999999</v>
          </cell>
        </row>
        <row r="15">
          <cell r="S15">
            <v>1</v>
          </cell>
          <cell r="W15">
            <v>6.02</v>
          </cell>
        </row>
        <row r="16">
          <cell r="S16">
            <v>1</v>
          </cell>
          <cell r="W16">
            <v>9.0299999999999994</v>
          </cell>
        </row>
        <row r="17">
          <cell r="S17">
            <v>1</v>
          </cell>
          <cell r="W17">
            <v>0.88</v>
          </cell>
        </row>
        <row r="18">
          <cell r="S18">
            <v>1</v>
          </cell>
          <cell r="W18">
            <v>9.81</v>
          </cell>
        </row>
        <row r="19">
          <cell r="S19">
            <v>1</v>
          </cell>
          <cell r="W19">
            <v>0.68</v>
          </cell>
        </row>
        <row r="20">
          <cell r="S20">
            <v>1</v>
          </cell>
          <cell r="W20">
            <v>60.2</v>
          </cell>
        </row>
        <row r="21">
          <cell r="S21">
            <v>1</v>
          </cell>
          <cell r="W21">
            <v>6.02</v>
          </cell>
        </row>
        <row r="22">
          <cell r="S22">
            <v>1</v>
          </cell>
          <cell r="W22">
            <v>20.39</v>
          </cell>
        </row>
        <row r="23">
          <cell r="S23">
            <v>1</v>
          </cell>
          <cell r="W23">
            <v>1.22</v>
          </cell>
        </row>
        <row r="24">
          <cell r="S24">
            <v>1</v>
          </cell>
          <cell r="W24">
            <v>1.28</v>
          </cell>
        </row>
        <row r="25">
          <cell r="S25">
            <v>1</v>
          </cell>
          <cell r="W25">
            <v>4.34</v>
          </cell>
        </row>
        <row r="26">
          <cell r="S26">
            <v>1</v>
          </cell>
          <cell r="W26">
            <v>3.57</v>
          </cell>
        </row>
        <row r="27">
          <cell r="S27">
            <v>1</v>
          </cell>
          <cell r="W27">
            <v>1.78</v>
          </cell>
        </row>
        <row r="28">
          <cell r="S28">
            <v>1</v>
          </cell>
          <cell r="W28">
            <v>26.15</v>
          </cell>
        </row>
        <row r="29">
          <cell r="S29">
            <v>1</v>
          </cell>
          <cell r="W29">
            <v>6.02</v>
          </cell>
        </row>
        <row r="30">
          <cell r="S30">
            <v>1</v>
          </cell>
          <cell r="W30">
            <v>7.15</v>
          </cell>
        </row>
        <row r="31">
          <cell r="S31">
            <v>1</v>
          </cell>
          <cell r="W31">
            <v>0.99</v>
          </cell>
        </row>
        <row r="32">
          <cell r="S32">
            <v>1</v>
          </cell>
          <cell r="W32">
            <v>0.59</v>
          </cell>
        </row>
        <row r="33">
          <cell r="S33">
            <v>7</v>
          </cell>
          <cell r="W33">
            <v>1.01</v>
          </cell>
        </row>
        <row r="34">
          <cell r="S34">
            <v>7</v>
          </cell>
          <cell r="W34">
            <v>25.91</v>
          </cell>
        </row>
        <row r="35">
          <cell r="S35">
            <v>1</v>
          </cell>
          <cell r="W35">
            <v>3.68</v>
          </cell>
        </row>
        <row r="36">
          <cell r="S36">
            <v>1</v>
          </cell>
          <cell r="W36">
            <v>48.13</v>
          </cell>
        </row>
        <row r="37">
          <cell r="S37">
            <v>1</v>
          </cell>
          <cell r="W37">
            <v>35</v>
          </cell>
        </row>
        <row r="38">
          <cell r="S38">
            <v>1</v>
          </cell>
          <cell r="W38">
            <v>343.75</v>
          </cell>
        </row>
        <row r="39">
          <cell r="S39">
            <v>1</v>
          </cell>
          <cell r="W39">
            <v>249.98</v>
          </cell>
        </row>
        <row r="40">
          <cell r="S40">
            <v>1</v>
          </cell>
          <cell r="W40">
            <v>18.100000000000001</v>
          </cell>
        </row>
        <row r="41">
          <cell r="S41">
            <v>1</v>
          </cell>
          <cell r="W41">
            <v>129.26</v>
          </cell>
        </row>
        <row r="42">
          <cell r="S42">
            <v>1</v>
          </cell>
          <cell r="W42">
            <v>62.69</v>
          </cell>
        </row>
        <row r="43">
          <cell r="S43">
            <v>1</v>
          </cell>
          <cell r="W43">
            <v>86.21</v>
          </cell>
        </row>
        <row r="44">
          <cell r="S44">
            <v>1</v>
          </cell>
          <cell r="W44">
            <v>32.42</v>
          </cell>
        </row>
        <row r="45">
          <cell r="S45">
            <v>1</v>
          </cell>
          <cell r="W45">
            <v>93.75</v>
          </cell>
        </row>
        <row r="46">
          <cell r="S46">
            <v>1</v>
          </cell>
          <cell r="W46">
            <v>62.5</v>
          </cell>
        </row>
        <row r="47">
          <cell r="S47">
            <v>5</v>
          </cell>
          <cell r="W47">
            <v>149.06</v>
          </cell>
        </row>
        <row r="48">
          <cell r="S48">
            <v>5</v>
          </cell>
          <cell r="W48">
            <v>141.21</v>
          </cell>
        </row>
        <row r="49">
          <cell r="S49">
            <v>7</v>
          </cell>
          <cell r="W49">
            <v>4.6500000000000004</v>
          </cell>
        </row>
        <row r="50">
          <cell r="S50">
            <v>7</v>
          </cell>
          <cell r="W50">
            <v>30.03</v>
          </cell>
        </row>
        <row r="51">
          <cell r="S51">
            <v>7</v>
          </cell>
          <cell r="W51">
            <v>7.75</v>
          </cell>
        </row>
        <row r="52">
          <cell r="S52">
            <v>7</v>
          </cell>
          <cell r="W52">
            <v>15.09</v>
          </cell>
        </row>
        <row r="53">
          <cell r="S53">
            <v>7</v>
          </cell>
          <cell r="W53">
            <v>8.17</v>
          </cell>
        </row>
        <row r="54">
          <cell r="S54">
            <v>7</v>
          </cell>
          <cell r="W54">
            <v>5.81</v>
          </cell>
        </row>
        <row r="55">
          <cell r="S55">
            <v>7</v>
          </cell>
          <cell r="W55">
            <v>21.36</v>
          </cell>
        </row>
        <row r="56">
          <cell r="S56">
            <v>1</v>
          </cell>
          <cell r="W56">
            <v>12.42</v>
          </cell>
        </row>
        <row r="57">
          <cell r="S57">
            <v>7</v>
          </cell>
          <cell r="W57">
            <v>5.89</v>
          </cell>
        </row>
        <row r="58">
          <cell r="S58">
            <v>7</v>
          </cell>
          <cell r="W58">
            <v>1.7</v>
          </cell>
        </row>
        <row r="59">
          <cell r="S59">
            <v>7</v>
          </cell>
          <cell r="W59">
            <v>4.13</v>
          </cell>
        </row>
        <row r="60">
          <cell r="S60">
            <v>7</v>
          </cell>
          <cell r="W60">
            <v>36.51</v>
          </cell>
        </row>
        <row r="61">
          <cell r="S61">
            <v>7</v>
          </cell>
          <cell r="W61">
            <v>4.67</v>
          </cell>
        </row>
        <row r="62">
          <cell r="S62">
            <v>7</v>
          </cell>
          <cell r="W62">
            <v>33.619999999999997</v>
          </cell>
        </row>
        <row r="63">
          <cell r="S63">
            <v>1</v>
          </cell>
          <cell r="W63">
            <v>11.77</v>
          </cell>
        </row>
        <row r="64">
          <cell r="S64">
            <v>1</v>
          </cell>
          <cell r="W64">
            <v>1.69</v>
          </cell>
        </row>
        <row r="65">
          <cell r="S65">
            <v>1</v>
          </cell>
          <cell r="W65">
            <v>9.81</v>
          </cell>
        </row>
        <row r="66">
          <cell r="S66">
            <v>1</v>
          </cell>
          <cell r="W66">
            <v>4.71</v>
          </cell>
        </row>
        <row r="67">
          <cell r="S67">
            <v>1</v>
          </cell>
          <cell r="W67">
            <v>1.28</v>
          </cell>
        </row>
        <row r="68">
          <cell r="S68">
            <v>1</v>
          </cell>
          <cell r="W68">
            <v>4.6100000000000003</v>
          </cell>
        </row>
        <row r="69">
          <cell r="S69">
            <v>1</v>
          </cell>
          <cell r="W69">
            <v>164.08</v>
          </cell>
        </row>
        <row r="70">
          <cell r="S70">
            <v>1</v>
          </cell>
          <cell r="W70">
            <v>112.53</v>
          </cell>
        </row>
        <row r="71">
          <cell r="S71">
            <v>1</v>
          </cell>
          <cell r="W71">
            <v>653.85</v>
          </cell>
        </row>
        <row r="72">
          <cell r="S72">
            <v>1</v>
          </cell>
          <cell r="W72">
            <v>2.46</v>
          </cell>
        </row>
        <row r="73">
          <cell r="S73">
            <v>1</v>
          </cell>
          <cell r="W73">
            <v>13.67</v>
          </cell>
        </row>
        <row r="74">
          <cell r="S74">
            <v>1</v>
          </cell>
          <cell r="W74">
            <v>8.89</v>
          </cell>
        </row>
        <row r="75">
          <cell r="S75">
            <v>1</v>
          </cell>
          <cell r="W75">
            <v>5.89</v>
          </cell>
        </row>
        <row r="76">
          <cell r="S76">
            <v>1</v>
          </cell>
          <cell r="W76">
            <v>47.12</v>
          </cell>
        </row>
        <row r="77">
          <cell r="S77">
            <v>1</v>
          </cell>
          <cell r="W77">
            <v>5.12</v>
          </cell>
        </row>
        <row r="78">
          <cell r="S78">
            <v>1</v>
          </cell>
          <cell r="W78">
            <v>54.49</v>
          </cell>
        </row>
        <row r="79">
          <cell r="S79">
            <v>1</v>
          </cell>
          <cell r="W79">
            <v>26.18</v>
          </cell>
        </row>
        <row r="80">
          <cell r="S80">
            <v>1</v>
          </cell>
          <cell r="W80">
            <v>7.1</v>
          </cell>
        </row>
        <row r="81">
          <cell r="S81">
            <v>1</v>
          </cell>
          <cell r="W81">
            <v>9.3800000000000008</v>
          </cell>
        </row>
        <row r="82">
          <cell r="S82">
            <v>1</v>
          </cell>
          <cell r="W82">
            <v>6.1</v>
          </cell>
        </row>
        <row r="83">
          <cell r="S83">
            <v>1</v>
          </cell>
          <cell r="W83">
            <v>35.42</v>
          </cell>
        </row>
        <row r="84">
          <cell r="S84">
            <v>1</v>
          </cell>
          <cell r="W84">
            <v>17.02</v>
          </cell>
        </row>
        <row r="85">
          <cell r="S85">
            <v>1</v>
          </cell>
          <cell r="W85">
            <v>314.2</v>
          </cell>
        </row>
        <row r="86">
          <cell r="S86">
            <v>1</v>
          </cell>
          <cell r="W86">
            <v>85.18</v>
          </cell>
        </row>
        <row r="87">
          <cell r="S87">
            <v>1</v>
          </cell>
          <cell r="W87">
            <v>4.7</v>
          </cell>
        </row>
        <row r="88">
          <cell r="S88">
            <v>1</v>
          </cell>
          <cell r="W88">
            <v>118.48</v>
          </cell>
        </row>
        <row r="89">
          <cell r="S89">
            <v>1</v>
          </cell>
          <cell r="W89">
            <v>16.59</v>
          </cell>
        </row>
        <row r="90">
          <cell r="S90">
            <v>1</v>
          </cell>
          <cell r="W90">
            <v>44.12</v>
          </cell>
        </row>
        <row r="91">
          <cell r="S91">
            <v>1</v>
          </cell>
          <cell r="W91">
            <v>41.66</v>
          </cell>
        </row>
        <row r="92">
          <cell r="S92">
            <v>1</v>
          </cell>
          <cell r="W92">
            <v>315.14999999999998</v>
          </cell>
        </row>
        <row r="93">
          <cell r="S93">
            <v>1</v>
          </cell>
          <cell r="W93">
            <v>5.83</v>
          </cell>
        </row>
        <row r="94">
          <cell r="S94">
            <v>1</v>
          </cell>
          <cell r="W94">
            <v>29.71</v>
          </cell>
        </row>
        <row r="95">
          <cell r="S95">
            <v>1</v>
          </cell>
          <cell r="W95">
            <v>10.45</v>
          </cell>
        </row>
        <row r="96">
          <cell r="S96">
            <v>1</v>
          </cell>
          <cell r="W96">
            <v>79.040000000000006</v>
          </cell>
        </row>
        <row r="97">
          <cell r="S97">
            <v>1</v>
          </cell>
          <cell r="W97">
            <v>11.9</v>
          </cell>
        </row>
        <row r="98">
          <cell r="S98">
            <v>1</v>
          </cell>
          <cell r="W98">
            <v>85.94</v>
          </cell>
        </row>
        <row r="99">
          <cell r="S99">
            <v>0</v>
          </cell>
          <cell r="W99">
            <v>339.59</v>
          </cell>
        </row>
        <row r="100">
          <cell r="S100">
            <v>7</v>
          </cell>
          <cell r="W100">
            <v>17.43</v>
          </cell>
        </row>
        <row r="101">
          <cell r="S101">
            <v>7</v>
          </cell>
          <cell r="W101">
            <v>2.71</v>
          </cell>
        </row>
        <row r="102">
          <cell r="S102">
            <v>7</v>
          </cell>
          <cell r="W102">
            <v>2.71</v>
          </cell>
        </row>
        <row r="103">
          <cell r="S103">
            <v>7</v>
          </cell>
          <cell r="W103">
            <v>4.29</v>
          </cell>
        </row>
        <row r="104">
          <cell r="S104">
            <v>7</v>
          </cell>
          <cell r="W104">
            <v>22.23</v>
          </cell>
        </row>
        <row r="105">
          <cell r="S105">
            <v>7</v>
          </cell>
          <cell r="W105">
            <v>31.38</v>
          </cell>
        </row>
        <row r="106">
          <cell r="S106">
            <v>7</v>
          </cell>
          <cell r="W106">
            <v>2.71</v>
          </cell>
        </row>
        <row r="107">
          <cell r="S107">
            <v>7</v>
          </cell>
          <cell r="W107">
            <v>23.24</v>
          </cell>
        </row>
        <row r="108">
          <cell r="S108">
            <v>7</v>
          </cell>
          <cell r="W108">
            <v>1.1599999999999999</v>
          </cell>
        </row>
        <row r="109">
          <cell r="S109">
            <v>7</v>
          </cell>
          <cell r="W109">
            <v>23.24</v>
          </cell>
        </row>
        <row r="110">
          <cell r="S110">
            <v>7</v>
          </cell>
          <cell r="W110">
            <v>7.75</v>
          </cell>
        </row>
        <row r="111">
          <cell r="S111">
            <v>7</v>
          </cell>
          <cell r="W111">
            <v>2.71</v>
          </cell>
        </row>
        <row r="112">
          <cell r="S112">
            <v>7</v>
          </cell>
          <cell r="W112">
            <v>32.54</v>
          </cell>
        </row>
        <row r="113">
          <cell r="S113">
            <v>7</v>
          </cell>
          <cell r="W113">
            <v>261.5</v>
          </cell>
        </row>
        <row r="114">
          <cell r="S114">
            <v>7</v>
          </cell>
          <cell r="W114">
            <v>21.36</v>
          </cell>
        </row>
        <row r="115">
          <cell r="S115">
            <v>7</v>
          </cell>
          <cell r="W115">
            <v>4.96</v>
          </cell>
        </row>
        <row r="116">
          <cell r="S116">
            <v>7</v>
          </cell>
          <cell r="W116">
            <v>163.13</v>
          </cell>
        </row>
        <row r="117">
          <cell r="S117">
            <v>7</v>
          </cell>
          <cell r="W117">
            <v>15.66</v>
          </cell>
        </row>
        <row r="118">
          <cell r="S118">
            <v>7</v>
          </cell>
          <cell r="W118">
            <v>2.88</v>
          </cell>
        </row>
        <row r="119">
          <cell r="S119">
            <v>7</v>
          </cell>
          <cell r="W119">
            <v>14.36</v>
          </cell>
        </row>
        <row r="120">
          <cell r="S120">
            <v>3</v>
          </cell>
          <cell r="W120">
            <v>1879.2</v>
          </cell>
        </row>
        <row r="121">
          <cell r="S121">
            <v>1</v>
          </cell>
          <cell r="W121">
            <v>96.25</v>
          </cell>
        </row>
        <row r="122">
          <cell r="S122">
            <v>1</v>
          </cell>
          <cell r="W122">
            <v>687.5</v>
          </cell>
        </row>
        <row r="123">
          <cell r="S123">
            <v>1</v>
          </cell>
          <cell r="W123">
            <v>50</v>
          </cell>
        </row>
        <row r="124">
          <cell r="S124">
            <v>1</v>
          </cell>
          <cell r="W124">
            <v>7</v>
          </cell>
        </row>
        <row r="125">
          <cell r="S125">
            <v>1</v>
          </cell>
          <cell r="W125">
            <v>172.43</v>
          </cell>
        </row>
        <row r="126">
          <cell r="S126">
            <v>1</v>
          </cell>
          <cell r="W126">
            <v>12.54</v>
          </cell>
        </row>
        <row r="127">
          <cell r="S127">
            <v>1</v>
          </cell>
          <cell r="W127">
            <v>25</v>
          </cell>
        </row>
        <row r="128">
          <cell r="S128">
            <v>1</v>
          </cell>
          <cell r="W128">
            <v>187.5</v>
          </cell>
        </row>
        <row r="129">
          <cell r="S129">
            <v>1</v>
          </cell>
          <cell r="W129">
            <v>12.41</v>
          </cell>
        </row>
        <row r="130">
          <cell r="S130">
            <v>4</v>
          </cell>
          <cell r="W130">
            <v>52.25</v>
          </cell>
        </row>
        <row r="131">
          <cell r="S131">
            <v>7</v>
          </cell>
          <cell r="W131">
            <v>9.66</v>
          </cell>
        </row>
        <row r="132">
          <cell r="S132">
            <v>3</v>
          </cell>
          <cell r="W132">
            <v>261.25</v>
          </cell>
        </row>
        <row r="133">
          <cell r="S133">
            <v>5</v>
          </cell>
          <cell r="W133">
            <v>1.25</v>
          </cell>
        </row>
        <row r="134">
          <cell r="S134">
            <v>5</v>
          </cell>
          <cell r="W134">
            <v>14.02</v>
          </cell>
        </row>
        <row r="135">
          <cell r="S135">
            <v>7</v>
          </cell>
          <cell r="W135">
            <v>88.7</v>
          </cell>
        </row>
        <row r="136">
          <cell r="S136">
            <v>7</v>
          </cell>
          <cell r="W136">
            <v>13.05</v>
          </cell>
        </row>
        <row r="137">
          <cell r="S137">
            <v>7</v>
          </cell>
          <cell r="W137">
            <v>141.85</v>
          </cell>
        </row>
        <row r="138">
          <cell r="S138">
            <v>7</v>
          </cell>
          <cell r="W138">
            <v>110.14</v>
          </cell>
        </row>
        <row r="139">
          <cell r="S139">
            <v>7</v>
          </cell>
          <cell r="W139">
            <v>-141.85</v>
          </cell>
        </row>
        <row r="140">
          <cell r="S140">
            <v>7</v>
          </cell>
          <cell r="W140">
            <v>-13.05</v>
          </cell>
        </row>
        <row r="141">
          <cell r="S141">
            <v>7</v>
          </cell>
          <cell r="W141">
            <v>-88.7</v>
          </cell>
        </row>
        <row r="142">
          <cell r="S142">
            <v>7</v>
          </cell>
          <cell r="W142">
            <v>46.98</v>
          </cell>
        </row>
        <row r="143">
          <cell r="S143">
            <v>7</v>
          </cell>
          <cell r="W143">
            <v>-13.05</v>
          </cell>
        </row>
        <row r="144">
          <cell r="S144">
            <v>7</v>
          </cell>
          <cell r="W144">
            <v>14.41</v>
          </cell>
        </row>
        <row r="145">
          <cell r="S145">
            <v>7</v>
          </cell>
          <cell r="W145">
            <v>8.16</v>
          </cell>
        </row>
        <row r="146">
          <cell r="S146">
            <v>7</v>
          </cell>
          <cell r="W146">
            <v>12.85</v>
          </cell>
        </row>
        <row r="147">
          <cell r="S147">
            <v>7</v>
          </cell>
          <cell r="W147">
            <v>-12.85</v>
          </cell>
        </row>
        <row r="148">
          <cell r="S148">
            <v>7</v>
          </cell>
          <cell r="W148">
            <v>-110.14</v>
          </cell>
        </row>
        <row r="149">
          <cell r="S149">
            <v>7</v>
          </cell>
          <cell r="W149">
            <v>-10.18</v>
          </cell>
        </row>
        <row r="150">
          <cell r="S150">
            <v>7</v>
          </cell>
          <cell r="W150">
            <v>10.18</v>
          </cell>
        </row>
        <row r="151">
          <cell r="S151">
            <v>7</v>
          </cell>
          <cell r="W151">
            <v>13.05</v>
          </cell>
        </row>
        <row r="152">
          <cell r="S152">
            <v>7</v>
          </cell>
          <cell r="W152">
            <v>-14.36</v>
          </cell>
        </row>
        <row r="153">
          <cell r="S153">
            <v>7</v>
          </cell>
          <cell r="W153">
            <v>-13.05</v>
          </cell>
        </row>
        <row r="154">
          <cell r="S154">
            <v>7</v>
          </cell>
          <cell r="W154">
            <v>14.36</v>
          </cell>
        </row>
        <row r="155">
          <cell r="S155">
            <v>7</v>
          </cell>
          <cell r="W155">
            <v>13.05</v>
          </cell>
        </row>
        <row r="156">
          <cell r="S156">
            <v>5</v>
          </cell>
          <cell r="W156">
            <v>1.25</v>
          </cell>
        </row>
        <row r="157">
          <cell r="S157">
            <v>5</v>
          </cell>
          <cell r="W157">
            <v>8.1300000000000008</v>
          </cell>
        </row>
        <row r="158">
          <cell r="S158">
            <v>5</v>
          </cell>
          <cell r="W158">
            <v>20.16</v>
          </cell>
        </row>
        <row r="159">
          <cell r="S159">
            <v>1</v>
          </cell>
          <cell r="W159">
            <v>10.72</v>
          </cell>
        </row>
        <row r="160">
          <cell r="S160">
            <v>1</v>
          </cell>
          <cell r="W160">
            <v>11.02</v>
          </cell>
        </row>
        <row r="161">
          <cell r="S161">
            <v>1</v>
          </cell>
          <cell r="W161">
            <v>8.57</v>
          </cell>
        </row>
        <row r="162">
          <cell r="S162">
            <v>1</v>
          </cell>
          <cell r="W162">
            <v>85.75</v>
          </cell>
        </row>
        <row r="163">
          <cell r="S163">
            <v>1</v>
          </cell>
          <cell r="W163">
            <v>2.61</v>
          </cell>
        </row>
        <row r="164">
          <cell r="S164">
            <v>7</v>
          </cell>
          <cell r="W164">
            <v>10.59</v>
          </cell>
        </row>
        <row r="165">
          <cell r="S165">
            <v>7</v>
          </cell>
          <cell r="W165">
            <v>34.5</v>
          </cell>
        </row>
        <row r="166">
          <cell r="S166">
            <v>7</v>
          </cell>
          <cell r="W166">
            <v>5.66</v>
          </cell>
        </row>
        <row r="167">
          <cell r="S167">
            <v>7</v>
          </cell>
          <cell r="W167">
            <v>21.32</v>
          </cell>
        </row>
        <row r="168">
          <cell r="S168">
            <v>7</v>
          </cell>
          <cell r="W168">
            <v>63.41</v>
          </cell>
        </row>
        <row r="169">
          <cell r="S169">
            <v>7</v>
          </cell>
          <cell r="W169">
            <v>15.66</v>
          </cell>
        </row>
        <row r="170">
          <cell r="S170">
            <v>7</v>
          </cell>
          <cell r="W170">
            <v>13.7</v>
          </cell>
        </row>
        <row r="171">
          <cell r="S171">
            <v>1</v>
          </cell>
          <cell r="W171">
            <v>163.68</v>
          </cell>
        </row>
        <row r="172">
          <cell r="S172">
            <v>1</v>
          </cell>
          <cell r="W172">
            <v>651.97</v>
          </cell>
        </row>
        <row r="173">
          <cell r="S173">
            <v>1</v>
          </cell>
          <cell r="W173">
            <v>15.74</v>
          </cell>
        </row>
        <row r="174">
          <cell r="S174">
            <v>1</v>
          </cell>
          <cell r="W174">
            <v>3.38</v>
          </cell>
        </row>
        <row r="175">
          <cell r="S175">
            <v>1</v>
          </cell>
          <cell r="W175">
            <v>188.82</v>
          </cell>
        </row>
        <row r="176">
          <cell r="S176">
            <v>1</v>
          </cell>
          <cell r="W176">
            <v>40.51</v>
          </cell>
        </row>
        <row r="177">
          <cell r="S177">
            <v>1</v>
          </cell>
          <cell r="W177">
            <v>13.64</v>
          </cell>
        </row>
        <row r="178">
          <cell r="S178">
            <v>1</v>
          </cell>
          <cell r="W178">
            <v>54.33</v>
          </cell>
        </row>
        <row r="179">
          <cell r="S179">
            <v>1</v>
          </cell>
          <cell r="W179">
            <v>9.7799999999999994</v>
          </cell>
        </row>
        <row r="180">
          <cell r="S180">
            <v>1</v>
          </cell>
          <cell r="W180">
            <v>2.83</v>
          </cell>
        </row>
        <row r="181">
          <cell r="S181">
            <v>1</v>
          </cell>
          <cell r="W181">
            <v>0.61</v>
          </cell>
        </row>
        <row r="182">
          <cell r="S182">
            <v>1</v>
          </cell>
          <cell r="W182">
            <v>8.8699999999999992</v>
          </cell>
        </row>
        <row r="183">
          <cell r="S183">
            <v>1</v>
          </cell>
          <cell r="W183">
            <v>35.32</v>
          </cell>
        </row>
        <row r="184">
          <cell r="S184">
            <v>1</v>
          </cell>
          <cell r="W184">
            <v>10.23</v>
          </cell>
        </row>
        <row r="185">
          <cell r="S185">
            <v>1</v>
          </cell>
          <cell r="W185">
            <v>2.19</v>
          </cell>
        </row>
        <row r="186">
          <cell r="S186">
            <v>1</v>
          </cell>
          <cell r="W186">
            <v>5.87</v>
          </cell>
        </row>
        <row r="187">
          <cell r="S187">
            <v>1</v>
          </cell>
          <cell r="W187">
            <v>46.98</v>
          </cell>
        </row>
        <row r="188">
          <cell r="S188">
            <v>1</v>
          </cell>
          <cell r="W188">
            <v>3.08</v>
          </cell>
        </row>
        <row r="189">
          <cell r="S189">
            <v>1</v>
          </cell>
          <cell r="W189">
            <v>2.2400000000000002</v>
          </cell>
        </row>
        <row r="190">
          <cell r="S190">
            <v>1</v>
          </cell>
          <cell r="W190">
            <v>2.46</v>
          </cell>
        </row>
        <row r="191">
          <cell r="S191">
            <v>1</v>
          </cell>
          <cell r="W191">
            <v>37.15</v>
          </cell>
        </row>
        <row r="192">
          <cell r="S192">
            <v>1</v>
          </cell>
          <cell r="W192">
            <v>9.5500000000000007</v>
          </cell>
        </row>
        <row r="193">
          <cell r="S193">
            <v>1</v>
          </cell>
          <cell r="W193">
            <v>343.75</v>
          </cell>
        </row>
        <row r="194">
          <cell r="S194">
            <v>1</v>
          </cell>
          <cell r="W194">
            <v>68.19</v>
          </cell>
        </row>
        <row r="195">
          <cell r="S195">
            <v>1</v>
          </cell>
          <cell r="W195">
            <v>48.13</v>
          </cell>
        </row>
        <row r="196">
          <cell r="S196">
            <v>1</v>
          </cell>
          <cell r="W196">
            <v>17.100000000000001</v>
          </cell>
        </row>
        <row r="197">
          <cell r="S197">
            <v>1</v>
          </cell>
          <cell r="W197">
            <v>86.21</v>
          </cell>
        </row>
        <row r="198">
          <cell r="S198">
            <v>1</v>
          </cell>
          <cell r="W198">
            <v>93.75</v>
          </cell>
        </row>
        <row r="199">
          <cell r="S199">
            <v>1</v>
          </cell>
          <cell r="W199">
            <v>18.75</v>
          </cell>
        </row>
        <row r="200">
          <cell r="S200">
            <v>7</v>
          </cell>
          <cell r="W200">
            <v>4</v>
          </cell>
        </row>
        <row r="201">
          <cell r="S201">
            <v>7</v>
          </cell>
          <cell r="W201">
            <v>19.329999999999998</v>
          </cell>
        </row>
        <row r="202">
          <cell r="S202">
            <v>7</v>
          </cell>
          <cell r="W202">
            <v>2.5</v>
          </cell>
        </row>
        <row r="203">
          <cell r="S203">
            <v>7</v>
          </cell>
          <cell r="W203">
            <v>5.8</v>
          </cell>
        </row>
        <row r="204">
          <cell r="S204">
            <v>7</v>
          </cell>
          <cell r="W204">
            <v>32.479999999999997</v>
          </cell>
        </row>
        <row r="205">
          <cell r="S205">
            <v>7</v>
          </cell>
          <cell r="W205">
            <v>1.55</v>
          </cell>
        </row>
        <row r="206">
          <cell r="S206">
            <v>7</v>
          </cell>
          <cell r="W206">
            <v>2.71</v>
          </cell>
        </row>
        <row r="207">
          <cell r="S207">
            <v>7</v>
          </cell>
          <cell r="W207">
            <v>23.2</v>
          </cell>
        </row>
        <row r="208">
          <cell r="S208">
            <v>7</v>
          </cell>
          <cell r="W208">
            <v>1.1599999999999999</v>
          </cell>
        </row>
        <row r="209">
          <cell r="S209">
            <v>7</v>
          </cell>
          <cell r="W209">
            <v>21.32</v>
          </cell>
        </row>
        <row r="210">
          <cell r="S210">
            <v>7</v>
          </cell>
          <cell r="W210">
            <v>60.72</v>
          </cell>
        </row>
        <row r="211">
          <cell r="S211">
            <v>7</v>
          </cell>
          <cell r="W211">
            <v>4.76</v>
          </cell>
        </row>
        <row r="212">
          <cell r="S212">
            <v>0</v>
          </cell>
          <cell r="W212">
            <v>467.14</v>
          </cell>
        </row>
        <row r="213">
          <cell r="S213">
            <v>4</v>
          </cell>
          <cell r="W213">
            <v>9159.43</v>
          </cell>
        </row>
        <row r="214">
          <cell r="S214">
            <v>7</v>
          </cell>
          <cell r="W214">
            <v>109.73</v>
          </cell>
        </row>
        <row r="215">
          <cell r="S215">
            <v>7</v>
          </cell>
          <cell r="W215">
            <v>5.62</v>
          </cell>
        </row>
        <row r="216">
          <cell r="S216">
            <v>1</v>
          </cell>
          <cell r="W216">
            <v>343.75</v>
          </cell>
        </row>
        <row r="217">
          <cell r="S217">
            <v>1</v>
          </cell>
          <cell r="W217">
            <v>9.5500000000000007</v>
          </cell>
        </row>
        <row r="218">
          <cell r="S218">
            <v>1</v>
          </cell>
          <cell r="W218">
            <v>48.13</v>
          </cell>
        </row>
        <row r="219">
          <cell r="S219">
            <v>1</v>
          </cell>
          <cell r="W219">
            <v>68.180000000000007</v>
          </cell>
        </row>
        <row r="220">
          <cell r="S220">
            <v>1</v>
          </cell>
          <cell r="W220">
            <v>86.21</v>
          </cell>
        </row>
        <row r="221">
          <cell r="S221">
            <v>1</v>
          </cell>
          <cell r="W221">
            <v>17.100000000000001</v>
          </cell>
        </row>
        <row r="222">
          <cell r="S222">
            <v>1</v>
          </cell>
          <cell r="W222">
            <v>17.05</v>
          </cell>
        </row>
        <row r="223">
          <cell r="S223">
            <v>1</v>
          </cell>
          <cell r="W223">
            <v>93.75</v>
          </cell>
        </row>
        <row r="224">
          <cell r="S224">
            <v>1</v>
          </cell>
          <cell r="W224">
            <v>12.35</v>
          </cell>
        </row>
        <row r="225">
          <cell r="S225">
            <v>7</v>
          </cell>
          <cell r="W225">
            <v>12.85</v>
          </cell>
        </row>
        <row r="226">
          <cell r="S226">
            <v>7</v>
          </cell>
          <cell r="W226">
            <v>11.14</v>
          </cell>
        </row>
        <row r="227">
          <cell r="S227">
            <v>7</v>
          </cell>
          <cell r="W227">
            <v>15.79</v>
          </cell>
        </row>
        <row r="228">
          <cell r="S228">
            <v>5</v>
          </cell>
          <cell r="W228">
            <v>579.33000000000004</v>
          </cell>
        </row>
        <row r="229">
          <cell r="S229">
            <v>5</v>
          </cell>
          <cell r="W229">
            <v>714.84</v>
          </cell>
        </row>
        <row r="230">
          <cell r="S230">
            <v>5</v>
          </cell>
          <cell r="W230">
            <v>380.73</v>
          </cell>
        </row>
        <row r="231">
          <cell r="S231">
            <v>4</v>
          </cell>
          <cell r="W231">
            <v>341.05</v>
          </cell>
        </row>
        <row r="232">
          <cell r="S232">
            <v>4</v>
          </cell>
          <cell r="W232">
            <v>802.9</v>
          </cell>
        </row>
        <row r="233">
          <cell r="S233">
            <v>4</v>
          </cell>
          <cell r="W233">
            <v>31.08</v>
          </cell>
        </row>
        <row r="234">
          <cell r="S234">
            <v>4</v>
          </cell>
          <cell r="W234">
            <v>36.26</v>
          </cell>
        </row>
        <row r="235">
          <cell r="S235">
            <v>5</v>
          </cell>
          <cell r="W235">
            <v>352.24</v>
          </cell>
        </row>
        <row r="236">
          <cell r="S236">
            <v>5</v>
          </cell>
          <cell r="W236">
            <v>240.87</v>
          </cell>
        </row>
        <row r="237">
          <cell r="S237">
            <v>5</v>
          </cell>
          <cell r="W237">
            <v>380</v>
          </cell>
        </row>
        <row r="238">
          <cell r="S238">
            <v>5</v>
          </cell>
          <cell r="W238">
            <v>1039.17</v>
          </cell>
        </row>
        <row r="239">
          <cell r="S239">
            <v>4</v>
          </cell>
          <cell r="W239">
            <v>542.85</v>
          </cell>
        </row>
        <row r="240">
          <cell r="S240">
            <v>4</v>
          </cell>
          <cell r="W240">
            <v>351.56</v>
          </cell>
        </row>
        <row r="241">
          <cell r="S241">
            <v>5</v>
          </cell>
          <cell r="W241">
            <v>527.34</v>
          </cell>
        </row>
        <row r="242">
          <cell r="S242">
            <v>5</v>
          </cell>
          <cell r="W242">
            <v>723.8</v>
          </cell>
        </row>
        <row r="243">
          <cell r="S243">
            <v>7</v>
          </cell>
          <cell r="W243">
            <v>6.15</v>
          </cell>
        </row>
        <row r="244">
          <cell r="S244">
            <v>7</v>
          </cell>
          <cell r="W244">
            <v>50.58</v>
          </cell>
        </row>
        <row r="245">
          <cell r="S245">
            <v>7</v>
          </cell>
          <cell r="W245">
            <v>4.83</v>
          </cell>
        </row>
        <row r="246">
          <cell r="S246">
            <v>7</v>
          </cell>
          <cell r="W246">
            <v>2.0699999999999998</v>
          </cell>
        </row>
        <row r="247">
          <cell r="S247">
            <v>7</v>
          </cell>
          <cell r="W247">
            <v>17.2</v>
          </cell>
        </row>
        <row r="248">
          <cell r="S248">
            <v>7</v>
          </cell>
          <cell r="W248">
            <v>1.73</v>
          </cell>
        </row>
        <row r="249">
          <cell r="S249">
            <v>7</v>
          </cell>
          <cell r="W249">
            <v>67.81</v>
          </cell>
        </row>
        <row r="250">
          <cell r="S250">
            <v>7</v>
          </cell>
          <cell r="W250">
            <v>57.68</v>
          </cell>
        </row>
        <row r="251">
          <cell r="S251">
            <v>1</v>
          </cell>
          <cell r="W251">
            <v>6.52</v>
          </cell>
        </row>
        <row r="252">
          <cell r="S252">
            <v>1</v>
          </cell>
          <cell r="W252">
            <v>12.93</v>
          </cell>
        </row>
        <row r="253">
          <cell r="S253">
            <v>7</v>
          </cell>
          <cell r="W253">
            <v>5.17</v>
          </cell>
        </row>
        <row r="254">
          <cell r="S254">
            <v>7</v>
          </cell>
          <cell r="W254">
            <v>2.0699999999999998</v>
          </cell>
        </row>
        <row r="255">
          <cell r="S255">
            <v>7</v>
          </cell>
          <cell r="W255">
            <v>11.67</v>
          </cell>
        </row>
        <row r="256">
          <cell r="S256">
            <v>7</v>
          </cell>
          <cell r="W256">
            <v>16.48</v>
          </cell>
        </row>
        <row r="257">
          <cell r="S257">
            <v>7</v>
          </cell>
          <cell r="W257">
            <v>137.33000000000001</v>
          </cell>
        </row>
        <row r="258">
          <cell r="S258">
            <v>7</v>
          </cell>
          <cell r="W258">
            <v>35.020000000000003</v>
          </cell>
        </row>
        <row r="259">
          <cell r="S259">
            <v>7</v>
          </cell>
          <cell r="W259">
            <v>27.3</v>
          </cell>
        </row>
        <row r="260">
          <cell r="S260">
            <v>7</v>
          </cell>
          <cell r="W260">
            <v>41.2</v>
          </cell>
        </row>
        <row r="261">
          <cell r="S261">
            <v>7</v>
          </cell>
          <cell r="W261">
            <v>12.36</v>
          </cell>
        </row>
        <row r="262">
          <cell r="S262">
            <v>7</v>
          </cell>
          <cell r="W262">
            <v>15.11</v>
          </cell>
        </row>
        <row r="263">
          <cell r="S263">
            <v>1</v>
          </cell>
          <cell r="W263">
            <v>81.59</v>
          </cell>
        </row>
        <row r="264">
          <cell r="S264">
            <v>1</v>
          </cell>
          <cell r="W264">
            <v>7</v>
          </cell>
        </row>
        <row r="265">
          <cell r="S265">
            <v>1</v>
          </cell>
          <cell r="W265">
            <v>1.94</v>
          </cell>
        </row>
        <row r="266">
          <cell r="S266">
            <v>1</v>
          </cell>
          <cell r="W266">
            <v>4.6399999999999997</v>
          </cell>
        </row>
        <row r="267">
          <cell r="S267">
            <v>1</v>
          </cell>
          <cell r="W267">
            <v>22.05</v>
          </cell>
        </row>
        <row r="268">
          <cell r="S268">
            <v>1</v>
          </cell>
          <cell r="W268">
            <v>11.6</v>
          </cell>
        </row>
        <row r="269">
          <cell r="S269">
            <v>1</v>
          </cell>
          <cell r="W269">
            <v>31.03</v>
          </cell>
        </row>
        <row r="270">
          <cell r="S270">
            <v>1</v>
          </cell>
          <cell r="W270">
            <v>3.7</v>
          </cell>
        </row>
        <row r="271">
          <cell r="S271">
            <v>1</v>
          </cell>
          <cell r="W271">
            <v>11.57</v>
          </cell>
        </row>
        <row r="272">
          <cell r="S272">
            <v>1</v>
          </cell>
          <cell r="W272">
            <v>9.24</v>
          </cell>
        </row>
        <row r="273">
          <cell r="S273">
            <v>1</v>
          </cell>
          <cell r="W273">
            <v>53.65</v>
          </cell>
        </row>
        <row r="274">
          <cell r="S274">
            <v>1</v>
          </cell>
          <cell r="W274">
            <v>29.67</v>
          </cell>
        </row>
        <row r="275">
          <cell r="S275">
            <v>1</v>
          </cell>
          <cell r="W275">
            <v>5.34</v>
          </cell>
        </row>
        <row r="276">
          <cell r="S276">
            <v>1</v>
          </cell>
          <cell r="W276">
            <v>4.6399999999999997</v>
          </cell>
        </row>
        <row r="277">
          <cell r="S277">
            <v>1</v>
          </cell>
          <cell r="W277">
            <v>10.78</v>
          </cell>
        </row>
        <row r="278">
          <cell r="S278">
            <v>1</v>
          </cell>
          <cell r="W278">
            <v>1.22</v>
          </cell>
        </row>
        <row r="279">
          <cell r="S279">
            <v>1</v>
          </cell>
          <cell r="W279">
            <v>4.41</v>
          </cell>
        </row>
        <row r="280">
          <cell r="S280">
            <v>1</v>
          </cell>
          <cell r="W280">
            <v>11.6</v>
          </cell>
        </row>
        <row r="281">
          <cell r="S281">
            <v>1</v>
          </cell>
          <cell r="W281">
            <v>1.26</v>
          </cell>
        </row>
        <row r="282">
          <cell r="S282">
            <v>1</v>
          </cell>
          <cell r="W282">
            <v>84.02</v>
          </cell>
        </row>
        <row r="283">
          <cell r="S283">
            <v>1</v>
          </cell>
          <cell r="W283">
            <v>2.59</v>
          </cell>
        </row>
        <row r="284">
          <cell r="S284">
            <v>1</v>
          </cell>
          <cell r="W284">
            <v>6.8</v>
          </cell>
        </row>
        <row r="285">
          <cell r="S285">
            <v>1</v>
          </cell>
          <cell r="W285">
            <v>0.67</v>
          </cell>
        </row>
        <row r="286">
          <cell r="S286">
            <v>1</v>
          </cell>
          <cell r="W286">
            <v>138.81</v>
          </cell>
        </row>
        <row r="287">
          <cell r="S287">
            <v>1</v>
          </cell>
          <cell r="W287">
            <v>110.86</v>
          </cell>
        </row>
        <row r="288">
          <cell r="S288">
            <v>1</v>
          </cell>
          <cell r="W288">
            <v>643.85</v>
          </cell>
        </row>
        <row r="289">
          <cell r="S289">
            <v>1</v>
          </cell>
          <cell r="W289">
            <v>355.99</v>
          </cell>
        </row>
        <row r="290">
          <cell r="S290">
            <v>1</v>
          </cell>
          <cell r="W290">
            <v>19.28</v>
          </cell>
        </row>
        <row r="291">
          <cell r="S291">
            <v>1</v>
          </cell>
          <cell r="W291">
            <v>4.55</v>
          </cell>
        </row>
        <row r="292">
          <cell r="S292">
            <v>1</v>
          </cell>
          <cell r="W292">
            <v>2.08</v>
          </cell>
        </row>
        <row r="293">
          <cell r="S293">
            <v>1</v>
          </cell>
          <cell r="W293">
            <v>1.66</v>
          </cell>
        </row>
        <row r="294">
          <cell r="S294">
            <v>1</v>
          </cell>
          <cell r="W294">
            <v>2.4</v>
          </cell>
        </row>
        <row r="295">
          <cell r="S295">
            <v>1</v>
          </cell>
          <cell r="W295">
            <v>7.52</v>
          </cell>
        </row>
        <row r="296">
          <cell r="S296">
            <v>1</v>
          </cell>
          <cell r="W296">
            <v>6</v>
          </cell>
        </row>
        <row r="297">
          <cell r="S297">
            <v>1</v>
          </cell>
          <cell r="W297">
            <v>34.880000000000003</v>
          </cell>
        </row>
        <row r="298">
          <cell r="S298">
            <v>1</v>
          </cell>
          <cell r="W298">
            <v>4.42</v>
          </cell>
        </row>
        <row r="299">
          <cell r="S299">
            <v>1</v>
          </cell>
          <cell r="W299">
            <v>7</v>
          </cell>
        </row>
        <row r="300">
          <cell r="S300">
            <v>1</v>
          </cell>
          <cell r="W300">
            <v>1.68</v>
          </cell>
        </row>
        <row r="301">
          <cell r="S301">
            <v>1</v>
          </cell>
          <cell r="W301">
            <v>2.68</v>
          </cell>
        </row>
        <row r="302">
          <cell r="S302">
            <v>1</v>
          </cell>
          <cell r="W302">
            <v>129.31</v>
          </cell>
        </row>
        <row r="303">
          <cell r="S303">
            <v>1</v>
          </cell>
          <cell r="W303">
            <v>44.34</v>
          </cell>
        </row>
        <row r="304">
          <cell r="S304">
            <v>1</v>
          </cell>
          <cell r="W304">
            <v>46.4</v>
          </cell>
        </row>
        <row r="305">
          <cell r="S305">
            <v>1</v>
          </cell>
          <cell r="W305">
            <v>5.8</v>
          </cell>
        </row>
        <row r="306">
          <cell r="S306">
            <v>1</v>
          </cell>
          <cell r="W306">
            <v>4.6399999999999997</v>
          </cell>
        </row>
        <row r="307">
          <cell r="S307">
            <v>1</v>
          </cell>
          <cell r="W307">
            <v>0.47</v>
          </cell>
        </row>
        <row r="308">
          <cell r="S308">
            <v>1</v>
          </cell>
          <cell r="W308">
            <v>9.66</v>
          </cell>
        </row>
        <row r="309">
          <cell r="S309">
            <v>1</v>
          </cell>
          <cell r="W309">
            <v>45.46</v>
          </cell>
        </row>
        <row r="310">
          <cell r="S310">
            <v>1</v>
          </cell>
          <cell r="W310">
            <v>687.5</v>
          </cell>
        </row>
        <row r="311">
          <cell r="S311">
            <v>1</v>
          </cell>
          <cell r="W311">
            <v>6.36</v>
          </cell>
        </row>
        <row r="312">
          <cell r="S312">
            <v>1</v>
          </cell>
          <cell r="W312">
            <v>96.25</v>
          </cell>
        </row>
        <row r="313">
          <cell r="S313">
            <v>1</v>
          </cell>
          <cell r="W313">
            <v>172.43</v>
          </cell>
        </row>
        <row r="314">
          <cell r="S314">
            <v>1</v>
          </cell>
          <cell r="W314">
            <v>11.4</v>
          </cell>
        </row>
        <row r="315">
          <cell r="S315">
            <v>1</v>
          </cell>
          <cell r="W315">
            <v>11.37</v>
          </cell>
        </row>
        <row r="316">
          <cell r="S316">
            <v>1</v>
          </cell>
          <cell r="W316">
            <v>187.5</v>
          </cell>
        </row>
        <row r="317">
          <cell r="S317">
            <v>7</v>
          </cell>
          <cell r="W317">
            <v>75.31</v>
          </cell>
        </row>
        <row r="318">
          <cell r="S318">
            <v>7</v>
          </cell>
          <cell r="W318">
            <v>15.54</v>
          </cell>
        </row>
        <row r="319">
          <cell r="S319">
            <v>7</v>
          </cell>
          <cell r="W319">
            <v>8.14</v>
          </cell>
        </row>
        <row r="320">
          <cell r="S320">
            <v>7</v>
          </cell>
          <cell r="W320">
            <v>-10.83</v>
          </cell>
        </row>
        <row r="321">
          <cell r="S321">
            <v>7</v>
          </cell>
          <cell r="W321">
            <v>10.83</v>
          </cell>
        </row>
        <row r="322">
          <cell r="S322">
            <v>7</v>
          </cell>
          <cell r="W322">
            <v>7.61</v>
          </cell>
        </row>
        <row r="323">
          <cell r="S323">
            <v>7</v>
          </cell>
          <cell r="W323">
            <v>51.8</v>
          </cell>
        </row>
        <row r="327">
          <cell r="W327">
            <v>33279.31</v>
          </cell>
        </row>
        <row r="328">
          <cell r="W328">
            <v>806.73</v>
          </cell>
        </row>
        <row r="329">
          <cell r="W329">
            <v>32472.579999999998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019"/>
      <sheetName val="Expenses UND019 Jan-Mars 20"/>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C88E3B-AF37-4955-A066-AEAE1CBA3C80}" name="Table1" displayName="Table1" ref="B7:I17" totalsRowShown="0" headerRowDxfId="11" dataDxfId="9" headerRowBorderDxfId="10" tableBorderDxfId="8" totalsRowBorderDxfId="7">
  <autoFilter ref="B7:I17" xr:uid="{94F05804-04D2-4592-A116-F505A377C7B7}"/>
  <tableColumns count="8">
    <tableColumn id="1" xr3:uid="{502D567D-9499-4318-8864-872930B02CAB}" name="BUDGET CATEGORY" dataDxfId="6"/>
    <tableColumn id="2" xr3:uid="{D710CCF5-55BA-416E-B8E0-E1B2F9DA593C}" name="TRANSFER RECEIVED" dataDxfId="5"/>
    <tableColumn id="7" xr3:uid="{F3D0551E-47D4-4291-BF59-A2431611F8AD}" name="EXPENSES PREVIOUSLY REPORTED"/>
    <tableColumn id="3" xr3:uid="{FE6211C1-2613-4D7F-A722-144E072B2325}" name="DEPENSES FOR THIS PERIOD" dataDxfId="4">
      <calculatedColumnFormula>SUMIF('[3]Expenses UND019 Jan-Mars 20'!S:S,[2]UNP004!A8,'[3]Expenses UND019 Jan-Mars 20'!W:W)</calculatedColumnFormula>
    </tableColumn>
    <tableColumn id="8" xr3:uid="{C743F3D0-8BE9-48F0-AB09-F9BE7FE1D745}" name="TOTAL EXPENSES" dataDxfId="3"/>
    <tableColumn id="6" xr3:uid="{C7F76F25-7BE1-48CA-ABEC-E54AE40F77FB}" name="VARIANCE" dataDxfId="2">
      <calculatedColumnFormula>Table1[[#This Row],[TRANSFER RECEIVED]]-Table1[[#This Row],[DEPENSES FOR THIS PERIOD]]</calculatedColumnFormula>
    </tableColumn>
    <tableColumn id="4" xr3:uid="{FD794EFE-0321-4ED0-9E52-EB153318E539}" name="BURN RATE" dataDxfId="1">
      <calculatedColumnFormula>Table1[[#This Row],[TOTAL EXPENSES]]/Table1[[#This Row],[TRANSFER RECEIVED]]</calculatedColumnFormula>
    </tableColumn>
    <tableColumn id="5" xr3:uid="{EE052080-23B4-43D5-A09B-1ACAD0969C1E}" name="COMMENTS"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43C13-8FB0-43B2-8A0E-644C746E96FF}">
  <sheetPr>
    <tabColor rgb="FF00B0F0"/>
  </sheetPr>
  <dimension ref="A1:O36"/>
  <sheetViews>
    <sheetView tabSelected="1" topLeftCell="H20" workbookViewId="0">
      <selection activeCell="K34" sqref="K34"/>
    </sheetView>
  </sheetViews>
  <sheetFormatPr baseColWidth="10" defaultColWidth="9.08984375" defaultRowHeight="14.5" x14ac:dyDescent="0.35"/>
  <cols>
    <col min="1" max="1" width="44.26953125" customWidth="1"/>
    <col min="2" max="2" width="20.6328125" customWidth="1"/>
    <col min="3" max="3" width="15.81640625" customWidth="1"/>
    <col min="4" max="4" width="14.81640625" customWidth="1"/>
    <col min="5" max="7" width="15" customWidth="1"/>
    <col min="8" max="8" width="16.453125" customWidth="1"/>
    <col min="9" max="10" width="16.36328125" customWidth="1"/>
    <col min="11" max="11" width="13.6328125" customWidth="1"/>
    <col min="12" max="12" width="16.36328125" customWidth="1"/>
    <col min="13" max="14" width="16.6328125" customWidth="1"/>
    <col min="15" max="15" width="12.6328125" customWidth="1"/>
    <col min="16" max="16" width="18.6328125" customWidth="1"/>
    <col min="17" max="17" width="21.6328125" customWidth="1"/>
    <col min="18" max="19" width="15.6328125" bestFit="1" customWidth="1"/>
    <col min="20" max="20" width="11.08984375" bestFit="1" customWidth="1"/>
  </cols>
  <sheetData>
    <row r="1" spans="1:14" ht="15" thickBot="1" x14ac:dyDescent="0.4"/>
    <row r="2" spans="1:14" s="282" customFormat="1" ht="19.5" customHeight="1" thickBot="1" x14ac:dyDescent="0.4">
      <c r="A2" s="400" t="s">
        <v>630</v>
      </c>
      <c r="B2" s="401"/>
      <c r="C2" s="401"/>
      <c r="D2" s="401"/>
      <c r="E2" s="402"/>
    </row>
    <row r="3" spans="1:14" s="282" customFormat="1" ht="42.75" customHeight="1" x14ac:dyDescent="0.35">
      <c r="A3" s="283"/>
      <c r="B3" s="284" t="s">
        <v>625</v>
      </c>
      <c r="C3" s="284" t="s">
        <v>626</v>
      </c>
      <c r="D3" s="284" t="s">
        <v>627</v>
      </c>
      <c r="E3" s="307" t="s">
        <v>61</v>
      </c>
    </row>
    <row r="4" spans="1:14" s="282" customFormat="1" ht="19.5" customHeight="1" x14ac:dyDescent="0.35">
      <c r="A4" s="285"/>
      <c r="B4" s="286" t="s">
        <v>14</v>
      </c>
      <c r="C4" s="286" t="s">
        <v>15</v>
      </c>
      <c r="D4" s="286"/>
      <c r="E4" s="308"/>
    </row>
    <row r="5" spans="1:14" s="282" customFormat="1" ht="19.5" customHeight="1" x14ac:dyDescent="0.35">
      <c r="A5" s="287" t="s">
        <v>0</v>
      </c>
      <c r="B5" s="288">
        <f>64400*35%</f>
        <v>22540</v>
      </c>
      <c r="C5" s="288">
        <f>95282.72*35%</f>
        <v>33348.951999999997</v>
      </c>
      <c r="D5" s="288"/>
      <c r="E5" s="289">
        <f t="shared" ref="E5:E11" si="0">SUM(B5:D5)</f>
        <v>55888.951999999997</v>
      </c>
    </row>
    <row r="6" spans="1:14" s="282" customFormat="1" ht="32" customHeight="1" x14ac:dyDescent="0.35">
      <c r="A6" s="290" t="s">
        <v>1</v>
      </c>
      <c r="B6" s="288">
        <f>5000*35%</f>
        <v>1750</v>
      </c>
      <c r="C6" s="288">
        <f>1200*35%</f>
        <v>420</v>
      </c>
      <c r="D6" s="288"/>
      <c r="E6" s="291">
        <f t="shared" si="0"/>
        <v>2170</v>
      </c>
    </row>
    <row r="7" spans="1:14" s="282" customFormat="1" ht="32" customHeight="1" x14ac:dyDescent="0.35">
      <c r="A7" s="290" t="s">
        <v>2</v>
      </c>
      <c r="B7" s="288">
        <f>58000*35%</f>
        <v>20300</v>
      </c>
      <c r="C7" s="288">
        <f>2900*35%</f>
        <v>1014.9999999999999</v>
      </c>
      <c r="D7" s="288"/>
      <c r="E7" s="291">
        <f t="shared" si="0"/>
        <v>21315</v>
      </c>
    </row>
    <row r="8" spans="1:14" s="282" customFormat="1" ht="32" customHeight="1" x14ac:dyDescent="0.35">
      <c r="A8" s="292" t="s">
        <v>3</v>
      </c>
      <c r="B8" s="288">
        <f>878400*35%</f>
        <v>307440</v>
      </c>
      <c r="C8" s="288">
        <f>301157*35%</f>
        <v>105404.95</v>
      </c>
      <c r="D8" s="288"/>
      <c r="E8" s="291">
        <f t="shared" si="0"/>
        <v>412844.95</v>
      </c>
    </row>
    <row r="9" spans="1:14" s="282" customFormat="1" ht="32" customHeight="1" x14ac:dyDescent="0.35">
      <c r="A9" s="290" t="s">
        <v>4</v>
      </c>
      <c r="B9" s="288">
        <f>57000*35%</f>
        <v>19950</v>
      </c>
      <c r="C9" s="288">
        <f>24800*35%</f>
        <v>8680</v>
      </c>
      <c r="D9" s="288"/>
      <c r="E9" s="291">
        <f t="shared" si="0"/>
        <v>28630</v>
      </c>
      <c r="H9" s="293"/>
      <c r="I9" s="293"/>
      <c r="J9" s="293"/>
      <c r="K9" s="293"/>
      <c r="L9" s="293"/>
      <c r="M9" s="293"/>
      <c r="N9" s="294"/>
    </row>
    <row r="10" spans="1:14" s="282" customFormat="1" ht="32" customHeight="1" x14ac:dyDescent="0.35">
      <c r="A10" s="290" t="s">
        <v>5</v>
      </c>
      <c r="B10" s="288">
        <f>318000*35%</f>
        <v>111300</v>
      </c>
      <c r="C10" s="288">
        <v>0</v>
      </c>
      <c r="D10" s="288"/>
      <c r="E10" s="291">
        <f t="shared" si="0"/>
        <v>111300</v>
      </c>
      <c r="H10" s="293"/>
      <c r="I10" s="293"/>
      <c r="J10" s="293"/>
      <c r="K10" s="293"/>
      <c r="L10" s="293"/>
      <c r="M10" s="293"/>
      <c r="N10" s="294"/>
    </row>
    <row r="11" spans="1:14" s="282" customFormat="1" ht="32" customHeight="1" x14ac:dyDescent="0.35">
      <c r="A11" s="290" t="s">
        <v>6</v>
      </c>
      <c r="B11" s="295">
        <f>46200*35%</f>
        <v>16169.999999999998</v>
      </c>
      <c r="C11" s="295">
        <f>49600*35%</f>
        <v>17360</v>
      </c>
      <c r="D11" s="295"/>
      <c r="E11" s="291">
        <f t="shared" si="0"/>
        <v>33530</v>
      </c>
      <c r="H11" s="293"/>
      <c r="I11" s="293"/>
      <c r="J11" s="293"/>
      <c r="K11" s="293"/>
      <c r="L11" s="293"/>
      <c r="M11" s="293"/>
      <c r="N11" s="294"/>
    </row>
    <row r="12" spans="1:14" s="282" customFormat="1" ht="22.5" customHeight="1" x14ac:dyDescent="0.35">
      <c r="A12" s="296" t="s">
        <v>7</v>
      </c>
      <c r="B12" s="297">
        <f>SUM(B4:B11)</f>
        <v>499450</v>
      </c>
      <c r="C12" s="297">
        <f>SUM(C4:C11)</f>
        <v>166228.902</v>
      </c>
      <c r="D12" s="297"/>
      <c r="E12" s="298">
        <f>SUM(B12:D12)</f>
        <v>665678.902</v>
      </c>
      <c r="H12" s="293"/>
      <c r="I12" s="293"/>
      <c r="J12" s="293"/>
      <c r="K12" s="293"/>
      <c r="L12" s="293"/>
      <c r="M12" s="293"/>
      <c r="N12" s="294"/>
    </row>
    <row r="13" spans="1:14" s="282" customFormat="1" ht="26.25" customHeight="1" thickBot="1" x14ac:dyDescent="0.4">
      <c r="A13" s="296" t="s">
        <v>8</v>
      </c>
      <c r="B13" s="299">
        <f>B12*0.07</f>
        <v>34961.5</v>
      </c>
      <c r="C13" s="299">
        <f>C12*0.07</f>
        <v>11636.023140000001</v>
      </c>
      <c r="D13" s="299"/>
      <c r="E13" s="300">
        <f>E12*0.07</f>
        <v>46597.523140000005</v>
      </c>
      <c r="H13" s="301"/>
      <c r="I13" s="301"/>
      <c r="J13" s="301"/>
      <c r="K13" s="301"/>
      <c r="L13" s="301"/>
      <c r="M13" s="302"/>
      <c r="N13" s="303"/>
    </row>
    <row r="14" spans="1:14" s="282" customFormat="1" ht="23.25" customHeight="1" thickBot="1" x14ac:dyDescent="0.4">
      <c r="A14" s="304" t="s">
        <v>628</v>
      </c>
      <c r="B14" s="305">
        <f>SUM(B12:B13)</f>
        <v>534411.5</v>
      </c>
      <c r="C14" s="305">
        <f>SUM(C12:C13)</f>
        <v>177864.92514000001</v>
      </c>
      <c r="D14" s="305"/>
      <c r="E14" s="306">
        <f>SUM(E12:E13)</f>
        <v>712276.42513999995</v>
      </c>
      <c r="H14" s="301"/>
      <c r="I14" s="301"/>
      <c r="J14" s="301"/>
      <c r="K14" s="301"/>
      <c r="L14" s="301"/>
      <c r="M14" s="302"/>
      <c r="N14" s="303"/>
    </row>
    <row r="18" spans="1:15" ht="15" thickBot="1" x14ac:dyDescent="0.4"/>
    <row r="19" spans="1:15" s="214" customFormat="1" ht="15.5" x14ac:dyDescent="0.35">
      <c r="A19" s="403" t="s">
        <v>620</v>
      </c>
      <c r="B19" s="404"/>
      <c r="C19" s="404"/>
      <c r="D19" s="404"/>
      <c r="E19" s="404"/>
      <c r="F19" s="404"/>
      <c r="G19" s="404"/>
      <c r="H19" s="404"/>
      <c r="I19" s="404"/>
      <c r="J19" s="404"/>
      <c r="K19" s="404"/>
      <c r="L19" s="404"/>
      <c r="M19" s="404"/>
      <c r="N19" s="404"/>
      <c r="O19" s="405"/>
    </row>
    <row r="20" spans="1:15" s="214" customFormat="1" ht="16" thickBot="1" x14ac:dyDescent="0.4">
      <c r="A20" s="406"/>
      <c r="B20" s="407"/>
      <c r="C20" s="407"/>
      <c r="D20" s="407"/>
      <c r="E20" s="407"/>
      <c r="F20" s="408"/>
      <c r="G20" s="407"/>
      <c r="H20" s="407"/>
      <c r="I20" s="407"/>
      <c r="J20" s="407"/>
      <c r="K20" s="407"/>
      <c r="L20" s="407"/>
      <c r="M20" s="407"/>
      <c r="N20" s="407"/>
      <c r="O20" s="409"/>
    </row>
    <row r="21" spans="1:15" s="214" customFormat="1" ht="16.149999999999999" customHeight="1" thickBot="1" x14ac:dyDescent="0.4">
      <c r="A21" s="410" t="s">
        <v>130</v>
      </c>
      <c r="B21" s="415" t="s">
        <v>127</v>
      </c>
      <c r="C21" s="416"/>
      <c r="D21" s="416"/>
      <c r="E21" s="416"/>
      <c r="F21" s="416"/>
      <c r="G21" s="417"/>
      <c r="H21" s="412" t="s">
        <v>125</v>
      </c>
      <c r="I21" s="413"/>
      <c r="J21" s="413"/>
      <c r="K21" s="414"/>
      <c r="L21" s="418" t="s">
        <v>631</v>
      </c>
      <c r="M21" s="419"/>
      <c r="N21" s="419"/>
      <c r="O21" s="420"/>
    </row>
    <row r="22" spans="1:15" s="216" customFormat="1" ht="27" customHeight="1" thickBot="1" x14ac:dyDescent="0.35">
      <c r="A22" s="411"/>
      <c r="B22" s="268" t="s">
        <v>621</v>
      </c>
      <c r="C22" s="269" t="s">
        <v>622</v>
      </c>
      <c r="D22" s="269" t="s">
        <v>123</v>
      </c>
      <c r="E22" s="281" t="s">
        <v>124</v>
      </c>
      <c r="F22" s="391" t="s">
        <v>624</v>
      </c>
      <c r="G22" s="310" t="s">
        <v>129</v>
      </c>
      <c r="H22" s="266" t="s">
        <v>621</v>
      </c>
      <c r="I22" s="267" t="s">
        <v>623</v>
      </c>
      <c r="J22" s="309" t="s">
        <v>624</v>
      </c>
      <c r="K22" s="314" t="s">
        <v>129</v>
      </c>
      <c r="L22" s="311" t="s">
        <v>617</v>
      </c>
      <c r="M22" s="312" t="s">
        <v>128</v>
      </c>
      <c r="N22" s="312" t="s">
        <v>624</v>
      </c>
      <c r="O22" s="313" t="s">
        <v>129</v>
      </c>
    </row>
    <row r="23" spans="1:15" s="322" customFormat="1" ht="22.25" customHeight="1" x14ac:dyDescent="0.35">
      <c r="A23" s="219" t="s">
        <v>0</v>
      </c>
      <c r="B23" s="315">
        <f>64400*35%</f>
        <v>22540</v>
      </c>
      <c r="C23" s="316"/>
      <c r="D23" s="316"/>
      <c r="E23" s="317"/>
      <c r="F23" s="317">
        <f>B23-C23-D23-E23</f>
        <v>22540</v>
      </c>
      <c r="G23" s="392">
        <f>(C23+D23+E23)/B23</f>
        <v>0</v>
      </c>
      <c r="H23" s="318">
        <v>33348.951999999997</v>
      </c>
      <c r="I23" s="319">
        <v>32307.62</v>
      </c>
      <c r="J23" s="320">
        <f>H23-I23</f>
        <v>1041.3319999999985</v>
      </c>
      <c r="K23" s="354">
        <f>I23/H23</f>
        <v>0.96877467094018432</v>
      </c>
      <c r="L23" s="320">
        <f>B23+H23</f>
        <v>55888.951999999997</v>
      </c>
      <c r="M23" s="321">
        <f>C23+D23++E23+I23</f>
        <v>32307.62</v>
      </c>
      <c r="N23" s="320">
        <f>F23+J23</f>
        <v>23581.331999999999</v>
      </c>
      <c r="O23" s="385">
        <f>M23/L23</f>
        <v>0.57806809474616738</v>
      </c>
    </row>
    <row r="24" spans="1:15" s="322" customFormat="1" x14ac:dyDescent="0.35">
      <c r="A24" s="220" t="s">
        <v>1</v>
      </c>
      <c r="B24" s="323">
        <f>5000*35%</f>
        <v>1750</v>
      </c>
      <c r="C24" s="324">
        <v>481.12</v>
      </c>
      <c r="D24" s="324"/>
      <c r="E24" s="325"/>
      <c r="F24" s="325">
        <f>B24-C24-D24-E24</f>
        <v>1268.8800000000001</v>
      </c>
      <c r="G24" s="393">
        <f>(C24+D24+E24)/B24</f>
        <v>0.27492571428571427</v>
      </c>
      <c r="H24" s="326">
        <v>420</v>
      </c>
      <c r="I24" s="327">
        <v>0</v>
      </c>
      <c r="J24" s="328">
        <f>H24-I24</f>
        <v>420</v>
      </c>
      <c r="K24" s="356">
        <f>I24/H24</f>
        <v>0</v>
      </c>
      <c r="L24" s="328">
        <f t="shared" ref="L24:L32" si="1">B24+H24</f>
        <v>2170</v>
      </c>
      <c r="M24" s="329">
        <f>C24+D24+E24+I24</f>
        <v>481.12</v>
      </c>
      <c r="N24" s="328">
        <f t="shared" ref="N24:N32" si="2">F24+J24</f>
        <v>1688.88</v>
      </c>
      <c r="O24" s="386">
        <f>M24/L24</f>
        <v>0.22171428571428572</v>
      </c>
    </row>
    <row r="25" spans="1:15" s="322" customFormat="1" ht="27.5" customHeight="1" x14ac:dyDescent="0.35">
      <c r="A25" s="221" t="s">
        <v>2</v>
      </c>
      <c r="B25" s="315">
        <f>58000*35%</f>
        <v>20300</v>
      </c>
      <c r="C25" s="316">
        <v>7723.0099999999993</v>
      </c>
      <c r="D25" s="316"/>
      <c r="E25" s="317"/>
      <c r="F25" s="317">
        <f t="shared" ref="F25:F32" si="3">B25-C25-D25-E25</f>
        <v>12576.990000000002</v>
      </c>
      <c r="G25" s="394">
        <f t="shared" ref="G25" si="4">(C25+D25+E25)/B25</f>
        <v>0.38044384236453199</v>
      </c>
      <c r="H25" s="318">
        <v>1014.9999999999999</v>
      </c>
      <c r="I25" s="319">
        <v>2140.4499999999998</v>
      </c>
      <c r="J25" s="320">
        <f t="shared" ref="J25:J29" si="5">H25-I25</f>
        <v>-1125.4499999999998</v>
      </c>
      <c r="K25" s="354">
        <f>I25/H25</f>
        <v>2.1088177339901479</v>
      </c>
      <c r="L25" s="320">
        <f t="shared" si="1"/>
        <v>21315</v>
      </c>
      <c r="M25" s="321">
        <f t="shared" ref="M25" si="6">C25+D25++E25+I25</f>
        <v>9863.4599999999991</v>
      </c>
      <c r="N25" s="320">
        <f t="shared" si="2"/>
        <v>11451.54</v>
      </c>
      <c r="O25" s="330">
        <f t="shared" ref="O25:O28" si="7">M25/L25</f>
        <v>0.46274736101337083</v>
      </c>
    </row>
    <row r="26" spans="1:15" s="322" customFormat="1" ht="17.399999999999999" customHeight="1" x14ac:dyDescent="0.35">
      <c r="A26" s="220" t="s">
        <v>3</v>
      </c>
      <c r="B26" s="323">
        <f>878400*35%</f>
        <v>307440</v>
      </c>
      <c r="C26" s="324">
        <v>101982.16</v>
      </c>
      <c r="D26" s="324">
        <v>57720</v>
      </c>
      <c r="E26" s="325"/>
      <c r="F26" s="325">
        <f t="shared" si="3"/>
        <v>147737.84</v>
      </c>
      <c r="G26" s="393">
        <f>(C26+D26+E26)/B26</f>
        <v>0.51945797553994277</v>
      </c>
      <c r="H26" s="326">
        <v>105404.95</v>
      </c>
      <c r="I26" s="327">
        <v>11317.38</v>
      </c>
      <c r="J26" s="328">
        <f t="shared" si="5"/>
        <v>94087.569999999992</v>
      </c>
      <c r="K26" s="356">
        <f t="shared" ref="K26:K32" si="8">I26/H26</f>
        <v>0.10737047928014766</v>
      </c>
      <c r="L26" s="328">
        <f t="shared" si="1"/>
        <v>412844.95</v>
      </c>
      <c r="M26" s="329">
        <f t="shared" ref="M26" si="9">C26+D26+E26+I26</f>
        <v>171019.54</v>
      </c>
      <c r="N26" s="328">
        <f t="shared" si="2"/>
        <v>241825.40999999997</v>
      </c>
      <c r="O26" s="332">
        <f t="shared" si="7"/>
        <v>0.41424641381710009</v>
      </c>
    </row>
    <row r="27" spans="1:15" s="322" customFormat="1" ht="17.399999999999999" customHeight="1" x14ac:dyDescent="0.35">
      <c r="A27" s="221" t="s">
        <v>4</v>
      </c>
      <c r="B27" s="315">
        <f>57000*35%</f>
        <v>19950</v>
      </c>
      <c r="C27" s="316">
        <v>24286.660000000003</v>
      </c>
      <c r="D27" s="316"/>
      <c r="E27" s="317"/>
      <c r="F27" s="317">
        <f t="shared" si="3"/>
        <v>-4336.6600000000035</v>
      </c>
      <c r="G27" s="394">
        <f>(C27+D27+E27)/B27</f>
        <v>1.217376441102757</v>
      </c>
      <c r="H27" s="318">
        <v>8680</v>
      </c>
      <c r="I27" s="319">
        <v>5273.4000000000005</v>
      </c>
      <c r="J27" s="320">
        <f t="shared" si="5"/>
        <v>3406.5999999999995</v>
      </c>
      <c r="K27" s="354">
        <f>I27/H27</f>
        <v>0.60753456221198165</v>
      </c>
      <c r="L27" s="320">
        <f t="shared" si="1"/>
        <v>28630</v>
      </c>
      <c r="M27" s="321">
        <f t="shared" ref="M27" si="10">C27+D27++E27+I27</f>
        <v>29560.060000000005</v>
      </c>
      <c r="N27" s="320">
        <f t="shared" si="2"/>
        <v>-930.06000000000404</v>
      </c>
      <c r="O27" s="385">
        <f t="shared" si="7"/>
        <v>1.0324855047153338</v>
      </c>
    </row>
    <row r="28" spans="1:15" s="322" customFormat="1" x14ac:dyDescent="0.35">
      <c r="A28" s="220" t="s">
        <v>5</v>
      </c>
      <c r="B28" s="323">
        <f>318000*35%</f>
        <v>111300</v>
      </c>
      <c r="C28" s="324"/>
      <c r="D28" s="324"/>
      <c r="E28" s="325">
        <v>271950</v>
      </c>
      <c r="F28" s="325">
        <f>B28-C28-D28-E28</f>
        <v>-160650</v>
      </c>
      <c r="G28" s="393">
        <f>(C28+D28+E28)/B28</f>
        <v>2.4433962264150941</v>
      </c>
      <c r="H28" s="326">
        <v>0</v>
      </c>
      <c r="I28" s="327">
        <v>0</v>
      </c>
      <c r="J28" s="328">
        <f t="shared" si="5"/>
        <v>0</v>
      </c>
      <c r="K28" s="331">
        <v>0</v>
      </c>
      <c r="L28" s="328">
        <f t="shared" si="1"/>
        <v>111300</v>
      </c>
      <c r="M28" s="329">
        <f t="shared" ref="M28" si="11">C28+D28+E28+I28</f>
        <v>271950</v>
      </c>
      <c r="N28" s="328">
        <f t="shared" si="2"/>
        <v>-160650</v>
      </c>
      <c r="O28" s="386">
        <f t="shared" si="7"/>
        <v>2.4433962264150941</v>
      </c>
    </row>
    <row r="29" spans="1:15" s="322" customFormat="1" ht="31.25" customHeight="1" thickBot="1" x14ac:dyDescent="0.4">
      <c r="A29" s="222" t="s">
        <v>6</v>
      </c>
      <c r="B29" s="333">
        <f>46200*35%</f>
        <v>16169.999999999998</v>
      </c>
      <c r="C29" s="334">
        <f>44247.54-35617.52</f>
        <v>8630.0200000000041</v>
      </c>
      <c r="D29" s="334"/>
      <c r="E29" s="335"/>
      <c r="F29" s="317">
        <f t="shared" si="3"/>
        <v>7539.9799999999941</v>
      </c>
      <c r="G29" s="395">
        <f t="shared" ref="G29" si="12">(C29+D29+E29)/B29</f>
        <v>0.53370562770562802</v>
      </c>
      <c r="H29" s="336">
        <v>17360</v>
      </c>
      <c r="I29" s="337">
        <v>9096.73</v>
      </c>
      <c r="J29" s="320">
        <f t="shared" si="5"/>
        <v>8263.27</v>
      </c>
      <c r="K29" s="355">
        <f>I29/H29</f>
        <v>0.52400518433179721</v>
      </c>
      <c r="L29" s="338">
        <f t="shared" si="1"/>
        <v>33530</v>
      </c>
      <c r="M29" s="321">
        <f t="shared" ref="M29" si="13">C29+D29++E29+I29</f>
        <v>17726.750000000004</v>
      </c>
      <c r="N29" s="338">
        <f t="shared" si="2"/>
        <v>15803.249999999995</v>
      </c>
      <c r="O29" s="387">
        <f>M29/L29</f>
        <v>0.52868326871458404</v>
      </c>
    </row>
    <row r="30" spans="1:15" s="346" customFormat="1" ht="22.25" customHeight="1" thickBot="1" x14ac:dyDescent="0.4">
      <c r="A30" s="217" t="s">
        <v>7</v>
      </c>
      <c r="B30" s="339">
        <f>SUM(B23:B29)</f>
        <v>499450</v>
      </c>
      <c r="C30" s="339">
        <f t="shared" ref="C30:E30" si="14">SUM(C23:C29)</f>
        <v>143102.97000000003</v>
      </c>
      <c r="D30" s="339">
        <f t="shared" si="14"/>
        <v>57720</v>
      </c>
      <c r="E30" s="340">
        <f t="shared" si="14"/>
        <v>271950</v>
      </c>
      <c r="F30" s="341">
        <f>B30-C30-D30-E30</f>
        <v>26677.02999999997</v>
      </c>
      <c r="G30" s="342">
        <f>(C30+D30+E30)/B30</f>
        <v>0.94658718590449498</v>
      </c>
      <c r="H30" s="343">
        <v>166228.902</v>
      </c>
      <c r="I30" s="339">
        <f>SUM(I23:I29)</f>
        <v>60135.58</v>
      </c>
      <c r="J30" s="340">
        <f>SUM(J23:J29)</f>
        <v>106093.322</v>
      </c>
      <c r="K30" s="342">
        <f>I30/H30</f>
        <v>0.36176368415162846</v>
      </c>
      <c r="L30" s="344">
        <f t="shared" si="1"/>
        <v>665678.902</v>
      </c>
      <c r="M30" s="345">
        <f>C30+D30+E30+I30</f>
        <v>532908.55000000005</v>
      </c>
      <c r="N30" s="344">
        <f t="shared" si="2"/>
        <v>132770.35199999996</v>
      </c>
      <c r="O30" s="342">
        <f t="shared" ref="O30:O32" si="15">M30/L30</f>
        <v>0.80054895595894981</v>
      </c>
    </row>
    <row r="31" spans="1:15" s="322" customFormat="1" ht="15" thickBot="1" x14ac:dyDescent="0.4">
      <c r="A31" s="218" t="s">
        <v>8</v>
      </c>
      <c r="B31" s="347">
        <f>B30*0.07</f>
        <v>34961.5</v>
      </c>
      <c r="C31" s="347">
        <v>8777.119999999999</v>
      </c>
      <c r="D31" s="347"/>
      <c r="E31" s="348"/>
      <c r="F31" s="325">
        <f t="shared" si="3"/>
        <v>26184.38</v>
      </c>
      <c r="G31" s="349">
        <f>(C31+D31+E31)/B31</f>
        <v>0.25105101325744028</v>
      </c>
      <c r="H31" s="347">
        <f t="shared" ref="H31" si="16">H30*0.07</f>
        <v>11636.023140000001</v>
      </c>
      <c r="I31" s="348">
        <v>4209.4906000000001</v>
      </c>
      <c r="J31" s="390">
        <f t="shared" ref="J31" si="17">B31+H31</f>
        <v>46597.523140000005</v>
      </c>
      <c r="K31" s="349">
        <f t="shared" si="8"/>
        <v>0.36176368415162841</v>
      </c>
      <c r="L31" s="388">
        <f t="shared" si="1"/>
        <v>46597.523140000005</v>
      </c>
      <c r="M31" s="388">
        <f>C31+D31+E31+I31</f>
        <v>12986.6106</v>
      </c>
      <c r="N31" s="350">
        <f t="shared" si="2"/>
        <v>72781.903140000009</v>
      </c>
      <c r="O31" s="389">
        <f t="shared" si="15"/>
        <v>0.27869744408908509</v>
      </c>
    </row>
    <row r="32" spans="1:15" s="322" customFormat="1" ht="21.65" customHeight="1" thickBot="1" x14ac:dyDescent="0.4">
      <c r="A32" s="351" t="s">
        <v>120</v>
      </c>
      <c r="B32" s="352">
        <f>SUM(B30:B31)</f>
        <v>534411.5</v>
      </c>
      <c r="C32" s="352">
        <f t="shared" ref="C32:I32" si="18">SUM(C30:C31)</f>
        <v>151880.09000000003</v>
      </c>
      <c r="D32" s="352">
        <f t="shared" si="18"/>
        <v>57720</v>
      </c>
      <c r="E32" s="353">
        <f t="shared" si="18"/>
        <v>271950</v>
      </c>
      <c r="F32" s="341">
        <f t="shared" si="3"/>
        <v>52861.409999999974</v>
      </c>
      <c r="G32" s="342">
        <f>(C32+D32+E32)/B32</f>
        <v>0.90108481946964092</v>
      </c>
      <c r="H32" s="352">
        <f t="shared" si="18"/>
        <v>177864.92514000001</v>
      </c>
      <c r="I32" s="352">
        <f t="shared" si="18"/>
        <v>64345.070599999999</v>
      </c>
      <c r="J32" s="353">
        <f>SUM(J30:J31)</f>
        <v>152690.84513999999</v>
      </c>
      <c r="K32" s="342">
        <f t="shared" si="8"/>
        <v>0.36176368415162846</v>
      </c>
      <c r="L32" s="344">
        <f t="shared" si="1"/>
        <v>712276.42513999995</v>
      </c>
      <c r="M32" s="344">
        <f>C32+D32+E32+I32</f>
        <v>545895.16060000006</v>
      </c>
      <c r="N32" s="344">
        <f t="shared" si="2"/>
        <v>205552.25513999996</v>
      </c>
      <c r="O32" s="342">
        <f t="shared" si="15"/>
        <v>0.76640913742540728</v>
      </c>
    </row>
    <row r="33" spans="1:9" s="214" customFormat="1" ht="15.5" x14ac:dyDescent="0.35"/>
    <row r="34" spans="1:9" ht="15.5" x14ac:dyDescent="0.35">
      <c r="A34" s="240" t="s">
        <v>140</v>
      </c>
      <c r="H34" s="270"/>
      <c r="I34" s="271"/>
    </row>
    <row r="35" spans="1:9" ht="15.5" x14ac:dyDescent="0.35">
      <c r="A35" s="240" t="s">
        <v>141</v>
      </c>
      <c r="E35" s="265"/>
      <c r="F35" s="265"/>
      <c r="G35" s="265"/>
      <c r="H35" s="271"/>
    </row>
    <row r="36" spans="1:9" ht="15.5" x14ac:dyDescent="0.35">
      <c r="A36" s="243">
        <v>44134</v>
      </c>
      <c r="H36" s="270"/>
    </row>
  </sheetData>
  <mergeCells count="6">
    <mergeCell ref="A2:E2"/>
    <mergeCell ref="A19:O20"/>
    <mergeCell ref="A21:A22"/>
    <mergeCell ref="H21:K21"/>
    <mergeCell ref="B21:G21"/>
    <mergeCell ref="L21:O21"/>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A11" xr:uid="{5F35CAFF-2D17-499C-8BF8-69E507F46E4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A10" xr:uid="{A3FC1355-EE8E-4E0D-B041-9DB588173D2B}"/>
    <dataValidation allowBlank="1" showInputMessage="1" showErrorMessage="1" prompt="Services contracted by an organization which follow the normal procurement processes." sqref="A8" xr:uid="{573B155D-DA54-411B-A0F1-90F94BD3F94F}"/>
    <dataValidation allowBlank="1" showInputMessage="1" showErrorMessage="1" prompt="Includes staff and non-staff travel paid for by the organization directly related to a project." sqref="A9" xr:uid="{0AE704B0-61A7-4275-B935-2600311E6BFE}"/>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A7" xr:uid="{BAE3AB43-D1E6-440D-B855-E2D558E5F3AA}"/>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A6" xr:uid="{750859DB-190D-4BF0-810E-A5F5E3DB8FEC}"/>
    <dataValidation allowBlank="1" showInputMessage="1" showErrorMessage="1" prompt="Includes all related staff and temporary staff costs including base salary, post adjustment and all staff entitlements." sqref="A5" xr:uid="{F8F8A968-74C5-4B46-9A69-08E6BD5E0D63}"/>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C10CD75-7683-41EB-B3E7-126EB559559D}">
            <xm:f>'\Users\sory.conde\Desktop\DOSSIERS 2020 GED\NOUVEAU PROJET 2020 PBF\NOUVEAU BUDGET ISP RICHARD 2019 2020\RICHARD 2020\[Version 27 Nov Budget Projet ISP PBF_PBSO correction.xlsx]1) Tableau budgétaire 1'!#REF!</xm:f>
            <x14:dxf>
              <font>
                <color rgb="FF9C0006"/>
              </font>
              <fill>
                <patternFill>
                  <bgColor rgb="FFFFC7CE"/>
                </patternFill>
              </fill>
            </x14:dxf>
          </x14:cfRule>
          <xm:sqref>E14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D070E-A8B3-4AB0-A7C5-67C17F3DCB5E}">
  <sheetPr>
    <tabColor rgb="FF00B0F0"/>
  </sheetPr>
  <dimension ref="A1:L162"/>
  <sheetViews>
    <sheetView topLeftCell="C148" zoomScale="110" zoomScaleNormal="110" workbookViewId="0">
      <selection activeCell="G135" sqref="G135"/>
    </sheetView>
  </sheetViews>
  <sheetFormatPr baseColWidth="10" defaultColWidth="9.08984375" defaultRowHeight="13" x14ac:dyDescent="0.3"/>
  <cols>
    <col min="1" max="1" width="11" style="11" customWidth="1"/>
    <col min="2" max="2" width="32.81640625" style="11" customWidth="1"/>
    <col min="3" max="3" width="20.1796875" style="11" customWidth="1"/>
    <col min="4" max="4" width="19.81640625" style="11" customWidth="1"/>
    <col min="5" max="5" width="23.08984375" style="11" hidden="1" customWidth="1"/>
    <col min="6" max="6" width="19.08984375" style="114" customWidth="1"/>
    <col min="7" max="7" width="14.6328125" style="114" customWidth="1"/>
    <col min="8" max="8" width="14.54296875" style="114" customWidth="1"/>
    <col min="9" max="9" width="13.453125" style="204" customWidth="1"/>
    <col min="10" max="10" width="11.6328125" style="11" customWidth="1"/>
    <col min="11" max="11" width="9.08984375" style="11"/>
    <col min="12" max="12" width="17.6328125" style="11" customWidth="1"/>
    <col min="13" max="13" width="26.6328125" style="11" customWidth="1"/>
    <col min="14" max="14" width="22.6328125" style="11" customWidth="1"/>
    <col min="15" max="15" width="29.6328125" style="11" customWidth="1"/>
    <col min="16" max="16" width="23.36328125" style="11" customWidth="1"/>
    <col min="17" max="17" width="18.6328125" style="11" customWidth="1"/>
    <col min="18" max="18" width="17.36328125" style="11" customWidth="1"/>
    <col min="19" max="19" width="25.08984375" style="11" customWidth="1"/>
    <col min="20" max="16384" width="9.08984375" style="11"/>
  </cols>
  <sheetData>
    <row r="1" spans="1:11" ht="14.5" customHeight="1" x14ac:dyDescent="0.45">
      <c r="A1" s="502"/>
      <c r="B1" s="502"/>
      <c r="C1" s="502"/>
      <c r="D1" s="502"/>
      <c r="E1" s="502"/>
      <c r="F1" s="502"/>
      <c r="G1" s="502"/>
    </row>
    <row r="2" spans="1:11" ht="18.649999999999999" customHeight="1" thickBot="1" x14ac:dyDescent="0.35">
      <c r="A2" s="449" t="s">
        <v>126</v>
      </c>
      <c r="B2" s="449"/>
      <c r="C2" s="449"/>
      <c r="D2" s="449"/>
      <c r="E2" s="10"/>
      <c r="F2" s="167"/>
    </row>
    <row r="3" spans="1:11" ht="18" customHeight="1" thickBot="1" x14ac:dyDescent="0.5">
      <c r="A3" s="505" t="s">
        <v>122</v>
      </c>
      <c r="B3" s="506"/>
      <c r="C3" s="506"/>
      <c r="D3" s="506"/>
      <c r="E3" s="506"/>
      <c r="F3" s="506"/>
      <c r="G3" s="506"/>
      <c r="H3" s="506"/>
      <c r="I3" s="507"/>
    </row>
    <row r="4" spans="1:11" ht="19.75" customHeight="1" x14ac:dyDescent="0.3">
      <c r="A4" s="503" t="s">
        <v>10</v>
      </c>
      <c r="B4" s="504"/>
      <c r="C4" s="504"/>
      <c r="D4" s="504"/>
      <c r="E4" s="504"/>
      <c r="F4" s="504"/>
      <c r="G4" s="504"/>
      <c r="H4" s="504"/>
      <c r="I4" s="504"/>
    </row>
    <row r="5" spans="1:11" ht="13.5" thickBot="1" x14ac:dyDescent="0.35"/>
    <row r="6" spans="1:11" s="86" customFormat="1" ht="64.25" customHeight="1" thickBot="1" x14ac:dyDescent="0.35">
      <c r="A6" s="453" t="s">
        <v>11</v>
      </c>
      <c r="B6" s="453" t="s">
        <v>87</v>
      </c>
      <c r="C6" s="84" t="s">
        <v>88</v>
      </c>
      <c r="D6" s="84" t="s">
        <v>93</v>
      </c>
      <c r="E6" s="85" t="s">
        <v>89</v>
      </c>
      <c r="F6" s="168" t="s">
        <v>94</v>
      </c>
      <c r="G6" s="115" t="s">
        <v>90</v>
      </c>
      <c r="H6" s="115" t="s">
        <v>91</v>
      </c>
      <c r="I6" s="109" t="s">
        <v>92</v>
      </c>
      <c r="J6" s="87" t="s">
        <v>13</v>
      </c>
    </row>
    <row r="7" spans="1:11" ht="18.75" customHeight="1" thickBot="1" x14ac:dyDescent="0.35">
      <c r="A7" s="454"/>
      <c r="B7" s="454"/>
      <c r="C7" s="213" t="s">
        <v>116</v>
      </c>
      <c r="D7" s="89" t="s">
        <v>117</v>
      </c>
      <c r="E7" s="89"/>
      <c r="F7" s="169" t="s">
        <v>12</v>
      </c>
      <c r="G7" s="116"/>
      <c r="H7" s="116"/>
      <c r="I7" s="201"/>
      <c r="J7" s="90"/>
    </row>
    <row r="8" spans="1:11" ht="15.5" customHeight="1" thickBot="1" x14ac:dyDescent="0.35">
      <c r="A8" s="460" t="s">
        <v>102</v>
      </c>
      <c r="B8" s="461"/>
      <c r="C8" s="461"/>
      <c r="D8" s="461"/>
      <c r="E8" s="461"/>
      <c r="F8" s="461"/>
      <c r="G8" s="461"/>
      <c r="H8" s="461"/>
      <c r="I8" s="461"/>
      <c r="J8" s="462"/>
    </row>
    <row r="9" spans="1:11" ht="28.25" customHeight="1" thickBot="1" x14ac:dyDescent="0.35">
      <c r="A9" s="429" t="s">
        <v>86</v>
      </c>
      <c r="B9" s="91" t="s">
        <v>65</v>
      </c>
      <c r="C9" s="92">
        <v>0</v>
      </c>
      <c r="D9" s="56">
        <v>0</v>
      </c>
      <c r="E9" s="56"/>
      <c r="F9" s="184">
        <v>0</v>
      </c>
      <c r="G9" s="117"/>
      <c r="H9" s="117"/>
      <c r="I9" s="57">
        <v>0</v>
      </c>
      <c r="J9" s="253" t="s">
        <v>151</v>
      </c>
      <c r="K9" s="512" t="s">
        <v>143</v>
      </c>
    </row>
    <row r="10" spans="1:11" ht="18.75" customHeight="1" thickBot="1" x14ac:dyDescent="0.35">
      <c r="A10" s="429"/>
      <c r="B10" s="450" t="s">
        <v>66</v>
      </c>
      <c r="C10" s="18">
        <f>30000*35%</f>
        <v>10500</v>
      </c>
      <c r="D10" s="19">
        <v>0</v>
      </c>
      <c r="E10" s="19"/>
      <c r="F10" s="188">
        <v>3157.7</v>
      </c>
      <c r="G10" s="118"/>
      <c r="H10" s="118"/>
      <c r="I10" s="57">
        <f>(G10+F10)/(C10+D10)</f>
        <v>0.3007333333333333</v>
      </c>
      <c r="J10" s="254">
        <v>6</v>
      </c>
      <c r="K10" s="513"/>
    </row>
    <row r="11" spans="1:11" ht="20.25" customHeight="1" thickBot="1" x14ac:dyDescent="0.35">
      <c r="A11" s="429"/>
      <c r="B11" s="451"/>
      <c r="C11" s="20">
        <f>1600*35%</f>
        <v>560</v>
      </c>
      <c r="D11" s="21">
        <v>0</v>
      </c>
      <c r="E11" s="21"/>
      <c r="F11" s="189">
        <v>0</v>
      </c>
      <c r="G11" s="119"/>
      <c r="H11" s="119"/>
      <c r="I11" s="57">
        <f t="shared" ref="I11:I19" si="0">(G11+F11)/(C11+D11)</f>
        <v>0</v>
      </c>
      <c r="J11" s="255">
        <v>4</v>
      </c>
      <c r="K11" s="513"/>
    </row>
    <row r="12" spans="1:11" ht="24" customHeight="1" thickBot="1" x14ac:dyDescent="0.35">
      <c r="A12" s="429"/>
      <c r="B12" s="452"/>
      <c r="C12" s="22">
        <f>4000*35%</f>
        <v>1400</v>
      </c>
      <c r="D12" s="23">
        <v>0</v>
      </c>
      <c r="E12" s="23"/>
      <c r="F12" s="190">
        <v>0</v>
      </c>
      <c r="G12" s="120"/>
      <c r="H12" s="120"/>
      <c r="I12" s="57">
        <f t="shared" si="0"/>
        <v>0</v>
      </c>
      <c r="J12" s="256">
        <v>4</v>
      </c>
      <c r="K12" s="513"/>
    </row>
    <row r="13" spans="1:11" ht="24" customHeight="1" thickBot="1" x14ac:dyDescent="0.35">
      <c r="A13" s="429"/>
      <c r="B13" s="424" t="s">
        <v>67</v>
      </c>
      <c r="C13" s="28">
        <f>20000*35%</f>
        <v>7000</v>
      </c>
      <c r="D13" s="29">
        <v>0</v>
      </c>
      <c r="E13" s="29"/>
      <c r="F13" s="180">
        <v>4460.74</v>
      </c>
      <c r="G13" s="121"/>
      <c r="H13" s="122"/>
      <c r="I13" s="57">
        <f t="shared" si="0"/>
        <v>0.63724857142857139</v>
      </c>
      <c r="J13" s="254">
        <v>4</v>
      </c>
      <c r="K13" s="513"/>
    </row>
    <row r="14" spans="1:11" ht="24" customHeight="1" thickBot="1" x14ac:dyDescent="0.35">
      <c r="A14" s="429"/>
      <c r="B14" s="424"/>
      <c r="C14" s="20">
        <f>10000*35%</f>
        <v>3500</v>
      </c>
      <c r="D14" s="21">
        <v>0</v>
      </c>
      <c r="E14" s="21"/>
      <c r="F14" s="180">
        <v>0</v>
      </c>
      <c r="G14" s="119"/>
      <c r="H14" s="123"/>
      <c r="I14" s="57">
        <f t="shared" si="0"/>
        <v>0</v>
      </c>
      <c r="J14" s="255">
        <v>4</v>
      </c>
      <c r="K14" s="513"/>
    </row>
    <row r="15" spans="1:11" ht="24" customHeight="1" thickBot="1" x14ac:dyDescent="0.35">
      <c r="A15" s="429"/>
      <c r="B15" s="424"/>
      <c r="C15" s="20">
        <f>1800*35%</f>
        <v>630</v>
      </c>
      <c r="D15" s="21">
        <v>0</v>
      </c>
      <c r="E15" s="21"/>
      <c r="F15" s="180">
        <v>0</v>
      </c>
      <c r="G15" s="119"/>
      <c r="H15" s="123"/>
      <c r="I15" s="57">
        <f t="shared" si="0"/>
        <v>0</v>
      </c>
      <c r="J15" s="255">
        <v>7</v>
      </c>
      <c r="K15" s="513"/>
    </row>
    <row r="16" spans="1:11" ht="24" customHeight="1" thickBot="1" x14ac:dyDescent="0.35">
      <c r="A16" s="429"/>
      <c r="B16" s="424"/>
      <c r="C16" s="20">
        <f>5000*35%</f>
        <v>1750</v>
      </c>
      <c r="D16" s="21">
        <v>0</v>
      </c>
      <c r="E16" s="21"/>
      <c r="F16" s="180">
        <v>1750</v>
      </c>
      <c r="G16" s="272"/>
      <c r="H16" s="123"/>
      <c r="I16" s="57">
        <f t="shared" si="0"/>
        <v>1</v>
      </c>
      <c r="J16" s="255">
        <v>5</v>
      </c>
      <c r="K16" s="513"/>
    </row>
    <row r="17" spans="1:11" ht="24" customHeight="1" thickBot="1" x14ac:dyDescent="0.35">
      <c r="A17" s="429"/>
      <c r="B17" s="425"/>
      <c r="C17" s="22">
        <f>6000*35%</f>
        <v>2100</v>
      </c>
      <c r="D17" s="23">
        <v>0</v>
      </c>
      <c r="E17" s="23"/>
      <c r="F17" s="181">
        <v>2100</v>
      </c>
      <c r="G17" s="120"/>
      <c r="H17" s="124"/>
      <c r="I17" s="57">
        <f t="shared" si="0"/>
        <v>1</v>
      </c>
      <c r="J17" s="257">
        <v>5</v>
      </c>
      <c r="K17" s="513"/>
    </row>
    <row r="18" spans="1:11" ht="15.75" customHeight="1" thickBot="1" x14ac:dyDescent="0.35">
      <c r="A18" s="429"/>
      <c r="B18" s="426" t="s">
        <v>68</v>
      </c>
      <c r="C18" s="18">
        <f>7000*35%</f>
        <v>2450</v>
      </c>
      <c r="D18" s="19">
        <v>0</v>
      </c>
      <c r="E18" s="19"/>
      <c r="F18" s="182">
        <v>2112.42</v>
      </c>
      <c r="G18" s="125"/>
      <c r="H18" s="126"/>
      <c r="I18" s="57">
        <f t="shared" si="0"/>
        <v>0.86221224489795922</v>
      </c>
      <c r="J18" s="258">
        <v>4</v>
      </c>
      <c r="K18" s="513"/>
    </row>
    <row r="19" spans="1:11" ht="15" customHeight="1" thickBot="1" x14ac:dyDescent="0.35">
      <c r="A19" s="430"/>
      <c r="B19" s="425"/>
      <c r="C19" s="24">
        <f>5000*35%</f>
        <v>1750</v>
      </c>
      <c r="D19" s="25">
        <v>0</v>
      </c>
      <c r="E19" s="25"/>
      <c r="F19" s="181">
        <v>1750</v>
      </c>
      <c r="G19" s="127"/>
      <c r="H19" s="128"/>
      <c r="I19" s="57">
        <f t="shared" si="0"/>
        <v>1</v>
      </c>
      <c r="J19" s="256">
        <v>5</v>
      </c>
      <c r="K19" s="514"/>
    </row>
    <row r="20" spans="1:11" hidden="1" x14ac:dyDescent="0.3">
      <c r="A20" s="26" t="s">
        <v>16</v>
      </c>
      <c r="B20" s="27"/>
      <c r="C20" s="28"/>
      <c r="D20" s="29"/>
      <c r="E20" s="29"/>
      <c r="F20" s="170">
        <f t="shared" ref="F20:F23" si="1">SUM(C20:E20)</f>
        <v>0</v>
      </c>
      <c r="G20" s="129"/>
      <c r="H20" s="129"/>
      <c r="I20" s="30"/>
      <c r="J20" s="17"/>
    </row>
    <row r="21" spans="1:11" hidden="1" x14ac:dyDescent="0.3">
      <c r="A21" s="31" t="s">
        <v>17</v>
      </c>
      <c r="B21" s="32"/>
      <c r="C21" s="20"/>
      <c r="D21" s="21"/>
      <c r="E21" s="21"/>
      <c r="F21" s="171">
        <f t="shared" si="1"/>
        <v>0</v>
      </c>
      <c r="G21" s="130"/>
      <c r="H21" s="130"/>
      <c r="I21" s="16"/>
      <c r="J21" s="17"/>
    </row>
    <row r="22" spans="1:11" hidden="1" x14ac:dyDescent="0.3">
      <c r="A22" s="31" t="s">
        <v>18</v>
      </c>
      <c r="B22" s="33"/>
      <c r="C22" s="20"/>
      <c r="D22" s="34"/>
      <c r="E22" s="34"/>
      <c r="F22" s="171">
        <f t="shared" si="1"/>
        <v>0</v>
      </c>
      <c r="G22" s="131"/>
      <c r="H22" s="131"/>
      <c r="I22" s="35"/>
      <c r="J22" s="17"/>
    </row>
    <row r="23" spans="1:11" hidden="1" x14ac:dyDescent="0.3">
      <c r="A23" s="31" t="s">
        <v>19</v>
      </c>
      <c r="B23" s="93"/>
      <c r="C23" s="14"/>
      <c r="D23" s="94"/>
      <c r="E23" s="94"/>
      <c r="F23" s="172">
        <f t="shared" si="1"/>
        <v>0</v>
      </c>
      <c r="G23" s="132"/>
      <c r="H23" s="132"/>
      <c r="I23" s="95"/>
    </row>
    <row r="24" spans="1:11" ht="15" customHeight="1" thickBot="1" x14ac:dyDescent="0.35">
      <c r="A24" s="458" t="s">
        <v>100</v>
      </c>
      <c r="B24" s="459"/>
      <c r="C24" s="96">
        <f>SUM(C9:C23)</f>
        <v>31640</v>
      </c>
      <c r="D24" s="96">
        <f>SUM(D9:D23)</f>
        <v>0</v>
      </c>
      <c r="E24" s="96">
        <f t="shared" ref="E24" si="2">SUM(E9:E23)</f>
        <v>0</v>
      </c>
      <c r="F24" s="110">
        <f>SUM(F9:F23)</f>
        <v>15330.859999999999</v>
      </c>
      <c r="G24" s="110">
        <f t="shared" ref="G24:H24" si="3">SUM(G9:G23)</f>
        <v>0</v>
      </c>
      <c r="H24" s="110">
        <f t="shared" si="3"/>
        <v>0</v>
      </c>
      <c r="I24" s="207">
        <f>(G24+F24)/(C24+D24)</f>
        <v>0.48454045512010108</v>
      </c>
      <c r="J24" s="97"/>
    </row>
    <row r="25" spans="1:11" ht="20.5" customHeight="1" thickBot="1" x14ac:dyDescent="0.35">
      <c r="A25" s="455" t="s">
        <v>95</v>
      </c>
      <c r="B25" s="427" t="s">
        <v>69</v>
      </c>
      <c r="C25" s="19">
        <v>0</v>
      </c>
      <c r="D25" s="37">
        <f>15000*35%</f>
        <v>5250</v>
      </c>
      <c r="E25" s="19"/>
      <c r="F25" s="182">
        <v>0</v>
      </c>
      <c r="G25" s="133"/>
      <c r="H25" s="134"/>
      <c r="I25" s="57">
        <v>0</v>
      </c>
      <c r="J25" s="258">
        <v>4</v>
      </c>
      <c r="K25" s="515" t="s">
        <v>146</v>
      </c>
    </row>
    <row r="26" spans="1:11" ht="26.5" customHeight="1" thickBot="1" x14ac:dyDescent="0.35">
      <c r="A26" s="456"/>
      <c r="B26" s="428"/>
      <c r="C26" s="21">
        <v>0</v>
      </c>
      <c r="D26" s="38">
        <f>7000*35%</f>
        <v>2450</v>
      </c>
      <c r="E26" s="21"/>
      <c r="F26" s="185">
        <v>0</v>
      </c>
      <c r="G26" s="135"/>
      <c r="H26" s="136"/>
      <c r="I26" s="57">
        <v>0</v>
      </c>
      <c r="J26" s="254">
        <v>4</v>
      </c>
      <c r="K26" s="516"/>
    </row>
    <row r="27" spans="1:11" ht="26.5" customHeight="1" thickBot="1" x14ac:dyDescent="0.35">
      <c r="A27" s="456"/>
      <c r="B27" s="428"/>
      <c r="C27" s="15">
        <v>0</v>
      </c>
      <c r="D27" s="39">
        <f>1000*35%</f>
        <v>350</v>
      </c>
      <c r="E27" s="15"/>
      <c r="F27" s="187">
        <v>0</v>
      </c>
      <c r="G27" s="137"/>
      <c r="H27" s="138"/>
      <c r="I27" s="57">
        <v>0</v>
      </c>
      <c r="J27" s="259">
        <v>3</v>
      </c>
      <c r="K27" s="516"/>
    </row>
    <row r="28" spans="1:11" ht="17.5" customHeight="1" thickBot="1" x14ac:dyDescent="0.35">
      <c r="A28" s="456"/>
      <c r="B28" s="431" t="s">
        <v>70</v>
      </c>
      <c r="C28" s="19">
        <v>0</v>
      </c>
      <c r="D28" s="40">
        <f>10000*35%</f>
        <v>3500</v>
      </c>
      <c r="E28" s="19"/>
      <c r="F28" s="182">
        <v>0</v>
      </c>
      <c r="G28" s="133"/>
      <c r="H28" s="134"/>
      <c r="I28" s="57">
        <v>0</v>
      </c>
      <c r="J28" s="258">
        <v>4</v>
      </c>
      <c r="K28" s="516"/>
    </row>
    <row r="29" spans="1:11" ht="16.75" customHeight="1" thickBot="1" x14ac:dyDescent="0.35">
      <c r="A29" s="456"/>
      <c r="B29" s="434"/>
      <c r="C29" s="21">
        <v>0</v>
      </c>
      <c r="D29" s="41">
        <f>2000*35%</f>
        <v>700</v>
      </c>
      <c r="E29" s="21"/>
      <c r="F29" s="185">
        <v>0</v>
      </c>
      <c r="G29" s="135"/>
      <c r="H29" s="136"/>
      <c r="I29" s="57">
        <v>0</v>
      </c>
      <c r="J29" s="254">
        <v>7</v>
      </c>
      <c r="K29" s="516"/>
    </row>
    <row r="30" spans="1:11" ht="16.75" customHeight="1" thickBot="1" x14ac:dyDescent="0.35">
      <c r="A30" s="456"/>
      <c r="B30" s="434"/>
      <c r="C30" s="21">
        <v>0</v>
      </c>
      <c r="D30" s="41">
        <f>20000*35%</f>
        <v>7000</v>
      </c>
      <c r="E30" s="21"/>
      <c r="F30" s="185">
        <v>0</v>
      </c>
      <c r="G30" s="135"/>
      <c r="H30" s="136"/>
      <c r="I30" s="57">
        <v>0</v>
      </c>
      <c r="J30" s="254">
        <v>4</v>
      </c>
      <c r="K30" s="516"/>
    </row>
    <row r="31" spans="1:11" ht="16.75" customHeight="1" thickBot="1" x14ac:dyDescent="0.35">
      <c r="A31" s="456"/>
      <c r="B31" s="434"/>
      <c r="C31" s="21">
        <v>0</v>
      </c>
      <c r="D31" s="41">
        <f>10000*35%</f>
        <v>3500</v>
      </c>
      <c r="E31" s="21"/>
      <c r="F31" s="185">
        <v>0</v>
      </c>
      <c r="G31" s="135"/>
      <c r="H31" s="136"/>
      <c r="I31" s="57">
        <v>0</v>
      </c>
      <c r="J31" s="255">
        <v>5</v>
      </c>
      <c r="K31" s="516"/>
    </row>
    <row r="32" spans="1:11" ht="19.25" customHeight="1" thickBot="1" x14ac:dyDescent="0.35">
      <c r="A32" s="457"/>
      <c r="B32" s="432"/>
      <c r="C32" s="23">
        <v>0</v>
      </c>
      <c r="D32" s="42">
        <f>3000*35%</f>
        <v>1050</v>
      </c>
      <c r="E32" s="23"/>
      <c r="F32" s="186">
        <v>0</v>
      </c>
      <c r="G32" s="139"/>
      <c r="H32" s="140"/>
      <c r="I32" s="57">
        <v>0</v>
      </c>
      <c r="J32" s="256">
        <v>7</v>
      </c>
      <c r="K32" s="517"/>
    </row>
    <row r="33" spans="1:11" ht="15" customHeight="1" thickBot="1" x14ac:dyDescent="0.35">
      <c r="A33" s="435" t="s">
        <v>99</v>
      </c>
      <c r="B33" s="436"/>
      <c r="C33" s="96">
        <f t="shared" ref="C33:H33" si="4">SUM(C25:C32)</f>
        <v>0</v>
      </c>
      <c r="D33" s="96">
        <f t="shared" si="4"/>
        <v>23800</v>
      </c>
      <c r="E33" s="96">
        <f t="shared" si="4"/>
        <v>0</v>
      </c>
      <c r="F33" s="110">
        <f t="shared" si="4"/>
        <v>0</v>
      </c>
      <c r="G33" s="110">
        <f t="shared" si="4"/>
        <v>0</v>
      </c>
      <c r="H33" s="110">
        <f t="shared" si="4"/>
        <v>0</v>
      </c>
      <c r="I33" s="208">
        <f t="shared" ref="I33" si="5">(G33+F33)/(C33+D33)</f>
        <v>0</v>
      </c>
      <c r="J33" s="97"/>
    </row>
    <row r="34" spans="1:11" ht="22.25" customHeight="1" thickBot="1" x14ac:dyDescent="0.35">
      <c r="A34" s="446" t="s">
        <v>96</v>
      </c>
      <c r="B34" s="431" t="s">
        <v>62</v>
      </c>
      <c r="C34" s="19">
        <v>0</v>
      </c>
      <c r="D34" s="40">
        <f>25000*35%</f>
        <v>8750</v>
      </c>
      <c r="E34" s="19"/>
      <c r="F34" s="182">
        <v>0</v>
      </c>
      <c r="G34" s="141"/>
      <c r="H34" s="142"/>
      <c r="I34" s="57">
        <v>0</v>
      </c>
      <c r="J34" s="258">
        <v>4</v>
      </c>
      <c r="K34" s="515" t="s">
        <v>147</v>
      </c>
    </row>
    <row r="35" spans="1:11" ht="34.25" customHeight="1" thickBot="1" x14ac:dyDescent="0.35">
      <c r="A35" s="447"/>
      <c r="B35" s="432"/>
      <c r="C35" s="23">
        <v>0</v>
      </c>
      <c r="D35" s="42">
        <f>2000*35%</f>
        <v>700</v>
      </c>
      <c r="E35" s="23"/>
      <c r="F35" s="186">
        <v>0</v>
      </c>
      <c r="G35" s="143"/>
      <c r="H35" s="206"/>
      <c r="I35" s="57">
        <v>0</v>
      </c>
      <c r="J35" s="256">
        <v>7</v>
      </c>
      <c r="K35" s="516"/>
    </row>
    <row r="36" spans="1:11" ht="15.75" customHeight="1" thickBot="1" x14ac:dyDescent="0.35">
      <c r="A36" s="447"/>
      <c r="B36" s="433" t="s">
        <v>63</v>
      </c>
      <c r="C36" s="29">
        <v>0</v>
      </c>
      <c r="D36" s="44">
        <f>2000*35%</f>
        <v>700</v>
      </c>
      <c r="E36" s="29"/>
      <c r="F36" s="180">
        <v>0</v>
      </c>
      <c r="G36" s="144"/>
      <c r="H36" s="130"/>
      <c r="I36" s="57">
        <v>0</v>
      </c>
      <c r="J36" s="258">
        <v>4</v>
      </c>
      <c r="K36" s="516"/>
    </row>
    <row r="37" spans="1:11" ht="15.75" customHeight="1" thickBot="1" x14ac:dyDescent="0.35">
      <c r="A37" s="447"/>
      <c r="B37" s="433"/>
      <c r="C37" s="29">
        <v>0</v>
      </c>
      <c r="D37" s="44">
        <f>16650*35%</f>
        <v>5827.5</v>
      </c>
      <c r="E37" s="29"/>
      <c r="F37" s="185">
        <v>0</v>
      </c>
      <c r="G37" s="146"/>
      <c r="H37" s="130"/>
      <c r="I37" s="57">
        <v>0</v>
      </c>
      <c r="J37" s="254">
        <v>4</v>
      </c>
      <c r="K37" s="516"/>
    </row>
    <row r="38" spans="1:11" ht="14.5" customHeight="1" thickBot="1" x14ac:dyDescent="0.35">
      <c r="A38" s="447"/>
      <c r="B38" s="434"/>
      <c r="C38" s="21">
        <v>0</v>
      </c>
      <c r="D38" s="41">
        <f>2800*35%</f>
        <v>979.99999999999989</v>
      </c>
      <c r="E38" s="21"/>
      <c r="F38" s="185">
        <v>0</v>
      </c>
      <c r="G38" s="146"/>
      <c r="H38" s="130"/>
      <c r="I38" s="57">
        <v>0</v>
      </c>
      <c r="J38" s="255">
        <v>5</v>
      </c>
      <c r="K38" s="516"/>
    </row>
    <row r="39" spans="1:11" ht="14.5" customHeight="1" thickBot="1" x14ac:dyDescent="0.35">
      <c r="A39" s="447"/>
      <c r="B39" s="434"/>
      <c r="C39" s="21">
        <v>0</v>
      </c>
      <c r="D39" s="41">
        <f>2500*35%</f>
        <v>875</v>
      </c>
      <c r="E39" s="21"/>
      <c r="F39" s="185">
        <v>0</v>
      </c>
      <c r="G39" s="146"/>
      <c r="H39" s="130"/>
      <c r="I39" s="57">
        <v>0</v>
      </c>
      <c r="J39" s="255">
        <v>4</v>
      </c>
      <c r="K39" s="516"/>
    </row>
    <row r="40" spans="1:11" ht="14.5" customHeight="1" thickBot="1" x14ac:dyDescent="0.35">
      <c r="A40" s="447"/>
      <c r="B40" s="434"/>
      <c r="C40" s="21">
        <v>0</v>
      </c>
      <c r="D40" s="41">
        <f>1500*35%</f>
        <v>525</v>
      </c>
      <c r="E40" s="21"/>
      <c r="F40" s="185">
        <v>0</v>
      </c>
      <c r="G40" s="146"/>
      <c r="H40" s="130"/>
      <c r="I40" s="57">
        <v>0</v>
      </c>
      <c r="J40" s="255">
        <v>4</v>
      </c>
      <c r="K40" s="516"/>
    </row>
    <row r="41" spans="1:11" ht="14.5" customHeight="1" thickBot="1" x14ac:dyDescent="0.35">
      <c r="A41" s="447"/>
      <c r="B41" s="434"/>
      <c r="C41" s="21">
        <v>0</v>
      </c>
      <c r="D41" s="41">
        <f>1400*35%</f>
        <v>489.99999999999994</v>
      </c>
      <c r="E41" s="21"/>
      <c r="F41" s="185">
        <v>0</v>
      </c>
      <c r="G41" s="146"/>
      <c r="H41" s="130"/>
      <c r="I41" s="57">
        <v>0</v>
      </c>
      <c r="J41" s="255">
        <v>7</v>
      </c>
      <c r="K41" s="516"/>
    </row>
    <row r="42" spans="1:11" ht="15" customHeight="1" thickBot="1" x14ac:dyDescent="0.35">
      <c r="A42" s="447"/>
      <c r="B42" s="432"/>
      <c r="C42" s="23">
        <v>0</v>
      </c>
      <c r="D42" s="42">
        <f>12000*35%</f>
        <v>4200</v>
      </c>
      <c r="E42" s="23"/>
      <c r="F42" s="186">
        <v>0</v>
      </c>
      <c r="G42" s="148"/>
      <c r="H42" s="130"/>
      <c r="I42" s="57">
        <v>0</v>
      </c>
      <c r="J42" s="256">
        <v>4</v>
      </c>
      <c r="K42" s="516"/>
    </row>
    <row r="43" spans="1:11" ht="15.75" customHeight="1" thickBot="1" x14ac:dyDescent="0.35">
      <c r="A43" s="447"/>
      <c r="B43" s="442" t="s">
        <v>64</v>
      </c>
      <c r="C43" s="19">
        <v>0</v>
      </c>
      <c r="D43" s="45">
        <f>12000*35%</f>
        <v>4200</v>
      </c>
      <c r="E43" s="19"/>
      <c r="F43" s="182">
        <v>0</v>
      </c>
      <c r="G43" s="150"/>
      <c r="H43" s="135"/>
      <c r="I43" s="57">
        <v>0</v>
      </c>
      <c r="J43" s="260">
        <v>4</v>
      </c>
      <c r="K43" s="516"/>
    </row>
    <row r="44" spans="1:11" ht="14.5" customHeight="1" thickBot="1" x14ac:dyDescent="0.35">
      <c r="A44" s="447"/>
      <c r="B44" s="443"/>
      <c r="C44" s="29">
        <v>0</v>
      </c>
      <c r="D44" s="46">
        <f>4500*35%</f>
        <v>1575</v>
      </c>
      <c r="E44" s="29"/>
      <c r="F44" s="185">
        <v>0</v>
      </c>
      <c r="G44" s="137"/>
      <c r="H44" s="135"/>
      <c r="I44" s="57">
        <v>0</v>
      </c>
      <c r="J44" s="255">
        <v>4</v>
      </c>
      <c r="K44" s="516"/>
    </row>
    <row r="45" spans="1:11" ht="14.5" customHeight="1" thickBot="1" x14ac:dyDescent="0.35">
      <c r="A45" s="447"/>
      <c r="B45" s="443"/>
      <c r="C45" s="29">
        <v>0</v>
      </c>
      <c r="D45" s="46">
        <f>4104*35%</f>
        <v>1436.3999999999999</v>
      </c>
      <c r="E45" s="29"/>
      <c r="F45" s="185">
        <v>0</v>
      </c>
      <c r="G45" s="137"/>
      <c r="H45" s="135"/>
      <c r="I45" s="57">
        <v>0</v>
      </c>
      <c r="J45" s="255">
        <v>4</v>
      </c>
      <c r="K45" s="516"/>
    </row>
    <row r="46" spans="1:11" ht="14.5" customHeight="1" thickBot="1" x14ac:dyDescent="0.35">
      <c r="A46" s="447"/>
      <c r="B46" s="443"/>
      <c r="C46" s="29">
        <v>0</v>
      </c>
      <c r="D46" s="46">
        <f>3763*35%</f>
        <v>1317.05</v>
      </c>
      <c r="E46" s="29"/>
      <c r="F46" s="185">
        <v>0</v>
      </c>
      <c r="G46" s="137"/>
      <c r="H46" s="135"/>
      <c r="I46" s="57">
        <v>0</v>
      </c>
      <c r="J46" s="255">
        <v>4</v>
      </c>
      <c r="K46" s="516"/>
    </row>
    <row r="47" spans="1:11" ht="14.5" customHeight="1" thickBot="1" x14ac:dyDescent="0.35">
      <c r="A47" s="447"/>
      <c r="B47" s="443"/>
      <c r="C47" s="29">
        <v>0</v>
      </c>
      <c r="D47" s="46">
        <f>4230*35%</f>
        <v>1480.5</v>
      </c>
      <c r="E47" s="29"/>
      <c r="F47" s="185">
        <v>0</v>
      </c>
      <c r="G47" s="137"/>
      <c r="H47" s="135"/>
      <c r="I47" s="57">
        <v>0</v>
      </c>
      <c r="J47" s="255">
        <v>4</v>
      </c>
      <c r="K47" s="516"/>
    </row>
    <row r="48" spans="1:11" ht="14.5" customHeight="1" thickBot="1" x14ac:dyDescent="0.35">
      <c r="A48" s="447"/>
      <c r="B48" s="443"/>
      <c r="C48" s="29">
        <v>0</v>
      </c>
      <c r="D48" s="46">
        <f>8000*35%</f>
        <v>2800</v>
      </c>
      <c r="E48" s="29"/>
      <c r="F48" s="185">
        <v>0</v>
      </c>
      <c r="G48" s="137"/>
      <c r="H48" s="135"/>
      <c r="I48" s="57">
        <v>0</v>
      </c>
      <c r="J48" s="255">
        <v>4</v>
      </c>
      <c r="K48" s="516"/>
    </row>
    <row r="49" spans="1:11" ht="14.5" customHeight="1" thickBot="1" x14ac:dyDescent="0.35">
      <c r="A49" s="447"/>
      <c r="B49" s="443"/>
      <c r="C49" s="29">
        <v>0</v>
      </c>
      <c r="D49" s="46">
        <f>8000*35%</f>
        <v>2800</v>
      </c>
      <c r="E49" s="29"/>
      <c r="F49" s="185">
        <v>0</v>
      </c>
      <c r="G49" s="137"/>
      <c r="H49" s="135"/>
      <c r="I49" s="57">
        <v>0</v>
      </c>
      <c r="J49" s="255">
        <v>4</v>
      </c>
      <c r="K49" s="516"/>
    </row>
    <row r="50" spans="1:11" ht="15" customHeight="1" thickBot="1" x14ac:dyDescent="0.35">
      <c r="A50" s="448"/>
      <c r="B50" s="444"/>
      <c r="C50" s="25">
        <v>0</v>
      </c>
      <c r="D50" s="47">
        <f>5000*35%</f>
        <v>1750</v>
      </c>
      <c r="E50" s="25"/>
      <c r="F50" s="186">
        <v>0</v>
      </c>
      <c r="G50" s="139"/>
      <c r="H50" s="135"/>
      <c r="I50" s="57">
        <v>0</v>
      </c>
      <c r="J50" s="255">
        <v>4</v>
      </c>
      <c r="K50" s="517"/>
    </row>
    <row r="51" spans="1:11" ht="15" customHeight="1" thickBot="1" x14ac:dyDescent="0.35">
      <c r="A51" s="440" t="s">
        <v>98</v>
      </c>
      <c r="B51" s="441"/>
      <c r="C51" s="99">
        <f t="shared" ref="C51:H51" si="6">SUM(C34:C50)</f>
        <v>0</v>
      </c>
      <c r="D51" s="96">
        <f t="shared" si="6"/>
        <v>40406.449999999997</v>
      </c>
      <c r="E51" s="96">
        <f t="shared" si="6"/>
        <v>0</v>
      </c>
      <c r="F51" s="110">
        <f t="shared" si="6"/>
        <v>0</v>
      </c>
      <c r="G51" s="110">
        <f t="shared" si="6"/>
        <v>0</v>
      </c>
      <c r="H51" s="205">
        <f t="shared" si="6"/>
        <v>0</v>
      </c>
      <c r="I51" s="208">
        <f t="shared" ref="I51" si="7">(G51+F51)/(C51+D51)</f>
        <v>0</v>
      </c>
      <c r="J51" s="97"/>
    </row>
    <row r="52" spans="1:11" hidden="1" x14ac:dyDescent="0.3">
      <c r="A52" s="88" t="s">
        <v>21</v>
      </c>
      <c r="B52" s="445"/>
      <c r="C52" s="445"/>
      <c r="D52" s="445"/>
      <c r="E52" s="445"/>
      <c r="F52" s="445"/>
      <c r="G52" s="445"/>
      <c r="H52" s="445"/>
      <c r="I52" s="445"/>
      <c r="J52" s="13"/>
    </row>
    <row r="53" spans="1:11" hidden="1" x14ac:dyDescent="0.3">
      <c r="A53" s="31" t="s">
        <v>22</v>
      </c>
      <c r="B53" s="32"/>
      <c r="C53" s="21"/>
      <c r="D53" s="21"/>
      <c r="E53" s="21"/>
      <c r="F53" s="171">
        <f>SUM(C53:E53)</f>
        <v>0</v>
      </c>
      <c r="G53" s="130"/>
      <c r="H53" s="130"/>
      <c r="I53" s="16"/>
      <c r="J53" s="17"/>
    </row>
    <row r="54" spans="1:11" hidden="1" x14ac:dyDescent="0.3">
      <c r="A54" s="31" t="s">
        <v>23</v>
      </c>
      <c r="B54" s="32"/>
      <c r="C54" s="21"/>
      <c r="D54" s="21"/>
      <c r="E54" s="21"/>
      <c r="F54" s="171">
        <f t="shared" ref="F54:F60" si="8">SUM(C54:E54)</f>
        <v>0</v>
      </c>
      <c r="G54" s="130"/>
      <c r="H54" s="130"/>
      <c r="I54" s="16"/>
      <c r="J54" s="17"/>
    </row>
    <row r="55" spans="1:11" hidden="1" x14ac:dyDescent="0.3">
      <c r="A55" s="31" t="s">
        <v>24</v>
      </c>
      <c r="B55" s="32"/>
      <c r="C55" s="21"/>
      <c r="D55" s="21"/>
      <c r="E55" s="21"/>
      <c r="F55" s="171">
        <f t="shared" si="8"/>
        <v>0</v>
      </c>
      <c r="G55" s="130"/>
      <c r="H55" s="130"/>
      <c r="I55" s="16"/>
      <c r="J55" s="17"/>
    </row>
    <row r="56" spans="1:11" hidden="1" x14ac:dyDescent="0.3">
      <c r="A56" s="31" t="s">
        <v>25</v>
      </c>
      <c r="B56" s="32"/>
      <c r="C56" s="21"/>
      <c r="D56" s="21"/>
      <c r="E56" s="21"/>
      <c r="F56" s="171">
        <f t="shared" si="8"/>
        <v>0</v>
      </c>
      <c r="G56" s="130"/>
      <c r="H56" s="130"/>
      <c r="I56" s="16"/>
      <c r="J56" s="17"/>
    </row>
    <row r="57" spans="1:11" hidden="1" x14ac:dyDescent="0.3">
      <c r="A57" s="31" t="s">
        <v>26</v>
      </c>
      <c r="B57" s="32"/>
      <c r="C57" s="21"/>
      <c r="D57" s="21"/>
      <c r="E57" s="21"/>
      <c r="F57" s="171">
        <f t="shared" si="8"/>
        <v>0</v>
      </c>
      <c r="G57" s="130"/>
      <c r="H57" s="130"/>
      <c r="I57" s="16"/>
      <c r="J57" s="17"/>
    </row>
    <row r="58" spans="1:11" hidden="1" x14ac:dyDescent="0.3">
      <c r="A58" s="31" t="s">
        <v>27</v>
      </c>
      <c r="B58" s="32"/>
      <c r="C58" s="21"/>
      <c r="D58" s="21"/>
      <c r="E58" s="21"/>
      <c r="F58" s="171">
        <f t="shared" si="8"/>
        <v>0</v>
      </c>
      <c r="G58" s="130"/>
      <c r="H58" s="130"/>
      <c r="I58" s="16"/>
      <c r="J58" s="17"/>
    </row>
    <row r="59" spans="1:11" s="12" customFormat="1" hidden="1" x14ac:dyDescent="0.3">
      <c r="A59" s="31" t="s">
        <v>28</v>
      </c>
      <c r="B59" s="33"/>
      <c r="C59" s="34"/>
      <c r="D59" s="34"/>
      <c r="E59" s="34"/>
      <c r="F59" s="171">
        <f t="shared" si="8"/>
        <v>0</v>
      </c>
      <c r="G59" s="131"/>
      <c r="H59" s="131"/>
      <c r="I59" s="35"/>
      <c r="J59" s="17"/>
    </row>
    <row r="60" spans="1:11" hidden="1" x14ac:dyDescent="0.3">
      <c r="A60" s="31" t="s">
        <v>29</v>
      </c>
      <c r="B60" s="33"/>
      <c r="C60" s="34"/>
      <c r="D60" s="34"/>
      <c r="E60" s="34"/>
      <c r="F60" s="171">
        <f t="shared" si="8"/>
        <v>0</v>
      </c>
      <c r="G60" s="131"/>
      <c r="H60" s="131"/>
      <c r="I60" s="35"/>
      <c r="J60" s="17"/>
    </row>
    <row r="61" spans="1:11" hidden="1" x14ac:dyDescent="0.3">
      <c r="B61" s="98" t="s">
        <v>20</v>
      </c>
      <c r="C61" s="43">
        <f>SUM(C53:C60)</f>
        <v>0</v>
      </c>
      <c r="D61" s="43">
        <f>SUM(D53:D60)</f>
        <v>0</v>
      </c>
      <c r="E61" s="43">
        <f>SUM(E53:E60)</f>
        <v>0</v>
      </c>
      <c r="F61" s="151">
        <f>SUM(F53:F60)</f>
        <v>0</v>
      </c>
      <c r="G61" s="151">
        <f>(G53*F53)+(G54*F54)+(G55*F55)+(G56*F56)+(G57*F57)+(G58*F58)+(G59*F59)+(G60*F60)</f>
        <v>0</v>
      </c>
      <c r="H61" s="151"/>
      <c r="I61" s="95"/>
      <c r="J61" s="36"/>
    </row>
    <row r="62" spans="1:11" s="10" customFormat="1" ht="15" customHeight="1" thickBot="1" x14ac:dyDescent="0.35">
      <c r="A62" s="463" t="s">
        <v>97</v>
      </c>
      <c r="B62" s="464"/>
      <c r="C62" s="103">
        <f>C51+C33+C24</f>
        <v>31640</v>
      </c>
      <c r="D62" s="103">
        <f t="shared" ref="D62:H62" si="9">D51+D33+D24</f>
        <v>64206.45</v>
      </c>
      <c r="E62" s="103">
        <f t="shared" si="9"/>
        <v>0</v>
      </c>
      <c r="F62" s="103">
        <f t="shared" si="9"/>
        <v>15330.859999999999</v>
      </c>
      <c r="G62" s="103">
        <f t="shared" si="9"/>
        <v>0</v>
      </c>
      <c r="H62" s="103">
        <f t="shared" si="9"/>
        <v>0</v>
      </c>
      <c r="I62" s="209">
        <f t="shared" ref="I62" si="10">(G62+F62)/(C62+D62)</f>
        <v>0.15995229870276884</v>
      </c>
      <c r="J62" s="104"/>
    </row>
    <row r="63" spans="1:11" ht="13.75" customHeight="1" thickBot="1" x14ac:dyDescent="0.35">
      <c r="A63" s="468" t="s">
        <v>101</v>
      </c>
      <c r="B63" s="469"/>
      <c r="C63" s="469"/>
      <c r="D63" s="469"/>
      <c r="E63" s="469"/>
      <c r="F63" s="469"/>
      <c r="G63" s="469"/>
      <c r="H63" s="469"/>
      <c r="I63" s="469"/>
      <c r="J63" s="469"/>
    </row>
    <row r="64" spans="1:11" ht="15.75" customHeight="1" thickBot="1" x14ac:dyDescent="0.35">
      <c r="A64" s="455" t="s">
        <v>103</v>
      </c>
      <c r="B64" s="442" t="s">
        <v>71</v>
      </c>
      <c r="C64" s="49">
        <f>20000*35%</f>
        <v>7000</v>
      </c>
      <c r="D64" s="19">
        <v>0</v>
      </c>
      <c r="E64" s="19"/>
      <c r="F64" s="182">
        <v>12000</v>
      </c>
      <c r="G64" s="133"/>
      <c r="H64" s="134">
        <v>7000</v>
      </c>
      <c r="I64" s="57">
        <f t="shared" ref="I64:I71" si="11">(G64+F64)/C64</f>
        <v>1.7142857142857142</v>
      </c>
      <c r="J64" s="258">
        <v>4</v>
      </c>
      <c r="K64" s="512" t="s">
        <v>144</v>
      </c>
    </row>
    <row r="65" spans="1:11" ht="22.5" customHeight="1" thickBot="1" x14ac:dyDescent="0.35">
      <c r="A65" s="456"/>
      <c r="B65" s="443"/>
      <c r="C65" s="50">
        <f>5000*35%</f>
        <v>1750</v>
      </c>
      <c r="D65" s="21">
        <v>0</v>
      </c>
      <c r="E65" s="21"/>
      <c r="F65" s="185">
        <v>2560</v>
      </c>
      <c r="G65" s="135"/>
      <c r="H65" s="136">
        <v>1750</v>
      </c>
      <c r="I65" s="57">
        <f t="shared" si="11"/>
        <v>1.4628571428571429</v>
      </c>
      <c r="J65" s="255">
        <v>4</v>
      </c>
      <c r="K65" s="513"/>
    </row>
    <row r="66" spans="1:11" ht="22.5" customHeight="1" thickBot="1" x14ac:dyDescent="0.35">
      <c r="A66" s="456"/>
      <c r="B66" s="443"/>
      <c r="C66" s="51">
        <f>5000*35%</f>
        <v>1750</v>
      </c>
      <c r="D66" s="15">
        <v>0</v>
      </c>
      <c r="E66" s="15"/>
      <c r="F66" s="185">
        <v>1750</v>
      </c>
      <c r="G66" s="135"/>
      <c r="H66" s="138">
        <v>1750</v>
      </c>
      <c r="I66" s="57">
        <f t="shared" si="11"/>
        <v>1</v>
      </c>
      <c r="J66" s="257">
        <v>5</v>
      </c>
      <c r="K66" s="513"/>
    </row>
    <row r="67" spans="1:11" ht="15" customHeight="1" thickBot="1" x14ac:dyDescent="0.35">
      <c r="A67" s="456"/>
      <c r="B67" s="444"/>
      <c r="C67" s="52">
        <f>1000*35%</f>
        <v>350</v>
      </c>
      <c r="D67" s="23">
        <v>0</v>
      </c>
      <c r="E67" s="23"/>
      <c r="F67" s="186">
        <v>350</v>
      </c>
      <c r="G67" s="139"/>
      <c r="H67" s="140">
        <v>350</v>
      </c>
      <c r="I67" s="57">
        <f t="shared" si="11"/>
        <v>1</v>
      </c>
      <c r="J67" s="256">
        <v>7</v>
      </c>
      <c r="K67" s="513"/>
    </row>
    <row r="68" spans="1:11" ht="15.75" customHeight="1" thickBot="1" x14ac:dyDescent="0.35">
      <c r="A68" s="456"/>
      <c r="B68" s="437" t="s">
        <v>72</v>
      </c>
      <c r="C68" s="49">
        <f>25000*35%</f>
        <v>8750</v>
      </c>
      <c r="D68" s="19">
        <v>0</v>
      </c>
      <c r="E68" s="19"/>
      <c r="F68" s="182">
        <v>8750</v>
      </c>
      <c r="G68" s="125"/>
      <c r="H68" s="126">
        <v>8750</v>
      </c>
      <c r="I68" s="57">
        <f t="shared" si="11"/>
        <v>1</v>
      </c>
      <c r="J68" s="258">
        <v>6</v>
      </c>
      <c r="K68" s="513"/>
    </row>
    <row r="69" spans="1:11" ht="14.5" customHeight="1" thickBot="1" x14ac:dyDescent="0.35">
      <c r="A69" s="456"/>
      <c r="B69" s="438"/>
      <c r="C69" s="50">
        <f>5000*35%</f>
        <v>1750</v>
      </c>
      <c r="D69" s="29">
        <v>0</v>
      </c>
      <c r="E69" s="29"/>
      <c r="F69" s="185">
        <v>1750</v>
      </c>
      <c r="G69" s="129"/>
      <c r="H69" s="152">
        <v>1750</v>
      </c>
      <c r="I69" s="57">
        <f t="shared" si="11"/>
        <v>1</v>
      </c>
      <c r="J69" s="255">
        <v>5</v>
      </c>
      <c r="K69" s="513"/>
    </row>
    <row r="70" spans="1:11" ht="14.5" customHeight="1" thickBot="1" x14ac:dyDescent="0.35">
      <c r="A70" s="456"/>
      <c r="B70" s="438"/>
      <c r="C70" s="50">
        <f>3000*35%</f>
        <v>1050</v>
      </c>
      <c r="D70" s="29">
        <v>0</v>
      </c>
      <c r="E70" s="29"/>
      <c r="F70" s="185">
        <v>5000</v>
      </c>
      <c r="G70" s="129"/>
      <c r="H70" s="152">
        <v>1050</v>
      </c>
      <c r="I70" s="57">
        <f t="shared" si="11"/>
        <v>4.7619047619047619</v>
      </c>
      <c r="J70" s="254">
        <v>4</v>
      </c>
      <c r="K70" s="513"/>
    </row>
    <row r="71" spans="1:11" ht="13.5" thickBot="1" x14ac:dyDescent="0.35">
      <c r="A71" s="457"/>
      <c r="B71" s="439"/>
      <c r="C71" s="52">
        <f>1000*35%</f>
        <v>350</v>
      </c>
      <c r="D71" s="25">
        <v>0</v>
      </c>
      <c r="E71" s="25"/>
      <c r="F71" s="186">
        <v>350</v>
      </c>
      <c r="G71" s="127"/>
      <c r="H71" s="128">
        <v>350</v>
      </c>
      <c r="I71" s="57">
        <f t="shared" si="11"/>
        <v>1</v>
      </c>
      <c r="J71" s="259">
        <v>7</v>
      </c>
      <c r="K71" s="514"/>
    </row>
    <row r="72" spans="1:11" s="12" customFormat="1" ht="15" customHeight="1" thickBot="1" x14ac:dyDescent="0.35">
      <c r="A72" s="440" t="s">
        <v>104</v>
      </c>
      <c r="B72" s="441"/>
      <c r="C72" s="99">
        <f>SUM(C64:C71)</f>
        <v>22750</v>
      </c>
      <c r="D72" s="96">
        <f>SUM(D64:D71)</f>
        <v>0</v>
      </c>
      <c r="E72" s="96">
        <f>SUM(E64:E71)</f>
        <v>0</v>
      </c>
      <c r="F72" s="110">
        <f>SUM(F64:F71)</f>
        <v>32510</v>
      </c>
      <c r="G72" s="110">
        <f t="shared" ref="G72:H72" si="12">SUM(G64:G71)</f>
        <v>0</v>
      </c>
      <c r="H72" s="110">
        <f t="shared" si="12"/>
        <v>22750</v>
      </c>
      <c r="I72" s="208">
        <f t="shared" ref="I72" si="13">(G72+F72)/(C72+D72)</f>
        <v>1.429010989010989</v>
      </c>
      <c r="J72" s="97"/>
    </row>
    <row r="73" spans="1:11" ht="19.5" customHeight="1" thickBot="1" x14ac:dyDescent="0.35">
      <c r="A73" s="465" t="s">
        <v>105</v>
      </c>
      <c r="B73" s="437" t="s">
        <v>73</v>
      </c>
      <c r="C73" s="49">
        <f>45000*35%</f>
        <v>15749.999999999998</v>
      </c>
      <c r="D73" s="19">
        <v>0</v>
      </c>
      <c r="E73" s="19"/>
      <c r="F73" s="182">
        <v>15749.999999999998</v>
      </c>
      <c r="G73" s="125"/>
      <c r="H73" s="126">
        <v>15749.999999999998</v>
      </c>
      <c r="I73" s="57">
        <f t="shared" ref="I73:I81" si="14">(G73+F73)/C73</f>
        <v>1</v>
      </c>
      <c r="J73" s="258">
        <v>6</v>
      </c>
      <c r="K73" s="512" t="s">
        <v>145</v>
      </c>
    </row>
    <row r="74" spans="1:11" ht="19.5" customHeight="1" thickBot="1" x14ac:dyDescent="0.35">
      <c r="A74" s="466"/>
      <c r="B74" s="438"/>
      <c r="C74" s="50">
        <f>5000*35%</f>
        <v>1750</v>
      </c>
      <c r="D74" s="21">
        <v>0</v>
      </c>
      <c r="E74" s="21"/>
      <c r="F74" s="185">
        <v>4000</v>
      </c>
      <c r="G74" s="130"/>
      <c r="H74" s="153">
        <v>1750</v>
      </c>
      <c r="I74" s="57">
        <f t="shared" si="14"/>
        <v>2.2857142857142856</v>
      </c>
      <c r="J74" s="255">
        <v>4</v>
      </c>
      <c r="K74" s="513"/>
    </row>
    <row r="75" spans="1:11" ht="19.5" customHeight="1" thickBot="1" x14ac:dyDescent="0.35">
      <c r="A75" s="466"/>
      <c r="B75" s="439"/>
      <c r="C75" s="52">
        <f>1000*35%</f>
        <v>350</v>
      </c>
      <c r="D75" s="23">
        <v>0</v>
      </c>
      <c r="E75" s="23"/>
      <c r="F75" s="186">
        <v>400</v>
      </c>
      <c r="G75" s="148"/>
      <c r="H75" s="149">
        <v>350</v>
      </c>
      <c r="I75" s="57">
        <f t="shared" si="14"/>
        <v>1.1428571428571428</v>
      </c>
      <c r="J75" s="257">
        <v>7</v>
      </c>
      <c r="K75" s="513"/>
    </row>
    <row r="76" spans="1:11" ht="17.5" customHeight="1" thickBot="1" x14ac:dyDescent="0.35">
      <c r="A76" s="466"/>
      <c r="B76" s="437" t="s">
        <v>74</v>
      </c>
      <c r="C76" s="49">
        <f>20000*35%</f>
        <v>7000</v>
      </c>
      <c r="D76" s="19">
        <v>0</v>
      </c>
      <c r="E76" s="19"/>
      <c r="F76" s="182">
        <v>16000</v>
      </c>
      <c r="G76" s="125"/>
      <c r="H76" s="126">
        <v>7000</v>
      </c>
      <c r="I76" s="57">
        <f t="shared" si="14"/>
        <v>2.2857142857142856</v>
      </c>
      <c r="J76" s="258">
        <v>4</v>
      </c>
      <c r="K76" s="513"/>
    </row>
    <row r="77" spans="1:11" ht="18" customHeight="1" thickBot="1" x14ac:dyDescent="0.35">
      <c r="A77" s="466"/>
      <c r="B77" s="438"/>
      <c r="C77" s="50">
        <f>2000*35%</f>
        <v>700</v>
      </c>
      <c r="D77" s="29">
        <v>0</v>
      </c>
      <c r="E77" s="29"/>
      <c r="F77" s="185">
        <v>5000</v>
      </c>
      <c r="G77" s="129"/>
      <c r="H77" s="152">
        <v>700</v>
      </c>
      <c r="I77" s="57">
        <f t="shared" si="14"/>
        <v>7.1428571428571432</v>
      </c>
      <c r="J77" s="255">
        <v>4</v>
      </c>
      <c r="K77" s="513"/>
    </row>
    <row r="78" spans="1:11" ht="22.75" customHeight="1" thickBot="1" x14ac:dyDescent="0.35">
      <c r="A78" s="466"/>
      <c r="B78" s="438"/>
      <c r="C78" s="50">
        <f>1000*35%</f>
        <v>350</v>
      </c>
      <c r="D78" s="29">
        <v>0</v>
      </c>
      <c r="E78" s="29"/>
      <c r="F78" s="185">
        <v>452.66</v>
      </c>
      <c r="G78" s="129"/>
      <c r="H78" s="152">
        <v>350</v>
      </c>
      <c r="I78" s="57">
        <f t="shared" si="14"/>
        <v>1.2933142857142859</v>
      </c>
      <c r="J78" s="255">
        <v>7</v>
      </c>
      <c r="K78" s="513"/>
    </row>
    <row r="79" spans="1:11" ht="16.75" customHeight="1" thickBot="1" x14ac:dyDescent="0.35">
      <c r="A79" s="466"/>
      <c r="B79" s="439"/>
      <c r="C79" s="52">
        <f>3000*35%</f>
        <v>1050</v>
      </c>
      <c r="D79" s="25">
        <v>0</v>
      </c>
      <c r="E79" s="25"/>
      <c r="F79" s="186">
        <v>1050</v>
      </c>
      <c r="G79" s="127"/>
      <c r="H79" s="128">
        <v>1050</v>
      </c>
      <c r="I79" s="57">
        <f t="shared" si="14"/>
        <v>1</v>
      </c>
      <c r="J79" s="256">
        <v>7</v>
      </c>
      <c r="K79" s="513"/>
    </row>
    <row r="80" spans="1:11" ht="30" customHeight="1" thickBot="1" x14ac:dyDescent="0.35">
      <c r="A80" s="466"/>
      <c r="B80" s="437" t="s">
        <v>75</v>
      </c>
      <c r="C80" s="49">
        <f>12000*35%</f>
        <v>4200</v>
      </c>
      <c r="D80" s="19">
        <v>0</v>
      </c>
      <c r="E80" s="19"/>
      <c r="F80" s="182">
        <v>6000</v>
      </c>
      <c r="G80" s="125"/>
      <c r="H80" s="126">
        <v>4200</v>
      </c>
      <c r="I80" s="57">
        <f t="shared" si="14"/>
        <v>1.4285714285714286</v>
      </c>
      <c r="J80" s="254">
        <v>4</v>
      </c>
      <c r="K80" s="513"/>
    </row>
    <row r="81" spans="1:11" ht="15" customHeight="1" thickBot="1" x14ac:dyDescent="0.35">
      <c r="A81" s="467"/>
      <c r="B81" s="439"/>
      <c r="C81" s="52">
        <f>2000*35%</f>
        <v>700</v>
      </c>
      <c r="D81" s="25">
        <v>0</v>
      </c>
      <c r="E81" s="25"/>
      <c r="F81" s="186">
        <v>14225.92</v>
      </c>
      <c r="G81" s="127"/>
      <c r="H81" s="128">
        <v>700</v>
      </c>
      <c r="I81" s="57">
        <f t="shared" si="14"/>
        <v>20.322742857142856</v>
      </c>
      <c r="J81" s="256">
        <v>5</v>
      </c>
      <c r="K81" s="514"/>
    </row>
    <row r="82" spans="1:11" ht="15" customHeight="1" thickBot="1" x14ac:dyDescent="0.35">
      <c r="A82" s="440" t="s">
        <v>114</v>
      </c>
      <c r="B82" s="441"/>
      <c r="C82" s="99">
        <f>SUM(C73:C81)</f>
        <v>31850</v>
      </c>
      <c r="D82" s="96">
        <f>SUM(D73:D81)</f>
        <v>0</v>
      </c>
      <c r="E82" s="96">
        <f>SUM(E73:E81)</f>
        <v>0</v>
      </c>
      <c r="F82" s="110">
        <f>SUM(F73:F81)</f>
        <v>62878.58</v>
      </c>
      <c r="G82" s="110">
        <f t="shared" ref="G82:H82" si="15">SUM(G73:G81)</f>
        <v>0</v>
      </c>
      <c r="H82" s="110">
        <f t="shared" si="15"/>
        <v>31850</v>
      </c>
      <c r="I82" s="208">
        <f t="shared" ref="I82" si="16">(G82+F82)/(C82+D82)</f>
        <v>1.9742097331240189</v>
      </c>
      <c r="J82" s="97"/>
    </row>
    <row r="83" spans="1:11" ht="23.5" customHeight="1" thickBot="1" x14ac:dyDescent="0.35">
      <c r="A83" s="499" t="s">
        <v>106</v>
      </c>
      <c r="B83" s="437" t="s">
        <v>76</v>
      </c>
      <c r="C83" s="49">
        <f>8000*35%</f>
        <v>2800</v>
      </c>
      <c r="D83" s="19">
        <v>0</v>
      </c>
      <c r="E83" s="19"/>
      <c r="F83" s="182">
        <v>0</v>
      </c>
      <c r="G83" s="125"/>
      <c r="H83" s="126">
        <v>2800</v>
      </c>
      <c r="I83" s="57">
        <f t="shared" ref="I83:I94" si="17">(G83+F83)/C83</f>
        <v>0</v>
      </c>
      <c r="J83" s="258">
        <v>6</v>
      </c>
      <c r="K83" s="512" t="s">
        <v>148</v>
      </c>
    </row>
    <row r="84" spans="1:11" ht="23.5" customHeight="1" thickBot="1" x14ac:dyDescent="0.35">
      <c r="A84" s="500"/>
      <c r="B84" s="439"/>
      <c r="C84" s="52">
        <f>2000*35%</f>
        <v>700</v>
      </c>
      <c r="D84" s="23">
        <v>0</v>
      </c>
      <c r="E84" s="23"/>
      <c r="F84" s="181">
        <v>0</v>
      </c>
      <c r="G84" s="148"/>
      <c r="H84" s="149">
        <v>700</v>
      </c>
      <c r="I84" s="57">
        <f t="shared" si="17"/>
        <v>0</v>
      </c>
      <c r="J84" s="255">
        <v>4</v>
      </c>
      <c r="K84" s="513"/>
    </row>
    <row r="85" spans="1:11" ht="22.25" customHeight="1" thickBot="1" x14ac:dyDescent="0.35">
      <c r="A85" s="500"/>
      <c r="B85" s="437" t="s">
        <v>77</v>
      </c>
      <c r="C85" s="49">
        <f>10000*35%</f>
        <v>3500</v>
      </c>
      <c r="D85" s="19">
        <v>0</v>
      </c>
      <c r="E85" s="19"/>
      <c r="F85" s="182">
        <v>0</v>
      </c>
      <c r="G85" s="125"/>
      <c r="H85" s="126">
        <v>3500</v>
      </c>
      <c r="I85" s="57">
        <f t="shared" si="17"/>
        <v>0</v>
      </c>
      <c r="J85" s="258">
        <v>6</v>
      </c>
      <c r="K85" s="513"/>
    </row>
    <row r="86" spans="1:11" ht="22.25" customHeight="1" thickBot="1" x14ac:dyDescent="0.35">
      <c r="A86" s="500"/>
      <c r="B86" s="439"/>
      <c r="C86" s="52">
        <f>5000*35%</f>
        <v>1750</v>
      </c>
      <c r="D86" s="23">
        <v>0</v>
      </c>
      <c r="E86" s="23"/>
      <c r="F86" s="181">
        <v>0</v>
      </c>
      <c r="G86" s="148"/>
      <c r="H86" s="149">
        <v>1750</v>
      </c>
      <c r="I86" s="57">
        <f t="shared" si="17"/>
        <v>0</v>
      </c>
      <c r="J86" s="255">
        <v>5</v>
      </c>
      <c r="K86" s="513"/>
    </row>
    <row r="87" spans="1:11" ht="18" customHeight="1" thickBot="1" x14ac:dyDescent="0.35">
      <c r="A87" s="500"/>
      <c r="B87" s="442" t="s">
        <v>78</v>
      </c>
      <c r="C87" s="49">
        <f>10000*35%</f>
        <v>3500</v>
      </c>
      <c r="D87" s="19">
        <v>0</v>
      </c>
      <c r="E87" s="19"/>
      <c r="F87" s="182">
        <v>0</v>
      </c>
      <c r="G87" s="125"/>
      <c r="H87" s="126">
        <v>3500</v>
      </c>
      <c r="I87" s="57">
        <f t="shared" si="17"/>
        <v>0</v>
      </c>
      <c r="J87" s="258">
        <v>4</v>
      </c>
      <c r="K87" s="513"/>
    </row>
    <row r="88" spans="1:11" ht="14.5" customHeight="1" thickBot="1" x14ac:dyDescent="0.35">
      <c r="A88" s="500"/>
      <c r="B88" s="443"/>
      <c r="C88" s="50">
        <f>5000*35%</f>
        <v>1750</v>
      </c>
      <c r="D88" s="29">
        <v>0</v>
      </c>
      <c r="E88" s="29"/>
      <c r="F88" s="180">
        <v>0</v>
      </c>
      <c r="G88" s="129"/>
      <c r="H88" s="152">
        <v>1750</v>
      </c>
      <c r="I88" s="57">
        <f t="shared" si="17"/>
        <v>0</v>
      </c>
      <c r="J88" s="255">
        <v>4</v>
      </c>
      <c r="K88" s="513"/>
    </row>
    <row r="89" spans="1:11" ht="14.5" customHeight="1" thickBot="1" x14ac:dyDescent="0.35">
      <c r="A89" s="500"/>
      <c r="B89" s="443"/>
      <c r="C89" s="50">
        <f>10000*35%</f>
        <v>3500</v>
      </c>
      <c r="D89" s="29">
        <v>0</v>
      </c>
      <c r="E89" s="29"/>
      <c r="F89" s="180">
        <v>0</v>
      </c>
      <c r="G89" s="129"/>
      <c r="H89" s="152">
        <v>3500</v>
      </c>
      <c r="I89" s="57">
        <f t="shared" si="17"/>
        <v>0</v>
      </c>
      <c r="J89" s="255">
        <v>4</v>
      </c>
      <c r="K89" s="513"/>
    </row>
    <row r="90" spans="1:11" ht="15" customHeight="1" thickBot="1" x14ac:dyDescent="0.35">
      <c r="A90" s="500"/>
      <c r="B90" s="444"/>
      <c r="C90" s="52">
        <f>1000*35%</f>
        <v>350</v>
      </c>
      <c r="D90" s="25">
        <v>0</v>
      </c>
      <c r="E90" s="25"/>
      <c r="F90" s="181">
        <v>0</v>
      </c>
      <c r="G90" s="127"/>
      <c r="H90" s="128">
        <v>350</v>
      </c>
      <c r="I90" s="57">
        <f t="shared" si="17"/>
        <v>0</v>
      </c>
      <c r="J90" s="257">
        <v>7</v>
      </c>
      <c r="K90" s="513"/>
    </row>
    <row r="91" spans="1:11" ht="14.5" customHeight="1" thickBot="1" x14ac:dyDescent="0.35">
      <c r="A91" s="500"/>
      <c r="B91" s="437" t="s">
        <v>79</v>
      </c>
      <c r="C91" s="49">
        <f>50000*35%</f>
        <v>17500</v>
      </c>
      <c r="D91" s="19">
        <v>0</v>
      </c>
      <c r="E91" s="19"/>
      <c r="F91" s="182">
        <v>0</v>
      </c>
      <c r="G91" s="125"/>
      <c r="H91" s="126">
        <v>17500</v>
      </c>
      <c r="I91" s="57">
        <f t="shared" si="17"/>
        <v>0</v>
      </c>
      <c r="J91" s="258">
        <v>4</v>
      </c>
      <c r="K91" s="513"/>
    </row>
    <row r="92" spans="1:11" ht="14.5" customHeight="1" thickBot="1" x14ac:dyDescent="0.35">
      <c r="A92" s="500"/>
      <c r="B92" s="438"/>
      <c r="C92" s="50">
        <f>200000*35%</f>
        <v>70000</v>
      </c>
      <c r="D92" s="29">
        <v>0</v>
      </c>
      <c r="E92" s="29"/>
      <c r="F92" s="180">
        <v>0</v>
      </c>
      <c r="G92" s="129"/>
      <c r="H92" s="152">
        <v>70000</v>
      </c>
      <c r="I92" s="57">
        <f t="shared" si="17"/>
        <v>0</v>
      </c>
      <c r="J92" s="261">
        <v>6</v>
      </c>
      <c r="K92" s="513"/>
    </row>
    <row r="93" spans="1:11" ht="15" customHeight="1" thickBot="1" x14ac:dyDescent="0.35">
      <c r="A93" s="500"/>
      <c r="B93" s="438"/>
      <c r="C93" s="51">
        <f>300000*35%</f>
        <v>105000</v>
      </c>
      <c r="D93" s="53">
        <v>0</v>
      </c>
      <c r="E93" s="53"/>
      <c r="F93" s="183">
        <v>0</v>
      </c>
      <c r="G93" s="144"/>
      <c r="H93" s="145">
        <v>105000</v>
      </c>
      <c r="I93" s="57">
        <f t="shared" si="17"/>
        <v>0</v>
      </c>
      <c r="J93" s="256">
        <v>4</v>
      </c>
      <c r="K93" s="513"/>
    </row>
    <row r="94" spans="1:11" s="12" customFormat="1" ht="53" customHeight="1" thickBot="1" x14ac:dyDescent="0.35">
      <c r="A94" s="501"/>
      <c r="B94" s="54" t="s">
        <v>80</v>
      </c>
      <c r="C94" s="55">
        <f>20000*35%</f>
        <v>7000</v>
      </c>
      <c r="D94" s="56">
        <v>0</v>
      </c>
      <c r="E94" s="56"/>
      <c r="F94" s="184">
        <v>0</v>
      </c>
      <c r="G94" s="117"/>
      <c r="H94" s="154">
        <v>7000</v>
      </c>
      <c r="I94" s="57">
        <f t="shared" si="17"/>
        <v>0</v>
      </c>
      <c r="J94" s="262">
        <v>4</v>
      </c>
      <c r="K94" s="514"/>
    </row>
    <row r="95" spans="1:11" ht="15" customHeight="1" thickBot="1" x14ac:dyDescent="0.35">
      <c r="A95" s="440" t="s">
        <v>107</v>
      </c>
      <c r="B95" s="441"/>
      <c r="C95" s="99">
        <f>SUM(C83:C94)</f>
        <v>217350</v>
      </c>
      <c r="D95" s="96">
        <f>SUM(D83:D94)</f>
        <v>0</v>
      </c>
      <c r="E95" s="96">
        <f>SUM(E83:E94)</f>
        <v>0</v>
      </c>
      <c r="F95" s="110">
        <f>SUM(F83:F94)</f>
        <v>0</v>
      </c>
      <c r="G95" s="110">
        <f t="shared" ref="G95:H95" si="18">SUM(G83:G94)</f>
        <v>0</v>
      </c>
      <c r="H95" s="110">
        <f t="shared" si="18"/>
        <v>217350</v>
      </c>
      <c r="I95" s="208">
        <f t="shared" ref="I95" si="19">(G95+F95)/(C95+D95)</f>
        <v>0</v>
      </c>
      <c r="J95" s="97"/>
    </row>
    <row r="96" spans="1:11" s="10" customFormat="1" ht="15" customHeight="1" thickBot="1" x14ac:dyDescent="0.35">
      <c r="A96" s="463" t="s">
        <v>108</v>
      </c>
      <c r="B96" s="464"/>
      <c r="C96" s="103">
        <f>C95+C82+C72</f>
        <v>271950</v>
      </c>
      <c r="D96" s="103">
        <f t="shared" ref="D96:I96" si="20">D95+D82+D72</f>
        <v>0</v>
      </c>
      <c r="E96" s="103">
        <f t="shared" si="20"/>
        <v>0</v>
      </c>
      <c r="F96" s="155">
        <f t="shared" si="20"/>
        <v>95388.58</v>
      </c>
      <c r="G96" s="155">
        <f t="shared" si="20"/>
        <v>0</v>
      </c>
      <c r="H96" s="155">
        <f t="shared" si="20"/>
        <v>271950</v>
      </c>
      <c r="I96" s="202">
        <f t="shared" si="20"/>
        <v>3.4032207221350079</v>
      </c>
      <c r="J96" s="104"/>
    </row>
    <row r="97" spans="1:11" ht="13.75" customHeight="1" thickBot="1" x14ac:dyDescent="0.35">
      <c r="A97" s="468" t="s">
        <v>109</v>
      </c>
      <c r="B97" s="469"/>
      <c r="C97" s="469"/>
      <c r="D97" s="469"/>
      <c r="E97" s="469"/>
      <c r="F97" s="469"/>
      <c r="G97" s="469"/>
      <c r="H97" s="469"/>
      <c r="I97" s="469"/>
      <c r="J97" s="469"/>
    </row>
    <row r="98" spans="1:11" ht="16.75" customHeight="1" thickBot="1" x14ac:dyDescent="0.35">
      <c r="A98" s="499" t="s">
        <v>110</v>
      </c>
      <c r="B98" s="437" t="s">
        <v>81</v>
      </c>
      <c r="C98" s="49">
        <f>10000*35%</f>
        <v>3500</v>
      </c>
      <c r="D98" s="19">
        <v>0</v>
      </c>
      <c r="E98" s="19"/>
      <c r="F98" s="182">
        <v>0</v>
      </c>
      <c r="G98" s="125"/>
      <c r="H98" s="126"/>
      <c r="I98" s="57">
        <f t="shared" ref="I98:I103" si="21">(G98+F98)/C98</f>
        <v>0</v>
      </c>
      <c r="J98" s="1">
        <v>4</v>
      </c>
      <c r="K98" s="512" t="s">
        <v>149</v>
      </c>
    </row>
    <row r="99" spans="1:11" ht="16.75" customHeight="1" thickBot="1" x14ac:dyDescent="0.35">
      <c r="A99" s="500"/>
      <c r="B99" s="438"/>
      <c r="C99" s="50">
        <f>12000*35%</f>
        <v>4200</v>
      </c>
      <c r="D99" s="21">
        <v>0</v>
      </c>
      <c r="E99" s="21"/>
      <c r="F99" s="185">
        <v>0</v>
      </c>
      <c r="G99" s="130"/>
      <c r="H99" s="153"/>
      <c r="I99" s="57">
        <f t="shared" si="21"/>
        <v>0</v>
      </c>
      <c r="J99" s="2">
        <v>5</v>
      </c>
      <c r="K99" s="513"/>
    </row>
    <row r="100" spans="1:11" ht="16.75" customHeight="1" thickBot="1" x14ac:dyDescent="0.35">
      <c r="A100" s="500"/>
      <c r="B100" s="439" t="s">
        <v>30</v>
      </c>
      <c r="C100" s="52">
        <f>20000*35%</f>
        <v>7000</v>
      </c>
      <c r="D100" s="23">
        <v>0</v>
      </c>
      <c r="E100" s="23"/>
      <c r="F100" s="186">
        <v>0</v>
      </c>
      <c r="G100" s="148"/>
      <c r="H100" s="149"/>
      <c r="I100" s="57">
        <f t="shared" si="21"/>
        <v>0</v>
      </c>
      <c r="J100" s="3">
        <v>4</v>
      </c>
      <c r="K100" s="513"/>
    </row>
    <row r="101" spans="1:11" ht="16.75" customHeight="1" thickBot="1" x14ac:dyDescent="0.35">
      <c r="A101" s="500"/>
      <c r="B101" s="437" t="s">
        <v>82</v>
      </c>
      <c r="C101" s="49">
        <f>20000*35%</f>
        <v>7000</v>
      </c>
      <c r="D101" s="19">
        <v>0</v>
      </c>
      <c r="E101" s="19"/>
      <c r="F101" s="182">
        <v>0</v>
      </c>
      <c r="G101" s="125"/>
      <c r="H101" s="126"/>
      <c r="I101" s="57">
        <f t="shared" si="21"/>
        <v>0</v>
      </c>
      <c r="J101" s="3">
        <v>4</v>
      </c>
      <c r="K101" s="513"/>
    </row>
    <row r="102" spans="1:11" ht="16.75" customHeight="1" thickBot="1" x14ac:dyDescent="0.35">
      <c r="A102" s="500"/>
      <c r="B102" s="438" t="s">
        <v>31</v>
      </c>
      <c r="C102" s="60">
        <f>5000*35%</f>
        <v>1750</v>
      </c>
      <c r="D102" s="21">
        <v>0</v>
      </c>
      <c r="E102" s="21"/>
      <c r="F102" s="185">
        <v>0</v>
      </c>
      <c r="G102" s="130"/>
      <c r="H102" s="153"/>
      <c r="I102" s="57">
        <f t="shared" si="21"/>
        <v>0</v>
      </c>
      <c r="J102" s="3">
        <v>4</v>
      </c>
      <c r="K102" s="513"/>
    </row>
    <row r="103" spans="1:11" ht="16.75" customHeight="1" thickBot="1" x14ac:dyDescent="0.35">
      <c r="A103" s="501"/>
      <c r="B103" s="439"/>
      <c r="C103" s="52">
        <f>5000*35%</f>
        <v>1750</v>
      </c>
      <c r="D103" s="23">
        <v>0</v>
      </c>
      <c r="E103" s="23"/>
      <c r="F103" s="186">
        <v>0</v>
      </c>
      <c r="G103" s="148"/>
      <c r="H103" s="149"/>
      <c r="I103" s="57">
        <f t="shared" si="21"/>
        <v>0</v>
      </c>
      <c r="J103" s="3">
        <v>3</v>
      </c>
      <c r="K103" s="514"/>
    </row>
    <row r="104" spans="1:11" ht="15" customHeight="1" thickBot="1" x14ac:dyDescent="0.35">
      <c r="A104" s="440" t="s">
        <v>112</v>
      </c>
      <c r="B104" s="441"/>
      <c r="C104" s="99">
        <f>SUM(C98:C103)</f>
        <v>25200</v>
      </c>
      <c r="D104" s="96">
        <f>SUM(D98:D103)</f>
        <v>0</v>
      </c>
      <c r="E104" s="96">
        <f>SUM(E98:E103)</f>
        <v>0</v>
      </c>
      <c r="F104" s="110">
        <f>SUM(F98:F103)</f>
        <v>0</v>
      </c>
      <c r="G104" s="110">
        <f t="shared" ref="G104:H104" si="22">SUM(G98:G103)</f>
        <v>0</v>
      </c>
      <c r="H104" s="110">
        <f t="shared" si="22"/>
        <v>0</v>
      </c>
      <c r="I104" s="208">
        <f t="shared" ref="I104" si="23">(G104+F104)/(C104+D104)</f>
        <v>0</v>
      </c>
      <c r="J104" s="97"/>
    </row>
    <row r="105" spans="1:11" ht="15.75" customHeight="1" thickBot="1" x14ac:dyDescent="0.35">
      <c r="A105" s="497" t="s">
        <v>111</v>
      </c>
      <c r="B105" s="476" t="s">
        <v>83</v>
      </c>
      <c r="C105" s="29">
        <v>0</v>
      </c>
      <c r="D105" s="61">
        <f>5000*35%</f>
        <v>1750</v>
      </c>
      <c r="E105" s="29"/>
      <c r="F105" s="180">
        <v>0</v>
      </c>
      <c r="G105" s="156"/>
      <c r="H105" s="157"/>
      <c r="I105" s="57">
        <v>0</v>
      </c>
      <c r="J105" s="258">
        <v>4</v>
      </c>
      <c r="K105" s="515"/>
    </row>
    <row r="106" spans="1:11" ht="15" customHeight="1" thickBot="1" x14ac:dyDescent="0.35">
      <c r="A106" s="497"/>
      <c r="B106" s="477"/>
      <c r="C106" s="23">
        <v>0</v>
      </c>
      <c r="D106" s="47">
        <f>15000*35%</f>
        <v>5250</v>
      </c>
      <c r="E106" s="23"/>
      <c r="F106" s="181">
        <v>0</v>
      </c>
      <c r="G106" s="139"/>
      <c r="H106" s="140"/>
      <c r="I106" s="57">
        <v>0</v>
      </c>
      <c r="J106" s="256">
        <v>7</v>
      </c>
      <c r="K106" s="516"/>
    </row>
    <row r="107" spans="1:11" ht="14.5" customHeight="1" thickBot="1" x14ac:dyDescent="0.35">
      <c r="A107" s="497"/>
      <c r="B107" s="477" t="s">
        <v>84</v>
      </c>
      <c r="C107" s="19">
        <v>0</v>
      </c>
      <c r="D107" s="45">
        <f>10000*35%</f>
        <v>3500</v>
      </c>
      <c r="E107" s="19"/>
      <c r="F107" s="182">
        <v>0</v>
      </c>
      <c r="G107" s="125"/>
      <c r="H107" s="126"/>
      <c r="I107" s="57">
        <v>0</v>
      </c>
      <c r="J107" s="254">
        <v>4</v>
      </c>
      <c r="K107" s="516"/>
    </row>
    <row r="108" spans="1:11" ht="14.5" customHeight="1" thickBot="1" x14ac:dyDescent="0.35">
      <c r="A108" s="497"/>
      <c r="B108" s="477"/>
      <c r="C108" s="29">
        <v>0</v>
      </c>
      <c r="D108" s="61">
        <f>36000*35%</f>
        <v>12600</v>
      </c>
      <c r="E108" s="29"/>
      <c r="F108" s="180">
        <v>0</v>
      </c>
      <c r="G108" s="129"/>
      <c r="H108" s="152"/>
      <c r="I108" s="57">
        <v>0</v>
      </c>
      <c r="J108" s="254">
        <v>4</v>
      </c>
      <c r="K108" s="516"/>
    </row>
    <row r="109" spans="1:11" ht="14.5" customHeight="1" thickBot="1" x14ac:dyDescent="0.35">
      <c r="A109" s="497"/>
      <c r="B109" s="477"/>
      <c r="C109" s="21">
        <v>0</v>
      </c>
      <c r="D109" s="46">
        <f>6000*35%</f>
        <v>2100</v>
      </c>
      <c r="E109" s="21"/>
      <c r="F109" s="180">
        <v>0</v>
      </c>
      <c r="G109" s="130"/>
      <c r="H109" s="153"/>
      <c r="I109" s="57">
        <v>0</v>
      </c>
      <c r="J109" s="255">
        <v>4</v>
      </c>
      <c r="K109" s="516"/>
    </row>
    <row r="110" spans="1:11" ht="15" customHeight="1" thickBot="1" x14ac:dyDescent="0.35">
      <c r="A110" s="497"/>
      <c r="B110" s="477"/>
      <c r="C110" s="23">
        <v>0</v>
      </c>
      <c r="D110" s="47">
        <f>7000*35%</f>
        <v>2450</v>
      </c>
      <c r="E110" s="23"/>
      <c r="F110" s="181">
        <v>0</v>
      </c>
      <c r="G110" s="148"/>
      <c r="H110" s="149"/>
      <c r="I110" s="57">
        <v>0</v>
      </c>
      <c r="J110" s="257">
        <v>4</v>
      </c>
      <c r="K110" s="516"/>
    </row>
    <row r="111" spans="1:11" ht="15.75" customHeight="1" thickBot="1" x14ac:dyDescent="0.35">
      <c r="A111" s="497"/>
      <c r="B111" s="477" t="s">
        <v>85</v>
      </c>
      <c r="C111" s="19">
        <v>0</v>
      </c>
      <c r="D111" s="45">
        <f>5000*35%</f>
        <v>1750</v>
      </c>
      <c r="E111" s="19"/>
      <c r="F111" s="182">
        <v>0</v>
      </c>
      <c r="G111" s="125"/>
      <c r="H111" s="126"/>
      <c r="I111" s="57">
        <v>0</v>
      </c>
      <c r="J111" s="258">
        <v>4</v>
      </c>
      <c r="K111" s="516"/>
    </row>
    <row r="112" spans="1:11" ht="14.5" customHeight="1" thickBot="1" x14ac:dyDescent="0.35">
      <c r="A112" s="497"/>
      <c r="B112" s="477"/>
      <c r="C112" s="21">
        <v>0</v>
      </c>
      <c r="D112" s="46">
        <f>12000*35%</f>
        <v>4200</v>
      </c>
      <c r="E112" s="21"/>
      <c r="F112" s="180">
        <v>0</v>
      </c>
      <c r="G112" s="130"/>
      <c r="H112" s="153"/>
      <c r="I112" s="57">
        <v>0</v>
      </c>
      <c r="J112" s="263">
        <v>1</v>
      </c>
      <c r="K112" s="516"/>
    </row>
    <row r="113" spans="1:11" ht="14.5" customHeight="1" thickBot="1" x14ac:dyDescent="0.35">
      <c r="A113" s="497"/>
      <c r="B113" s="477"/>
      <c r="C113" s="21">
        <v>0</v>
      </c>
      <c r="D113" s="61">
        <f>4700*35%</f>
        <v>1645</v>
      </c>
      <c r="E113" s="21"/>
      <c r="F113" s="180">
        <v>0</v>
      </c>
      <c r="G113" s="130"/>
      <c r="H113" s="153"/>
      <c r="I113" s="57">
        <v>0</v>
      </c>
      <c r="J113" s="254">
        <v>1</v>
      </c>
      <c r="K113" s="516"/>
    </row>
    <row r="114" spans="1:11" ht="14.5" customHeight="1" thickBot="1" x14ac:dyDescent="0.35">
      <c r="A114" s="497"/>
      <c r="B114" s="477"/>
      <c r="C114" s="21">
        <v>0</v>
      </c>
      <c r="D114" s="46">
        <f>8000*35%</f>
        <v>2800</v>
      </c>
      <c r="E114" s="21"/>
      <c r="F114" s="180">
        <v>0</v>
      </c>
      <c r="G114" s="130"/>
      <c r="H114" s="153"/>
      <c r="I114" s="57">
        <v>0</v>
      </c>
      <c r="J114" s="255">
        <v>4</v>
      </c>
      <c r="K114" s="516"/>
    </row>
    <row r="115" spans="1:11" ht="15" customHeight="1" thickBot="1" x14ac:dyDescent="0.35">
      <c r="A115" s="498"/>
      <c r="B115" s="478"/>
      <c r="C115" s="23">
        <v>0</v>
      </c>
      <c r="D115" s="47">
        <f>10000*35%</f>
        <v>3500</v>
      </c>
      <c r="E115" s="23"/>
      <c r="F115" s="181">
        <v>0</v>
      </c>
      <c r="G115" s="148"/>
      <c r="H115" s="149"/>
      <c r="I115" s="57">
        <v>0</v>
      </c>
      <c r="J115" s="256">
        <v>7</v>
      </c>
      <c r="K115" s="517"/>
    </row>
    <row r="116" spans="1:11" ht="14.5" customHeight="1" thickBot="1" x14ac:dyDescent="0.35">
      <c r="A116" s="440" t="s">
        <v>113</v>
      </c>
      <c r="B116" s="436"/>
      <c r="C116" s="96">
        <f t="shared" ref="C116:H116" si="24">SUM(C105:C115)</f>
        <v>0</v>
      </c>
      <c r="D116" s="96">
        <f t="shared" si="24"/>
        <v>41545</v>
      </c>
      <c r="E116" s="96">
        <f t="shared" si="24"/>
        <v>0</v>
      </c>
      <c r="F116" s="110">
        <f t="shared" si="24"/>
        <v>0</v>
      </c>
      <c r="G116" s="110">
        <f t="shared" si="24"/>
        <v>0</v>
      </c>
      <c r="H116" s="110">
        <f t="shared" si="24"/>
        <v>0</v>
      </c>
      <c r="I116" s="208">
        <f t="shared" ref="I116:I152" si="25">(G116+F116)/(C116+D116)</f>
        <v>0</v>
      </c>
      <c r="J116" s="97"/>
    </row>
    <row r="117" spans="1:11" s="10" customFormat="1" ht="15" customHeight="1" thickBot="1" x14ac:dyDescent="0.35">
      <c r="A117" s="463" t="s">
        <v>119</v>
      </c>
      <c r="B117" s="464"/>
      <c r="C117" s="103">
        <f>C116+C104</f>
        <v>25200</v>
      </c>
      <c r="D117" s="103">
        <f t="shared" ref="D117:H117" si="26">D116+D104</f>
        <v>41545</v>
      </c>
      <c r="E117" s="103">
        <f t="shared" si="26"/>
        <v>0</v>
      </c>
      <c r="F117" s="103">
        <f t="shared" si="26"/>
        <v>0</v>
      </c>
      <c r="G117" s="103">
        <f t="shared" si="26"/>
        <v>0</v>
      </c>
      <c r="H117" s="103">
        <f t="shared" si="26"/>
        <v>0</v>
      </c>
      <c r="I117" s="209">
        <f t="shared" si="25"/>
        <v>0</v>
      </c>
      <c r="J117" s="104"/>
    </row>
    <row r="118" spans="1:11" ht="15.75" customHeight="1" thickBot="1" x14ac:dyDescent="0.35">
      <c r="A118" s="100"/>
      <c r="B118" s="518" t="s">
        <v>115</v>
      </c>
      <c r="C118" s="518"/>
      <c r="D118" s="518"/>
      <c r="E118" s="518"/>
      <c r="F118" s="518"/>
      <c r="G118" s="518"/>
      <c r="H118" s="518"/>
      <c r="I118" s="518"/>
      <c r="J118" s="518"/>
    </row>
    <row r="119" spans="1:11" ht="17.5" customHeight="1" thickBot="1" x14ac:dyDescent="0.35">
      <c r="A119" s="486" t="s">
        <v>32</v>
      </c>
      <c r="B119" s="62" t="s">
        <v>33</v>
      </c>
      <c r="C119" s="18">
        <f>(3000*24)*35%</f>
        <v>25200</v>
      </c>
      <c r="D119" s="37">
        <v>0</v>
      </c>
      <c r="E119" s="63"/>
      <c r="F119" s="175">
        <f>3435.88*5</f>
        <v>17179.400000000001</v>
      </c>
      <c r="G119" s="125"/>
      <c r="H119" s="126"/>
      <c r="I119" s="212">
        <f t="shared" si="25"/>
        <v>0.68172222222222223</v>
      </c>
      <c r="J119" s="255">
        <v>4</v>
      </c>
      <c r="K119" s="479" t="s">
        <v>150</v>
      </c>
    </row>
    <row r="120" spans="1:11" ht="17.5" customHeight="1" thickBot="1" x14ac:dyDescent="0.35">
      <c r="A120" s="487"/>
      <c r="B120" s="64" t="s">
        <v>34</v>
      </c>
      <c r="C120" s="20">
        <f>(2000*18)*35%</f>
        <v>12600</v>
      </c>
      <c r="D120" s="38">
        <v>0</v>
      </c>
      <c r="E120" s="65"/>
      <c r="F120" s="176">
        <f>2000*2</f>
        <v>4000</v>
      </c>
      <c r="G120" s="130">
        <v>0</v>
      </c>
      <c r="H120" s="153"/>
      <c r="I120" s="212">
        <f t="shared" si="25"/>
        <v>0.31746031746031744</v>
      </c>
      <c r="J120" s="255">
        <v>4</v>
      </c>
      <c r="K120" s="480"/>
    </row>
    <row r="121" spans="1:11" ht="17.5" customHeight="1" thickBot="1" x14ac:dyDescent="0.35">
      <c r="A121" s="487"/>
      <c r="B121" s="252" t="s">
        <v>35</v>
      </c>
      <c r="C121" s="20">
        <f>(1500*24)*35%</f>
        <v>12600</v>
      </c>
      <c r="D121" s="38">
        <f>7650*35%</f>
        <v>2677.5</v>
      </c>
      <c r="E121" s="166"/>
      <c r="F121" s="174">
        <v>2053.8000000000002</v>
      </c>
      <c r="G121" s="130">
        <v>0</v>
      </c>
      <c r="H121" s="153"/>
      <c r="I121" s="212">
        <f t="shared" si="25"/>
        <v>0.13443298969072165</v>
      </c>
      <c r="J121" s="255">
        <v>4</v>
      </c>
      <c r="K121" s="480"/>
    </row>
    <row r="122" spans="1:11" ht="20.5" customHeight="1" thickBot="1" x14ac:dyDescent="0.35">
      <c r="A122" s="487"/>
      <c r="B122" s="101" t="s">
        <v>36</v>
      </c>
      <c r="C122" s="20">
        <f>(2000*12)*35%</f>
        <v>8400</v>
      </c>
      <c r="D122" s="38">
        <f>13000*35%</f>
        <v>4550</v>
      </c>
      <c r="E122" s="65"/>
      <c r="F122" s="159">
        <v>549.89</v>
      </c>
      <c r="G122" s="111">
        <v>0</v>
      </c>
      <c r="H122" s="153"/>
      <c r="I122" s="212">
        <f t="shared" si="25"/>
        <v>4.2462548262548264E-2</v>
      </c>
      <c r="J122" s="255">
        <v>4</v>
      </c>
      <c r="K122" s="480"/>
    </row>
    <row r="123" spans="1:11" ht="17.5" customHeight="1" thickBot="1" x14ac:dyDescent="0.35">
      <c r="A123" s="487"/>
      <c r="B123" s="66" t="s">
        <v>37</v>
      </c>
      <c r="C123" s="14">
        <f>(600*24*2)*35%</f>
        <v>10080</v>
      </c>
      <c r="D123" s="39">
        <f>5760*35%</f>
        <v>2015.9999999999998</v>
      </c>
      <c r="E123" s="65"/>
      <c r="F123" s="177">
        <f>600*5</f>
        <v>3000</v>
      </c>
      <c r="G123" s="130"/>
      <c r="H123" s="147"/>
      <c r="I123" s="212">
        <f t="shared" si="25"/>
        <v>0.24801587301587302</v>
      </c>
      <c r="J123" s="255">
        <v>4</v>
      </c>
      <c r="K123" s="480"/>
    </row>
    <row r="124" spans="1:11" ht="17.5" customHeight="1" thickBot="1" x14ac:dyDescent="0.35">
      <c r="A124" s="487"/>
      <c r="B124" s="66" t="s">
        <v>38</v>
      </c>
      <c r="C124" s="14">
        <v>0</v>
      </c>
      <c r="D124" s="39">
        <f>5400*35%</f>
        <v>1889.9999999999998</v>
      </c>
      <c r="E124" s="65"/>
      <c r="F124" s="159">
        <v>984.53</v>
      </c>
      <c r="G124" s="174">
        <v>0</v>
      </c>
      <c r="H124" s="153"/>
      <c r="I124" s="212">
        <f t="shared" si="25"/>
        <v>0.520915343915344</v>
      </c>
      <c r="J124" s="255">
        <v>1</v>
      </c>
      <c r="K124" s="480"/>
    </row>
    <row r="125" spans="1:11" ht="17.5" customHeight="1" thickBot="1" x14ac:dyDescent="0.35">
      <c r="A125" s="487"/>
      <c r="B125" s="66" t="s">
        <v>39</v>
      </c>
      <c r="C125" s="14">
        <f>(1200*12)*35%</f>
        <v>5040</v>
      </c>
      <c r="D125" s="39">
        <f>8800*35%</f>
        <v>3080</v>
      </c>
      <c r="E125" s="65"/>
      <c r="F125" s="159">
        <v>608.74</v>
      </c>
      <c r="G125" s="174">
        <v>0</v>
      </c>
      <c r="H125" s="153"/>
      <c r="I125" s="212">
        <f t="shared" si="25"/>
        <v>7.4967980295566505E-2</v>
      </c>
      <c r="J125" s="255">
        <v>1</v>
      </c>
      <c r="K125" s="480"/>
    </row>
    <row r="126" spans="1:11" ht="17.5" customHeight="1" thickBot="1" x14ac:dyDescent="0.35">
      <c r="A126" s="487"/>
      <c r="B126" s="66" t="s">
        <v>40</v>
      </c>
      <c r="C126" s="14">
        <v>0</v>
      </c>
      <c r="D126" s="39">
        <f>24000*35%</f>
        <v>8400</v>
      </c>
      <c r="E126" s="65"/>
      <c r="F126" s="178">
        <v>5114.2299999999996</v>
      </c>
      <c r="G126" s="111">
        <v>0</v>
      </c>
      <c r="H126" s="153"/>
      <c r="I126" s="212">
        <f t="shared" si="25"/>
        <v>0.60883690476190466</v>
      </c>
      <c r="J126" s="255">
        <v>1</v>
      </c>
      <c r="K126" s="480"/>
    </row>
    <row r="127" spans="1:11" ht="17.5" customHeight="1" thickBot="1" x14ac:dyDescent="0.35">
      <c r="A127" s="487"/>
      <c r="B127" s="66" t="s">
        <v>41</v>
      </c>
      <c r="C127" s="14">
        <v>0</v>
      </c>
      <c r="D127" s="39">
        <f>20160*35%</f>
        <v>7056</v>
      </c>
      <c r="E127" s="65"/>
      <c r="F127" s="178">
        <v>1551.46</v>
      </c>
      <c r="G127" s="111">
        <v>0</v>
      </c>
      <c r="H127" s="153"/>
      <c r="I127" s="212">
        <f t="shared" si="25"/>
        <v>0.21987811791383222</v>
      </c>
      <c r="J127" s="255">
        <v>1</v>
      </c>
      <c r="K127" s="480"/>
    </row>
    <row r="128" spans="1:11" ht="17.5" customHeight="1" thickBot="1" x14ac:dyDescent="0.35">
      <c r="A128" s="487"/>
      <c r="B128" s="66" t="s">
        <v>42</v>
      </c>
      <c r="C128" s="14">
        <v>0</v>
      </c>
      <c r="D128" s="39">
        <f>20222.72*35%</f>
        <v>7077.9520000000002</v>
      </c>
      <c r="E128" s="65"/>
      <c r="F128" s="174">
        <v>637.84</v>
      </c>
      <c r="G128" s="111">
        <v>0</v>
      </c>
      <c r="H128" s="153"/>
      <c r="I128" s="212">
        <f t="shared" si="25"/>
        <v>9.0116463067282743E-2</v>
      </c>
      <c r="J128" s="255">
        <v>1</v>
      </c>
      <c r="K128" s="480"/>
    </row>
    <row r="129" spans="1:12" ht="17.5" customHeight="1" thickBot="1" x14ac:dyDescent="0.35">
      <c r="A129" s="487"/>
      <c r="B129" s="66" t="s">
        <v>43</v>
      </c>
      <c r="C129" s="22">
        <f>50000*35%</f>
        <v>17500</v>
      </c>
      <c r="D129" s="68">
        <v>0</v>
      </c>
      <c r="E129" s="75"/>
      <c r="F129" s="179"/>
      <c r="G129" s="146"/>
      <c r="H129" s="147"/>
      <c r="I129" s="212">
        <f t="shared" si="25"/>
        <v>0</v>
      </c>
      <c r="J129" s="257">
        <v>1</v>
      </c>
      <c r="K129" s="480"/>
      <c r="L129" s="70"/>
    </row>
    <row r="130" spans="1:12" ht="17.5" customHeight="1" thickBot="1" x14ac:dyDescent="0.35">
      <c r="A130" s="440" t="s">
        <v>20</v>
      </c>
      <c r="B130" s="441"/>
      <c r="C130" s="99">
        <f>SUM(C119:C129)</f>
        <v>91420</v>
      </c>
      <c r="D130" s="99">
        <f>SUM(D119:D129)</f>
        <v>36747.451999999997</v>
      </c>
      <c r="E130" s="99">
        <f t="shared" ref="E130:F130" si="27">SUM(E119:E129)</f>
        <v>0</v>
      </c>
      <c r="F130" s="173">
        <f t="shared" si="27"/>
        <v>35679.889999999992</v>
      </c>
      <c r="G130" s="110">
        <f t="shared" ref="G130:H130" si="28">SUM(G119:G129)</f>
        <v>0</v>
      </c>
      <c r="H130" s="110">
        <f t="shared" si="28"/>
        <v>0</v>
      </c>
      <c r="I130" s="208">
        <f t="shared" si="25"/>
        <v>0.27838495221079995</v>
      </c>
      <c r="J130" s="102"/>
      <c r="K130" s="480"/>
    </row>
    <row r="131" spans="1:12" ht="18.649999999999999" customHeight="1" thickBot="1" x14ac:dyDescent="0.35">
      <c r="A131" s="486" t="s">
        <v>44</v>
      </c>
      <c r="B131" s="62" t="s">
        <v>45</v>
      </c>
      <c r="C131" s="18">
        <f>45000*35%</f>
        <v>15749.999999999998</v>
      </c>
      <c r="D131" s="37">
        <v>0</v>
      </c>
      <c r="E131" s="63"/>
      <c r="F131" s="160"/>
      <c r="G131" s="160">
        <v>42943</v>
      </c>
      <c r="H131" s="161"/>
      <c r="I131" s="212">
        <f t="shared" si="25"/>
        <v>2.7265396825396828</v>
      </c>
      <c r="J131" s="5">
        <v>3</v>
      </c>
      <c r="K131" s="480"/>
    </row>
    <row r="132" spans="1:12" ht="18.649999999999999" customHeight="1" thickBot="1" x14ac:dyDescent="0.35">
      <c r="A132" s="487"/>
      <c r="B132" s="64" t="s">
        <v>46</v>
      </c>
      <c r="C132" s="20">
        <f>(550*24*2)*35%</f>
        <v>9240</v>
      </c>
      <c r="D132" s="38">
        <f>9000*35%</f>
        <v>3150</v>
      </c>
      <c r="E132" s="65"/>
      <c r="F132" s="111">
        <v>1063.82</v>
      </c>
      <c r="G132" s="111">
        <v>0</v>
      </c>
      <c r="H132" s="162"/>
      <c r="I132" s="212">
        <f t="shared" si="25"/>
        <v>8.5861178369652943E-2</v>
      </c>
      <c r="J132" s="6">
        <v>7</v>
      </c>
      <c r="K132" s="480"/>
    </row>
    <row r="133" spans="1:12" ht="18.649999999999999" customHeight="1" thickBot="1" x14ac:dyDescent="0.35">
      <c r="A133" s="487"/>
      <c r="B133" s="64" t="s">
        <v>47</v>
      </c>
      <c r="C133" s="20">
        <f>10000*35%</f>
        <v>3500</v>
      </c>
      <c r="D133" s="38">
        <f>12000*35%</f>
        <v>4200</v>
      </c>
      <c r="E133" s="65"/>
      <c r="F133" s="111">
        <v>2862.28</v>
      </c>
      <c r="G133" s="111">
        <v>0</v>
      </c>
      <c r="H133" s="162"/>
      <c r="I133" s="212">
        <f t="shared" si="25"/>
        <v>0.37172467532467535</v>
      </c>
      <c r="J133" s="6">
        <v>4</v>
      </c>
      <c r="K133" s="480"/>
    </row>
    <row r="134" spans="1:12" ht="18.649999999999999" customHeight="1" thickBot="1" x14ac:dyDescent="0.35">
      <c r="A134" s="487"/>
      <c r="B134" s="64" t="s">
        <v>48</v>
      </c>
      <c r="C134" s="20">
        <f>10000*35%</f>
        <v>3500</v>
      </c>
      <c r="D134" s="38">
        <f>7200*35%</f>
        <v>2520</v>
      </c>
      <c r="E134" s="65"/>
      <c r="F134" s="111">
        <v>666.72</v>
      </c>
      <c r="G134" s="397">
        <v>14777</v>
      </c>
      <c r="H134" s="162"/>
      <c r="I134" s="212">
        <f t="shared" si="25"/>
        <v>2.5654019933554815</v>
      </c>
      <c r="J134" s="6">
        <v>7</v>
      </c>
      <c r="K134" s="480"/>
    </row>
    <row r="135" spans="1:12" ht="18.649999999999999" customHeight="1" thickBot="1" x14ac:dyDescent="0.35">
      <c r="A135" s="487"/>
      <c r="B135" s="64" t="s">
        <v>49</v>
      </c>
      <c r="C135" s="20">
        <v>0</v>
      </c>
      <c r="D135" s="38">
        <f>1400*35%</f>
        <v>489.99999999999994</v>
      </c>
      <c r="E135" s="65"/>
      <c r="F135" s="158">
        <v>0</v>
      </c>
      <c r="G135" s="399">
        <v>0</v>
      </c>
      <c r="H135" s="396"/>
      <c r="I135" s="212">
        <f t="shared" si="25"/>
        <v>0</v>
      </c>
      <c r="J135" s="6">
        <v>4</v>
      </c>
      <c r="K135" s="480"/>
    </row>
    <row r="136" spans="1:12" ht="18.649999999999999" customHeight="1" thickBot="1" x14ac:dyDescent="0.35">
      <c r="A136" s="487"/>
      <c r="B136" s="64" t="s">
        <v>50</v>
      </c>
      <c r="C136" s="20">
        <f>5000*35%</f>
        <v>1750</v>
      </c>
      <c r="D136" s="38">
        <f>1200*35%</f>
        <v>420</v>
      </c>
      <c r="E136" s="65"/>
      <c r="F136" s="111">
        <f>920.16+260.86+481.12</f>
        <v>1662.1399999999999</v>
      </c>
      <c r="G136" s="398">
        <v>0</v>
      </c>
      <c r="H136" s="162"/>
      <c r="I136" s="212">
        <f t="shared" si="25"/>
        <v>0.76596313364055291</v>
      </c>
      <c r="J136" s="6">
        <v>2</v>
      </c>
      <c r="K136" s="480"/>
    </row>
    <row r="137" spans="1:12" ht="18.649999999999999" customHeight="1" thickBot="1" x14ac:dyDescent="0.35">
      <c r="A137" s="488"/>
      <c r="B137" s="67" t="s">
        <v>51</v>
      </c>
      <c r="C137" s="22">
        <f>8000*35%</f>
        <v>2800</v>
      </c>
      <c r="D137" s="68">
        <f>1900*35%</f>
        <v>665</v>
      </c>
      <c r="E137" s="69"/>
      <c r="F137" s="111">
        <f>68.8+7462.15</f>
        <v>7530.95</v>
      </c>
      <c r="G137" s="111">
        <v>0</v>
      </c>
      <c r="H137" s="112"/>
      <c r="I137" s="212">
        <f t="shared" si="25"/>
        <v>2.1734343434343435</v>
      </c>
      <c r="J137" s="7">
        <v>3</v>
      </c>
      <c r="K137" s="480"/>
    </row>
    <row r="138" spans="1:12" ht="17.5" customHeight="1" thickBot="1" x14ac:dyDescent="0.35">
      <c r="A138" s="440" t="s">
        <v>20</v>
      </c>
      <c r="B138" s="441"/>
      <c r="C138" s="99">
        <f>SUM(C131:C137)</f>
        <v>36540</v>
      </c>
      <c r="D138" s="96">
        <f>SUM(D131:D137)</f>
        <v>11445</v>
      </c>
      <c r="E138" s="96">
        <f t="shared" ref="E138:H138" si="29">SUM(E131:E137)</f>
        <v>0</v>
      </c>
      <c r="F138" s="110">
        <f t="shared" si="29"/>
        <v>13785.91</v>
      </c>
      <c r="G138" s="110">
        <f>SUM(G131:G137)</f>
        <v>57720</v>
      </c>
      <c r="H138" s="110">
        <f t="shared" si="29"/>
        <v>0</v>
      </c>
      <c r="I138" s="208">
        <f t="shared" si="25"/>
        <v>1.4901721371261853</v>
      </c>
      <c r="J138" s="102"/>
      <c r="K138" s="480"/>
    </row>
    <row r="139" spans="1:12" ht="21.65" customHeight="1" thickBot="1" x14ac:dyDescent="0.35">
      <c r="A139" s="489" t="s">
        <v>52</v>
      </c>
      <c r="B139" s="71" t="s">
        <v>53</v>
      </c>
      <c r="C139" s="18">
        <f>(2000*6)*35%</f>
        <v>4200</v>
      </c>
      <c r="D139" s="37">
        <v>0</v>
      </c>
      <c r="E139" s="63"/>
      <c r="F139" s="160">
        <v>0</v>
      </c>
      <c r="G139" s="160"/>
      <c r="H139" s="161"/>
      <c r="I139" s="212">
        <f t="shared" si="25"/>
        <v>0</v>
      </c>
      <c r="J139" s="8">
        <v>4</v>
      </c>
      <c r="K139" s="480"/>
    </row>
    <row r="140" spans="1:12" ht="21.65" customHeight="1" thickBot="1" x14ac:dyDescent="0.35">
      <c r="A140" s="490"/>
      <c r="B140" s="72" t="s">
        <v>54</v>
      </c>
      <c r="C140" s="73">
        <f>(4*5000)*35%</f>
        <v>7000</v>
      </c>
      <c r="D140" s="38">
        <v>0</v>
      </c>
      <c r="E140" s="65"/>
      <c r="F140" s="163">
        <v>0</v>
      </c>
      <c r="G140" s="163"/>
      <c r="H140" s="164"/>
      <c r="I140" s="212">
        <f t="shared" si="25"/>
        <v>0</v>
      </c>
      <c r="J140" s="3">
        <v>4</v>
      </c>
      <c r="K140" s="480"/>
    </row>
    <row r="141" spans="1:12" ht="21.65" customHeight="1" thickBot="1" x14ac:dyDescent="0.35">
      <c r="A141" s="490"/>
      <c r="B141" s="72" t="s">
        <v>55</v>
      </c>
      <c r="C141" s="28">
        <f>12000*35%</f>
        <v>4200</v>
      </c>
      <c r="D141" s="41">
        <f>12000*35%</f>
        <v>4200</v>
      </c>
      <c r="E141" s="65"/>
      <c r="F141" s="111">
        <v>83.57</v>
      </c>
      <c r="G141" s="111">
        <v>0</v>
      </c>
      <c r="H141" s="162"/>
      <c r="I141" s="212">
        <f t="shared" si="25"/>
        <v>9.948809523809523E-3</v>
      </c>
      <c r="J141" s="3">
        <v>5</v>
      </c>
      <c r="K141" s="480"/>
    </row>
    <row r="142" spans="1:12" ht="21.65" customHeight="1" thickBot="1" x14ac:dyDescent="0.35">
      <c r="A142" s="490"/>
      <c r="B142" s="72" t="s">
        <v>56</v>
      </c>
      <c r="C142" s="73">
        <f>(2000*24)*35%</f>
        <v>16800</v>
      </c>
      <c r="D142" s="38">
        <v>0</v>
      </c>
      <c r="E142" s="65"/>
      <c r="F142" s="163">
        <v>0</v>
      </c>
      <c r="G142" s="163">
        <v>0</v>
      </c>
      <c r="H142" s="162"/>
      <c r="I142" s="212">
        <f t="shared" si="25"/>
        <v>0</v>
      </c>
      <c r="J142" s="4">
        <v>4</v>
      </c>
      <c r="K142" s="480"/>
    </row>
    <row r="143" spans="1:12" ht="21.65" customHeight="1" thickBot="1" x14ac:dyDescent="0.35">
      <c r="A143" s="491"/>
      <c r="B143" s="74" t="s">
        <v>57</v>
      </c>
      <c r="C143" s="14">
        <v>0</v>
      </c>
      <c r="D143" s="39">
        <f>4700*35%</f>
        <v>1645</v>
      </c>
      <c r="E143" s="75"/>
      <c r="F143" s="111">
        <v>2301.8000000000002</v>
      </c>
      <c r="G143" s="111">
        <v>0</v>
      </c>
      <c r="H143" s="165"/>
      <c r="I143" s="212">
        <f t="shared" si="25"/>
        <v>1.3992705167173254</v>
      </c>
      <c r="J143" s="4">
        <v>4</v>
      </c>
      <c r="K143" s="480"/>
    </row>
    <row r="144" spans="1:12" ht="26.5" customHeight="1" thickBot="1" x14ac:dyDescent="0.35">
      <c r="A144" s="492"/>
      <c r="B144" s="76" t="s">
        <v>58</v>
      </c>
      <c r="C144" s="22">
        <v>0</v>
      </c>
      <c r="D144" s="68">
        <f>8400*35%</f>
        <v>2940</v>
      </c>
      <c r="E144" s="69"/>
      <c r="F144" s="158">
        <v>299.52999999999997</v>
      </c>
      <c r="G144" s="158">
        <v>0</v>
      </c>
      <c r="H144" s="112"/>
      <c r="I144" s="212">
        <f t="shared" si="25"/>
        <v>0.10188095238095238</v>
      </c>
      <c r="J144" s="4">
        <v>4</v>
      </c>
      <c r="K144" s="480"/>
    </row>
    <row r="145" spans="1:12" ht="18" customHeight="1" thickBot="1" x14ac:dyDescent="0.35">
      <c r="A145" s="440" t="s">
        <v>20</v>
      </c>
      <c r="B145" s="436"/>
      <c r="C145" s="96">
        <f>SUM(C139:C144)</f>
        <v>32200</v>
      </c>
      <c r="D145" s="96">
        <f>SUM(D139:D144)</f>
        <v>8785</v>
      </c>
      <c r="E145" s="96">
        <f t="shared" ref="E145" si="30">SUM(E139:E144)</f>
        <v>0</v>
      </c>
      <c r="F145" s="110">
        <f>SUM(F139:F144)</f>
        <v>2684.9000000000005</v>
      </c>
      <c r="G145" s="110">
        <f t="shared" ref="G145:H145" si="31">SUM(G139:G144)</f>
        <v>0</v>
      </c>
      <c r="H145" s="110">
        <f t="shared" si="31"/>
        <v>0</v>
      </c>
      <c r="I145" s="208">
        <f t="shared" si="25"/>
        <v>6.5509332682688798E-2</v>
      </c>
      <c r="J145" s="106"/>
      <c r="K145" s="480"/>
    </row>
    <row r="146" spans="1:12" ht="41.25" customHeight="1" thickBot="1" x14ac:dyDescent="0.35">
      <c r="A146" s="200" t="s">
        <v>59</v>
      </c>
      <c r="B146" s="77" t="s">
        <v>60</v>
      </c>
      <c r="C146" s="78">
        <f>30000*35%</f>
        <v>10500</v>
      </c>
      <c r="D146" s="79">
        <f>10000*35%</f>
        <v>3500</v>
      </c>
      <c r="E146" s="80"/>
      <c r="F146" s="199"/>
      <c r="G146" s="117"/>
      <c r="H146" s="154"/>
      <c r="I146" s="212">
        <f t="shared" si="25"/>
        <v>0</v>
      </c>
      <c r="J146" s="9">
        <v>4</v>
      </c>
      <c r="K146" s="481"/>
    </row>
    <row r="147" spans="1:12" ht="16.25" customHeight="1" thickBot="1" x14ac:dyDescent="0.35">
      <c r="A147" s="440" t="s">
        <v>20</v>
      </c>
      <c r="B147" s="441"/>
      <c r="C147" s="99">
        <f>SUM(C146)</f>
        <v>10500</v>
      </c>
      <c r="D147" s="96">
        <f>SUM(D146)</f>
        <v>3500</v>
      </c>
      <c r="E147" s="96">
        <f t="shared" ref="E147:H147" si="32">SUM(E146)</f>
        <v>0</v>
      </c>
      <c r="F147" s="110">
        <f t="shared" si="32"/>
        <v>0</v>
      </c>
      <c r="G147" s="110">
        <f t="shared" si="32"/>
        <v>0</v>
      </c>
      <c r="H147" s="110">
        <f t="shared" si="32"/>
        <v>0</v>
      </c>
      <c r="I147" s="208">
        <f t="shared" si="25"/>
        <v>0</v>
      </c>
      <c r="J147" s="107"/>
    </row>
    <row r="148" spans="1:12" ht="19.75" customHeight="1" thickBot="1" x14ac:dyDescent="0.35">
      <c r="A148" s="493" t="s">
        <v>131</v>
      </c>
      <c r="B148" s="494"/>
      <c r="C148" s="108">
        <f>C130+C138+C145+C147</f>
        <v>170660</v>
      </c>
      <c r="D148" s="108">
        <f>D130+D138+D145+D147</f>
        <v>60477.451999999997</v>
      </c>
      <c r="E148" s="108">
        <f t="shared" ref="E148:H148" si="33">E130+E138+E145+E147</f>
        <v>0</v>
      </c>
      <c r="F148" s="108">
        <f t="shared" si="33"/>
        <v>52150.69999999999</v>
      </c>
      <c r="G148" s="108">
        <f t="shared" si="33"/>
        <v>57720</v>
      </c>
      <c r="H148" s="108">
        <f t="shared" si="33"/>
        <v>0</v>
      </c>
      <c r="I148" s="209">
        <f>(G148+F148)/(C148+D148)</f>
        <v>0.47534788953198287</v>
      </c>
      <c r="J148" s="105"/>
    </row>
    <row r="149" spans="1:12" ht="9" customHeight="1" thickBot="1" x14ac:dyDescent="0.35">
      <c r="A149" s="58"/>
      <c r="B149" s="48"/>
      <c r="C149" s="59"/>
      <c r="D149" s="59"/>
      <c r="E149" s="59"/>
      <c r="F149" s="113"/>
      <c r="G149" s="113"/>
      <c r="H149" s="113"/>
      <c r="I149" s="203"/>
      <c r="J149" s="81"/>
    </row>
    <row r="150" spans="1:12" s="82" customFormat="1" ht="22.25" customHeight="1" thickBot="1" x14ac:dyDescent="0.4">
      <c r="A150" s="495" t="s">
        <v>118</v>
      </c>
      <c r="B150" s="496"/>
      <c r="C150" s="193">
        <f>C148+C117+C96+C62</f>
        <v>499450</v>
      </c>
      <c r="D150" s="194">
        <f t="shared" ref="D150:H150" si="34">D148+D117+D96+D62</f>
        <v>166228.902</v>
      </c>
      <c r="E150" s="194">
        <f t="shared" si="34"/>
        <v>0</v>
      </c>
      <c r="F150" s="194">
        <f t="shared" si="34"/>
        <v>162870.13999999998</v>
      </c>
      <c r="G150" s="194">
        <f t="shared" si="34"/>
        <v>57720</v>
      </c>
      <c r="H150" s="194">
        <f t="shared" si="34"/>
        <v>271950</v>
      </c>
      <c r="I150" s="210">
        <f>(G150+F150)/(C150+D150)</f>
        <v>0.3313761925415506</v>
      </c>
      <c r="J150" s="195"/>
    </row>
    <row r="151" spans="1:12" s="198" customFormat="1" ht="20.5" customHeight="1" thickBot="1" x14ac:dyDescent="0.4">
      <c r="A151" s="482" t="s">
        <v>121</v>
      </c>
      <c r="B151" s="483"/>
      <c r="C151" s="196">
        <f>C150*0.07</f>
        <v>34961.5</v>
      </c>
      <c r="D151" s="196">
        <f>D150*0.07</f>
        <v>11636.023140000001</v>
      </c>
      <c r="E151" s="196">
        <f t="shared" ref="E151" si="35">E150*0.07</f>
        <v>0</v>
      </c>
      <c r="F151" s="196">
        <v>10019.07</v>
      </c>
      <c r="G151" s="196"/>
      <c r="H151" s="196"/>
      <c r="I151" s="211">
        <f t="shared" si="25"/>
        <v>0.2150129304061546</v>
      </c>
      <c r="J151" s="197"/>
    </row>
    <row r="152" spans="1:12" s="82" customFormat="1" ht="19.75" customHeight="1" thickBot="1" x14ac:dyDescent="0.4">
      <c r="A152" s="484" t="s">
        <v>120</v>
      </c>
      <c r="B152" s="485"/>
      <c r="C152" s="191">
        <f>SUM(C150:C151)</f>
        <v>534411.5</v>
      </c>
      <c r="D152" s="191">
        <f t="shared" ref="D152:F152" si="36">SUM(D150:D151)</f>
        <v>177864.92514000001</v>
      </c>
      <c r="E152" s="191">
        <f t="shared" si="36"/>
        <v>0</v>
      </c>
      <c r="F152" s="191">
        <f t="shared" si="36"/>
        <v>172889.21</v>
      </c>
      <c r="G152" s="191">
        <f t="shared" ref="G152" si="37">SUM(G150:G151)</f>
        <v>57720</v>
      </c>
      <c r="H152" s="191">
        <f t="shared" ref="H152" si="38">SUM(H150:H151)</f>
        <v>271950</v>
      </c>
      <c r="I152" s="210">
        <f t="shared" si="25"/>
        <v>0.32376364268222563</v>
      </c>
      <c r="J152" s="192"/>
    </row>
    <row r="153" spans="1:12" s="198" customFormat="1" ht="19.75" customHeight="1" x14ac:dyDescent="0.35">
      <c r="A153" s="247"/>
      <c r="B153" s="247"/>
      <c r="C153" s="248"/>
      <c r="D153" s="248"/>
      <c r="E153" s="248"/>
      <c r="F153" s="248"/>
      <c r="G153" s="248"/>
      <c r="H153" s="248"/>
      <c r="I153" s="249"/>
      <c r="J153" s="250"/>
    </row>
    <row r="154" spans="1:12" s="10" customFormat="1" ht="16.75" customHeight="1" thickBot="1" x14ac:dyDescent="0.35">
      <c r="A154" s="83"/>
      <c r="B154" s="511" t="s">
        <v>142</v>
      </c>
      <c r="C154" s="511"/>
      <c r="D154" s="511"/>
      <c r="E154" s="511"/>
      <c r="F154" s="511"/>
      <c r="G154" s="511"/>
      <c r="H154" s="511"/>
      <c r="I154" s="251"/>
    </row>
    <row r="155" spans="1:12" customFormat="1" ht="29.5" customHeight="1" thickBot="1" x14ac:dyDescent="0.4">
      <c r="A155" s="223" t="s">
        <v>132</v>
      </c>
      <c r="B155" s="224" t="s">
        <v>133</v>
      </c>
      <c r="C155" s="225" t="s">
        <v>618</v>
      </c>
      <c r="D155" s="226" t="s">
        <v>134</v>
      </c>
      <c r="E155" s="227" t="s">
        <v>135</v>
      </c>
      <c r="F155" s="225" t="s">
        <v>136</v>
      </c>
      <c r="G155" s="225" t="s">
        <v>619</v>
      </c>
      <c r="H155" s="273" t="s">
        <v>137</v>
      </c>
      <c r="I155" s="228" t="s">
        <v>138</v>
      </c>
      <c r="J155" s="508" t="s">
        <v>139</v>
      </c>
      <c r="K155" s="509"/>
      <c r="L155" s="510"/>
    </row>
    <row r="156" spans="1:12" customFormat="1" ht="18.649999999999999" customHeight="1" thickBot="1" x14ac:dyDescent="0.4">
      <c r="A156" s="229" t="s">
        <v>14</v>
      </c>
      <c r="B156" s="230">
        <f>C152</f>
        <v>534411.5</v>
      </c>
      <c r="C156" s="231">
        <f>'RAP ISP PAR CATEGORIE BUDGET'!C32</f>
        <v>151880.09000000003</v>
      </c>
      <c r="D156" s="232">
        <f>G152</f>
        <v>57720</v>
      </c>
      <c r="E156" s="233">
        <f>C156+D156</f>
        <v>209600.09000000003</v>
      </c>
      <c r="F156" s="245">
        <f>H152</f>
        <v>271950</v>
      </c>
      <c r="G156" s="245">
        <f>C156+D156+F156</f>
        <v>481550.09</v>
      </c>
      <c r="H156" s="274">
        <f>B156-G156</f>
        <v>52861.409999999974</v>
      </c>
      <c r="I156" s="239">
        <f t="shared" ref="I156:I157" si="39">G156/B156</f>
        <v>0.90108481946964092</v>
      </c>
      <c r="J156" s="470" t="s">
        <v>629</v>
      </c>
      <c r="K156" s="471"/>
      <c r="L156" s="472"/>
    </row>
    <row r="157" spans="1:12" customFormat="1" ht="20.5" customHeight="1" thickBot="1" x14ac:dyDescent="0.4">
      <c r="A157" s="234" t="s">
        <v>15</v>
      </c>
      <c r="B157" s="235">
        <f>D152</f>
        <v>177864.92514000001</v>
      </c>
      <c r="C157" s="236">
        <f>'RAP ISP PAR CATEGORIE BUDGET'!I32</f>
        <v>64345.070599999999</v>
      </c>
      <c r="D157" s="232">
        <v>0</v>
      </c>
      <c r="E157" s="233">
        <f>C157+D157</f>
        <v>64345.070599999999</v>
      </c>
      <c r="F157" s="246">
        <v>0</v>
      </c>
      <c r="G157" s="245">
        <f>C157+D157+F157</f>
        <v>64345.070599999999</v>
      </c>
      <c r="H157" s="274">
        <f>B157-G157</f>
        <v>113519.85454</v>
      </c>
      <c r="I157" s="239">
        <f t="shared" si="39"/>
        <v>0.36176368415162846</v>
      </c>
      <c r="J157" s="473"/>
      <c r="K157" s="474"/>
      <c r="L157" s="475"/>
    </row>
    <row r="158" spans="1:12" customFormat="1" ht="21" customHeight="1" thickBot="1" x14ac:dyDescent="0.4">
      <c r="A158" s="244" t="s">
        <v>61</v>
      </c>
      <c r="B158" s="237">
        <f>SUM(B156:B157)</f>
        <v>712276.42513999995</v>
      </c>
      <c r="C158" s="238">
        <f>SUM(C156:C157)</f>
        <v>216225.16060000003</v>
      </c>
      <c r="D158" s="238">
        <f t="shared" ref="D158:G158" si="40">SUM(D156:D157)</f>
        <v>57720</v>
      </c>
      <c r="E158" s="238">
        <f t="shared" si="40"/>
        <v>273945.1606</v>
      </c>
      <c r="F158" s="238">
        <f t="shared" si="40"/>
        <v>271950</v>
      </c>
      <c r="G158" s="238">
        <f t="shared" si="40"/>
        <v>545895.16060000006</v>
      </c>
      <c r="H158" s="275">
        <f>SUM(H156:H157)</f>
        <v>166381.26453999997</v>
      </c>
      <c r="I158" s="239">
        <f>G158/B158</f>
        <v>0.76640913742540728</v>
      </c>
      <c r="J158" s="421"/>
      <c r="K158" s="422"/>
      <c r="L158" s="423"/>
    </row>
    <row r="159" spans="1:12" customFormat="1" ht="14.5" x14ac:dyDescent="0.35"/>
    <row r="160" spans="1:12" customFormat="1" ht="15.5" x14ac:dyDescent="0.35">
      <c r="A160" s="240" t="s">
        <v>140</v>
      </c>
      <c r="B160" s="241"/>
      <c r="C160" s="242"/>
      <c r="D160" s="242"/>
      <c r="E160" s="242"/>
      <c r="F160" s="242"/>
      <c r="G160" s="242"/>
      <c r="H160" s="242"/>
      <c r="I160" s="242"/>
    </row>
    <row r="161" spans="1:9" customFormat="1" ht="16.75" customHeight="1" x14ac:dyDescent="0.35">
      <c r="A161" s="240" t="s">
        <v>141</v>
      </c>
      <c r="B161" s="241"/>
      <c r="C161" s="242"/>
      <c r="D161" s="242"/>
      <c r="E161" s="242"/>
      <c r="F161" s="242"/>
      <c r="G161" s="242"/>
      <c r="H161" s="242"/>
      <c r="I161" s="242"/>
    </row>
    <row r="162" spans="1:9" customFormat="1" ht="28.75" customHeight="1" x14ac:dyDescent="0.35">
      <c r="A162" s="243">
        <v>44134</v>
      </c>
      <c r="B162" s="241"/>
      <c r="C162" s="242"/>
      <c r="D162" s="242"/>
      <c r="E162" s="242"/>
      <c r="F162" s="242"/>
      <c r="G162" s="242"/>
      <c r="H162" s="242"/>
      <c r="I162" s="242"/>
    </row>
  </sheetData>
  <mergeCells count="77">
    <mergeCell ref="K64:K71"/>
    <mergeCell ref="K73:K81"/>
    <mergeCell ref="K83:K94"/>
    <mergeCell ref="K98:K103"/>
    <mergeCell ref="K105:K115"/>
    <mergeCell ref="A1:G1"/>
    <mergeCell ref="A4:I4"/>
    <mergeCell ref="A3:I3"/>
    <mergeCell ref="J155:L155"/>
    <mergeCell ref="B154:H154"/>
    <mergeCell ref="K9:K19"/>
    <mergeCell ref="K25:K32"/>
    <mergeCell ref="K34:K50"/>
    <mergeCell ref="A116:B116"/>
    <mergeCell ref="B118:J118"/>
    <mergeCell ref="A130:B130"/>
    <mergeCell ref="A138:B138"/>
    <mergeCell ref="A145:B145"/>
    <mergeCell ref="A147:B147"/>
    <mergeCell ref="A117:B117"/>
    <mergeCell ref="A51:B51"/>
    <mergeCell ref="B98:B100"/>
    <mergeCell ref="B101:B103"/>
    <mergeCell ref="A98:A103"/>
    <mergeCell ref="A104:B104"/>
    <mergeCell ref="B87:B90"/>
    <mergeCell ref="B91:B93"/>
    <mergeCell ref="A83:A94"/>
    <mergeCell ref="A95:B95"/>
    <mergeCell ref="A96:B96"/>
    <mergeCell ref="A97:J97"/>
    <mergeCell ref="J156:L156"/>
    <mergeCell ref="J157:L157"/>
    <mergeCell ref="B105:B106"/>
    <mergeCell ref="B107:B110"/>
    <mergeCell ref="B111:B115"/>
    <mergeCell ref="K119:K146"/>
    <mergeCell ref="A151:B151"/>
    <mergeCell ref="A152:B152"/>
    <mergeCell ref="A119:A129"/>
    <mergeCell ref="A131:A137"/>
    <mergeCell ref="A139:A144"/>
    <mergeCell ref="A148:B148"/>
    <mergeCell ref="A150:B150"/>
    <mergeCell ref="A105:A115"/>
    <mergeCell ref="A62:B62"/>
    <mergeCell ref="B80:B81"/>
    <mergeCell ref="B83:B84"/>
    <mergeCell ref="B85:B86"/>
    <mergeCell ref="A73:A81"/>
    <mergeCell ref="A82:B82"/>
    <mergeCell ref="A63:J63"/>
    <mergeCell ref="A64:A71"/>
    <mergeCell ref="A2:D2"/>
    <mergeCell ref="B10:B12"/>
    <mergeCell ref="A6:A7"/>
    <mergeCell ref="B6:B7"/>
    <mergeCell ref="B28:B32"/>
    <mergeCell ref="A25:A32"/>
    <mergeCell ref="A24:B24"/>
    <mergeCell ref="A8:J8"/>
    <mergeCell ref="J158:L158"/>
    <mergeCell ref="B13:B17"/>
    <mergeCell ref="B18:B19"/>
    <mergeCell ref="B25:B27"/>
    <mergeCell ref="A9:A19"/>
    <mergeCell ref="B34:B35"/>
    <mergeCell ref="B36:B42"/>
    <mergeCell ref="A33:B33"/>
    <mergeCell ref="B68:B71"/>
    <mergeCell ref="B73:B75"/>
    <mergeCell ref="B76:B79"/>
    <mergeCell ref="A72:B72"/>
    <mergeCell ref="B43:B50"/>
    <mergeCell ref="B52:I52"/>
    <mergeCell ref="B64:B67"/>
    <mergeCell ref="A34:A50"/>
  </mergeCells>
  <dataValidations disablePrompts="1" count="4">
    <dataValidation allowBlank="1" showInputMessage="1" showErrorMessage="1" prompt="Insert name of recipient agency here _x000a_" sqref="C7:F7" xr:uid="{70928A52-9A7D-48E6-90A4-98AC72E1CD2E}"/>
    <dataValidation allowBlank="1" showInputMessage="1" showErrorMessage="1" prompt="Insert *text* description of Activity here" sqref="B18:B19 B25 B53 B34 B64 B73 B83 B98:B100 B9:B13 B105" xr:uid="{AAB125D1-2219-470E-8906-EE621366C5BA}"/>
    <dataValidation allowBlank="1" showInputMessage="1" showErrorMessage="1" prompt="Insert *text* description of Output here" sqref="B52 A9" xr:uid="{E42DB1DE-64AB-4FC7-B9D6-32183D01BAE2}"/>
    <dataValidation allowBlank="1" showInputMessage="1" showErrorMessage="1" prompt="Insert *text* description of Outcome here" sqref="A8 A63 A97" xr:uid="{1DDDBFA2-7E5F-4DAB-B718-62AA389FBCC5}"/>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5FF18-E6C7-4505-A10C-D7E7E43253E1}">
  <dimension ref="A1:J25"/>
  <sheetViews>
    <sheetView topLeftCell="A7" workbookViewId="0">
      <selection activeCell="I10" sqref="I10"/>
    </sheetView>
  </sheetViews>
  <sheetFormatPr baseColWidth="10" defaultColWidth="9.08984375" defaultRowHeight="13" x14ac:dyDescent="0.3"/>
  <cols>
    <col min="1" max="1" width="2" style="216" bestFit="1" customWidth="1"/>
    <col min="2" max="2" width="34.08984375" style="216" customWidth="1"/>
    <col min="3" max="3" width="13.26953125" style="216" bestFit="1" customWidth="1"/>
    <col min="4" max="4" width="13.26953125" style="216" customWidth="1"/>
    <col min="5" max="5" width="12.08984375" style="216" bestFit="1" customWidth="1"/>
    <col min="6" max="6" width="12.08984375" style="216" customWidth="1"/>
    <col min="7" max="7" width="13.26953125" style="216" bestFit="1" customWidth="1"/>
    <col min="8" max="8" width="10.54296875" style="216" customWidth="1"/>
    <col min="9" max="9" width="31.26953125" style="216" customWidth="1"/>
    <col min="10" max="16384" width="9.08984375" style="216"/>
  </cols>
  <sheetData>
    <row r="1" spans="1:9" ht="15.5" x14ac:dyDescent="0.35">
      <c r="B1" s="215" t="s">
        <v>632</v>
      </c>
    </row>
    <row r="2" spans="1:9" ht="14.5" x14ac:dyDescent="0.35">
      <c r="B2" s="346" t="s">
        <v>633</v>
      </c>
    </row>
    <row r="3" spans="1:9" x14ac:dyDescent="0.3">
      <c r="B3" s="357" t="s">
        <v>634</v>
      </c>
    </row>
    <row r="4" spans="1:9" x14ac:dyDescent="0.3">
      <c r="B4" s="357" t="s">
        <v>635</v>
      </c>
    </row>
    <row r="6" spans="1:9" x14ac:dyDescent="0.3">
      <c r="C6" s="358">
        <v>7.0000000000000007E-2</v>
      </c>
    </row>
    <row r="7" spans="1:9" s="359" customFormat="1" ht="43.5" x14ac:dyDescent="0.35">
      <c r="B7" s="360" t="s">
        <v>636</v>
      </c>
      <c r="C7" s="361" t="s">
        <v>637</v>
      </c>
      <c r="D7" s="361" t="s">
        <v>638</v>
      </c>
      <c r="E7" s="361" t="s">
        <v>639</v>
      </c>
      <c r="F7" s="361" t="s">
        <v>640</v>
      </c>
      <c r="G7" s="362" t="s">
        <v>641</v>
      </c>
      <c r="H7" s="361" t="s">
        <v>642</v>
      </c>
      <c r="I7" s="363" t="s">
        <v>643</v>
      </c>
    </row>
    <row r="8" spans="1:9" ht="14.5" x14ac:dyDescent="0.3">
      <c r="A8" s="216">
        <v>1</v>
      </c>
      <c r="B8" s="364" t="s">
        <v>644</v>
      </c>
      <c r="C8" s="365">
        <v>33348.951999999997</v>
      </c>
      <c r="D8" s="366">
        <v>21324</v>
      </c>
      <c r="E8" s="367">
        <f>SUMIF('[2]Expenses July - Sept. 20'!S:S,A8,'[2]Expenses July - Sept. 20'!W:W)</f>
        <v>10983.619999999999</v>
      </c>
      <c r="F8" s="367">
        <f>Table1[[#This Row],[EXPENSES PREVIOUSLY REPORTED]]+Table1[[#This Row],[DEPENSES FOR THIS PERIOD]]</f>
        <v>32307.62</v>
      </c>
      <c r="G8" s="367">
        <f>Table1[[#This Row],[TRANSFER RECEIVED]]-Table1[[#This Row],[TOTAL EXPENSES]]</f>
        <v>1041.3319999999985</v>
      </c>
      <c r="H8" s="368">
        <f>Table1[[#This Row],[TOTAL EXPENSES]]/Table1[[#This Row],[TRANSFER RECEIVED]]</f>
        <v>0.96877467094018432</v>
      </c>
      <c r="I8" s="369"/>
    </row>
    <row r="9" spans="1:9" ht="14.5" x14ac:dyDescent="0.3">
      <c r="A9" s="216">
        <v>2</v>
      </c>
      <c r="B9" s="364" t="s">
        <v>645</v>
      </c>
      <c r="C9" s="370">
        <v>420</v>
      </c>
      <c r="D9" s="366">
        <v>0</v>
      </c>
      <c r="E9" s="367">
        <f>SUMIF('[2]Expenses July - Sept. 20'!S:S,A9,'[2]Expenses July - Sept. 20'!W:W)</f>
        <v>0</v>
      </c>
      <c r="F9" s="367">
        <f>Table1[[#This Row],[EXPENSES PREVIOUSLY REPORTED]]+Table1[[#This Row],[DEPENSES FOR THIS PERIOD]]</f>
        <v>0</v>
      </c>
      <c r="G9" s="367">
        <f>Table1[[#This Row],[TRANSFER RECEIVED]]-Table1[[#This Row],[TOTAL EXPENSES]]</f>
        <v>420</v>
      </c>
      <c r="H9" s="368">
        <f>Table1[[#This Row],[TOTAL EXPENSES]]/Table1[[#This Row],[TRANSFER RECEIVED]]</f>
        <v>0</v>
      </c>
      <c r="I9" s="369"/>
    </row>
    <row r="10" spans="1:9" ht="65" x14ac:dyDescent="0.3">
      <c r="A10" s="216">
        <v>3</v>
      </c>
      <c r="B10" s="364" t="s">
        <v>646</v>
      </c>
      <c r="C10" s="365">
        <v>1014.9999999999999</v>
      </c>
      <c r="D10" s="366">
        <v>0</v>
      </c>
      <c r="E10" s="367">
        <f>SUMIF('[2]Expenses July - Sept. 20'!S:S,A10,'[2]Expenses July - Sept. 20'!W:W)</f>
        <v>2140.4499999999998</v>
      </c>
      <c r="F10" s="367">
        <f>Table1[[#This Row],[EXPENSES PREVIOUSLY REPORTED]]+Table1[[#This Row],[DEPENSES FOR THIS PERIOD]]</f>
        <v>2140.4499999999998</v>
      </c>
      <c r="G10" s="367">
        <f>Table1[[#This Row],[TRANSFER RECEIVED]]-Table1[[#This Row],[TOTAL EXPENSES]]</f>
        <v>-1125.4499999999998</v>
      </c>
      <c r="H10" s="368">
        <f>Table1[[#This Row],[TOTAL EXPENSES]]/Table1[[#This Row],[TRANSFER RECEIVED]]</f>
        <v>2.1088177339901479</v>
      </c>
      <c r="I10" s="371" t="s">
        <v>647</v>
      </c>
    </row>
    <row r="11" spans="1:9" ht="14.5" x14ac:dyDescent="0.3">
      <c r="A11" s="216">
        <v>4</v>
      </c>
      <c r="B11" s="364" t="s">
        <v>648</v>
      </c>
      <c r="C11" s="370">
        <v>105404.95</v>
      </c>
      <c r="D11" s="366">
        <v>0</v>
      </c>
      <c r="E11" s="367">
        <f>SUMIF('[2]Expenses July - Sept. 20'!S:S,A11,'[2]Expenses July - Sept. 20'!W:W)</f>
        <v>11317.38</v>
      </c>
      <c r="F11" s="367">
        <f>Table1[[#This Row],[EXPENSES PREVIOUSLY REPORTED]]+Table1[[#This Row],[DEPENSES FOR THIS PERIOD]]</f>
        <v>11317.38</v>
      </c>
      <c r="G11" s="367">
        <f>Table1[[#This Row],[TRANSFER RECEIVED]]-Table1[[#This Row],[TOTAL EXPENSES]]</f>
        <v>94087.569999999992</v>
      </c>
      <c r="H11" s="368">
        <f>Table1[[#This Row],[TOTAL EXPENSES]]/Table1[[#This Row],[TRANSFER RECEIVED]]</f>
        <v>0.10737047928014766</v>
      </c>
      <c r="I11" s="369"/>
    </row>
    <row r="12" spans="1:9" ht="14.5" x14ac:dyDescent="0.3">
      <c r="A12" s="216">
        <v>5</v>
      </c>
      <c r="B12" s="364" t="s">
        <v>649</v>
      </c>
      <c r="C12" s="365">
        <v>8680</v>
      </c>
      <c r="D12" s="366">
        <v>0</v>
      </c>
      <c r="E12" s="367">
        <f>SUMIF('[2]Expenses July - Sept. 20'!S:S,A12,'[2]Expenses July - Sept. 20'!W:W)</f>
        <v>5273.4000000000005</v>
      </c>
      <c r="F12" s="367">
        <f>Table1[[#This Row],[EXPENSES PREVIOUSLY REPORTED]]+Table1[[#This Row],[DEPENSES FOR THIS PERIOD]]</f>
        <v>5273.4000000000005</v>
      </c>
      <c r="G12" s="367">
        <f>Table1[[#This Row],[TRANSFER RECEIVED]]-Table1[[#This Row],[TOTAL EXPENSES]]</f>
        <v>3406.5999999999995</v>
      </c>
      <c r="H12" s="368">
        <f>Table1[[#This Row],[TOTAL EXPENSES]]/Table1[[#This Row],[TRANSFER RECEIVED]]</f>
        <v>0.60753456221198165</v>
      </c>
      <c r="I12" s="369"/>
    </row>
    <row r="13" spans="1:9" ht="14.5" x14ac:dyDescent="0.3">
      <c r="A13" s="216">
        <v>6</v>
      </c>
      <c r="B13" s="364" t="s">
        <v>650</v>
      </c>
      <c r="C13" s="370">
        <v>0</v>
      </c>
      <c r="D13" s="366">
        <v>0</v>
      </c>
      <c r="E13" s="367">
        <f>SUMIF('[2]Expenses July - Sept. 20'!S:S,A13,'[2]Expenses July - Sept. 20'!W:W)</f>
        <v>0</v>
      </c>
      <c r="F13" s="367">
        <f>Table1[[#This Row],[EXPENSES PREVIOUSLY REPORTED]]+Table1[[#This Row],[DEPENSES FOR THIS PERIOD]]</f>
        <v>0</v>
      </c>
      <c r="G13" s="367">
        <f>Table1[[#This Row],[TRANSFER RECEIVED]]-Table1[[#This Row],[TOTAL EXPENSES]]</f>
        <v>0</v>
      </c>
      <c r="H13" s="368" t="s">
        <v>651</v>
      </c>
      <c r="I13" s="369"/>
    </row>
    <row r="14" spans="1:9" ht="14.5" x14ac:dyDescent="0.3">
      <c r="A14" s="216">
        <v>7</v>
      </c>
      <c r="B14" s="364" t="s">
        <v>652</v>
      </c>
      <c r="C14" s="372">
        <v>17360</v>
      </c>
      <c r="D14" s="366">
        <v>6339</v>
      </c>
      <c r="E14" s="367">
        <f>SUMIF('[2]Expenses July - Sept. 20'!S:S,A14,'[2]Expenses July - Sept. 20'!W:W)</f>
        <v>2757.73</v>
      </c>
      <c r="F14" s="367">
        <f>Table1[[#This Row],[EXPENSES PREVIOUSLY REPORTED]]+Table1[[#This Row],[DEPENSES FOR THIS PERIOD]]</f>
        <v>9096.73</v>
      </c>
      <c r="G14" s="367">
        <f>Table1[[#This Row],[TRANSFER RECEIVED]]-Table1[[#This Row],[TOTAL EXPENSES]]</f>
        <v>8263.27</v>
      </c>
      <c r="H14" s="368">
        <f>Table1[[#This Row],[TOTAL EXPENSES]]/Table1[[#This Row],[TRANSFER RECEIVED]]</f>
        <v>0.52400518433179721</v>
      </c>
      <c r="I14" s="369"/>
    </row>
    <row r="15" spans="1:9" x14ac:dyDescent="0.3">
      <c r="B15" s="364" t="s">
        <v>653</v>
      </c>
      <c r="C15" s="367">
        <f>SUBTOTAL(109,C8:C14)</f>
        <v>166228.902</v>
      </c>
      <c r="D15" s="367">
        <f t="shared" ref="D15:G15" si="0">SUBTOTAL(109,D8:D14)</f>
        <v>27663</v>
      </c>
      <c r="E15" s="367">
        <f t="shared" si="0"/>
        <v>32472.579999999998</v>
      </c>
      <c r="F15" s="367">
        <f t="shared" si="0"/>
        <v>60135.58</v>
      </c>
      <c r="G15" s="367">
        <f t="shared" si="0"/>
        <v>106093.322</v>
      </c>
      <c r="H15" s="368">
        <f>Table1[[#This Row],[TOTAL EXPENSES]]/Table1[[#This Row],[TRANSFER RECEIVED]]</f>
        <v>0.36176368415162846</v>
      </c>
      <c r="I15" s="369"/>
    </row>
    <row r="16" spans="1:9" x14ac:dyDescent="0.3">
      <c r="B16" s="364" t="s">
        <v>654</v>
      </c>
      <c r="C16" s="366">
        <v>11448.59814</v>
      </c>
      <c r="D16" s="367">
        <f t="shared" ref="D16:G16" si="1">D15*$C$6</f>
        <v>1936.41</v>
      </c>
      <c r="E16" s="367">
        <f t="shared" si="1"/>
        <v>2273.0806000000002</v>
      </c>
      <c r="F16" s="367">
        <f t="shared" si="1"/>
        <v>4209.4906000000001</v>
      </c>
      <c r="G16" s="367">
        <f t="shared" si="1"/>
        <v>7426.5325400000011</v>
      </c>
      <c r="H16" s="368">
        <f>Table1[[#This Row],[TOTAL EXPENSES]]/Table1[[#This Row],[TRANSFER RECEIVED]]</f>
        <v>0.36768611742013685</v>
      </c>
      <c r="I16" s="369"/>
    </row>
    <row r="17" spans="2:10" customFormat="1" ht="14.5" x14ac:dyDescent="0.35">
      <c r="B17" s="373" t="s">
        <v>628</v>
      </c>
      <c r="C17" s="374">
        <f>C15+C16</f>
        <v>177677.50013999999</v>
      </c>
      <c r="D17" s="375">
        <f t="shared" ref="D17:G17" si="2">D15+D16</f>
        <v>29599.41</v>
      </c>
      <c r="E17" s="375">
        <f t="shared" si="2"/>
        <v>34745.660599999996</v>
      </c>
      <c r="F17" s="374">
        <f t="shared" si="2"/>
        <v>64345.070599999999</v>
      </c>
      <c r="G17" s="375">
        <f t="shared" si="2"/>
        <v>113519.85454</v>
      </c>
      <c r="H17" s="376">
        <f>Table1[[#This Row],[TOTAL EXPENSES]]/Table1[[#This Row],[TRANSFER RECEIVED]]</f>
        <v>0.36214529441994436</v>
      </c>
      <c r="I17" s="377"/>
    </row>
    <row r="20" spans="2:10" ht="13.5" thickBot="1" x14ac:dyDescent="0.35">
      <c r="B20" s="378" t="s">
        <v>655</v>
      </c>
      <c r="C20" s="378"/>
      <c r="D20" s="379"/>
      <c r="E20" s="379"/>
      <c r="F20" s="379"/>
      <c r="G20" s="379"/>
      <c r="H20" s="380">
        <v>44118</v>
      </c>
    </row>
    <row r="21" spans="2:10" x14ac:dyDescent="0.3">
      <c r="B21" s="381" t="s">
        <v>656</v>
      </c>
      <c r="C21" s="381" t="s">
        <v>657</v>
      </c>
      <c r="D21" s="382"/>
      <c r="E21" s="379"/>
      <c r="F21" s="379"/>
      <c r="G21" s="379"/>
      <c r="H21" s="381" t="s">
        <v>658</v>
      </c>
    </row>
    <row r="22" spans="2:10" x14ac:dyDescent="0.3">
      <c r="B22" s="379"/>
      <c r="C22" s="379"/>
      <c r="D22" s="379"/>
      <c r="E22" s="379"/>
      <c r="F22" s="379"/>
      <c r="G22" s="379"/>
      <c r="H22" s="379"/>
    </row>
    <row r="23" spans="2:10" ht="13.5" thickBot="1" x14ac:dyDescent="0.35">
      <c r="B23" s="378" t="s">
        <v>659</v>
      </c>
      <c r="C23" s="378"/>
      <c r="D23" s="379"/>
      <c r="E23" s="379"/>
      <c r="F23" s="379"/>
      <c r="G23" s="379"/>
      <c r="H23" s="380">
        <v>44118</v>
      </c>
    </row>
    <row r="24" spans="2:10" x14ac:dyDescent="0.3">
      <c r="B24" s="381" t="s">
        <v>660</v>
      </c>
      <c r="C24" s="381" t="s">
        <v>657</v>
      </c>
      <c r="D24" s="382"/>
      <c r="E24" s="379"/>
      <c r="F24" s="379"/>
      <c r="G24" s="379"/>
      <c r="H24" s="381" t="s">
        <v>658</v>
      </c>
    </row>
    <row r="25" spans="2:10" x14ac:dyDescent="0.3">
      <c r="B25" s="379"/>
      <c r="C25" s="383"/>
      <c r="D25" s="383"/>
      <c r="E25" s="384"/>
      <c r="F25" s="384"/>
      <c r="G25" s="384"/>
      <c r="H25" s="379"/>
      <c r="I25" s="379"/>
      <c r="J25" s="37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C0781-0B4E-4363-A0CE-1312D457918E}">
  <sheetPr filterMode="1">
    <tabColor rgb="FFFF0000"/>
  </sheetPr>
  <dimension ref="A1:AF168"/>
  <sheetViews>
    <sheetView topLeftCell="U1" workbookViewId="0">
      <selection activeCell="AE53" sqref="AE53"/>
    </sheetView>
  </sheetViews>
  <sheetFormatPr baseColWidth="10" defaultColWidth="11.54296875" defaultRowHeight="14.5" x14ac:dyDescent="0.35"/>
  <cols>
    <col min="1" max="26" width="11.54296875" style="276"/>
    <col min="27" max="27" width="12.1796875" style="277" bestFit="1" customWidth="1"/>
    <col min="28" max="28" width="11.54296875" style="277"/>
    <col min="29" max="29" width="11.6328125" style="278" bestFit="1" customWidth="1"/>
    <col min="30" max="16384" width="11.54296875" style="276"/>
  </cols>
  <sheetData>
    <row r="1" spans="1:32" x14ac:dyDescent="0.35">
      <c r="A1" s="276" t="s">
        <v>152</v>
      </c>
      <c r="B1" s="276" t="s">
        <v>153</v>
      </c>
      <c r="C1" s="276" t="s">
        <v>154</v>
      </c>
      <c r="D1" s="276" t="s">
        <v>155</v>
      </c>
      <c r="E1" s="276" t="s">
        <v>156</v>
      </c>
      <c r="F1" s="276" t="s">
        <v>157</v>
      </c>
      <c r="G1" s="276" t="s">
        <v>158</v>
      </c>
      <c r="H1" s="276" t="s">
        <v>159</v>
      </c>
      <c r="I1" s="276" t="s">
        <v>160</v>
      </c>
      <c r="J1" s="276" t="s">
        <v>161</v>
      </c>
      <c r="K1" s="276" t="s">
        <v>162</v>
      </c>
      <c r="L1" s="276" t="s">
        <v>163</v>
      </c>
      <c r="M1" s="276" t="s">
        <v>164</v>
      </c>
      <c r="N1" s="276" t="s">
        <v>165</v>
      </c>
      <c r="O1" s="276" t="s">
        <v>166</v>
      </c>
      <c r="P1" s="276" t="s">
        <v>167</v>
      </c>
      <c r="Q1" s="276" t="s">
        <v>168</v>
      </c>
      <c r="R1" s="276" t="s">
        <v>169</v>
      </c>
      <c r="S1" s="276" t="s">
        <v>170</v>
      </c>
      <c r="T1" s="276" t="s">
        <v>171</v>
      </c>
      <c r="U1" s="276" t="s">
        <v>172</v>
      </c>
      <c r="V1" s="276" t="s">
        <v>173</v>
      </c>
      <c r="W1" s="276" t="s">
        <v>174</v>
      </c>
      <c r="X1" s="276" t="s">
        <v>175</v>
      </c>
      <c r="Y1" s="276" t="s">
        <v>176</v>
      </c>
      <c r="Z1" s="276" t="s">
        <v>177</v>
      </c>
      <c r="AA1" s="277" t="s">
        <v>178</v>
      </c>
      <c r="AB1" s="277" t="s">
        <v>179</v>
      </c>
      <c r="AC1" s="278" t="s">
        <v>180</v>
      </c>
      <c r="AD1" s="276" t="s">
        <v>181</v>
      </c>
      <c r="AE1" s="276" t="s">
        <v>182</v>
      </c>
      <c r="AF1" s="276" t="s">
        <v>183</v>
      </c>
    </row>
    <row r="2" spans="1:32" x14ac:dyDescent="0.35">
      <c r="A2" s="276" t="s">
        <v>534</v>
      </c>
      <c r="B2" s="276" t="s">
        <v>551</v>
      </c>
      <c r="C2" s="279">
        <v>44008</v>
      </c>
      <c r="D2" s="279">
        <v>44021</v>
      </c>
      <c r="E2" s="276" t="s">
        <v>186</v>
      </c>
      <c r="F2" s="276">
        <v>71615</v>
      </c>
      <c r="G2" s="276" t="s">
        <v>552</v>
      </c>
      <c r="H2" s="276" t="s">
        <v>188</v>
      </c>
      <c r="I2" s="276">
        <v>30000</v>
      </c>
      <c r="J2" s="276">
        <v>33803</v>
      </c>
      <c r="K2" s="276">
        <v>1981</v>
      </c>
      <c r="L2" s="276">
        <v>11363</v>
      </c>
      <c r="M2" s="276" t="s">
        <v>189</v>
      </c>
      <c r="N2" s="276">
        <v>120575</v>
      </c>
      <c r="O2" s="276" t="s">
        <v>190</v>
      </c>
      <c r="P2" s="276" t="s">
        <v>228</v>
      </c>
      <c r="Q2" s="276" t="s">
        <v>553</v>
      </c>
      <c r="R2" s="276">
        <v>5192</v>
      </c>
      <c r="S2" s="276" t="s">
        <v>554</v>
      </c>
      <c r="U2" s="276" t="s">
        <v>555</v>
      </c>
      <c r="V2" s="276" t="s">
        <v>540</v>
      </c>
      <c r="X2" s="276" t="s">
        <v>556</v>
      </c>
      <c r="Y2" s="276">
        <v>1</v>
      </c>
      <c r="Z2" s="279">
        <v>44008</v>
      </c>
      <c r="AA2" s="277">
        <v>331.29</v>
      </c>
      <c r="AB2" s="277" t="s">
        <v>417</v>
      </c>
      <c r="AC2" s="278">
        <v>331.29</v>
      </c>
      <c r="AD2" s="276" t="s">
        <v>542</v>
      </c>
      <c r="AE2" s="276">
        <v>2020</v>
      </c>
      <c r="AF2" s="276">
        <v>6</v>
      </c>
    </row>
    <row r="3" spans="1:32" x14ac:dyDescent="0.35">
      <c r="A3" s="276" t="s">
        <v>534</v>
      </c>
      <c r="B3" s="276" t="s">
        <v>601</v>
      </c>
      <c r="C3" s="279">
        <v>44112</v>
      </c>
      <c r="D3" s="279">
        <v>44118</v>
      </c>
      <c r="E3" s="276" t="s">
        <v>186</v>
      </c>
      <c r="F3" s="276">
        <v>71615</v>
      </c>
      <c r="G3" s="276" t="s">
        <v>552</v>
      </c>
      <c r="H3" s="276" t="s">
        <v>188</v>
      </c>
      <c r="I3" s="276">
        <v>30000</v>
      </c>
      <c r="J3" s="276">
        <v>33803</v>
      </c>
      <c r="K3" s="276">
        <v>1981</v>
      </c>
      <c r="L3" s="276">
        <v>11363</v>
      </c>
      <c r="M3" s="276" t="s">
        <v>189</v>
      </c>
      <c r="N3" s="276">
        <v>120575</v>
      </c>
      <c r="O3" s="276" t="s">
        <v>190</v>
      </c>
      <c r="P3" s="276" t="s">
        <v>228</v>
      </c>
      <c r="Q3" s="276">
        <v>55218</v>
      </c>
      <c r="R3" s="276">
        <v>5968</v>
      </c>
      <c r="S3" s="276" t="s">
        <v>547</v>
      </c>
      <c r="U3" s="276" t="s">
        <v>539</v>
      </c>
      <c r="V3" s="276" t="s">
        <v>540</v>
      </c>
      <c r="X3" s="276" t="s">
        <v>602</v>
      </c>
      <c r="Y3" s="276">
        <v>7</v>
      </c>
      <c r="Z3" s="279">
        <v>44112</v>
      </c>
      <c r="AA3" s="277">
        <v>1452.22</v>
      </c>
      <c r="AB3" s="277" t="s">
        <v>417</v>
      </c>
      <c r="AC3" s="278">
        <v>1452.22</v>
      </c>
      <c r="AD3" s="276" t="s">
        <v>542</v>
      </c>
      <c r="AE3" s="276">
        <v>2020</v>
      </c>
      <c r="AF3" s="276">
        <v>10</v>
      </c>
    </row>
    <row r="4" spans="1:32" x14ac:dyDescent="0.35">
      <c r="A4" s="276" t="s">
        <v>534</v>
      </c>
      <c r="B4" s="276" t="s">
        <v>611</v>
      </c>
      <c r="C4" s="279">
        <v>44112</v>
      </c>
      <c r="D4" s="279">
        <v>44116</v>
      </c>
      <c r="E4" s="276" t="s">
        <v>186</v>
      </c>
      <c r="F4" s="276">
        <v>71615</v>
      </c>
      <c r="G4" s="276" t="s">
        <v>552</v>
      </c>
      <c r="H4" s="276" t="s">
        <v>188</v>
      </c>
      <c r="I4" s="276">
        <v>30000</v>
      </c>
      <c r="J4" s="276">
        <v>33803</v>
      </c>
      <c r="K4" s="276">
        <v>1981</v>
      </c>
      <c r="L4" s="276">
        <v>11363</v>
      </c>
      <c r="M4" s="276" t="s">
        <v>189</v>
      </c>
      <c r="N4" s="276">
        <v>120575</v>
      </c>
      <c r="O4" s="276" t="s">
        <v>190</v>
      </c>
      <c r="P4" s="276" t="s">
        <v>228</v>
      </c>
      <c r="Q4" s="276" t="s">
        <v>544</v>
      </c>
      <c r="R4" s="276">
        <v>359</v>
      </c>
      <c r="S4" s="276" t="s">
        <v>545</v>
      </c>
      <c r="U4" s="276" t="s">
        <v>539</v>
      </c>
      <c r="V4" s="276" t="s">
        <v>540</v>
      </c>
      <c r="X4" s="276" t="s">
        <v>605</v>
      </c>
      <c r="Y4" s="276">
        <v>27</v>
      </c>
      <c r="Z4" s="279">
        <v>44112</v>
      </c>
      <c r="AA4" s="277">
        <v>1452.22</v>
      </c>
      <c r="AB4" s="277" t="s">
        <v>417</v>
      </c>
      <c r="AC4" s="278">
        <v>1452.22</v>
      </c>
      <c r="AD4" s="276" t="s">
        <v>542</v>
      </c>
      <c r="AE4" s="276">
        <v>2020</v>
      </c>
      <c r="AF4" s="276">
        <v>10</v>
      </c>
    </row>
    <row r="5" spans="1:32" x14ac:dyDescent="0.35">
      <c r="A5" s="276" t="s">
        <v>534</v>
      </c>
      <c r="B5" s="276" t="s">
        <v>613</v>
      </c>
      <c r="C5" s="279">
        <v>44112</v>
      </c>
      <c r="D5" s="279">
        <v>44116</v>
      </c>
      <c r="E5" s="276" t="s">
        <v>186</v>
      </c>
      <c r="F5" s="276">
        <v>71615</v>
      </c>
      <c r="G5" s="276" t="s">
        <v>552</v>
      </c>
      <c r="H5" s="276" t="s">
        <v>188</v>
      </c>
      <c r="I5" s="276">
        <v>30000</v>
      </c>
      <c r="J5" s="276">
        <v>33803</v>
      </c>
      <c r="K5" s="276">
        <v>1981</v>
      </c>
      <c r="L5" s="276">
        <v>11363</v>
      </c>
      <c r="M5" s="276" t="s">
        <v>189</v>
      </c>
      <c r="N5" s="276">
        <v>120575</v>
      </c>
      <c r="O5" s="276" t="s">
        <v>190</v>
      </c>
      <c r="P5" s="276" t="s">
        <v>228</v>
      </c>
      <c r="Q5" s="276">
        <v>55218</v>
      </c>
      <c r="R5" s="276">
        <v>5968</v>
      </c>
      <c r="S5" s="276" t="s">
        <v>547</v>
      </c>
      <c r="U5" s="276" t="s">
        <v>539</v>
      </c>
      <c r="V5" s="276" t="s">
        <v>540</v>
      </c>
      <c r="X5" s="276" t="s">
        <v>605</v>
      </c>
      <c r="Y5" s="276">
        <v>29</v>
      </c>
      <c r="Z5" s="279">
        <v>44112</v>
      </c>
      <c r="AA5" s="277">
        <v>1452.22</v>
      </c>
      <c r="AB5" s="277" t="s">
        <v>417</v>
      </c>
      <c r="AC5" s="278">
        <v>1452.22</v>
      </c>
      <c r="AD5" s="276" t="s">
        <v>542</v>
      </c>
      <c r="AE5" s="276">
        <v>2020</v>
      </c>
      <c r="AF5" s="276">
        <v>10</v>
      </c>
    </row>
    <row r="6" spans="1:32" x14ac:dyDescent="0.35">
      <c r="A6" s="276" t="s">
        <v>534</v>
      </c>
      <c r="B6" s="276" t="s">
        <v>535</v>
      </c>
      <c r="C6" s="279">
        <v>44008</v>
      </c>
      <c r="D6" s="279">
        <v>44013</v>
      </c>
      <c r="E6" s="276" t="s">
        <v>186</v>
      </c>
      <c r="F6" s="276">
        <v>71620</v>
      </c>
      <c r="G6" s="276" t="s">
        <v>536</v>
      </c>
      <c r="H6" s="276" t="s">
        <v>188</v>
      </c>
      <c r="I6" s="276">
        <v>30000</v>
      </c>
      <c r="J6" s="276">
        <v>33803</v>
      </c>
      <c r="K6" s="276">
        <v>1981</v>
      </c>
      <c r="L6" s="276">
        <v>11363</v>
      </c>
      <c r="M6" s="276" t="s">
        <v>189</v>
      </c>
      <c r="N6" s="276">
        <v>120575</v>
      </c>
      <c r="O6" s="276" t="s">
        <v>190</v>
      </c>
      <c r="P6" s="276" t="s">
        <v>228</v>
      </c>
      <c r="Q6" s="276" t="s">
        <v>537</v>
      </c>
      <c r="R6" s="276">
        <v>4941</v>
      </c>
      <c r="S6" s="276" t="s">
        <v>538</v>
      </c>
      <c r="U6" s="276" t="s">
        <v>539</v>
      </c>
      <c r="V6" s="276" t="s">
        <v>540</v>
      </c>
      <c r="X6" s="276" t="s">
        <v>541</v>
      </c>
      <c r="Y6" s="276">
        <v>4</v>
      </c>
      <c r="Z6" s="279">
        <v>44008</v>
      </c>
      <c r="AA6" s="277">
        <v>967.7</v>
      </c>
      <c r="AB6" s="277" t="s">
        <v>417</v>
      </c>
      <c r="AC6" s="278">
        <v>967.7</v>
      </c>
      <c r="AD6" s="276" t="s">
        <v>542</v>
      </c>
      <c r="AE6" s="276">
        <v>2020</v>
      </c>
      <c r="AF6" s="276">
        <v>6</v>
      </c>
    </row>
    <row r="7" spans="1:32" x14ac:dyDescent="0.35">
      <c r="A7" s="276" t="s">
        <v>534</v>
      </c>
      <c r="B7" s="276" t="s">
        <v>543</v>
      </c>
      <c r="C7" s="279">
        <v>44008</v>
      </c>
      <c r="D7" s="279">
        <v>44013</v>
      </c>
      <c r="E7" s="276" t="s">
        <v>186</v>
      </c>
      <c r="F7" s="276">
        <v>71620</v>
      </c>
      <c r="G7" s="276" t="s">
        <v>536</v>
      </c>
      <c r="H7" s="276" t="s">
        <v>188</v>
      </c>
      <c r="I7" s="276">
        <v>30000</v>
      </c>
      <c r="J7" s="276">
        <v>33803</v>
      </c>
      <c r="K7" s="276">
        <v>1981</v>
      </c>
      <c r="L7" s="276">
        <v>11363</v>
      </c>
      <c r="M7" s="276" t="s">
        <v>189</v>
      </c>
      <c r="N7" s="276">
        <v>120575</v>
      </c>
      <c r="O7" s="276" t="s">
        <v>190</v>
      </c>
      <c r="P7" s="276" t="s">
        <v>228</v>
      </c>
      <c r="Q7" s="276" t="s">
        <v>544</v>
      </c>
      <c r="R7" s="276">
        <v>359</v>
      </c>
      <c r="S7" s="276" t="s">
        <v>545</v>
      </c>
      <c r="U7" s="276" t="s">
        <v>539</v>
      </c>
      <c r="V7" s="276" t="s">
        <v>540</v>
      </c>
      <c r="X7" s="276" t="s">
        <v>541</v>
      </c>
      <c r="Y7" s="276">
        <v>13</v>
      </c>
      <c r="Z7" s="279">
        <v>44008</v>
      </c>
      <c r="AA7" s="277">
        <v>967.7</v>
      </c>
      <c r="AB7" s="277" t="s">
        <v>417</v>
      </c>
      <c r="AC7" s="278">
        <v>967.7</v>
      </c>
      <c r="AD7" s="276" t="s">
        <v>542</v>
      </c>
      <c r="AE7" s="276">
        <v>2020</v>
      </c>
      <c r="AF7" s="276">
        <v>6</v>
      </c>
    </row>
    <row r="8" spans="1:32" x14ac:dyDescent="0.35">
      <c r="A8" s="276" t="s">
        <v>534</v>
      </c>
      <c r="B8" s="276" t="s">
        <v>546</v>
      </c>
      <c r="C8" s="279">
        <v>44008</v>
      </c>
      <c r="D8" s="279">
        <v>44013</v>
      </c>
      <c r="E8" s="276" t="s">
        <v>186</v>
      </c>
      <c r="F8" s="276">
        <v>71620</v>
      </c>
      <c r="G8" s="276" t="s">
        <v>536</v>
      </c>
      <c r="H8" s="276" t="s">
        <v>188</v>
      </c>
      <c r="I8" s="276">
        <v>30000</v>
      </c>
      <c r="J8" s="276">
        <v>33803</v>
      </c>
      <c r="K8" s="276">
        <v>1981</v>
      </c>
      <c r="L8" s="276">
        <v>11363</v>
      </c>
      <c r="M8" s="276" t="s">
        <v>189</v>
      </c>
      <c r="N8" s="276">
        <v>120575</v>
      </c>
      <c r="O8" s="276" t="s">
        <v>190</v>
      </c>
      <c r="P8" s="276" t="s">
        <v>228</v>
      </c>
      <c r="Q8" s="276">
        <v>55218</v>
      </c>
      <c r="R8" s="276">
        <v>5968</v>
      </c>
      <c r="S8" s="276" t="s">
        <v>547</v>
      </c>
      <c r="U8" s="276" t="s">
        <v>539</v>
      </c>
      <c r="V8" s="276" t="s">
        <v>540</v>
      </c>
      <c r="X8" s="276" t="s">
        <v>541</v>
      </c>
      <c r="Y8" s="276">
        <v>5</v>
      </c>
      <c r="Z8" s="279">
        <v>44008</v>
      </c>
      <c r="AA8" s="277">
        <v>967.7</v>
      </c>
      <c r="AB8" s="277" t="s">
        <v>417</v>
      </c>
      <c r="AC8" s="278">
        <v>967.7</v>
      </c>
      <c r="AD8" s="276" t="s">
        <v>542</v>
      </c>
      <c r="AE8" s="276">
        <v>2020</v>
      </c>
      <c r="AF8" s="276">
        <v>6</v>
      </c>
    </row>
    <row r="9" spans="1:32" x14ac:dyDescent="0.35">
      <c r="A9" s="276" t="s">
        <v>534</v>
      </c>
      <c r="B9" s="276" t="s">
        <v>548</v>
      </c>
      <c r="C9" s="279">
        <v>44008</v>
      </c>
      <c r="D9" s="279">
        <v>44013</v>
      </c>
      <c r="E9" s="276" t="s">
        <v>186</v>
      </c>
      <c r="F9" s="276">
        <v>71620</v>
      </c>
      <c r="G9" s="276" t="s">
        <v>536</v>
      </c>
      <c r="H9" s="276" t="s">
        <v>188</v>
      </c>
      <c r="I9" s="276">
        <v>30000</v>
      </c>
      <c r="J9" s="276">
        <v>33803</v>
      </c>
      <c r="K9" s="276">
        <v>1981</v>
      </c>
      <c r="L9" s="276">
        <v>11363</v>
      </c>
      <c r="M9" s="276" t="s">
        <v>189</v>
      </c>
      <c r="N9" s="276">
        <v>120575</v>
      </c>
      <c r="O9" s="276" t="s">
        <v>190</v>
      </c>
      <c r="P9" s="276" t="s">
        <v>228</v>
      </c>
      <c r="Q9" s="276" t="s">
        <v>549</v>
      </c>
      <c r="R9" s="276">
        <v>6327</v>
      </c>
      <c r="S9" s="276" t="s">
        <v>550</v>
      </c>
      <c r="U9" s="276" t="s">
        <v>539</v>
      </c>
      <c r="V9" s="276" t="s">
        <v>540</v>
      </c>
      <c r="X9" s="276" t="s">
        <v>541</v>
      </c>
      <c r="Y9" s="276">
        <v>12</v>
      </c>
      <c r="Z9" s="279">
        <v>44008</v>
      </c>
      <c r="AA9" s="277">
        <v>967.7</v>
      </c>
      <c r="AB9" s="277" t="s">
        <v>417</v>
      </c>
      <c r="AC9" s="278">
        <v>967.7</v>
      </c>
      <c r="AD9" s="276" t="s">
        <v>542</v>
      </c>
      <c r="AE9" s="276">
        <v>2020</v>
      </c>
      <c r="AF9" s="276">
        <v>6</v>
      </c>
    </row>
    <row r="10" spans="1:32" x14ac:dyDescent="0.35">
      <c r="A10" s="276" t="s">
        <v>534</v>
      </c>
      <c r="B10" s="276" t="s">
        <v>557</v>
      </c>
      <c r="C10" s="276" t="s">
        <v>211</v>
      </c>
      <c r="D10" s="276" t="s">
        <v>558</v>
      </c>
      <c r="E10" s="276" t="s">
        <v>186</v>
      </c>
      <c r="F10" s="276">
        <v>71620</v>
      </c>
      <c r="G10" s="276" t="s">
        <v>536</v>
      </c>
      <c r="H10" s="276" t="s">
        <v>188</v>
      </c>
      <c r="I10" s="276">
        <v>30000</v>
      </c>
      <c r="J10" s="276">
        <v>33803</v>
      </c>
      <c r="K10" s="276">
        <v>1981</v>
      </c>
      <c r="L10" s="276">
        <v>11363</v>
      </c>
      <c r="M10" s="276" t="s">
        <v>189</v>
      </c>
      <c r="N10" s="276">
        <v>120575</v>
      </c>
      <c r="O10" s="276" t="s">
        <v>190</v>
      </c>
      <c r="P10" s="276" t="s">
        <v>228</v>
      </c>
      <c r="Q10" s="276" t="s">
        <v>559</v>
      </c>
      <c r="R10" s="276">
        <v>5926</v>
      </c>
      <c r="S10" s="276" t="s">
        <v>560</v>
      </c>
      <c r="U10" s="276" t="s">
        <v>561</v>
      </c>
      <c r="V10" s="276" t="s">
        <v>540</v>
      </c>
      <c r="X10" s="276" t="s">
        <v>562</v>
      </c>
      <c r="Y10" s="276">
        <v>8</v>
      </c>
      <c r="Z10" s="276" t="s">
        <v>211</v>
      </c>
      <c r="AA10" s="277">
        <v>965.85</v>
      </c>
      <c r="AB10" s="277" t="s">
        <v>417</v>
      </c>
      <c r="AC10" s="278">
        <v>965.85</v>
      </c>
      <c r="AD10" s="276" t="s">
        <v>542</v>
      </c>
      <c r="AE10" s="276">
        <v>2020</v>
      </c>
      <c r="AF10" s="276">
        <v>8</v>
      </c>
    </row>
    <row r="11" spans="1:32" x14ac:dyDescent="0.35">
      <c r="A11" s="276" t="s">
        <v>534</v>
      </c>
      <c r="B11" s="276" t="s">
        <v>603</v>
      </c>
      <c r="C11" s="279">
        <v>44112</v>
      </c>
      <c r="D11" s="279">
        <v>44118</v>
      </c>
      <c r="E11" s="276" t="s">
        <v>186</v>
      </c>
      <c r="F11" s="276">
        <v>71635</v>
      </c>
      <c r="G11" s="276" t="s">
        <v>526</v>
      </c>
      <c r="H11" s="276" t="s">
        <v>188</v>
      </c>
      <c r="I11" s="276">
        <v>30000</v>
      </c>
      <c r="J11" s="276">
        <v>33803</v>
      </c>
      <c r="K11" s="276">
        <v>1981</v>
      </c>
      <c r="L11" s="276">
        <v>11363</v>
      </c>
      <c r="M11" s="276" t="s">
        <v>189</v>
      </c>
      <c r="N11" s="276">
        <v>120575</v>
      </c>
      <c r="O11" s="276" t="s">
        <v>190</v>
      </c>
      <c r="P11" s="276" t="s">
        <v>228</v>
      </c>
      <c r="Q11" s="276">
        <v>55218</v>
      </c>
      <c r="R11" s="276">
        <v>5968</v>
      </c>
      <c r="S11" s="276" t="s">
        <v>547</v>
      </c>
      <c r="U11" s="276" t="s">
        <v>570</v>
      </c>
      <c r="V11" s="276" t="s">
        <v>540</v>
      </c>
      <c r="X11" s="276" t="s">
        <v>602</v>
      </c>
      <c r="Y11" s="276">
        <v>8</v>
      </c>
      <c r="Z11" s="279">
        <v>44112</v>
      </c>
      <c r="AA11" s="277">
        <v>268.07</v>
      </c>
      <c r="AB11" s="277" t="s">
        <v>417</v>
      </c>
      <c r="AC11" s="278">
        <v>268.07</v>
      </c>
      <c r="AD11" s="276" t="s">
        <v>542</v>
      </c>
      <c r="AE11" s="276">
        <v>2020</v>
      </c>
      <c r="AF11" s="276">
        <v>10</v>
      </c>
    </row>
    <row r="12" spans="1:32" customFormat="1" hidden="1" x14ac:dyDescent="0.35">
      <c r="A12" t="s">
        <v>184</v>
      </c>
      <c r="B12" t="s">
        <v>257</v>
      </c>
      <c r="C12" t="s">
        <v>258</v>
      </c>
      <c r="D12" t="s">
        <v>259</v>
      </c>
      <c r="E12" t="s">
        <v>186</v>
      </c>
      <c r="F12">
        <v>16108</v>
      </c>
      <c r="G12" t="s">
        <v>260</v>
      </c>
      <c r="H12" t="s">
        <v>188</v>
      </c>
      <c r="I12">
        <v>30000</v>
      </c>
      <c r="J12">
        <v>33804</v>
      </c>
      <c r="K12">
        <v>1981</v>
      </c>
      <c r="L12">
        <v>11363</v>
      </c>
      <c r="M12" t="s">
        <v>189</v>
      </c>
      <c r="N12">
        <v>120575</v>
      </c>
      <c r="O12" t="s">
        <v>205</v>
      </c>
      <c r="P12" t="s">
        <v>9</v>
      </c>
      <c r="Q12">
        <v>273796</v>
      </c>
      <c r="R12">
        <v>1250</v>
      </c>
      <c r="S12" t="s">
        <v>261</v>
      </c>
      <c r="T12" t="s">
        <v>9</v>
      </c>
      <c r="U12" t="s">
        <v>262</v>
      </c>
      <c r="V12" t="s">
        <v>263</v>
      </c>
      <c r="X12" t="s">
        <v>264</v>
      </c>
      <c r="Y12">
        <v>1</v>
      </c>
      <c r="Z12" t="s">
        <v>258</v>
      </c>
      <c r="AA12">
        <v>100749000</v>
      </c>
      <c r="AB12" t="s">
        <v>195</v>
      </c>
      <c r="AC12">
        <v>10522.09</v>
      </c>
      <c r="AD12" t="s">
        <v>196</v>
      </c>
      <c r="AE12">
        <v>2020</v>
      </c>
      <c r="AF12">
        <v>8</v>
      </c>
    </row>
    <row r="13" spans="1:32" customFormat="1" hidden="1" x14ac:dyDescent="0.35">
      <c r="A13" t="s">
        <v>184</v>
      </c>
      <c r="B13" t="s">
        <v>265</v>
      </c>
      <c r="C13" s="264">
        <v>44077</v>
      </c>
      <c r="D13" s="264">
        <v>44078</v>
      </c>
      <c r="E13" t="s">
        <v>186</v>
      </c>
      <c r="F13">
        <v>16108</v>
      </c>
      <c r="G13" t="s">
        <v>260</v>
      </c>
      <c r="H13" t="s">
        <v>188</v>
      </c>
      <c r="I13">
        <v>30000</v>
      </c>
      <c r="J13">
        <v>33804</v>
      </c>
      <c r="K13">
        <v>1981</v>
      </c>
      <c r="L13">
        <v>11363</v>
      </c>
      <c r="M13" t="s">
        <v>189</v>
      </c>
      <c r="N13">
        <v>120575</v>
      </c>
      <c r="O13" t="s">
        <v>205</v>
      </c>
      <c r="P13" t="s">
        <v>9</v>
      </c>
      <c r="Q13">
        <v>82780</v>
      </c>
      <c r="R13">
        <v>354</v>
      </c>
      <c r="S13" t="s">
        <v>266</v>
      </c>
      <c r="T13" t="s">
        <v>9</v>
      </c>
      <c r="U13" t="s">
        <v>267</v>
      </c>
      <c r="V13" t="s">
        <v>267</v>
      </c>
      <c r="X13" t="s">
        <v>268</v>
      </c>
      <c r="Y13">
        <v>4</v>
      </c>
      <c r="Z13" s="264">
        <v>44077</v>
      </c>
      <c r="AA13">
        <v>45280000</v>
      </c>
      <c r="AB13" t="s">
        <v>195</v>
      </c>
      <c r="AC13">
        <v>4715.1899999999996</v>
      </c>
      <c r="AD13" t="s">
        <v>196</v>
      </c>
      <c r="AE13">
        <v>2020</v>
      </c>
      <c r="AF13">
        <v>9</v>
      </c>
    </row>
    <row r="14" spans="1:32" customFormat="1" hidden="1" x14ac:dyDescent="0.35">
      <c r="A14" t="s">
        <v>184</v>
      </c>
      <c r="B14" t="s">
        <v>269</v>
      </c>
      <c r="C14" s="264">
        <v>44077</v>
      </c>
      <c r="D14" s="264">
        <v>44078</v>
      </c>
      <c r="E14" t="s">
        <v>186</v>
      </c>
      <c r="F14">
        <v>16108</v>
      </c>
      <c r="G14" t="s">
        <v>260</v>
      </c>
      <c r="H14" t="s">
        <v>188</v>
      </c>
      <c r="I14">
        <v>30000</v>
      </c>
      <c r="J14">
        <v>33804</v>
      </c>
      <c r="K14">
        <v>1981</v>
      </c>
      <c r="L14">
        <v>11363</v>
      </c>
      <c r="M14" t="s">
        <v>189</v>
      </c>
      <c r="N14">
        <v>120575</v>
      </c>
      <c r="O14" t="s">
        <v>205</v>
      </c>
      <c r="P14" t="s">
        <v>9</v>
      </c>
      <c r="Q14">
        <v>82780</v>
      </c>
      <c r="R14">
        <v>354</v>
      </c>
      <c r="S14" t="s">
        <v>266</v>
      </c>
      <c r="T14" t="s">
        <v>9</v>
      </c>
      <c r="U14" t="s">
        <v>270</v>
      </c>
      <c r="V14" t="s">
        <v>270</v>
      </c>
      <c r="X14" t="s">
        <v>268</v>
      </c>
      <c r="Y14">
        <v>5</v>
      </c>
      <c r="Z14" s="264">
        <v>44077</v>
      </c>
      <c r="AA14">
        <v>71650000</v>
      </c>
      <c r="AB14" t="s">
        <v>195</v>
      </c>
      <c r="AC14">
        <v>7461.21</v>
      </c>
      <c r="AD14" t="s">
        <v>196</v>
      </c>
      <c r="AE14">
        <v>2020</v>
      </c>
      <c r="AF14">
        <v>9</v>
      </c>
    </row>
    <row r="15" spans="1:32" customFormat="1" hidden="1" x14ac:dyDescent="0.35">
      <c r="A15" t="s">
        <v>184</v>
      </c>
      <c r="B15" t="s">
        <v>271</v>
      </c>
      <c r="C15" s="264">
        <v>44077</v>
      </c>
      <c r="D15" s="264">
        <v>44078</v>
      </c>
      <c r="E15" t="s">
        <v>186</v>
      </c>
      <c r="F15">
        <v>16108</v>
      </c>
      <c r="G15" t="s">
        <v>260</v>
      </c>
      <c r="H15" t="s">
        <v>188</v>
      </c>
      <c r="I15">
        <v>30000</v>
      </c>
      <c r="J15">
        <v>33804</v>
      </c>
      <c r="K15">
        <v>1981</v>
      </c>
      <c r="L15">
        <v>11363</v>
      </c>
      <c r="M15" t="s">
        <v>189</v>
      </c>
      <c r="N15">
        <v>120575</v>
      </c>
      <c r="O15" t="s">
        <v>205</v>
      </c>
      <c r="P15" t="s">
        <v>9</v>
      </c>
      <c r="Q15">
        <v>82780</v>
      </c>
      <c r="R15">
        <v>354</v>
      </c>
      <c r="S15" t="s">
        <v>266</v>
      </c>
      <c r="T15" t="s">
        <v>9</v>
      </c>
      <c r="U15" t="s">
        <v>272</v>
      </c>
      <c r="V15" t="s">
        <v>272</v>
      </c>
      <c r="X15" t="s">
        <v>268</v>
      </c>
      <c r="Y15">
        <v>6</v>
      </c>
      <c r="Z15" s="264">
        <v>44077</v>
      </c>
      <c r="AA15">
        <v>52200000</v>
      </c>
      <c r="AB15" t="s">
        <v>195</v>
      </c>
      <c r="AC15">
        <v>5435.8</v>
      </c>
      <c r="AD15" t="s">
        <v>196</v>
      </c>
      <c r="AE15">
        <v>2020</v>
      </c>
      <c r="AF15">
        <v>9</v>
      </c>
    </row>
    <row r="16" spans="1:32" customFormat="1" hidden="1" x14ac:dyDescent="0.35">
      <c r="A16" t="s">
        <v>184</v>
      </c>
      <c r="B16" t="s">
        <v>273</v>
      </c>
      <c r="C16" s="264">
        <v>44077</v>
      </c>
      <c r="D16" s="264">
        <v>44078</v>
      </c>
      <c r="E16" t="s">
        <v>186</v>
      </c>
      <c r="F16">
        <v>16108</v>
      </c>
      <c r="G16" t="s">
        <v>260</v>
      </c>
      <c r="H16" t="s">
        <v>188</v>
      </c>
      <c r="I16">
        <v>30000</v>
      </c>
      <c r="J16">
        <v>33804</v>
      </c>
      <c r="K16">
        <v>1981</v>
      </c>
      <c r="L16">
        <v>11363</v>
      </c>
      <c r="M16" t="s">
        <v>189</v>
      </c>
      <c r="N16">
        <v>120575</v>
      </c>
      <c r="O16" t="s">
        <v>205</v>
      </c>
      <c r="P16" t="s">
        <v>9</v>
      </c>
      <c r="Q16">
        <v>82780</v>
      </c>
      <c r="R16">
        <v>3051</v>
      </c>
      <c r="S16" t="s">
        <v>206</v>
      </c>
      <c r="T16" t="s">
        <v>9</v>
      </c>
      <c r="U16" t="s">
        <v>274</v>
      </c>
      <c r="V16" t="s">
        <v>274</v>
      </c>
      <c r="X16" t="s">
        <v>268</v>
      </c>
      <c r="Y16">
        <v>7</v>
      </c>
      <c r="Z16" s="264">
        <v>44077</v>
      </c>
      <c r="AA16">
        <v>146800000</v>
      </c>
      <c r="AB16" t="s">
        <v>195</v>
      </c>
      <c r="AC16">
        <v>15286.89</v>
      </c>
      <c r="AD16" t="s">
        <v>196</v>
      </c>
      <c r="AE16">
        <v>2020</v>
      </c>
      <c r="AF16">
        <v>9</v>
      </c>
    </row>
    <row r="17" spans="1:32" x14ac:dyDescent="0.35">
      <c r="A17" s="276" t="s">
        <v>534</v>
      </c>
      <c r="B17" s="276" t="s">
        <v>612</v>
      </c>
      <c r="C17" s="279">
        <v>44112</v>
      </c>
      <c r="D17" s="279">
        <v>44116</v>
      </c>
      <c r="E17" s="276" t="s">
        <v>186</v>
      </c>
      <c r="F17" s="276">
        <v>71635</v>
      </c>
      <c r="G17" s="276" t="s">
        <v>526</v>
      </c>
      <c r="H17" s="276" t="s">
        <v>188</v>
      </c>
      <c r="I17" s="276">
        <v>30000</v>
      </c>
      <c r="J17" s="276">
        <v>33803</v>
      </c>
      <c r="K17" s="276">
        <v>1981</v>
      </c>
      <c r="L17" s="276">
        <v>11363</v>
      </c>
      <c r="M17" s="276" t="s">
        <v>189</v>
      </c>
      <c r="N17" s="276">
        <v>120575</v>
      </c>
      <c r="O17" s="276" t="s">
        <v>190</v>
      </c>
      <c r="P17" s="276" t="s">
        <v>228</v>
      </c>
      <c r="Q17" s="276" t="s">
        <v>544</v>
      </c>
      <c r="R17" s="276">
        <v>359</v>
      </c>
      <c r="S17" s="276" t="s">
        <v>545</v>
      </c>
      <c r="U17" s="276" t="s">
        <v>570</v>
      </c>
      <c r="V17" s="276" t="s">
        <v>540</v>
      </c>
      <c r="X17" s="276" t="s">
        <v>605</v>
      </c>
      <c r="Y17" s="276">
        <v>28</v>
      </c>
      <c r="Z17" s="279">
        <v>44112</v>
      </c>
      <c r="AA17" s="277">
        <v>268.07</v>
      </c>
      <c r="AB17" s="277" t="s">
        <v>417</v>
      </c>
      <c r="AC17" s="278">
        <v>268.07</v>
      </c>
      <c r="AD17" s="276" t="s">
        <v>542</v>
      </c>
      <c r="AE17" s="276">
        <v>2020</v>
      </c>
      <c r="AF17" s="276">
        <v>10</v>
      </c>
    </row>
    <row r="18" spans="1:32" customFormat="1" hidden="1" x14ac:dyDescent="0.35">
      <c r="A18" t="s">
        <v>275</v>
      </c>
      <c r="B18" t="s">
        <v>282</v>
      </c>
      <c r="C18" s="264">
        <v>44081</v>
      </c>
      <c r="D18" s="264">
        <v>44082</v>
      </c>
      <c r="E18" t="s">
        <v>186</v>
      </c>
      <c r="F18">
        <v>16108</v>
      </c>
      <c r="G18" t="s">
        <v>260</v>
      </c>
      <c r="H18" t="s">
        <v>188</v>
      </c>
      <c r="I18">
        <v>30000</v>
      </c>
      <c r="J18">
        <v>33804</v>
      </c>
      <c r="K18">
        <v>1981</v>
      </c>
      <c r="L18">
        <v>11363</v>
      </c>
      <c r="M18" t="s">
        <v>189</v>
      </c>
      <c r="N18">
        <v>120575</v>
      </c>
      <c r="O18" t="s">
        <v>205</v>
      </c>
      <c r="P18" t="s">
        <v>9</v>
      </c>
      <c r="Q18">
        <v>852160</v>
      </c>
      <c r="R18">
        <v>3051</v>
      </c>
      <c r="S18" t="s">
        <v>206</v>
      </c>
      <c r="T18">
        <v>90979</v>
      </c>
      <c r="U18" t="s">
        <v>279</v>
      </c>
      <c r="V18" t="s">
        <v>280</v>
      </c>
      <c r="X18" t="s">
        <v>281</v>
      </c>
      <c r="Y18">
        <v>7</v>
      </c>
      <c r="Z18" s="264">
        <v>44081</v>
      </c>
      <c r="AA18">
        <v>-146800000</v>
      </c>
      <c r="AB18" t="s">
        <v>195</v>
      </c>
      <c r="AC18">
        <v>-15286.89</v>
      </c>
      <c r="AD18" t="s">
        <v>196</v>
      </c>
      <c r="AE18">
        <v>2020</v>
      </c>
      <c r="AF18">
        <v>9</v>
      </c>
    </row>
    <row r="19" spans="1:32" x14ac:dyDescent="0.35">
      <c r="A19" s="276" t="s">
        <v>184</v>
      </c>
      <c r="B19" s="276" t="s">
        <v>185</v>
      </c>
      <c r="C19" s="279">
        <v>44013</v>
      </c>
      <c r="D19" s="279">
        <v>44014</v>
      </c>
      <c r="E19" s="276" t="s">
        <v>186</v>
      </c>
      <c r="F19" s="276">
        <v>72145</v>
      </c>
      <c r="G19" s="276" t="s">
        <v>187</v>
      </c>
      <c r="H19" s="276" t="s">
        <v>188</v>
      </c>
      <c r="I19" s="276">
        <v>30000</v>
      </c>
      <c r="J19" s="276">
        <v>33803</v>
      </c>
      <c r="K19" s="276">
        <v>1981</v>
      </c>
      <c r="L19" s="276">
        <v>11363</v>
      </c>
      <c r="M19" s="276" t="s">
        <v>189</v>
      </c>
      <c r="N19" s="276">
        <v>120575</v>
      </c>
      <c r="O19" s="276" t="s">
        <v>190</v>
      </c>
      <c r="P19" s="276" t="s">
        <v>9</v>
      </c>
      <c r="Q19" s="276" t="s">
        <v>9</v>
      </c>
      <c r="R19" s="276">
        <v>3697</v>
      </c>
      <c r="S19" s="276" t="s">
        <v>191</v>
      </c>
      <c r="T19" s="276" t="s">
        <v>9</v>
      </c>
      <c r="U19" s="276" t="s">
        <v>192</v>
      </c>
      <c r="V19" s="276" t="s">
        <v>193</v>
      </c>
      <c r="X19" s="276" t="s">
        <v>194</v>
      </c>
      <c r="Y19" s="276">
        <v>7</v>
      </c>
      <c r="Z19" s="279">
        <v>44013</v>
      </c>
      <c r="AA19" s="277">
        <v>30156000</v>
      </c>
      <c r="AB19" s="277" t="s">
        <v>195</v>
      </c>
      <c r="AC19" s="278">
        <v>3157.7</v>
      </c>
      <c r="AD19" s="276" t="s">
        <v>196</v>
      </c>
      <c r="AE19" s="276">
        <v>2020</v>
      </c>
      <c r="AF19" s="276">
        <v>7</v>
      </c>
    </row>
    <row r="20" spans="1:32" customFormat="1" hidden="1" x14ac:dyDescent="0.35">
      <c r="A20" t="s">
        <v>275</v>
      </c>
      <c r="B20" t="s">
        <v>288</v>
      </c>
      <c r="C20" t="s">
        <v>259</v>
      </c>
      <c r="D20" s="264">
        <v>44082</v>
      </c>
      <c r="E20" t="s">
        <v>186</v>
      </c>
      <c r="F20">
        <v>16108</v>
      </c>
      <c r="G20" t="s">
        <v>260</v>
      </c>
      <c r="H20" t="s">
        <v>188</v>
      </c>
      <c r="I20">
        <v>30000</v>
      </c>
      <c r="J20">
        <v>33804</v>
      </c>
      <c r="K20">
        <v>1981</v>
      </c>
      <c r="L20">
        <v>11363</v>
      </c>
      <c r="M20" t="s">
        <v>189</v>
      </c>
      <c r="N20">
        <v>120575</v>
      </c>
      <c r="O20" t="s">
        <v>205</v>
      </c>
      <c r="P20" t="s">
        <v>9</v>
      </c>
      <c r="Q20">
        <v>273796</v>
      </c>
      <c r="R20">
        <v>1250</v>
      </c>
      <c r="S20" t="s">
        <v>261</v>
      </c>
      <c r="T20" t="s">
        <v>9</v>
      </c>
      <c r="U20" t="s">
        <v>285</v>
      </c>
      <c r="V20" t="s">
        <v>286</v>
      </c>
      <c r="X20" t="s">
        <v>287</v>
      </c>
      <c r="Y20">
        <v>1</v>
      </c>
      <c r="Z20" t="s">
        <v>259</v>
      </c>
      <c r="AA20">
        <v>-100749000</v>
      </c>
      <c r="AB20" t="s">
        <v>195</v>
      </c>
      <c r="AC20">
        <v>-10491.41</v>
      </c>
      <c r="AD20" t="s">
        <v>196</v>
      </c>
      <c r="AE20">
        <v>2020</v>
      </c>
      <c r="AF20">
        <v>8</v>
      </c>
    </row>
    <row r="21" spans="1:32" customFormat="1" hidden="1" x14ac:dyDescent="0.35">
      <c r="A21" t="s">
        <v>184</v>
      </c>
      <c r="B21" t="s">
        <v>289</v>
      </c>
      <c r="C21" s="264">
        <v>44081</v>
      </c>
      <c r="D21" s="264">
        <v>44082</v>
      </c>
      <c r="E21" t="s">
        <v>186</v>
      </c>
      <c r="F21">
        <v>16108</v>
      </c>
      <c r="G21" t="s">
        <v>260</v>
      </c>
      <c r="H21" t="s">
        <v>188</v>
      </c>
      <c r="I21">
        <v>30000</v>
      </c>
      <c r="J21">
        <v>33804</v>
      </c>
      <c r="K21">
        <v>1981</v>
      </c>
      <c r="L21">
        <v>11363</v>
      </c>
      <c r="M21" t="s">
        <v>189</v>
      </c>
      <c r="N21">
        <v>120575</v>
      </c>
      <c r="O21" t="s">
        <v>205</v>
      </c>
      <c r="P21" t="s">
        <v>9</v>
      </c>
      <c r="Q21">
        <v>852160</v>
      </c>
      <c r="R21">
        <v>3051</v>
      </c>
      <c r="S21" t="s">
        <v>206</v>
      </c>
      <c r="T21" t="s">
        <v>9</v>
      </c>
      <c r="U21" t="s">
        <v>290</v>
      </c>
      <c r="V21" t="s">
        <v>290</v>
      </c>
      <c r="X21" t="s">
        <v>281</v>
      </c>
      <c r="Y21">
        <v>1</v>
      </c>
      <c r="Z21" s="264">
        <v>44081</v>
      </c>
      <c r="AA21">
        <v>24900000</v>
      </c>
      <c r="AB21" t="s">
        <v>195</v>
      </c>
      <c r="AC21">
        <v>2592.94</v>
      </c>
      <c r="AD21" t="s">
        <v>196</v>
      </c>
      <c r="AE21">
        <v>2020</v>
      </c>
      <c r="AF21">
        <v>9</v>
      </c>
    </row>
    <row r="22" spans="1:32" customFormat="1" hidden="1" x14ac:dyDescent="0.35">
      <c r="A22" t="s">
        <v>184</v>
      </c>
      <c r="B22" t="s">
        <v>291</v>
      </c>
      <c r="C22" s="264">
        <v>44082</v>
      </c>
      <c r="D22" s="264">
        <v>44085</v>
      </c>
      <c r="E22" t="s">
        <v>186</v>
      </c>
      <c r="F22">
        <v>16108</v>
      </c>
      <c r="G22" t="s">
        <v>260</v>
      </c>
      <c r="H22" t="s">
        <v>188</v>
      </c>
      <c r="I22">
        <v>30000</v>
      </c>
      <c r="J22">
        <v>33804</v>
      </c>
      <c r="K22">
        <v>1981</v>
      </c>
      <c r="L22">
        <v>11363</v>
      </c>
      <c r="M22" t="s">
        <v>189</v>
      </c>
      <c r="N22">
        <v>120575</v>
      </c>
      <c r="O22" t="s">
        <v>205</v>
      </c>
      <c r="P22" t="s">
        <v>9</v>
      </c>
      <c r="Q22">
        <v>826988</v>
      </c>
      <c r="R22">
        <v>1633</v>
      </c>
      <c r="S22" t="s">
        <v>292</v>
      </c>
      <c r="T22" t="s">
        <v>9</v>
      </c>
      <c r="U22" t="s">
        <v>293</v>
      </c>
      <c r="V22" t="s">
        <v>294</v>
      </c>
      <c r="X22" t="s">
        <v>295</v>
      </c>
      <c r="Y22">
        <v>2</v>
      </c>
      <c r="Z22" s="264">
        <v>44082</v>
      </c>
      <c r="AA22">
        <v>49230000</v>
      </c>
      <c r="AB22" t="s">
        <v>195</v>
      </c>
      <c r="AC22">
        <v>5126.5200000000004</v>
      </c>
      <c r="AD22" t="s">
        <v>196</v>
      </c>
      <c r="AE22">
        <v>2020</v>
      </c>
      <c r="AF22">
        <v>9</v>
      </c>
    </row>
    <row r="23" spans="1:32" customFormat="1" hidden="1" x14ac:dyDescent="0.35">
      <c r="A23" t="s">
        <v>184</v>
      </c>
      <c r="B23" t="s">
        <v>296</v>
      </c>
      <c r="C23" s="264">
        <v>44082</v>
      </c>
      <c r="D23" s="264">
        <v>44085</v>
      </c>
      <c r="E23" t="s">
        <v>186</v>
      </c>
      <c r="F23">
        <v>16108</v>
      </c>
      <c r="G23" t="s">
        <v>260</v>
      </c>
      <c r="H23" t="s">
        <v>188</v>
      </c>
      <c r="I23">
        <v>30000</v>
      </c>
      <c r="J23">
        <v>33804</v>
      </c>
      <c r="K23">
        <v>1981</v>
      </c>
      <c r="L23">
        <v>11363</v>
      </c>
      <c r="M23" t="s">
        <v>189</v>
      </c>
      <c r="N23">
        <v>120575</v>
      </c>
      <c r="O23" t="s">
        <v>205</v>
      </c>
      <c r="P23" t="s">
        <v>9</v>
      </c>
      <c r="Q23">
        <v>826988</v>
      </c>
      <c r="R23">
        <v>1633</v>
      </c>
      <c r="S23" t="s">
        <v>292</v>
      </c>
      <c r="T23" t="s">
        <v>9</v>
      </c>
      <c r="U23" t="s">
        <v>297</v>
      </c>
      <c r="V23" t="s">
        <v>294</v>
      </c>
      <c r="X23" t="s">
        <v>295</v>
      </c>
      <c r="Y23">
        <v>3</v>
      </c>
      <c r="Z23" s="264">
        <v>44082</v>
      </c>
      <c r="AA23">
        <v>53040000</v>
      </c>
      <c r="AB23" t="s">
        <v>195</v>
      </c>
      <c r="AC23">
        <v>5523.27</v>
      </c>
      <c r="AD23" t="s">
        <v>196</v>
      </c>
      <c r="AE23">
        <v>2020</v>
      </c>
      <c r="AF23">
        <v>9</v>
      </c>
    </row>
    <row r="24" spans="1:32" customFormat="1" hidden="1" x14ac:dyDescent="0.35">
      <c r="A24" t="s">
        <v>184</v>
      </c>
      <c r="B24" t="s">
        <v>298</v>
      </c>
      <c r="C24" s="264">
        <v>44082</v>
      </c>
      <c r="D24" s="264">
        <v>44085</v>
      </c>
      <c r="E24" t="s">
        <v>186</v>
      </c>
      <c r="F24">
        <v>16108</v>
      </c>
      <c r="G24" t="s">
        <v>260</v>
      </c>
      <c r="H24" t="s">
        <v>188</v>
      </c>
      <c r="I24">
        <v>30000</v>
      </c>
      <c r="J24">
        <v>33804</v>
      </c>
      <c r="K24">
        <v>1981</v>
      </c>
      <c r="L24">
        <v>11363</v>
      </c>
      <c r="M24" t="s">
        <v>189</v>
      </c>
      <c r="N24">
        <v>120575</v>
      </c>
      <c r="O24" t="s">
        <v>205</v>
      </c>
      <c r="P24" t="s">
        <v>9</v>
      </c>
      <c r="Q24">
        <v>826988</v>
      </c>
      <c r="R24">
        <v>1633</v>
      </c>
      <c r="S24" t="s">
        <v>292</v>
      </c>
      <c r="T24" t="s">
        <v>9</v>
      </c>
      <c r="U24" t="s">
        <v>299</v>
      </c>
      <c r="V24" t="s">
        <v>294</v>
      </c>
      <c r="X24" t="s">
        <v>295</v>
      </c>
      <c r="Y24">
        <v>4</v>
      </c>
      <c r="Z24" s="264">
        <v>44082</v>
      </c>
      <c r="AA24">
        <v>49550000</v>
      </c>
      <c r="AB24" t="s">
        <v>195</v>
      </c>
      <c r="AC24">
        <v>5159.8500000000004</v>
      </c>
      <c r="AD24" t="s">
        <v>196</v>
      </c>
      <c r="AE24">
        <v>2020</v>
      </c>
      <c r="AF24">
        <v>9</v>
      </c>
    </row>
    <row r="25" spans="1:32" customFormat="1" hidden="1" x14ac:dyDescent="0.35">
      <c r="A25" t="s">
        <v>275</v>
      </c>
      <c r="B25" t="s">
        <v>300</v>
      </c>
      <c r="C25" s="264">
        <v>44085</v>
      </c>
      <c r="D25" s="264">
        <v>44089</v>
      </c>
      <c r="E25" t="s">
        <v>186</v>
      </c>
      <c r="F25">
        <v>16108</v>
      </c>
      <c r="G25" t="s">
        <v>260</v>
      </c>
      <c r="H25" t="s">
        <v>188</v>
      </c>
      <c r="I25">
        <v>30000</v>
      </c>
      <c r="J25">
        <v>33804</v>
      </c>
      <c r="K25">
        <v>1981</v>
      </c>
      <c r="L25">
        <v>11363</v>
      </c>
      <c r="M25" t="s">
        <v>189</v>
      </c>
      <c r="N25">
        <v>120575</v>
      </c>
      <c r="O25" t="s">
        <v>205</v>
      </c>
      <c r="P25" t="s">
        <v>9</v>
      </c>
      <c r="Q25">
        <v>852160</v>
      </c>
      <c r="R25">
        <v>3051</v>
      </c>
      <c r="S25" t="s">
        <v>206</v>
      </c>
      <c r="T25">
        <v>91008</v>
      </c>
      <c r="U25" t="s">
        <v>301</v>
      </c>
      <c r="V25" t="s">
        <v>302</v>
      </c>
      <c r="X25" t="s">
        <v>303</v>
      </c>
      <c r="Y25">
        <v>3</v>
      </c>
      <c r="Z25" s="264">
        <v>44085</v>
      </c>
      <c r="AA25">
        <v>-24900000</v>
      </c>
      <c r="AB25" t="s">
        <v>195</v>
      </c>
      <c r="AC25">
        <v>-2592.94</v>
      </c>
      <c r="AD25" t="s">
        <v>196</v>
      </c>
      <c r="AE25">
        <v>2020</v>
      </c>
      <c r="AF25">
        <v>9</v>
      </c>
    </row>
    <row r="26" spans="1:32" x14ac:dyDescent="0.35">
      <c r="A26" s="276" t="s">
        <v>411</v>
      </c>
      <c r="B26" s="276" t="s">
        <v>412</v>
      </c>
      <c r="C26" s="279">
        <v>44012</v>
      </c>
      <c r="D26" s="279">
        <v>44032</v>
      </c>
      <c r="E26" s="276" t="s">
        <v>186</v>
      </c>
      <c r="F26" s="276">
        <v>75105</v>
      </c>
      <c r="G26" s="276" t="s">
        <v>413</v>
      </c>
      <c r="H26" s="276" t="s">
        <v>188</v>
      </c>
      <c r="I26" s="276">
        <v>30000</v>
      </c>
      <c r="J26" s="276">
        <v>33803</v>
      </c>
      <c r="K26" s="276">
        <v>1981</v>
      </c>
      <c r="L26" s="276">
        <v>11363</v>
      </c>
      <c r="M26" s="276" t="s">
        <v>189</v>
      </c>
      <c r="N26" s="276">
        <v>120575</v>
      </c>
      <c r="O26" s="276" t="s">
        <v>190</v>
      </c>
      <c r="P26" s="276" t="s">
        <v>414</v>
      </c>
      <c r="U26" s="276" t="s">
        <v>415</v>
      </c>
      <c r="V26" s="276" t="s">
        <v>416</v>
      </c>
      <c r="X26" s="276">
        <v>8582266</v>
      </c>
      <c r="Y26" s="276">
        <v>5144</v>
      </c>
      <c r="Z26" s="279">
        <v>44012</v>
      </c>
      <c r="AA26" s="277">
        <v>294.14999999999998</v>
      </c>
      <c r="AB26" s="277" t="s">
        <v>417</v>
      </c>
      <c r="AC26" s="278">
        <v>294.14999999999998</v>
      </c>
      <c r="AD26" s="276" t="s">
        <v>418</v>
      </c>
      <c r="AE26" s="276">
        <v>2020</v>
      </c>
      <c r="AF26" s="276">
        <v>6</v>
      </c>
    </row>
    <row r="27" spans="1:32" x14ac:dyDescent="0.35">
      <c r="A27" s="276" t="s">
        <v>411</v>
      </c>
      <c r="B27" s="276" t="s">
        <v>426</v>
      </c>
      <c r="C27" s="279">
        <v>44029</v>
      </c>
      <c r="D27" s="279">
        <v>44032</v>
      </c>
      <c r="E27" s="276" t="s">
        <v>186</v>
      </c>
      <c r="F27" s="276">
        <v>75105</v>
      </c>
      <c r="G27" s="276" t="s">
        <v>413</v>
      </c>
      <c r="H27" s="276" t="s">
        <v>188</v>
      </c>
      <c r="I27" s="276">
        <v>30000</v>
      </c>
      <c r="J27" s="276">
        <v>33803</v>
      </c>
      <c r="K27" s="276">
        <v>1981</v>
      </c>
      <c r="L27" s="276">
        <v>11363</v>
      </c>
      <c r="M27" s="276" t="s">
        <v>189</v>
      </c>
      <c r="N27" s="276">
        <v>120575</v>
      </c>
      <c r="O27" s="276" t="s">
        <v>190</v>
      </c>
      <c r="P27" s="276" t="s">
        <v>414</v>
      </c>
      <c r="U27" s="276" t="s">
        <v>424</v>
      </c>
      <c r="V27" s="276" t="s">
        <v>416</v>
      </c>
      <c r="X27" s="276">
        <v>8582275</v>
      </c>
      <c r="Y27" s="276">
        <v>2011</v>
      </c>
      <c r="Z27" s="279">
        <v>44029</v>
      </c>
      <c r="AA27" s="277">
        <v>221.04</v>
      </c>
      <c r="AB27" s="277" t="s">
        <v>417</v>
      </c>
      <c r="AC27" s="278">
        <v>221.04</v>
      </c>
      <c r="AD27" s="276" t="s">
        <v>418</v>
      </c>
      <c r="AE27" s="276">
        <v>2020</v>
      </c>
      <c r="AF27" s="276">
        <v>7</v>
      </c>
    </row>
    <row r="28" spans="1:32" x14ac:dyDescent="0.35">
      <c r="A28" s="276" t="s">
        <v>411</v>
      </c>
      <c r="B28" s="276" t="s">
        <v>437</v>
      </c>
      <c r="C28" s="276" t="s">
        <v>435</v>
      </c>
      <c r="D28" s="276" t="s">
        <v>234</v>
      </c>
      <c r="E28" s="276" t="s">
        <v>186</v>
      </c>
      <c r="F28" s="276">
        <v>75105</v>
      </c>
      <c r="G28" s="276" t="s">
        <v>413</v>
      </c>
      <c r="H28" s="276" t="s">
        <v>188</v>
      </c>
      <c r="I28" s="276">
        <v>30000</v>
      </c>
      <c r="J28" s="276">
        <v>33803</v>
      </c>
      <c r="K28" s="276">
        <v>1981</v>
      </c>
      <c r="L28" s="276">
        <v>11363</v>
      </c>
      <c r="M28" s="276" t="s">
        <v>189</v>
      </c>
      <c r="N28" s="276">
        <v>120575</v>
      </c>
      <c r="O28" s="276" t="s">
        <v>190</v>
      </c>
      <c r="P28" s="276" t="s">
        <v>414</v>
      </c>
      <c r="U28" s="276" t="s">
        <v>436</v>
      </c>
      <c r="V28" s="276" t="s">
        <v>416</v>
      </c>
      <c r="X28" s="276">
        <v>8614804</v>
      </c>
      <c r="Y28" s="276">
        <v>3663</v>
      </c>
      <c r="Z28" s="276" t="s">
        <v>435</v>
      </c>
      <c r="AA28" s="277">
        <v>67.61</v>
      </c>
      <c r="AB28" s="277" t="s">
        <v>417</v>
      </c>
      <c r="AC28" s="278">
        <v>67.61</v>
      </c>
      <c r="AD28" s="276" t="s">
        <v>418</v>
      </c>
      <c r="AE28" s="276">
        <v>2020</v>
      </c>
      <c r="AF28" s="276">
        <v>8</v>
      </c>
    </row>
    <row r="29" spans="1:32" x14ac:dyDescent="0.35">
      <c r="A29" s="276" t="s">
        <v>411</v>
      </c>
      <c r="B29" s="276" t="s">
        <v>468</v>
      </c>
      <c r="C29" s="279">
        <v>44120</v>
      </c>
      <c r="D29" s="279">
        <v>44123</v>
      </c>
      <c r="E29" s="276" t="s">
        <v>186</v>
      </c>
      <c r="F29" s="276">
        <v>75105</v>
      </c>
      <c r="G29" s="276" t="s">
        <v>413</v>
      </c>
      <c r="H29" s="276" t="s">
        <v>188</v>
      </c>
      <c r="I29" s="276">
        <v>30000</v>
      </c>
      <c r="J29" s="276">
        <v>33803</v>
      </c>
      <c r="K29" s="276">
        <v>1981</v>
      </c>
      <c r="L29" s="276">
        <v>11363</v>
      </c>
      <c r="M29" s="276" t="s">
        <v>189</v>
      </c>
      <c r="N29" s="276">
        <v>120575</v>
      </c>
      <c r="O29" s="276" t="s">
        <v>190</v>
      </c>
      <c r="P29" s="276" t="s">
        <v>414</v>
      </c>
      <c r="U29" s="276" t="s">
        <v>469</v>
      </c>
      <c r="V29" s="276" t="s">
        <v>416</v>
      </c>
      <c r="X29" s="276">
        <v>8690179</v>
      </c>
      <c r="Y29" s="276">
        <v>4084</v>
      </c>
      <c r="Z29" s="279">
        <v>44120</v>
      </c>
      <c r="AA29" s="277">
        <v>342.5</v>
      </c>
      <c r="AB29" s="277" t="s">
        <v>417</v>
      </c>
      <c r="AC29" s="278">
        <v>342.5</v>
      </c>
      <c r="AD29" s="276" t="s">
        <v>418</v>
      </c>
      <c r="AE29" s="276">
        <v>2020</v>
      </c>
      <c r="AF29" s="276">
        <v>10</v>
      </c>
    </row>
    <row r="30" spans="1:32" x14ac:dyDescent="0.35">
      <c r="A30" s="276" t="s">
        <v>184</v>
      </c>
      <c r="B30" s="276" t="s">
        <v>384</v>
      </c>
      <c r="C30" s="279">
        <v>44112</v>
      </c>
      <c r="D30" s="279">
        <v>44124</v>
      </c>
      <c r="E30" s="276" t="s">
        <v>186</v>
      </c>
      <c r="F30" s="276">
        <v>72425</v>
      </c>
      <c r="G30" s="276" t="s">
        <v>213</v>
      </c>
      <c r="H30" s="276" t="s">
        <v>188</v>
      </c>
      <c r="I30" s="276">
        <v>30000</v>
      </c>
      <c r="J30" s="276">
        <v>33803</v>
      </c>
      <c r="K30" s="276">
        <v>1981</v>
      </c>
      <c r="L30" s="276">
        <v>11363</v>
      </c>
      <c r="M30" s="276" t="s">
        <v>189</v>
      </c>
      <c r="N30" s="276">
        <v>120575</v>
      </c>
      <c r="O30" s="276" t="s">
        <v>385</v>
      </c>
      <c r="P30" s="276" t="s">
        <v>228</v>
      </c>
      <c r="Q30" s="276" t="s">
        <v>9</v>
      </c>
      <c r="R30" s="276">
        <v>2329</v>
      </c>
      <c r="S30" s="276" t="s">
        <v>200</v>
      </c>
      <c r="T30" s="276" t="s">
        <v>9</v>
      </c>
      <c r="U30" s="276" t="s">
        <v>386</v>
      </c>
      <c r="V30" s="276" t="s">
        <v>387</v>
      </c>
      <c r="X30" s="276" t="s">
        <v>388</v>
      </c>
      <c r="Y30" s="276">
        <v>26</v>
      </c>
      <c r="Z30" s="279">
        <v>44112</v>
      </c>
      <c r="AA30" s="277">
        <v>3291396</v>
      </c>
      <c r="AB30" s="277" t="s">
        <v>195</v>
      </c>
      <c r="AC30" s="278">
        <v>338.71</v>
      </c>
      <c r="AD30" s="276" t="s">
        <v>196</v>
      </c>
      <c r="AE30" s="276">
        <v>2020</v>
      </c>
      <c r="AF30" s="276">
        <v>10</v>
      </c>
    </row>
    <row r="31" spans="1:32" x14ac:dyDescent="0.35">
      <c r="A31" s="276" t="s">
        <v>184</v>
      </c>
      <c r="B31" s="276" t="s">
        <v>389</v>
      </c>
      <c r="C31" s="279">
        <v>44124</v>
      </c>
      <c r="D31" s="279">
        <v>44124</v>
      </c>
      <c r="E31" s="276" t="s">
        <v>186</v>
      </c>
      <c r="F31" s="276">
        <v>76135</v>
      </c>
      <c r="G31" s="276" t="s">
        <v>390</v>
      </c>
      <c r="H31" s="276" t="s">
        <v>188</v>
      </c>
      <c r="I31" s="276">
        <v>30000</v>
      </c>
      <c r="J31" s="276">
        <v>33803</v>
      </c>
      <c r="K31" s="276">
        <v>1981</v>
      </c>
      <c r="L31" s="276">
        <v>11363</v>
      </c>
      <c r="M31" s="276" t="s">
        <v>189</v>
      </c>
      <c r="N31" s="276">
        <v>120575</v>
      </c>
      <c r="O31" s="276" t="s">
        <v>385</v>
      </c>
      <c r="P31" s="276" t="s">
        <v>228</v>
      </c>
      <c r="Q31" s="276" t="s">
        <v>9</v>
      </c>
      <c r="R31" s="276">
        <v>2329</v>
      </c>
      <c r="S31" s="276" t="s">
        <v>200</v>
      </c>
      <c r="T31" s="276" t="s">
        <v>9</v>
      </c>
      <c r="U31" s="276" t="s">
        <v>390</v>
      </c>
      <c r="V31" s="276" t="s">
        <v>387</v>
      </c>
      <c r="X31" s="276" t="s">
        <v>391</v>
      </c>
      <c r="Y31" s="276">
        <v>151</v>
      </c>
      <c r="Z31" s="279">
        <v>44124</v>
      </c>
      <c r="AA31" s="277">
        <v>0</v>
      </c>
      <c r="AB31" s="277" t="s">
        <v>195</v>
      </c>
      <c r="AC31" s="278">
        <v>0</v>
      </c>
      <c r="AD31" s="276" t="s">
        <v>196</v>
      </c>
      <c r="AE31" s="276">
        <v>2020</v>
      </c>
      <c r="AF31" s="276">
        <v>10</v>
      </c>
    </row>
    <row r="32" spans="1:32" x14ac:dyDescent="0.35">
      <c r="A32" s="276" t="s">
        <v>534</v>
      </c>
      <c r="B32" s="276" t="s">
        <v>576</v>
      </c>
      <c r="C32" s="276" t="s">
        <v>564</v>
      </c>
      <c r="D32" s="276" t="s">
        <v>565</v>
      </c>
      <c r="E32" s="276" t="s">
        <v>186</v>
      </c>
      <c r="F32" s="276">
        <v>71610</v>
      </c>
      <c r="G32" s="276" t="s">
        <v>577</v>
      </c>
      <c r="H32" s="276" t="s">
        <v>188</v>
      </c>
      <c r="I32" s="276">
        <v>30000</v>
      </c>
      <c r="J32" s="276">
        <v>33804</v>
      </c>
      <c r="K32" s="276">
        <v>1981</v>
      </c>
      <c r="L32" s="276">
        <v>11363</v>
      </c>
      <c r="M32" s="276" t="s">
        <v>189</v>
      </c>
      <c r="N32" s="276">
        <v>120575</v>
      </c>
      <c r="O32" s="276" t="s">
        <v>205</v>
      </c>
      <c r="P32" s="276" t="s">
        <v>228</v>
      </c>
      <c r="Q32" s="276">
        <v>783747</v>
      </c>
      <c r="R32" s="276">
        <v>6193</v>
      </c>
      <c r="S32" s="276" t="s">
        <v>578</v>
      </c>
      <c r="U32" s="276" t="s">
        <v>539</v>
      </c>
      <c r="V32" s="276" t="s">
        <v>540</v>
      </c>
      <c r="X32" s="276" t="s">
        <v>568</v>
      </c>
      <c r="Y32" s="276">
        <v>64</v>
      </c>
      <c r="Z32" s="276" t="s">
        <v>564</v>
      </c>
      <c r="AA32" s="277">
        <v>726.27</v>
      </c>
      <c r="AB32" s="277" t="s">
        <v>417</v>
      </c>
      <c r="AC32" s="278">
        <v>726.27</v>
      </c>
      <c r="AD32" s="276" t="s">
        <v>542</v>
      </c>
      <c r="AE32" s="276">
        <v>2020</v>
      </c>
      <c r="AF32" s="276">
        <v>8</v>
      </c>
    </row>
    <row r="33" spans="1:32" x14ac:dyDescent="0.35">
      <c r="A33" s="276" t="s">
        <v>534</v>
      </c>
      <c r="B33" s="276" t="s">
        <v>563</v>
      </c>
      <c r="C33" s="276" t="s">
        <v>564</v>
      </c>
      <c r="D33" s="276" t="s">
        <v>565</v>
      </c>
      <c r="E33" s="276" t="s">
        <v>186</v>
      </c>
      <c r="F33" s="276">
        <v>71615</v>
      </c>
      <c r="G33" s="276" t="s">
        <v>552</v>
      </c>
      <c r="H33" s="276" t="s">
        <v>188</v>
      </c>
      <c r="I33" s="276">
        <v>30000</v>
      </c>
      <c r="J33" s="276">
        <v>33804</v>
      </c>
      <c r="K33" s="276">
        <v>1981</v>
      </c>
      <c r="L33" s="276">
        <v>11363</v>
      </c>
      <c r="M33" s="276" t="s">
        <v>189</v>
      </c>
      <c r="N33" s="276">
        <v>120575</v>
      </c>
      <c r="O33" s="276" t="s">
        <v>205</v>
      </c>
      <c r="P33" s="276" t="s">
        <v>228</v>
      </c>
      <c r="Q33" s="276" t="s">
        <v>566</v>
      </c>
      <c r="R33" s="276">
        <v>3128</v>
      </c>
      <c r="S33" s="276" t="s">
        <v>567</v>
      </c>
      <c r="U33" s="276" t="s">
        <v>539</v>
      </c>
      <c r="V33" s="276" t="s">
        <v>540</v>
      </c>
      <c r="X33" s="276" t="s">
        <v>568</v>
      </c>
      <c r="Y33" s="276">
        <v>31</v>
      </c>
      <c r="Z33" s="276" t="s">
        <v>564</v>
      </c>
      <c r="AA33" s="277">
        <v>726.27</v>
      </c>
      <c r="AB33" s="277" t="s">
        <v>417</v>
      </c>
      <c r="AC33" s="278">
        <v>726.27</v>
      </c>
      <c r="AD33" s="276" t="s">
        <v>542</v>
      </c>
      <c r="AE33" s="276">
        <v>2020</v>
      </c>
      <c r="AF33" s="276">
        <v>8</v>
      </c>
    </row>
    <row r="34" spans="1:32" x14ac:dyDescent="0.35">
      <c r="A34" s="276" t="s">
        <v>534</v>
      </c>
      <c r="B34" s="276" t="s">
        <v>573</v>
      </c>
      <c r="C34" s="276" t="s">
        <v>564</v>
      </c>
      <c r="D34" s="276" t="s">
        <v>565</v>
      </c>
      <c r="E34" s="276" t="s">
        <v>186</v>
      </c>
      <c r="F34" s="276">
        <v>71615</v>
      </c>
      <c r="G34" s="276" t="s">
        <v>552</v>
      </c>
      <c r="H34" s="276" t="s">
        <v>188</v>
      </c>
      <c r="I34" s="276">
        <v>30000</v>
      </c>
      <c r="J34" s="276">
        <v>33804</v>
      </c>
      <c r="K34" s="276">
        <v>1981</v>
      </c>
      <c r="L34" s="276">
        <v>11363</v>
      </c>
      <c r="M34" s="276" t="s">
        <v>189</v>
      </c>
      <c r="N34" s="276">
        <v>120575</v>
      </c>
      <c r="O34" s="276" t="s">
        <v>205</v>
      </c>
      <c r="P34" s="276" t="s">
        <v>228</v>
      </c>
      <c r="Q34" s="276" t="s">
        <v>574</v>
      </c>
      <c r="R34" s="276">
        <v>3071</v>
      </c>
      <c r="S34" s="276" t="s">
        <v>575</v>
      </c>
      <c r="U34" s="276" t="s">
        <v>539</v>
      </c>
      <c r="V34" s="276" t="s">
        <v>540</v>
      </c>
      <c r="X34" s="276" t="s">
        <v>568</v>
      </c>
      <c r="Y34" s="276">
        <v>68</v>
      </c>
      <c r="Z34" s="276" t="s">
        <v>564</v>
      </c>
      <c r="AA34" s="277">
        <v>726.27</v>
      </c>
      <c r="AB34" s="277" t="s">
        <v>417</v>
      </c>
      <c r="AC34" s="278">
        <v>726.27</v>
      </c>
      <c r="AD34" s="276" t="s">
        <v>542</v>
      </c>
      <c r="AE34" s="276">
        <v>2020</v>
      </c>
      <c r="AF34" s="276">
        <v>8</v>
      </c>
    </row>
    <row r="35" spans="1:32" customFormat="1" hidden="1" x14ac:dyDescent="0.35">
      <c r="A35" t="s">
        <v>184</v>
      </c>
      <c r="B35" t="s">
        <v>339</v>
      </c>
      <c r="C35" s="264">
        <v>44092</v>
      </c>
      <c r="D35" s="264">
        <v>44093</v>
      </c>
      <c r="E35" t="s">
        <v>186</v>
      </c>
      <c r="F35">
        <v>16108</v>
      </c>
      <c r="G35" t="s">
        <v>260</v>
      </c>
      <c r="H35" t="s">
        <v>188</v>
      </c>
      <c r="I35">
        <v>30000</v>
      </c>
      <c r="J35">
        <v>33804</v>
      </c>
      <c r="K35">
        <v>1981</v>
      </c>
      <c r="L35">
        <v>11363</v>
      </c>
      <c r="M35" t="s">
        <v>189</v>
      </c>
      <c r="N35">
        <v>120575</v>
      </c>
      <c r="O35" t="s">
        <v>205</v>
      </c>
      <c r="P35" t="s">
        <v>9</v>
      </c>
      <c r="Q35">
        <v>852160</v>
      </c>
      <c r="R35">
        <v>3051</v>
      </c>
      <c r="S35" t="s">
        <v>206</v>
      </c>
      <c r="T35" t="s">
        <v>9</v>
      </c>
      <c r="U35" t="s">
        <v>214</v>
      </c>
      <c r="V35" t="s">
        <v>340</v>
      </c>
      <c r="X35" t="s">
        <v>341</v>
      </c>
      <c r="Y35">
        <v>2</v>
      </c>
      <c r="Z35" s="264">
        <v>44092</v>
      </c>
      <c r="AA35">
        <v>76050000</v>
      </c>
      <c r="AB35" t="s">
        <v>195</v>
      </c>
      <c r="AC35">
        <v>7919.4</v>
      </c>
      <c r="AD35" t="s">
        <v>196</v>
      </c>
      <c r="AE35">
        <v>2020</v>
      </c>
      <c r="AF35">
        <v>9</v>
      </c>
    </row>
    <row r="36" spans="1:32" customFormat="1" hidden="1" x14ac:dyDescent="0.35">
      <c r="A36" t="s">
        <v>275</v>
      </c>
      <c r="B36" t="s">
        <v>342</v>
      </c>
      <c r="C36" s="264">
        <v>44081</v>
      </c>
      <c r="D36" s="264">
        <v>44096</v>
      </c>
      <c r="E36" t="s">
        <v>186</v>
      </c>
      <c r="F36">
        <v>16108</v>
      </c>
      <c r="G36" t="s">
        <v>260</v>
      </c>
      <c r="H36" t="s">
        <v>188</v>
      </c>
      <c r="I36">
        <v>30000</v>
      </c>
      <c r="J36">
        <v>33804</v>
      </c>
      <c r="K36">
        <v>1981</v>
      </c>
      <c r="L36">
        <v>11363</v>
      </c>
      <c r="M36" t="s">
        <v>189</v>
      </c>
      <c r="N36">
        <v>120575</v>
      </c>
      <c r="O36" t="s">
        <v>205</v>
      </c>
      <c r="P36" t="s">
        <v>9</v>
      </c>
      <c r="Q36">
        <v>82780</v>
      </c>
      <c r="R36">
        <v>3051</v>
      </c>
      <c r="S36" t="s">
        <v>206</v>
      </c>
      <c r="T36">
        <v>91004</v>
      </c>
      <c r="U36" t="s">
        <v>343</v>
      </c>
      <c r="V36" t="s">
        <v>344</v>
      </c>
      <c r="X36" t="s">
        <v>345</v>
      </c>
      <c r="Y36">
        <v>1</v>
      </c>
      <c r="Z36" s="264">
        <v>44081</v>
      </c>
      <c r="AA36">
        <v>-146800000</v>
      </c>
      <c r="AB36" t="s">
        <v>195</v>
      </c>
      <c r="AC36">
        <v>-15286.89</v>
      </c>
      <c r="AD36" t="s">
        <v>196</v>
      </c>
      <c r="AE36">
        <v>2020</v>
      </c>
      <c r="AF36">
        <v>9</v>
      </c>
    </row>
    <row r="37" spans="1:32" customFormat="1" hidden="1" x14ac:dyDescent="0.35">
      <c r="A37" t="s">
        <v>275</v>
      </c>
      <c r="B37" t="s">
        <v>342</v>
      </c>
      <c r="C37" s="264">
        <v>44081</v>
      </c>
      <c r="D37" s="264">
        <v>44098</v>
      </c>
      <c r="E37" t="s">
        <v>186</v>
      </c>
      <c r="F37">
        <v>16108</v>
      </c>
      <c r="G37" t="s">
        <v>260</v>
      </c>
      <c r="H37" t="s">
        <v>188</v>
      </c>
      <c r="I37">
        <v>30000</v>
      </c>
      <c r="J37">
        <v>33804</v>
      </c>
      <c r="K37">
        <v>1981</v>
      </c>
      <c r="L37">
        <v>11363</v>
      </c>
      <c r="M37" t="s">
        <v>189</v>
      </c>
      <c r="N37">
        <v>120575</v>
      </c>
      <c r="O37" t="s">
        <v>205</v>
      </c>
      <c r="P37" t="s">
        <v>9</v>
      </c>
      <c r="Q37">
        <v>82780</v>
      </c>
      <c r="R37">
        <v>3051</v>
      </c>
      <c r="S37" t="s">
        <v>206</v>
      </c>
      <c r="T37">
        <v>91004</v>
      </c>
      <c r="U37" t="s">
        <v>343</v>
      </c>
      <c r="V37" t="s">
        <v>344</v>
      </c>
      <c r="X37" t="s">
        <v>346</v>
      </c>
      <c r="Y37">
        <v>1</v>
      </c>
      <c r="Z37" s="264">
        <v>44081</v>
      </c>
      <c r="AA37">
        <v>146800000</v>
      </c>
      <c r="AB37" t="s">
        <v>195</v>
      </c>
      <c r="AC37">
        <v>15286.89</v>
      </c>
      <c r="AD37" t="s">
        <v>196</v>
      </c>
      <c r="AE37">
        <v>2020</v>
      </c>
      <c r="AF37">
        <v>9</v>
      </c>
    </row>
    <row r="38" spans="1:32" customFormat="1" hidden="1" x14ac:dyDescent="0.35">
      <c r="A38" t="s">
        <v>275</v>
      </c>
      <c r="B38" t="s">
        <v>342</v>
      </c>
      <c r="C38" s="264">
        <v>44081</v>
      </c>
      <c r="D38" s="264">
        <v>44098</v>
      </c>
      <c r="E38" t="s">
        <v>186</v>
      </c>
      <c r="F38">
        <v>16108</v>
      </c>
      <c r="G38" t="s">
        <v>260</v>
      </c>
      <c r="H38" t="s">
        <v>188</v>
      </c>
      <c r="I38">
        <v>30000</v>
      </c>
      <c r="J38">
        <v>33804</v>
      </c>
      <c r="K38">
        <v>1981</v>
      </c>
      <c r="L38">
        <v>11363</v>
      </c>
      <c r="M38" t="s">
        <v>189</v>
      </c>
      <c r="N38">
        <v>120575</v>
      </c>
      <c r="O38" t="s">
        <v>205</v>
      </c>
      <c r="P38" t="s">
        <v>228</v>
      </c>
      <c r="Q38">
        <v>82780</v>
      </c>
      <c r="R38">
        <v>3051</v>
      </c>
      <c r="S38" t="s">
        <v>206</v>
      </c>
      <c r="T38">
        <v>91004</v>
      </c>
      <c r="U38" t="s">
        <v>343</v>
      </c>
      <c r="V38" t="s">
        <v>344</v>
      </c>
      <c r="X38" t="s">
        <v>347</v>
      </c>
      <c r="Y38">
        <v>1</v>
      </c>
      <c r="Z38" s="264">
        <v>44081</v>
      </c>
      <c r="AA38">
        <v>-146800000</v>
      </c>
      <c r="AB38" t="s">
        <v>195</v>
      </c>
      <c r="AC38">
        <v>-15286.89</v>
      </c>
      <c r="AD38" t="s">
        <v>196</v>
      </c>
      <c r="AE38">
        <v>2020</v>
      </c>
      <c r="AF38">
        <v>9</v>
      </c>
    </row>
    <row r="39" spans="1:32" customFormat="1" hidden="1" x14ac:dyDescent="0.35">
      <c r="A39" t="s">
        <v>275</v>
      </c>
      <c r="B39" t="s">
        <v>348</v>
      </c>
      <c r="C39" s="264">
        <v>44081</v>
      </c>
      <c r="D39" s="264">
        <v>44096</v>
      </c>
      <c r="E39" t="s">
        <v>186</v>
      </c>
      <c r="F39">
        <v>16108</v>
      </c>
      <c r="G39" t="s">
        <v>260</v>
      </c>
      <c r="H39" t="s">
        <v>188</v>
      </c>
      <c r="I39">
        <v>30000</v>
      </c>
      <c r="J39">
        <v>33804</v>
      </c>
      <c r="K39">
        <v>1981</v>
      </c>
      <c r="L39">
        <v>11363</v>
      </c>
      <c r="M39" t="s">
        <v>189</v>
      </c>
      <c r="N39">
        <v>120575</v>
      </c>
      <c r="O39" t="s">
        <v>205</v>
      </c>
      <c r="P39" t="s">
        <v>9</v>
      </c>
      <c r="Q39">
        <v>852160</v>
      </c>
      <c r="R39">
        <v>3051</v>
      </c>
      <c r="S39" t="s">
        <v>206</v>
      </c>
      <c r="T39">
        <v>91004</v>
      </c>
      <c r="U39" t="s">
        <v>343</v>
      </c>
      <c r="V39" t="s">
        <v>344</v>
      </c>
      <c r="X39" t="s">
        <v>345</v>
      </c>
      <c r="Y39">
        <v>2</v>
      </c>
      <c r="Z39" s="264">
        <v>44081</v>
      </c>
      <c r="AA39">
        <v>146800000</v>
      </c>
      <c r="AB39" t="s">
        <v>195</v>
      </c>
      <c r="AC39">
        <v>15286.89</v>
      </c>
      <c r="AD39" t="s">
        <v>196</v>
      </c>
      <c r="AE39">
        <v>2020</v>
      </c>
      <c r="AF39">
        <v>9</v>
      </c>
    </row>
    <row r="40" spans="1:32" customFormat="1" hidden="1" x14ac:dyDescent="0.35">
      <c r="A40" t="s">
        <v>275</v>
      </c>
      <c r="B40" t="s">
        <v>348</v>
      </c>
      <c r="C40" s="264">
        <v>44081</v>
      </c>
      <c r="D40" s="264">
        <v>44098</v>
      </c>
      <c r="E40" t="s">
        <v>186</v>
      </c>
      <c r="F40">
        <v>16108</v>
      </c>
      <c r="G40" t="s">
        <v>260</v>
      </c>
      <c r="H40" t="s">
        <v>188</v>
      </c>
      <c r="I40">
        <v>30000</v>
      </c>
      <c r="J40">
        <v>33804</v>
      </c>
      <c r="K40">
        <v>1981</v>
      </c>
      <c r="L40">
        <v>11363</v>
      </c>
      <c r="M40" t="s">
        <v>189</v>
      </c>
      <c r="N40">
        <v>120575</v>
      </c>
      <c r="O40" t="s">
        <v>205</v>
      </c>
      <c r="P40" t="s">
        <v>9</v>
      </c>
      <c r="Q40">
        <v>852160</v>
      </c>
      <c r="R40">
        <v>3051</v>
      </c>
      <c r="S40" t="s">
        <v>206</v>
      </c>
      <c r="T40">
        <v>91004</v>
      </c>
      <c r="U40" t="s">
        <v>343</v>
      </c>
      <c r="V40" t="s">
        <v>344</v>
      </c>
      <c r="X40" t="s">
        <v>346</v>
      </c>
      <c r="Y40">
        <v>2</v>
      </c>
      <c r="Z40" s="264">
        <v>44081</v>
      </c>
      <c r="AA40">
        <v>-146800000</v>
      </c>
      <c r="AB40" t="s">
        <v>195</v>
      </c>
      <c r="AC40">
        <v>-15286.89</v>
      </c>
      <c r="AD40" t="s">
        <v>196</v>
      </c>
      <c r="AE40">
        <v>2020</v>
      </c>
      <c r="AF40">
        <v>9</v>
      </c>
    </row>
    <row r="41" spans="1:32" customFormat="1" hidden="1" x14ac:dyDescent="0.35">
      <c r="A41" t="s">
        <v>275</v>
      </c>
      <c r="B41" t="s">
        <v>348</v>
      </c>
      <c r="C41" s="264">
        <v>44081</v>
      </c>
      <c r="D41" s="264">
        <v>44098</v>
      </c>
      <c r="E41" t="s">
        <v>186</v>
      </c>
      <c r="F41">
        <v>16108</v>
      </c>
      <c r="G41" t="s">
        <v>260</v>
      </c>
      <c r="H41" t="s">
        <v>188</v>
      </c>
      <c r="I41">
        <v>30000</v>
      </c>
      <c r="J41">
        <v>33804</v>
      </c>
      <c r="K41">
        <v>1981</v>
      </c>
      <c r="L41">
        <v>11363</v>
      </c>
      <c r="M41" t="s">
        <v>189</v>
      </c>
      <c r="N41">
        <v>120575</v>
      </c>
      <c r="O41" t="s">
        <v>205</v>
      </c>
      <c r="P41" t="s">
        <v>228</v>
      </c>
      <c r="Q41">
        <v>852160</v>
      </c>
      <c r="R41">
        <v>3051</v>
      </c>
      <c r="S41" t="s">
        <v>206</v>
      </c>
      <c r="T41">
        <v>91004</v>
      </c>
      <c r="U41" t="s">
        <v>343</v>
      </c>
      <c r="V41" t="s">
        <v>344</v>
      </c>
      <c r="X41" t="s">
        <v>347</v>
      </c>
      <c r="Y41">
        <v>2</v>
      </c>
      <c r="Z41" s="264">
        <v>44081</v>
      </c>
      <c r="AA41">
        <v>146800000</v>
      </c>
      <c r="AB41" t="s">
        <v>195</v>
      </c>
      <c r="AC41">
        <v>15286.89</v>
      </c>
      <c r="AD41" t="s">
        <v>196</v>
      </c>
      <c r="AE41">
        <v>2020</v>
      </c>
      <c r="AF41">
        <v>9</v>
      </c>
    </row>
    <row r="42" spans="1:32" x14ac:dyDescent="0.35">
      <c r="A42" s="276" t="s">
        <v>534</v>
      </c>
      <c r="B42" s="276" t="s">
        <v>579</v>
      </c>
      <c r="C42" s="276" t="s">
        <v>564</v>
      </c>
      <c r="D42" s="279">
        <v>44078</v>
      </c>
      <c r="E42" s="276" t="s">
        <v>186</v>
      </c>
      <c r="F42" s="276">
        <v>71615</v>
      </c>
      <c r="G42" s="276" t="s">
        <v>552</v>
      </c>
      <c r="H42" s="276" t="s">
        <v>188</v>
      </c>
      <c r="I42" s="276">
        <v>30000</v>
      </c>
      <c r="J42" s="276">
        <v>33804</v>
      </c>
      <c r="K42" s="276">
        <v>1981</v>
      </c>
      <c r="L42" s="276">
        <v>11363</v>
      </c>
      <c r="M42" s="276" t="s">
        <v>189</v>
      </c>
      <c r="N42" s="276">
        <v>120575</v>
      </c>
      <c r="O42" s="276" t="s">
        <v>205</v>
      </c>
      <c r="P42" s="276" t="s">
        <v>228</v>
      </c>
      <c r="Q42" s="276" t="s">
        <v>580</v>
      </c>
      <c r="R42" s="276">
        <v>7329</v>
      </c>
      <c r="S42" s="276" t="s">
        <v>581</v>
      </c>
      <c r="U42" s="276" t="s">
        <v>539</v>
      </c>
      <c r="V42" s="276" t="s">
        <v>540</v>
      </c>
      <c r="X42" s="276" t="s">
        <v>582</v>
      </c>
      <c r="Y42" s="276">
        <v>1</v>
      </c>
      <c r="Z42" s="276" t="s">
        <v>564</v>
      </c>
      <c r="AA42" s="277">
        <v>726.27</v>
      </c>
      <c r="AB42" s="277" t="s">
        <v>417</v>
      </c>
      <c r="AC42" s="278">
        <v>726.27</v>
      </c>
      <c r="AD42" s="276" t="s">
        <v>542</v>
      </c>
      <c r="AE42" s="276">
        <v>2020</v>
      </c>
      <c r="AF42" s="276">
        <v>8</v>
      </c>
    </row>
    <row r="43" spans="1:32" customFormat="1" hidden="1" x14ac:dyDescent="0.35">
      <c r="A43" t="s">
        <v>275</v>
      </c>
      <c r="B43" t="s">
        <v>353</v>
      </c>
      <c r="C43" s="264">
        <v>44097</v>
      </c>
      <c r="D43" s="264">
        <v>44098</v>
      </c>
      <c r="E43" t="s">
        <v>186</v>
      </c>
      <c r="F43">
        <v>16108</v>
      </c>
      <c r="G43" t="s">
        <v>260</v>
      </c>
      <c r="H43" t="s">
        <v>188</v>
      </c>
      <c r="I43">
        <v>30000</v>
      </c>
      <c r="J43">
        <v>33804</v>
      </c>
      <c r="K43">
        <v>1981</v>
      </c>
      <c r="L43">
        <v>11363</v>
      </c>
      <c r="M43" t="s">
        <v>189</v>
      </c>
      <c r="N43">
        <v>120575</v>
      </c>
      <c r="O43" t="s">
        <v>205</v>
      </c>
      <c r="P43" t="s">
        <v>9</v>
      </c>
      <c r="Q43">
        <v>82780</v>
      </c>
      <c r="R43">
        <v>354</v>
      </c>
      <c r="S43" t="s">
        <v>266</v>
      </c>
      <c r="T43" t="s">
        <v>9</v>
      </c>
      <c r="U43" t="s">
        <v>354</v>
      </c>
      <c r="V43" t="s">
        <v>355</v>
      </c>
      <c r="X43" t="s">
        <v>356</v>
      </c>
      <c r="Y43">
        <v>4</v>
      </c>
      <c r="Z43" s="264">
        <v>44097</v>
      </c>
      <c r="AA43">
        <v>-45160000</v>
      </c>
      <c r="AB43" t="s">
        <v>195</v>
      </c>
      <c r="AC43">
        <v>-4702.7</v>
      </c>
      <c r="AD43" t="s">
        <v>196</v>
      </c>
      <c r="AE43">
        <v>2020</v>
      </c>
      <c r="AF43">
        <v>9</v>
      </c>
    </row>
    <row r="44" spans="1:32" customFormat="1" hidden="1" x14ac:dyDescent="0.35">
      <c r="A44" t="s">
        <v>275</v>
      </c>
      <c r="B44" t="s">
        <v>353</v>
      </c>
      <c r="C44" s="264">
        <v>44097</v>
      </c>
      <c r="D44" s="264">
        <v>44099</v>
      </c>
      <c r="E44" t="s">
        <v>186</v>
      </c>
      <c r="F44">
        <v>16108</v>
      </c>
      <c r="G44" t="s">
        <v>260</v>
      </c>
      <c r="H44" t="s">
        <v>188</v>
      </c>
      <c r="I44">
        <v>30000</v>
      </c>
      <c r="J44">
        <v>33804</v>
      </c>
      <c r="K44">
        <v>1981</v>
      </c>
      <c r="L44">
        <v>11363</v>
      </c>
      <c r="M44" t="s">
        <v>189</v>
      </c>
      <c r="N44">
        <v>120575</v>
      </c>
      <c r="O44" t="s">
        <v>205</v>
      </c>
      <c r="P44" t="s">
        <v>228</v>
      </c>
      <c r="Q44">
        <v>82780</v>
      </c>
      <c r="R44">
        <v>354</v>
      </c>
      <c r="S44" t="s">
        <v>266</v>
      </c>
      <c r="T44" t="s">
        <v>9</v>
      </c>
      <c r="U44" t="s">
        <v>354</v>
      </c>
      <c r="V44" t="s">
        <v>355</v>
      </c>
      <c r="X44" t="s">
        <v>357</v>
      </c>
      <c r="Y44">
        <v>1</v>
      </c>
      <c r="Z44" s="264">
        <v>44097</v>
      </c>
      <c r="AA44">
        <v>-45160000</v>
      </c>
      <c r="AB44" t="s">
        <v>195</v>
      </c>
      <c r="AC44">
        <v>-4702.7</v>
      </c>
      <c r="AD44" t="s">
        <v>196</v>
      </c>
      <c r="AE44">
        <v>2020</v>
      </c>
      <c r="AF44">
        <v>9</v>
      </c>
    </row>
    <row r="45" spans="1:32" customFormat="1" hidden="1" x14ac:dyDescent="0.35">
      <c r="A45" t="s">
        <v>275</v>
      </c>
      <c r="B45" t="s">
        <v>353</v>
      </c>
      <c r="C45" s="264">
        <v>44097</v>
      </c>
      <c r="D45" s="264">
        <v>44099</v>
      </c>
      <c r="E45" t="s">
        <v>186</v>
      </c>
      <c r="F45">
        <v>16108</v>
      </c>
      <c r="G45" t="s">
        <v>260</v>
      </c>
      <c r="H45" t="s">
        <v>188</v>
      </c>
      <c r="I45">
        <v>30000</v>
      </c>
      <c r="J45">
        <v>33804</v>
      </c>
      <c r="K45">
        <v>1981</v>
      </c>
      <c r="L45">
        <v>11363</v>
      </c>
      <c r="M45" t="s">
        <v>189</v>
      </c>
      <c r="N45">
        <v>120575</v>
      </c>
      <c r="O45" t="s">
        <v>205</v>
      </c>
      <c r="P45" t="s">
        <v>9</v>
      </c>
      <c r="Q45">
        <v>82780</v>
      </c>
      <c r="R45">
        <v>354</v>
      </c>
      <c r="S45" t="s">
        <v>266</v>
      </c>
      <c r="T45" t="s">
        <v>9</v>
      </c>
      <c r="U45" t="s">
        <v>354</v>
      </c>
      <c r="V45" t="s">
        <v>355</v>
      </c>
      <c r="X45" t="s">
        <v>358</v>
      </c>
      <c r="Y45">
        <v>2</v>
      </c>
      <c r="Z45" s="264">
        <v>44097</v>
      </c>
      <c r="AA45">
        <v>45160000</v>
      </c>
      <c r="AB45" t="s">
        <v>195</v>
      </c>
      <c r="AC45">
        <v>4702.7</v>
      </c>
      <c r="AD45" t="s">
        <v>196</v>
      </c>
      <c r="AE45">
        <v>2020</v>
      </c>
      <c r="AF45">
        <v>9</v>
      </c>
    </row>
    <row r="46" spans="1:32" x14ac:dyDescent="0.35">
      <c r="A46" s="276" t="s">
        <v>534</v>
      </c>
      <c r="B46" s="276" t="s">
        <v>583</v>
      </c>
      <c r="C46" s="276" t="s">
        <v>564</v>
      </c>
      <c r="D46" s="279">
        <v>44078</v>
      </c>
      <c r="E46" s="276" t="s">
        <v>186</v>
      </c>
      <c r="F46" s="276">
        <v>71615</v>
      </c>
      <c r="G46" s="276" t="s">
        <v>552</v>
      </c>
      <c r="H46" s="276" t="s">
        <v>188</v>
      </c>
      <c r="I46" s="276">
        <v>30000</v>
      </c>
      <c r="J46" s="276">
        <v>33804</v>
      </c>
      <c r="K46" s="276">
        <v>1981</v>
      </c>
      <c r="L46" s="276">
        <v>11363</v>
      </c>
      <c r="M46" s="276" t="s">
        <v>189</v>
      </c>
      <c r="N46" s="276">
        <v>120575</v>
      </c>
      <c r="O46" s="276" t="s">
        <v>205</v>
      </c>
      <c r="P46" s="276" t="s">
        <v>228</v>
      </c>
      <c r="Q46" s="276" t="s">
        <v>584</v>
      </c>
      <c r="R46" s="276">
        <v>4009</v>
      </c>
      <c r="S46" s="276" t="s">
        <v>585</v>
      </c>
      <c r="U46" s="276" t="s">
        <v>539</v>
      </c>
      <c r="V46" s="276" t="s">
        <v>540</v>
      </c>
      <c r="X46" s="276" t="s">
        <v>582</v>
      </c>
      <c r="Y46" s="276">
        <v>11</v>
      </c>
      <c r="Z46" s="276" t="s">
        <v>564</v>
      </c>
      <c r="AA46" s="277">
        <v>726.27</v>
      </c>
      <c r="AB46" s="277" t="s">
        <v>417</v>
      </c>
      <c r="AC46" s="278">
        <v>726.27</v>
      </c>
      <c r="AD46" s="276" t="s">
        <v>542</v>
      </c>
      <c r="AE46" s="276">
        <v>2020</v>
      </c>
      <c r="AF46" s="276">
        <v>8</v>
      </c>
    </row>
    <row r="47" spans="1:32" x14ac:dyDescent="0.35">
      <c r="A47" s="276" t="s">
        <v>534</v>
      </c>
      <c r="B47" s="276" t="s">
        <v>591</v>
      </c>
      <c r="C47" s="279">
        <v>44111</v>
      </c>
      <c r="D47" s="279">
        <v>44117</v>
      </c>
      <c r="E47" s="276" t="s">
        <v>186</v>
      </c>
      <c r="F47" s="276">
        <v>71615</v>
      </c>
      <c r="G47" s="276" t="s">
        <v>552</v>
      </c>
      <c r="H47" s="276" t="s">
        <v>188</v>
      </c>
      <c r="I47" s="276">
        <v>30000</v>
      </c>
      <c r="J47" s="276">
        <v>33804</v>
      </c>
      <c r="K47" s="276">
        <v>1981</v>
      </c>
      <c r="L47" s="276">
        <v>11363</v>
      </c>
      <c r="M47" s="276" t="s">
        <v>189</v>
      </c>
      <c r="N47" s="276">
        <v>120575</v>
      </c>
      <c r="O47" s="276" t="s">
        <v>205</v>
      </c>
      <c r="P47" s="276" t="s">
        <v>228</v>
      </c>
      <c r="Q47" s="276" t="s">
        <v>592</v>
      </c>
      <c r="R47" s="276">
        <v>6803</v>
      </c>
      <c r="S47" s="276" t="s">
        <v>593</v>
      </c>
      <c r="U47" s="276" t="s">
        <v>539</v>
      </c>
      <c r="V47" s="276" t="s">
        <v>540</v>
      </c>
      <c r="X47" s="276" t="s">
        <v>594</v>
      </c>
      <c r="Y47" s="276">
        <v>46</v>
      </c>
      <c r="Z47" s="279">
        <v>44111</v>
      </c>
      <c r="AA47" s="277">
        <v>484.07</v>
      </c>
      <c r="AB47" s="277" t="s">
        <v>417</v>
      </c>
      <c r="AC47" s="278">
        <v>484.07</v>
      </c>
      <c r="AD47" s="276" t="s">
        <v>542</v>
      </c>
      <c r="AE47" s="276">
        <v>2020</v>
      </c>
      <c r="AF47" s="276">
        <v>10</v>
      </c>
    </row>
    <row r="48" spans="1:32" x14ac:dyDescent="0.35">
      <c r="A48" s="276" t="s">
        <v>534</v>
      </c>
      <c r="B48" s="276" t="s">
        <v>596</v>
      </c>
      <c r="C48" s="279">
        <v>44111</v>
      </c>
      <c r="D48" s="279">
        <v>44117</v>
      </c>
      <c r="E48" s="276" t="s">
        <v>186</v>
      </c>
      <c r="F48" s="276">
        <v>71615</v>
      </c>
      <c r="G48" s="276" t="s">
        <v>552</v>
      </c>
      <c r="H48" s="276" t="s">
        <v>188</v>
      </c>
      <c r="I48" s="276">
        <v>30000</v>
      </c>
      <c r="J48" s="276">
        <v>33804</v>
      </c>
      <c r="K48" s="276">
        <v>1981</v>
      </c>
      <c r="L48" s="276">
        <v>11363</v>
      </c>
      <c r="M48" s="276" t="s">
        <v>189</v>
      </c>
      <c r="N48" s="276">
        <v>120575</v>
      </c>
      <c r="O48" s="276" t="s">
        <v>205</v>
      </c>
      <c r="P48" s="276" t="s">
        <v>228</v>
      </c>
      <c r="Q48" s="276" t="s">
        <v>566</v>
      </c>
      <c r="R48" s="276">
        <v>3128</v>
      </c>
      <c r="S48" s="276" t="s">
        <v>567</v>
      </c>
      <c r="U48" s="276" t="s">
        <v>539</v>
      </c>
      <c r="V48" s="276" t="s">
        <v>540</v>
      </c>
      <c r="X48" s="276" t="s">
        <v>594</v>
      </c>
      <c r="Y48" s="276">
        <v>48</v>
      </c>
      <c r="Z48" s="279">
        <v>44111</v>
      </c>
      <c r="AA48" s="277">
        <v>484.07</v>
      </c>
      <c r="AB48" s="277" t="s">
        <v>417</v>
      </c>
      <c r="AC48" s="278">
        <v>484.07</v>
      </c>
      <c r="AD48" s="276" t="s">
        <v>542</v>
      </c>
      <c r="AE48" s="276">
        <v>2020</v>
      </c>
      <c r="AF48" s="276">
        <v>10</v>
      </c>
    </row>
    <row r="49" spans="1:32" customFormat="1" hidden="1" x14ac:dyDescent="0.35">
      <c r="A49" t="s">
        <v>275</v>
      </c>
      <c r="B49" t="s">
        <v>361</v>
      </c>
      <c r="C49" s="264">
        <v>44097</v>
      </c>
      <c r="D49" s="264">
        <v>44099</v>
      </c>
      <c r="E49" t="s">
        <v>186</v>
      </c>
      <c r="F49">
        <v>16108</v>
      </c>
      <c r="G49" t="s">
        <v>260</v>
      </c>
      <c r="H49" t="s">
        <v>188</v>
      </c>
      <c r="I49">
        <v>30000</v>
      </c>
      <c r="J49">
        <v>33804</v>
      </c>
      <c r="K49">
        <v>1981</v>
      </c>
      <c r="L49">
        <v>11363</v>
      </c>
      <c r="M49" t="s">
        <v>189</v>
      </c>
      <c r="N49">
        <v>120575</v>
      </c>
      <c r="O49" t="s">
        <v>205</v>
      </c>
      <c r="P49" t="s">
        <v>228</v>
      </c>
      <c r="Q49">
        <v>82780</v>
      </c>
      <c r="R49">
        <v>354</v>
      </c>
      <c r="S49" t="s">
        <v>266</v>
      </c>
      <c r="T49">
        <v>90978</v>
      </c>
      <c r="U49" t="s">
        <v>362</v>
      </c>
      <c r="V49" t="s">
        <v>363</v>
      </c>
      <c r="X49" t="s">
        <v>357</v>
      </c>
      <c r="Y49">
        <v>2</v>
      </c>
      <c r="Z49" s="264">
        <v>44097</v>
      </c>
      <c r="AA49">
        <v>-50260000</v>
      </c>
      <c r="AB49" t="s">
        <v>195</v>
      </c>
      <c r="AC49">
        <v>-5233.78</v>
      </c>
      <c r="AD49" t="s">
        <v>196</v>
      </c>
      <c r="AE49">
        <v>2020</v>
      </c>
      <c r="AF49">
        <v>9</v>
      </c>
    </row>
    <row r="50" spans="1:32" customFormat="1" hidden="1" x14ac:dyDescent="0.35">
      <c r="A50" t="s">
        <v>275</v>
      </c>
      <c r="B50" t="s">
        <v>361</v>
      </c>
      <c r="C50" s="264">
        <v>44097</v>
      </c>
      <c r="D50" s="264">
        <v>44099</v>
      </c>
      <c r="E50" t="s">
        <v>186</v>
      </c>
      <c r="F50">
        <v>16108</v>
      </c>
      <c r="G50" t="s">
        <v>260</v>
      </c>
      <c r="H50" t="s">
        <v>188</v>
      </c>
      <c r="I50">
        <v>30000</v>
      </c>
      <c r="J50">
        <v>33804</v>
      </c>
      <c r="K50">
        <v>1981</v>
      </c>
      <c r="L50">
        <v>11363</v>
      </c>
      <c r="M50" t="s">
        <v>189</v>
      </c>
      <c r="N50">
        <v>120575</v>
      </c>
      <c r="O50" t="s">
        <v>205</v>
      </c>
      <c r="P50" t="s">
        <v>9</v>
      </c>
      <c r="Q50">
        <v>82780</v>
      </c>
      <c r="R50">
        <v>354</v>
      </c>
      <c r="S50" t="s">
        <v>266</v>
      </c>
      <c r="T50">
        <v>90978</v>
      </c>
      <c r="U50" t="s">
        <v>362</v>
      </c>
      <c r="V50" t="s">
        <v>363</v>
      </c>
      <c r="X50" t="s">
        <v>358</v>
      </c>
      <c r="Y50">
        <v>1</v>
      </c>
      <c r="Z50" s="264">
        <v>44097</v>
      </c>
      <c r="AA50">
        <v>50260000</v>
      </c>
      <c r="AB50" t="s">
        <v>195</v>
      </c>
      <c r="AC50">
        <v>5233.78</v>
      </c>
      <c r="AD50" t="s">
        <v>196</v>
      </c>
      <c r="AE50">
        <v>2020</v>
      </c>
      <c r="AF50">
        <v>9</v>
      </c>
    </row>
    <row r="51" spans="1:32" customFormat="1" hidden="1" x14ac:dyDescent="0.35">
      <c r="A51" t="s">
        <v>275</v>
      </c>
      <c r="B51" t="s">
        <v>361</v>
      </c>
      <c r="C51" s="264">
        <v>44097</v>
      </c>
      <c r="D51" s="264">
        <v>44098</v>
      </c>
      <c r="E51" t="s">
        <v>186</v>
      </c>
      <c r="F51">
        <v>16108</v>
      </c>
      <c r="G51" t="s">
        <v>260</v>
      </c>
      <c r="H51" t="s">
        <v>188</v>
      </c>
      <c r="I51">
        <v>30000</v>
      </c>
      <c r="J51">
        <v>33804</v>
      </c>
      <c r="K51">
        <v>1981</v>
      </c>
      <c r="L51">
        <v>11363</v>
      </c>
      <c r="M51" t="s">
        <v>189</v>
      </c>
      <c r="N51">
        <v>120575</v>
      </c>
      <c r="O51" t="s">
        <v>205</v>
      </c>
      <c r="P51" t="s">
        <v>9</v>
      </c>
      <c r="Q51">
        <v>82780</v>
      </c>
      <c r="R51">
        <v>354</v>
      </c>
      <c r="S51" t="s">
        <v>266</v>
      </c>
      <c r="T51">
        <v>90978</v>
      </c>
      <c r="U51" t="s">
        <v>362</v>
      </c>
      <c r="V51" t="s">
        <v>363</v>
      </c>
      <c r="X51" t="s">
        <v>356</v>
      </c>
      <c r="Y51">
        <v>5</v>
      </c>
      <c r="Z51" s="264">
        <v>44097</v>
      </c>
      <c r="AA51">
        <v>-50260000</v>
      </c>
      <c r="AB51" t="s">
        <v>195</v>
      </c>
      <c r="AC51">
        <v>-5233.78</v>
      </c>
      <c r="AD51" t="s">
        <v>196</v>
      </c>
      <c r="AE51">
        <v>2020</v>
      </c>
      <c r="AF51">
        <v>9</v>
      </c>
    </row>
    <row r="52" spans="1:32" x14ac:dyDescent="0.35">
      <c r="A52" s="276" t="s">
        <v>534</v>
      </c>
      <c r="B52" s="276" t="s">
        <v>597</v>
      </c>
      <c r="C52" s="279">
        <v>44111</v>
      </c>
      <c r="D52" s="279">
        <v>44117</v>
      </c>
      <c r="E52" s="276" t="s">
        <v>186</v>
      </c>
      <c r="F52" s="276">
        <v>71615</v>
      </c>
      <c r="G52" s="276" t="s">
        <v>552</v>
      </c>
      <c r="H52" s="276" t="s">
        <v>188</v>
      </c>
      <c r="I52" s="276">
        <v>30000</v>
      </c>
      <c r="J52" s="276">
        <v>33804</v>
      </c>
      <c r="K52" s="276">
        <v>1981</v>
      </c>
      <c r="L52" s="276">
        <v>11363</v>
      </c>
      <c r="M52" s="276" t="s">
        <v>189</v>
      </c>
      <c r="N52" s="276">
        <v>120575</v>
      </c>
      <c r="O52" s="276" t="s">
        <v>205</v>
      </c>
      <c r="P52" s="276" t="s">
        <v>228</v>
      </c>
      <c r="Q52" s="276" t="s">
        <v>574</v>
      </c>
      <c r="R52" s="276">
        <v>3071</v>
      </c>
      <c r="S52" s="276" t="s">
        <v>575</v>
      </c>
      <c r="U52" s="276" t="s">
        <v>539</v>
      </c>
      <c r="V52" s="276" t="s">
        <v>540</v>
      </c>
      <c r="X52" s="276" t="s">
        <v>594</v>
      </c>
      <c r="Y52" s="276">
        <v>49</v>
      </c>
      <c r="Z52" s="279">
        <v>44111</v>
      </c>
      <c r="AA52" s="277">
        <v>484.07</v>
      </c>
      <c r="AB52" s="277" t="s">
        <v>417</v>
      </c>
      <c r="AC52" s="278">
        <v>484.07</v>
      </c>
      <c r="AD52" s="276" t="s">
        <v>542</v>
      </c>
      <c r="AE52" s="276">
        <v>2020</v>
      </c>
      <c r="AF52" s="276">
        <v>10</v>
      </c>
    </row>
    <row r="53" spans="1:32" x14ac:dyDescent="0.35">
      <c r="A53" s="276" t="s">
        <v>534</v>
      </c>
      <c r="B53" s="276" t="s">
        <v>598</v>
      </c>
      <c r="C53" s="279">
        <v>44111</v>
      </c>
      <c r="D53" s="279">
        <v>44117</v>
      </c>
      <c r="E53" s="276" t="s">
        <v>186</v>
      </c>
      <c r="F53" s="276">
        <v>71615</v>
      </c>
      <c r="G53" s="276" t="s">
        <v>552</v>
      </c>
      <c r="H53" s="276" t="s">
        <v>188</v>
      </c>
      <c r="I53" s="276">
        <v>30000</v>
      </c>
      <c r="J53" s="276">
        <v>33804</v>
      </c>
      <c r="K53" s="276">
        <v>1981</v>
      </c>
      <c r="L53" s="276">
        <v>11363</v>
      </c>
      <c r="M53" s="276" t="s">
        <v>189</v>
      </c>
      <c r="N53" s="276">
        <v>120575</v>
      </c>
      <c r="O53" s="276" t="s">
        <v>205</v>
      </c>
      <c r="P53" s="276" t="s">
        <v>228</v>
      </c>
      <c r="Q53" s="276" t="s">
        <v>599</v>
      </c>
      <c r="R53" s="276">
        <v>2750</v>
      </c>
      <c r="S53" s="276" t="s">
        <v>600</v>
      </c>
      <c r="U53" s="276" t="s">
        <v>539</v>
      </c>
      <c r="V53" s="276" t="s">
        <v>540</v>
      </c>
      <c r="X53" s="276" t="s">
        <v>594</v>
      </c>
      <c r="Y53" s="276">
        <v>50</v>
      </c>
      <c r="Z53" s="279">
        <v>44111</v>
      </c>
      <c r="AA53" s="277">
        <v>484.07</v>
      </c>
      <c r="AB53" s="277" t="s">
        <v>417</v>
      </c>
      <c r="AC53" s="278">
        <v>484.07</v>
      </c>
      <c r="AD53" s="276" t="s">
        <v>542</v>
      </c>
      <c r="AE53" s="276">
        <v>2020</v>
      </c>
      <c r="AF53" s="276">
        <v>10</v>
      </c>
    </row>
    <row r="54" spans="1:32" x14ac:dyDescent="0.35">
      <c r="A54" s="276" t="s">
        <v>534</v>
      </c>
      <c r="B54" s="276" t="s">
        <v>569</v>
      </c>
      <c r="C54" s="276" t="s">
        <v>564</v>
      </c>
      <c r="D54" s="276" t="s">
        <v>565</v>
      </c>
      <c r="E54" s="276" t="s">
        <v>186</v>
      </c>
      <c r="F54" s="276">
        <v>71620</v>
      </c>
      <c r="G54" s="276" t="s">
        <v>536</v>
      </c>
      <c r="H54" s="276" t="s">
        <v>188</v>
      </c>
      <c r="I54" s="276">
        <v>30000</v>
      </c>
      <c r="J54" s="276">
        <v>33804</v>
      </c>
      <c r="K54" s="276">
        <v>1981</v>
      </c>
      <c r="L54" s="276">
        <v>11363</v>
      </c>
      <c r="M54" s="276" t="s">
        <v>189</v>
      </c>
      <c r="N54" s="276">
        <v>120575</v>
      </c>
      <c r="O54" s="276" t="s">
        <v>205</v>
      </c>
      <c r="P54" s="276" t="s">
        <v>228</v>
      </c>
      <c r="Q54" s="276" t="s">
        <v>566</v>
      </c>
      <c r="R54" s="276">
        <v>3128</v>
      </c>
      <c r="S54" s="276" t="s">
        <v>567</v>
      </c>
      <c r="U54" s="276" t="s">
        <v>570</v>
      </c>
      <c r="V54" s="276" t="s">
        <v>540</v>
      </c>
      <c r="X54" s="276" t="s">
        <v>568</v>
      </c>
      <c r="Y54" s="276">
        <v>10</v>
      </c>
      <c r="Z54" s="276" t="s">
        <v>564</v>
      </c>
      <c r="AA54" s="277">
        <v>332.06</v>
      </c>
      <c r="AB54" s="277" t="s">
        <v>417</v>
      </c>
      <c r="AC54" s="278">
        <v>332.06</v>
      </c>
      <c r="AD54" s="276" t="s">
        <v>542</v>
      </c>
      <c r="AE54" s="276">
        <v>2020</v>
      </c>
      <c r="AF54" s="276">
        <v>8</v>
      </c>
    </row>
    <row r="55" spans="1:32" customFormat="1" hidden="1" x14ac:dyDescent="0.35">
      <c r="A55" t="s">
        <v>275</v>
      </c>
      <c r="B55" t="s">
        <v>366</v>
      </c>
      <c r="C55" s="264">
        <v>44097</v>
      </c>
      <c r="D55" s="264">
        <v>44099</v>
      </c>
      <c r="E55" t="s">
        <v>186</v>
      </c>
      <c r="F55">
        <v>16108</v>
      </c>
      <c r="G55" t="s">
        <v>260</v>
      </c>
      <c r="H55" t="s">
        <v>188</v>
      </c>
      <c r="I55">
        <v>30000</v>
      </c>
      <c r="J55">
        <v>33804</v>
      </c>
      <c r="K55">
        <v>1981</v>
      </c>
      <c r="L55">
        <v>11363</v>
      </c>
      <c r="M55" t="s">
        <v>189</v>
      </c>
      <c r="N55">
        <v>120575</v>
      </c>
      <c r="O55" t="s">
        <v>205</v>
      </c>
      <c r="P55" t="s">
        <v>9</v>
      </c>
      <c r="Q55">
        <v>82780</v>
      </c>
      <c r="R55">
        <v>354</v>
      </c>
      <c r="S55" t="s">
        <v>266</v>
      </c>
      <c r="T55" t="s">
        <v>9</v>
      </c>
      <c r="U55" t="s">
        <v>367</v>
      </c>
      <c r="V55" t="s">
        <v>368</v>
      </c>
      <c r="X55" t="s">
        <v>358</v>
      </c>
      <c r="Y55">
        <v>3</v>
      </c>
      <c r="Z55" s="264">
        <v>44097</v>
      </c>
      <c r="AA55">
        <v>71320000</v>
      </c>
      <c r="AB55" t="s">
        <v>195</v>
      </c>
      <c r="AC55">
        <v>7426.85</v>
      </c>
      <c r="AD55" t="s">
        <v>196</v>
      </c>
      <c r="AE55">
        <v>2020</v>
      </c>
      <c r="AF55">
        <v>9</v>
      </c>
    </row>
    <row r="56" spans="1:32" customFormat="1" hidden="1" x14ac:dyDescent="0.35">
      <c r="A56" t="s">
        <v>275</v>
      </c>
      <c r="B56" t="s">
        <v>366</v>
      </c>
      <c r="C56" s="264">
        <v>44097</v>
      </c>
      <c r="D56" s="264">
        <v>44098</v>
      </c>
      <c r="E56" t="s">
        <v>186</v>
      </c>
      <c r="F56">
        <v>16108</v>
      </c>
      <c r="G56" t="s">
        <v>260</v>
      </c>
      <c r="H56" t="s">
        <v>188</v>
      </c>
      <c r="I56">
        <v>30000</v>
      </c>
      <c r="J56">
        <v>33804</v>
      </c>
      <c r="K56">
        <v>1981</v>
      </c>
      <c r="L56">
        <v>11363</v>
      </c>
      <c r="M56" t="s">
        <v>189</v>
      </c>
      <c r="N56">
        <v>120575</v>
      </c>
      <c r="O56" t="s">
        <v>205</v>
      </c>
      <c r="P56" t="s">
        <v>9</v>
      </c>
      <c r="Q56">
        <v>82780</v>
      </c>
      <c r="R56">
        <v>354</v>
      </c>
      <c r="S56" t="s">
        <v>266</v>
      </c>
      <c r="T56" t="s">
        <v>9</v>
      </c>
      <c r="U56" t="s">
        <v>367</v>
      </c>
      <c r="V56" t="s">
        <v>368</v>
      </c>
      <c r="X56" t="s">
        <v>356</v>
      </c>
      <c r="Y56">
        <v>2</v>
      </c>
      <c r="Z56" s="264">
        <v>44097</v>
      </c>
      <c r="AA56">
        <v>-71320000</v>
      </c>
      <c r="AB56" t="s">
        <v>195</v>
      </c>
      <c r="AC56">
        <v>-7426.85</v>
      </c>
      <c r="AD56" t="s">
        <v>196</v>
      </c>
      <c r="AE56">
        <v>2020</v>
      </c>
      <c r="AF56">
        <v>9</v>
      </c>
    </row>
    <row r="57" spans="1:32" customFormat="1" hidden="1" x14ac:dyDescent="0.35">
      <c r="A57" t="s">
        <v>275</v>
      </c>
      <c r="B57" t="s">
        <v>366</v>
      </c>
      <c r="C57" s="264">
        <v>44097</v>
      </c>
      <c r="D57" s="264">
        <v>44099</v>
      </c>
      <c r="E57" t="s">
        <v>186</v>
      </c>
      <c r="F57">
        <v>16108</v>
      </c>
      <c r="G57" t="s">
        <v>260</v>
      </c>
      <c r="H57" t="s">
        <v>188</v>
      </c>
      <c r="I57">
        <v>30000</v>
      </c>
      <c r="J57">
        <v>33804</v>
      </c>
      <c r="K57">
        <v>1981</v>
      </c>
      <c r="L57">
        <v>11363</v>
      </c>
      <c r="M57" t="s">
        <v>189</v>
      </c>
      <c r="N57">
        <v>120575</v>
      </c>
      <c r="O57" t="s">
        <v>205</v>
      </c>
      <c r="P57" t="s">
        <v>228</v>
      </c>
      <c r="Q57">
        <v>82780</v>
      </c>
      <c r="R57">
        <v>354</v>
      </c>
      <c r="S57" t="s">
        <v>266</v>
      </c>
      <c r="T57" t="s">
        <v>9</v>
      </c>
      <c r="U57" t="s">
        <v>367</v>
      </c>
      <c r="V57" t="s">
        <v>368</v>
      </c>
      <c r="X57" t="s">
        <v>357</v>
      </c>
      <c r="Y57">
        <v>3</v>
      </c>
      <c r="Z57" s="264">
        <v>44097</v>
      </c>
      <c r="AA57">
        <v>-71320000</v>
      </c>
      <c r="AB57" t="s">
        <v>195</v>
      </c>
      <c r="AC57">
        <v>-7426.85</v>
      </c>
      <c r="AD57" t="s">
        <v>196</v>
      </c>
      <c r="AE57">
        <v>2020</v>
      </c>
      <c r="AF57">
        <v>9</v>
      </c>
    </row>
    <row r="58" spans="1:32" x14ac:dyDescent="0.35">
      <c r="A58" s="276" t="s">
        <v>534</v>
      </c>
      <c r="B58" s="276" t="s">
        <v>571</v>
      </c>
      <c r="C58" s="276" t="s">
        <v>564</v>
      </c>
      <c r="D58" s="276" t="s">
        <v>565</v>
      </c>
      <c r="E58" s="276" t="s">
        <v>186</v>
      </c>
      <c r="F58" s="276">
        <v>71620</v>
      </c>
      <c r="G58" s="276" t="s">
        <v>536</v>
      </c>
      <c r="H58" s="276" t="s">
        <v>188</v>
      </c>
      <c r="I58" s="276">
        <v>30000</v>
      </c>
      <c r="J58" s="276">
        <v>33804</v>
      </c>
      <c r="K58" s="276">
        <v>1981</v>
      </c>
      <c r="L58" s="276">
        <v>11363</v>
      </c>
      <c r="M58" s="276" t="s">
        <v>189</v>
      </c>
      <c r="N58" s="276">
        <v>120575</v>
      </c>
      <c r="O58" s="276" t="s">
        <v>205</v>
      </c>
      <c r="P58" s="276" t="s">
        <v>228</v>
      </c>
      <c r="Q58" s="276" t="s">
        <v>566</v>
      </c>
      <c r="R58" s="276">
        <v>3128</v>
      </c>
      <c r="S58" s="276" t="s">
        <v>567</v>
      </c>
      <c r="U58" s="276" t="s">
        <v>570</v>
      </c>
      <c r="V58" s="276" t="s">
        <v>540</v>
      </c>
      <c r="X58" s="276" t="s">
        <v>568</v>
      </c>
      <c r="Y58" s="276">
        <v>3</v>
      </c>
      <c r="Z58" s="276" t="s">
        <v>564</v>
      </c>
      <c r="AA58" s="277">
        <v>332.06</v>
      </c>
      <c r="AB58" s="277" t="s">
        <v>417</v>
      </c>
      <c r="AC58" s="278">
        <v>332.06</v>
      </c>
      <c r="AD58" s="276" t="s">
        <v>542</v>
      </c>
      <c r="AE58" s="276">
        <v>2020</v>
      </c>
      <c r="AF58" s="276">
        <v>8</v>
      </c>
    </row>
    <row r="59" spans="1:32" x14ac:dyDescent="0.35">
      <c r="A59" s="276" t="s">
        <v>534</v>
      </c>
      <c r="B59" s="276" t="s">
        <v>586</v>
      </c>
      <c r="C59" s="279">
        <v>44102</v>
      </c>
      <c r="D59" s="279">
        <v>44103</v>
      </c>
      <c r="E59" s="276" t="s">
        <v>186</v>
      </c>
      <c r="F59" s="276">
        <v>71620</v>
      </c>
      <c r="G59" s="276" t="s">
        <v>536</v>
      </c>
      <c r="H59" s="276" t="s">
        <v>188</v>
      </c>
      <c r="I59" s="276">
        <v>30000</v>
      </c>
      <c r="J59" s="276">
        <v>33804</v>
      </c>
      <c r="K59" s="276">
        <v>1981</v>
      </c>
      <c r="L59" s="276">
        <v>11363</v>
      </c>
      <c r="M59" s="276" t="s">
        <v>189</v>
      </c>
      <c r="N59" s="276">
        <v>120575</v>
      </c>
      <c r="O59" s="276" t="s">
        <v>205</v>
      </c>
      <c r="P59" s="276" t="s">
        <v>228</v>
      </c>
      <c r="Q59" s="276" t="s">
        <v>574</v>
      </c>
      <c r="R59" s="276">
        <v>3071</v>
      </c>
      <c r="S59" s="276" t="s">
        <v>575</v>
      </c>
      <c r="U59" s="276" t="s">
        <v>561</v>
      </c>
      <c r="V59" s="276" t="s">
        <v>540</v>
      </c>
      <c r="X59" s="276" t="s">
        <v>587</v>
      </c>
      <c r="Y59" s="276">
        <v>48</v>
      </c>
      <c r="Z59" s="279">
        <v>44102</v>
      </c>
      <c r="AA59" s="277">
        <v>1573.05</v>
      </c>
      <c r="AB59" s="277" t="s">
        <v>417</v>
      </c>
      <c r="AC59" s="278">
        <v>1573.05</v>
      </c>
      <c r="AD59" s="276" t="s">
        <v>542</v>
      </c>
      <c r="AE59" s="276">
        <v>2020</v>
      </c>
      <c r="AF59" s="276">
        <v>9</v>
      </c>
    </row>
    <row r="60" spans="1:32" x14ac:dyDescent="0.35">
      <c r="A60" s="276" t="s">
        <v>534</v>
      </c>
      <c r="B60" s="276" t="s">
        <v>588</v>
      </c>
      <c r="C60" s="279">
        <v>44102</v>
      </c>
      <c r="D60" s="279">
        <v>44103</v>
      </c>
      <c r="E60" s="276" t="s">
        <v>186</v>
      </c>
      <c r="F60" s="276">
        <v>71620</v>
      </c>
      <c r="G60" s="276" t="s">
        <v>536</v>
      </c>
      <c r="H60" s="276" t="s">
        <v>188</v>
      </c>
      <c r="I60" s="276">
        <v>30000</v>
      </c>
      <c r="J60" s="276">
        <v>33804</v>
      </c>
      <c r="K60" s="276">
        <v>1981</v>
      </c>
      <c r="L60" s="276">
        <v>11363</v>
      </c>
      <c r="M60" s="276" t="s">
        <v>189</v>
      </c>
      <c r="N60" s="276">
        <v>120575</v>
      </c>
      <c r="O60" s="276" t="s">
        <v>205</v>
      </c>
      <c r="P60" s="276" t="s">
        <v>228</v>
      </c>
      <c r="Q60" s="276" t="s">
        <v>566</v>
      </c>
      <c r="R60" s="276">
        <v>3128</v>
      </c>
      <c r="S60" s="276" t="s">
        <v>567</v>
      </c>
      <c r="U60" s="276" t="s">
        <v>561</v>
      </c>
      <c r="V60" s="276" t="s">
        <v>540</v>
      </c>
      <c r="X60" s="276" t="s">
        <v>587</v>
      </c>
      <c r="Y60" s="276">
        <v>33</v>
      </c>
      <c r="Z60" s="279">
        <v>44102</v>
      </c>
      <c r="AA60" s="277">
        <v>2099.04</v>
      </c>
      <c r="AB60" s="277" t="s">
        <v>417</v>
      </c>
      <c r="AC60" s="278">
        <v>2099.04</v>
      </c>
      <c r="AD60" s="276" t="s">
        <v>542</v>
      </c>
      <c r="AE60" s="276">
        <v>2020</v>
      </c>
      <c r="AF60" s="276">
        <v>9</v>
      </c>
    </row>
    <row r="61" spans="1:32" customFormat="1" hidden="1" x14ac:dyDescent="0.35">
      <c r="A61" t="s">
        <v>275</v>
      </c>
      <c r="B61" t="s">
        <v>371</v>
      </c>
      <c r="C61" s="264">
        <v>44097</v>
      </c>
      <c r="D61" s="264">
        <v>44103</v>
      </c>
      <c r="E61" t="s">
        <v>186</v>
      </c>
      <c r="F61">
        <v>16108</v>
      </c>
      <c r="G61" t="s">
        <v>260</v>
      </c>
      <c r="H61" t="s">
        <v>188</v>
      </c>
      <c r="I61">
        <v>30000</v>
      </c>
      <c r="J61">
        <v>33804</v>
      </c>
      <c r="K61">
        <v>1981</v>
      </c>
      <c r="L61">
        <v>11363</v>
      </c>
      <c r="M61" t="s">
        <v>189</v>
      </c>
      <c r="N61">
        <v>120575</v>
      </c>
      <c r="O61" t="s">
        <v>205</v>
      </c>
      <c r="P61" t="s">
        <v>9</v>
      </c>
      <c r="Q61">
        <v>852160</v>
      </c>
      <c r="R61">
        <v>3051</v>
      </c>
      <c r="S61" t="s">
        <v>206</v>
      </c>
      <c r="T61" t="s">
        <v>9</v>
      </c>
      <c r="U61" t="s">
        <v>372</v>
      </c>
      <c r="V61" t="s">
        <v>373</v>
      </c>
      <c r="X61" t="s">
        <v>374</v>
      </c>
      <c r="Y61">
        <v>2</v>
      </c>
      <c r="Z61" s="264">
        <v>44097</v>
      </c>
      <c r="AA61">
        <v>-76050000</v>
      </c>
      <c r="AB61" t="s">
        <v>195</v>
      </c>
      <c r="AC61">
        <v>-7919.4</v>
      </c>
      <c r="AD61" t="s">
        <v>196</v>
      </c>
      <c r="AE61">
        <v>2020</v>
      </c>
      <c r="AF61">
        <v>9</v>
      </c>
    </row>
    <row r="62" spans="1:32" x14ac:dyDescent="0.35">
      <c r="A62" s="276" t="s">
        <v>534</v>
      </c>
      <c r="B62" s="276" t="s">
        <v>589</v>
      </c>
      <c r="C62" s="279">
        <v>44126</v>
      </c>
      <c r="D62" s="279">
        <v>44129</v>
      </c>
      <c r="E62" s="276" t="s">
        <v>186</v>
      </c>
      <c r="F62" s="276">
        <v>71620</v>
      </c>
      <c r="G62" s="276" t="s">
        <v>536</v>
      </c>
      <c r="H62" s="276" t="s">
        <v>188</v>
      </c>
      <c r="I62" s="276">
        <v>30000</v>
      </c>
      <c r="J62" s="276">
        <v>33804</v>
      </c>
      <c r="K62" s="276">
        <v>1981</v>
      </c>
      <c r="L62" s="276">
        <v>11363</v>
      </c>
      <c r="M62" s="276" t="s">
        <v>189</v>
      </c>
      <c r="N62" s="276">
        <v>120575</v>
      </c>
      <c r="O62" s="276" t="s">
        <v>205</v>
      </c>
      <c r="P62" s="276" t="s">
        <v>228</v>
      </c>
      <c r="Q62" s="276" t="s">
        <v>580</v>
      </c>
      <c r="R62" s="276">
        <v>7329</v>
      </c>
      <c r="S62" s="276" t="s">
        <v>581</v>
      </c>
      <c r="U62" s="276" t="s">
        <v>561</v>
      </c>
      <c r="V62" s="276" t="s">
        <v>540</v>
      </c>
      <c r="X62" s="276" t="s">
        <v>590</v>
      </c>
      <c r="Y62" s="276">
        <v>2</v>
      </c>
      <c r="Z62" s="279">
        <v>44126</v>
      </c>
      <c r="AA62" s="277">
        <v>1573.05</v>
      </c>
      <c r="AB62" s="277" t="s">
        <v>417</v>
      </c>
      <c r="AC62" s="278">
        <v>1573.05</v>
      </c>
      <c r="AD62" s="276" t="s">
        <v>542</v>
      </c>
      <c r="AE62" s="276">
        <v>2020</v>
      </c>
      <c r="AF62" s="276">
        <v>10</v>
      </c>
    </row>
    <row r="63" spans="1:32" customFormat="1" hidden="1" x14ac:dyDescent="0.35">
      <c r="A63" t="s">
        <v>184</v>
      </c>
      <c r="B63" t="s">
        <v>377</v>
      </c>
      <c r="C63" s="264">
        <v>44112</v>
      </c>
      <c r="D63" s="264">
        <v>44113</v>
      </c>
      <c r="E63" t="s">
        <v>186</v>
      </c>
      <c r="F63">
        <v>16108</v>
      </c>
      <c r="G63" t="s">
        <v>260</v>
      </c>
      <c r="H63" t="s">
        <v>188</v>
      </c>
      <c r="I63">
        <v>30000</v>
      </c>
      <c r="J63">
        <v>33804</v>
      </c>
      <c r="K63">
        <v>1981</v>
      </c>
      <c r="L63">
        <v>11363</v>
      </c>
      <c r="M63" t="s">
        <v>189</v>
      </c>
      <c r="N63">
        <v>120575</v>
      </c>
      <c r="O63" t="s">
        <v>205</v>
      </c>
      <c r="P63" t="s">
        <v>228</v>
      </c>
      <c r="Q63">
        <v>852160</v>
      </c>
      <c r="R63">
        <v>3051</v>
      </c>
      <c r="S63" t="s">
        <v>206</v>
      </c>
      <c r="T63" t="s">
        <v>9</v>
      </c>
      <c r="U63" t="s">
        <v>378</v>
      </c>
      <c r="V63" t="s">
        <v>379</v>
      </c>
      <c r="X63" t="s">
        <v>380</v>
      </c>
      <c r="Y63">
        <v>2</v>
      </c>
      <c r="Z63" s="264">
        <v>44112</v>
      </c>
      <c r="AA63">
        <v>194295000</v>
      </c>
      <c r="AB63" t="s">
        <v>195</v>
      </c>
      <c r="AC63">
        <v>19994.240000000002</v>
      </c>
      <c r="AD63" t="s">
        <v>196</v>
      </c>
      <c r="AE63">
        <v>2020</v>
      </c>
      <c r="AF63">
        <v>10</v>
      </c>
    </row>
    <row r="64" spans="1:32" customFormat="1" hidden="1" x14ac:dyDescent="0.35">
      <c r="A64" t="s">
        <v>184</v>
      </c>
      <c r="B64" t="s">
        <v>381</v>
      </c>
      <c r="C64" s="264">
        <v>44112</v>
      </c>
      <c r="D64" s="264">
        <v>44113</v>
      </c>
      <c r="E64" t="s">
        <v>186</v>
      </c>
      <c r="F64">
        <v>16108</v>
      </c>
      <c r="G64" t="s">
        <v>260</v>
      </c>
      <c r="H64" t="s">
        <v>188</v>
      </c>
      <c r="I64">
        <v>30000</v>
      </c>
      <c r="J64">
        <v>33804</v>
      </c>
      <c r="K64">
        <v>1981</v>
      </c>
      <c r="L64">
        <v>11363</v>
      </c>
      <c r="M64" t="s">
        <v>189</v>
      </c>
      <c r="N64">
        <v>120575</v>
      </c>
      <c r="O64" t="s">
        <v>205</v>
      </c>
      <c r="P64" t="s">
        <v>228</v>
      </c>
      <c r="Q64">
        <v>82780</v>
      </c>
      <c r="R64">
        <v>354</v>
      </c>
      <c r="S64" t="s">
        <v>266</v>
      </c>
      <c r="T64" t="s">
        <v>9</v>
      </c>
      <c r="U64" t="s">
        <v>382</v>
      </c>
      <c r="V64" t="s">
        <v>383</v>
      </c>
      <c r="X64" t="s">
        <v>380</v>
      </c>
      <c r="Y64">
        <v>3</v>
      </c>
      <c r="Z64" s="264">
        <v>44112</v>
      </c>
      <c r="AA64">
        <v>45350000</v>
      </c>
      <c r="AB64" t="s">
        <v>195</v>
      </c>
      <c r="AC64">
        <v>4666.8100000000004</v>
      </c>
      <c r="AD64" t="s">
        <v>196</v>
      </c>
      <c r="AE64">
        <v>2020</v>
      </c>
      <c r="AF64">
        <v>10</v>
      </c>
    </row>
    <row r="65" spans="1:32" x14ac:dyDescent="0.35">
      <c r="A65" s="276" t="s">
        <v>534</v>
      </c>
      <c r="B65" s="276" t="s">
        <v>604</v>
      </c>
      <c r="C65" s="279">
        <v>44112</v>
      </c>
      <c r="D65" s="279">
        <v>44116</v>
      </c>
      <c r="E65" s="276" t="s">
        <v>186</v>
      </c>
      <c r="F65" s="276">
        <v>71620</v>
      </c>
      <c r="G65" s="276" t="s">
        <v>536</v>
      </c>
      <c r="H65" s="276" t="s">
        <v>188</v>
      </c>
      <c r="I65" s="276">
        <v>30000</v>
      </c>
      <c r="J65" s="276">
        <v>33801</v>
      </c>
      <c r="K65" s="276">
        <v>1981</v>
      </c>
      <c r="L65" s="276">
        <v>11363</v>
      </c>
      <c r="M65" s="276" t="s">
        <v>189</v>
      </c>
      <c r="N65" s="276">
        <v>120575</v>
      </c>
      <c r="O65" s="276" t="s">
        <v>205</v>
      </c>
      <c r="P65" s="276" t="s">
        <v>228</v>
      </c>
      <c r="Q65" s="276">
        <v>852160</v>
      </c>
      <c r="R65" s="276">
        <v>3051</v>
      </c>
      <c r="S65" s="276" t="s">
        <v>206</v>
      </c>
      <c r="U65" s="276" t="s">
        <v>539</v>
      </c>
      <c r="V65" s="276" t="s">
        <v>540</v>
      </c>
      <c r="X65" s="276" t="s">
        <v>605</v>
      </c>
      <c r="Y65" s="276">
        <v>22</v>
      </c>
      <c r="Z65" s="279">
        <v>44112</v>
      </c>
      <c r="AA65" s="277">
        <v>121.02</v>
      </c>
      <c r="AB65" s="277" t="s">
        <v>417</v>
      </c>
      <c r="AC65" s="278">
        <v>121.02</v>
      </c>
      <c r="AD65" s="276" t="s">
        <v>542</v>
      </c>
      <c r="AE65" s="276">
        <v>2020</v>
      </c>
      <c r="AF65" s="276">
        <v>10</v>
      </c>
    </row>
    <row r="66" spans="1:32" x14ac:dyDescent="0.35">
      <c r="A66" s="276" t="s">
        <v>534</v>
      </c>
      <c r="B66" s="276" t="s">
        <v>608</v>
      </c>
      <c r="C66" s="279">
        <v>44112</v>
      </c>
      <c r="D66" s="279">
        <v>44116</v>
      </c>
      <c r="E66" s="276" t="s">
        <v>186</v>
      </c>
      <c r="F66" s="276">
        <v>71620</v>
      </c>
      <c r="G66" s="276" t="s">
        <v>536</v>
      </c>
      <c r="H66" s="276" t="s">
        <v>188</v>
      </c>
      <c r="I66" s="276">
        <v>30000</v>
      </c>
      <c r="J66" s="276">
        <v>33801</v>
      </c>
      <c r="K66" s="276">
        <v>1981</v>
      </c>
      <c r="L66" s="276">
        <v>11363</v>
      </c>
      <c r="M66" s="276" t="s">
        <v>189</v>
      </c>
      <c r="N66" s="276">
        <v>120575</v>
      </c>
      <c r="O66" s="276" t="s">
        <v>205</v>
      </c>
      <c r="P66" s="276" t="s">
        <v>228</v>
      </c>
      <c r="Q66" s="276" t="s">
        <v>609</v>
      </c>
      <c r="R66" s="276">
        <v>6523</v>
      </c>
      <c r="S66" s="276" t="s">
        <v>610</v>
      </c>
      <c r="U66" s="276" t="s">
        <v>539</v>
      </c>
      <c r="V66" s="276" t="s">
        <v>540</v>
      </c>
      <c r="X66" s="276" t="s">
        <v>605</v>
      </c>
      <c r="Y66" s="276">
        <v>24</v>
      </c>
      <c r="Z66" s="279">
        <v>44112</v>
      </c>
      <c r="AA66" s="277">
        <v>121.02</v>
      </c>
      <c r="AB66" s="277" t="s">
        <v>417</v>
      </c>
      <c r="AC66" s="278">
        <v>121.02</v>
      </c>
      <c r="AD66" s="276" t="s">
        <v>542</v>
      </c>
      <c r="AE66" s="276">
        <v>2020</v>
      </c>
      <c r="AF66" s="276">
        <v>10</v>
      </c>
    </row>
    <row r="67" spans="1:32" customFormat="1" hidden="1" x14ac:dyDescent="0.35">
      <c r="A67" t="s">
        <v>275</v>
      </c>
      <c r="B67" t="s">
        <v>392</v>
      </c>
      <c r="C67" s="264">
        <v>44116</v>
      </c>
      <c r="D67" s="264">
        <v>44117</v>
      </c>
      <c r="E67" t="s">
        <v>186</v>
      </c>
      <c r="F67">
        <v>16108</v>
      </c>
      <c r="G67" t="s">
        <v>260</v>
      </c>
      <c r="H67" t="s">
        <v>188</v>
      </c>
      <c r="I67">
        <v>30000</v>
      </c>
      <c r="J67">
        <v>33804</v>
      </c>
      <c r="K67">
        <v>1981</v>
      </c>
      <c r="L67">
        <v>11363</v>
      </c>
      <c r="M67" t="s">
        <v>189</v>
      </c>
      <c r="N67">
        <v>120575</v>
      </c>
      <c r="O67" t="s">
        <v>205</v>
      </c>
      <c r="P67" t="s">
        <v>228</v>
      </c>
      <c r="Q67">
        <v>852160</v>
      </c>
      <c r="R67">
        <v>3051</v>
      </c>
      <c r="S67" t="s">
        <v>206</v>
      </c>
      <c r="T67">
        <v>91369</v>
      </c>
      <c r="U67" t="s">
        <v>393</v>
      </c>
      <c r="V67" t="s">
        <v>393</v>
      </c>
      <c r="X67" t="s">
        <v>394</v>
      </c>
      <c r="Y67">
        <v>3</v>
      </c>
      <c r="Z67" s="264">
        <v>44116</v>
      </c>
      <c r="AA67">
        <v>-194295000</v>
      </c>
      <c r="AB67" t="s">
        <v>195</v>
      </c>
      <c r="AC67">
        <v>-19994.240000000002</v>
      </c>
      <c r="AD67" t="s">
        <v>196</v>
      </c>
      <c r="AE67">
        <v>2020</v>
      </c>
      <c r="AF67">
        <v>10</v>
      </c>
    </row>
    <row r="68" spans="1:32" x14ac:dyDescent="0.35">
      <c r="A68" s="276" t="s">
        <v>534</v>
      </c>
      <c r="B68" s="276" t="s">
        <v>614</v>
      </c>
      <c r="C68" s="279">
        <v>44119</v>
      </c>
      <c r="D68" s="279">
        <v>44120</v>
      </c>
      <c r="E68" s="276" t="s">
        <v>186</v>
      </c>
      <c r="F68" s="276">
        <v>71620</v>
      </c>
      <c r="G68" s="276" t="s">
        <v>536</v>
      </c>
      <c r="H68" s="276" t="s">
        <v>188</v>
      </c>
      <c r="I68" s="276">
        <v>30000</v>
      </c>
      <c r="J68" s="276">
        <v>33804</v>
      </c>
      <c r="K68" s="276">
        <v>1981</v>
      </c>
      <c r="L68" s="276">
        <v>11363</v>
      </c>
      <c r="M68" s="276" t="s">
        <v>189</v>
      </c>
      <c r="N68" s="276">
        <v>120575</v>
      </c>
      <c r="O68" s="276" t="s">
        <v>205</v>
      </c>
      <c r="P68" s="276" t="s">
        <v>228</v>
      </c>
      <c r="Q68" s="276" t="s">
        <v>544</v>
      </c>
      <c r="R68" s="276">
        <v>359</v>
      </c>
      <c r="S68" s="276" t="s">
        <v>545</v>
      </c>
      <c r="U68" s="276" t="s">
        <v>561</v>
      </c>
      <c r="V68" s="276" t="s">
        <v>540</v>
      </c>
      <c r="X68" s="276" t="s">
        <v>615</v>
      </c>
      <c r="Y68" s="276">
        <v>33</v>
      </c>
      <c r="Z68" s="279">
        <v>44119</v>
      </c>
      <c r="AA68" s="277">
        <v>1076.2</v>
      </c>
      <c r="AB68" s="277" t="s">
        <v>417</v>
      </c>
      <c r="AC68" s="278">
        <v>1076.2</v>
      </c>
      <c r="AD68" s="276" t="s">
        <v>542</v>
      </c>
      <c r="AE68" s="276">
        <v>2020</v>
      </c>
      <c r="AF68" s="276">
        <v>10</v>
      </c>
    </row>
    <row r="69" spans="1:32" x14ac:dyDescent="0.35">
      <c r="A69" s="276" t="s">
        <v>534</v>
      </c>
      <c r="B69" s="276" t="s">
        <v>616</v>
      </c>
      <c r="C69" s="279">
        <v>44119</v>
      </c>
      <c r="D69" s="279">
        <v>44120</v>
      </c>
      <c r="E69" s="276" t="s">
        <v>186</v>
      </c>
      <c r="F69" s="276">
        <v>71620</v>
      </c>
      <c r="G69" s="276" t="s">
        <v>536</v>
      </c>
      <c r="H69" s="276" t="s">
        <v>188</v>
      </c>
      <c r="I69" s="276">
        <v>30000</v>
      </c>
      <c r="J69" s="276">
        <v>33804</v>
      </c>
      <c r="K69" s="276">
        <v>1981</v>
      </c>
      <c r="L69" s="276">
        <v>11363</v>
      </c>
      <c r="M69" s="276" t="s">
        <v>189</v>
      </c>
      <c r="N69" s="276">
        <v>120575</v>
      </c>
      <c r="O69" s="276" t="s">
        <v>205</v>
      </c>
      <c r="P69" s="276" t="s">
        <v>228</v>
      </c>
      <c r="Q69" s="276">
        <v>55218</v>
      </c>
      <c r="R69" s="276">
        <v>5968</v>
      </c>
      <c r="S69" s="276" t="s">
        <v>547</v>
      </c>
      <c r="U69" s="276" t="s">
        <v>561</v>
      </c>
      <c r="V69" s="276" t="s">
        <v>540</v>
      </c>
      <c r="X69" s="276" t="s">
        <v>615</v>
      </c>
      <c r="Y69" s="276">
        <v>34</v>
      </c>
      <c r="Z69" s="279">
        <v>44119</v>
      </c>
      <c r="AA69" s="277">
        <v>1076.2</v>
      </c>
      <c r="AB69" s="277" t="s">
        <v>417</v>
      </c>
      <c r="AC69" s="278">
        <v>1076.2</v>
      </c>
      <c r="AD69" s="276" t="s">
        <v>542</v>
      </c>
      <c r="AE69" s="276">
        <v>2020</v>
      </c>
      <c r="AF69" s="276">
        <v>10</v>
      </c>
    </row>
    <row r="70" spans="1:32" x14ac:dyDescent="0.35">
      <c r="A70" s="276" t="s">
        <v>517</v>
      </c>
      <c r="B70" s="276" t="s">
        <v>525</v>
      </c>
      <c r="C70" s="279">
        <v>44104</v>
      </c>
      <c r="D70" s="279">
        <v>44110</v>
      </c>
      <c r="E70" s="276" t="s">
        <v>186</v>
      </c>
      <c r="F70" s="276">
        <v>71635</v>
      </c>
      <c r="G70" s="276" t="s">
        <v>526</v>
      </c>
      <c r="H70" s="276" t="s">
        <v>188</v>
      </c>
      <c r="I70" s="276">
        <v>30000</v>
      </c>
      <c r="J70" s="276">
        <v>33804</v>
      </c>
      <c r="K70" s="276">
        <v>1981</v>
      </c>
      <c r="L70" s="276">
        <v>11363</v>
      </c>
      <c r="M70" s="276" t="s">
        <v>189</v>
      </c>
      <c r="N70" s="276">
        <v>120575</v>
      </c>
      <c r="O70" s="276" t="s">
        <v>205</v>
      </c>
      <c r="P70" s="276" t="s">
        <v>519</v>
      </c>
      <c r="Q70" s="276" t="s">
        <v>9</v>
      </c>
      <c r="U70" s="276" t="s">
        <v>527</v>
      </c>
      <c r="X70" s="276" t="s">
        <v>528</v>
      </c>
      <c r="Y70" s="276">
        <v>1</v>
      </c>
      <c r="Z70" s="279">
        <v>44104</v>
      </c>
      <c r="AA70" s="277">
        <v>-103770</v>
      </c>
      <c r="AB70" s="277" t="s">
        <v>195</v>
      </c>
      <c r="AC70" s="278">
        <v>-10.81</v>
      </c>
      <c r="AD70" s="276" t="s">
        <v>516</v>
      </c>
      <c r="AE70" s="276">
        <v>2020</v>
      </c>
      <c r="AF70" s="276">
        <v>9</v>
      </c>
    </row>
    <row r="71" spans="1:32" customFormat="1" hidden="1" x14ac:dyDescent="0.35">
      <c r="A71" t="s">
        <v>275</v>
      </c>
      <c r="B71" t="s">
        <v>408</v>
      </c>
      <c r="C71" s="264">
        <v>44125</v>
      </c>
      <c r="D71" s="264">
        <v>44127</v>
      </c>
      <c r="E71" t="s">
        <v>186</v>
      </c>
      <c r="F71">
        <v>16108</v>
      </c>
      <c r="G71" t="s">
        <v>260</v>
      </c>
      <c r="H71" t="s">
        <v>188</v>
      </c>
      <c r="I71">
        <v>30000</v>
      </c>
      <c r="J71">
        <v>33804</v>
      </c>
      <c r="K71">
        <v>1981</v>
      </c>
      <c r="L71">
        <v>11363</v>
      </c>
      <c r="M71" t="s">
        <v>189</v>
      </c>
      <c r="N71">
        <v>120575</v>
      </c>
      <c r="O71" t="s">
        <v>205</v>
      </c>
      <c r="P71" t="s">
        <v>228</v>
      </c>
      <c r="Q71">
        <v>826988</v>
      </c>
      <c r="R71">
        <v>1633</v>
      </c>
      <c r="S71" t="s">
        <v>292</v>
      </c>
      <c r="T71" t="s">
        <v>9</v>
      </c>
      <c r="U71" t="s">
        <v>405</v>
      </c>
      <c r="V71" t="s">
        <v>406</v>
      </c>
      <c r="X71" t="s">
        <v>407</v>
      </c>
      <c r="Y71">
        <v>1</v>
      </c>
      <c r="Z71" s="264">
        <v>44125</v>
      </c>
      <c r="AA71">
        <v>-49230000</v>
      </c>
      <c r="AB71" t="s">
        <v>195</v>
      </c>
      <c r="AC71">
        <v>-5066.09</v>
      </c>
      <c r="AD71" t="s">
        <v>196</v>
      </c>
      <c r="AE71">
        <v>2020</v>
      </c>
      <c r="AF71">
        <v>10</v>
      </c>
    </row>
    <row r="72" spans="1:32" customFormat="1" hidden="1" x14ac:dyDescent="0.35">
      <c r="A72" t="s">
        <v>275</v>
      </c>
      <c r="B72" t="s">
        <v>409</v>
      </c>
      <c r="C72" s="264">
        <v>44125</v>
      </c>
      <c r="D72" s="264">
        <v>44127</v>
      </c>
      <c r="E72" t="s">
        <v>186</v>
      </c>
      <c r="F72">
        <v>16108</v>
      </c>
      <c r="G72" t="s">
        <v>260</v>
      </c>
      <c r="H72" t="s">
        <v>188</v>
      </c>
      <c r="I72">
        <v>30000</v>
      </c>
      <c r="J72">
        <v>33804</v>
      </c>
      <c r="K72">
        <v>1981</v>
      </c>
      <c r="L72">
        <v>11363</v>
      </c>
      <c r="M72" t="s">
        <v>189</v>
      </c>
      <c r="N72">
        <v>120575</v>
      </c>
      <c r="O72" t="s">
        <v>205</v>
      </c>
      <c r="P72" t="s">
        <v>228</v>
      </c>
      <c r="Q72">
        <v>826988</v>
      </c>
      <c r="R72">
        <v>1633</v>
      </c>
      <c r="S72" t="s">
        <v>292</v>
      </c>
      <c r="T72" t="s">
        <v>9</v>
      </c>
      <c r="U72" t="s">
        <v>405</v>
      </c>
      <c r="V72" t="s">
        <v>406</v>
      </c>
      <c r="X72" t="s">
        <v>407</v>
      </c>
      <c r="Y72">
        <v>2</v>
      </c>
      <c r="Z72" s="264">
        <v>44125</v>
      </c>
      <c r="AA72">
        <v>-53040000</v>
      </c>
      <c r="AB72" t="s">
        <v>195</v>
      </c>
      <c r="AC72">
        <v>-5458.17</v>
      </c>
      <c r="AD72" t="s">
        <v>196</v>
      </c>
      <c r="AE72">
        <v>2020</v>
      </c>
      <c r="AF72">
        <v>10</v>
      </c>
    </row>
    <row r="73" spans="1:32" customFormat="1" hidden="1" x14ac:dyDescent="0.35">
      <c r="A73" t="s">
        <v>275</v>
      </c>
      <c r="B73" t="s">
        <v>410</v>
      </c>
      <c r="C73" s="264">
        <v>44125</v>
      </c>
      <c r="D73" s="264">
        <v>44127</v>
      </c>
      <c r="E73" t="s">
        <v>186</v>
      </c>
      <c r="F73">
        <v>16108</v>
      </c>
      <c r="G73" t="s">
        <v>260</v>
      </c>
      <c r="H73" t="s">
        <v>188</v>
      </c>
      <c r="I73">
        <v>30000</v>
      </c>
      <c r="J73">
        <v>33804</v>
      </c>
      <c r="K73">
        <v>1981</v>
      </c>
      <c r="L73">
        <v>11363</v>
      </c>
      <c r="M73" t="s">
        <v>189</v>
      </c>
      <c r="N73">
        <v>120575</v>
      </c>
      <c r="O73" t="s">
        <v>205</v>
      </c>
      <c r="P73" t="s">
        <v>228</v>
      </c>
      <c r="Q73">
        <v>826988</v>
      </c>
      <c r="R73">
        <v>1633</v>
      </c>
      <c r="S73" t="s">
        <v>292</v>
      </c>
      <c r="T73" t="s">
        <v>9</v>
      </c>
      <c r="U73" t="s">
        <v>405</v>
      </c>
      <c r="V73" t="s">
        <v>406</v>
      </c>
      <c r="X73" t="s">
        <v>407</v>
      </c>
      <c r="Y73">
        <v>3</v>
      </c>
      <c r="Z73" s="264">
        <v>44125</v>
      </c>
      <c r="AA73">
        <v>-49550000</v>
      </c>
      <c r="AB73" t="s">
        <v>195</v>
      </c>
      <c r="AC73">
        <v>-5099.0200000000004</v>
      </c>
      <c r="AD73" t="s">
        <v>196</v>
      </c>
      <c r="AE73">
        <v>2020</v>
      </c>
      <c r="AF73">
        <v>10</v>
      </c>
    </row>
    <row r="74" spans="1:32" x14ac:dyDescent="0.35">
      <c r="A74" s="276" t="s">
        <v>534</v>
      </c>
      <c r="B74" s="276" t="s">
        <v>572</v>
      </c>
      <c r="C74" s="276" t="s">
        <v>564</v>
      </c>
      <c r="D74" s="276" t="s">
        <v>565</v>
      </c>
      <c r="E74" s="276" t="s">
        <v>186</v>
      </c>
      <c r="F74" s="276">
        <v>71635</v>
      </c>
      <c r="G74" s="276" t="s">
        <v>526</v>
      </c>
      <c r="H74" s="276" t="s">
        <v>188</v>
      </c>
      <c r="I74" s="276">
        <v>30000</v>
      </c>
      <c r="J74" s="276">
        <v>33804</v>
      </c>
      <c r="K74" s="276">
        <v>1981</v>
      </c>
      <c r="L74" s="276">
        <v>11363</v>
      </c>
      <c r="M74" s="276" t="s">
        <v>189</v>
      </c>
      <c r="N74" s="276">
        <v>120575</v>
      </c>
      <c r="O74" s="276" t="s">
        <v>205</v>
      </c>
      <c r="P74" s="276" t="s">
        <v>228</v>
      </c>
      <c r="Q74" s="276" t="s">
        <v>566</v>
      </c>
      <c r="R74" s="276">
        <v>3128</v>
      </c>
      <c r="S74" s="276" t="s">
        <v>567</v>
      </c>
      <c r="U74" s="276" t="s">
        <v>570</v>
      </c>
      <c r="V74" s="276" t="s">
        <v>540</v>
      </c>
      <c r="X74" s="276" t="s">
        <v>568</v>
      </c>
      <c r="Y74" s="276">
        <v>4</v>
      </c>
      <c r="Z74" s="276" t="s">
        <v>564</v>
      </c>
      <c r="AA74" s="277">
        <v>332.06</v>
      </c>
      <c r="AB74" s="277" t="s">
        <v>417</v>
      </c>
      <c r="AC74" s="278">
        <v>332.06</v>
      </c>
      <c r="AD74" s="276" t="s">
        <v>542</v>
      </c>
      <c r="AE74" s="276">
        <v>2020</v>
      </c>
      <c r="AF74" s="276">
        <v>8</v>
      </c>
    </row>
    <row r="75" spans="1:32" customFormat="1" hidden="1" x14ac:dyDescent="0.35">
      <c r="A75" t="s">
        <v>411</v>
      </c>
      <c r="B75" t="s">
        <v>419</v>
      </c>
      <c r="C75" s="264">
        <v>44012</v>
      </c>
      <c r="D75" s="264">
        <v>44032</v>
      </c>
      <c r="E75" t="s">
        <v>186</v>
      </c>
      <c r="F75">
        <v>54010</v>
      </c>
      <c r="G75" t="s">
        <v>420</v>
      </c>
      <c r="H75" t="s">
        <v>188</v>
      </c>
      <c r="I75">
        <v>11300</v>
      </c>
      <c r="J75">
        <v>33801</v>
      </c>
      <c r="K75">
        <v>1981</v>
      </c>
      <c r="L75">
        <v>11363</v>
      </c>
      <c r="M75" t="s">
        <v>9</v>
      </c>
      <c r="N75">
        <v>120575</v>
      </c>
      <c r="O75" t="s">
        <v>9</v>
      </c>
      <c r="P75" t="s">
        <v>421</v>
      </c>
      <c r="U75" t="s">
        <v>415</v>
      </c>
      <c r="V75" t="s">
        <v>422</v>
      </c>
      <c r="X75">
        <v>8582266</v>
      </c>
      <c r="Y75">
        <v>5145</v>
      </c>
      <c r="Z75" s="264">
        <v>44012</v>
      </c>
      <c r="AA75">
        <v>-294.14999999999998</v>
      </c>
      <c r="AB75" t="s">
        <v>417</v>
      </c>
      <c r="AC75">
        <v>-294.14999999999998</v>
      </c>
      <c r="AD75" t="s">
        <v>418</v>
      </c>
      <c r="AE75">
        <v>2020</v>
      </c>
      <c r="AF75">
        <v>6</v>
      </c>
    </row>
    <row r="76" spans="1:32" x14ac:dyDescent="0.35">
      <c r="A76" s="276" t="s">
        <v>534</v>
      </c>
      <c r="B76" s="276" t="s">
        <v>595</v>
      </c>
      <c r="C76" s="279">
        <v>44111</v>
      </c>
      <c r="D76" s="279">
        <v>44117</v>
      </c>
      <c r="E76" s="276" t="s">
        <v>186</v>
      </c>
      <c r="F76" s="276">
        <v>71635</v>
      </c>
      <c r="G76" s="276" t="s">
        <v>526</v>
      </c>
      <c r="H76" s="276" t="s">
        <v>188</v>
      </c>
      <c r="I76" s="276">
        <v>30000</v>
      </c>
      <c r="J76" s="276">
        <v>33801</v>
      </c>
      <c r="K76" s="276">
        <v>1981</v>
      </c>
      <c r="L76" s="276">
        <v>11363</v>
      </c>
      <c r="M76" s="276" t="s">
        <v>189</v>
      </c>
      <c r="N76" s="276">
        <v>120575</v>
      </c>
      <c r="O76" s="276" t="s">
        <v>205</v>
      </c>
      <c r="P76" s="276" t="s">
        <v>228</v>
      </c>
      <c r="Q76" s="276" t="s">
        <v>592</v>
      </c>
      <c r="R76" s="276">
        <v>6803</v>
      </c>
      <c r="S76" s="276" t="s">
        <v>593</v>
      </c>
      <c r="U76" s="276" t="s">
        <v>570</v>
      </c>
      <c r="V76" s="276" t="s">
        <v>540</v>
      </c>
      <c r="X76" s="276" t="s">
        <v>594</v>
      </c>
      <c r="Y76" s="276">
        <v>47</v>
      </c>
      <c r="Z76" s="279">
        <v>44111</v>
      </c>
      <c r="AA76" s="277">
        <v>33.340000000000003</v>
      </c>
      <c r="AB76" s="277" t="s">
        <v>417</v>
      </c>
      <c r="AC76" s="278">
        <v>33.340000000000003</v>
      </c>
      <c r="AD76" s="276" t="s">
        <v>542</v>
      </c>
      <c r="AE76" s="276">
        <v>2020</v>
      </c>
      <c r="AF76" s="276">
        <v>10</v>
      </c>
    </row>
    <row r="77" spans="1:32" customFormat="1" hidden="1" x14ac:dyDescent="0.35">
      <c r="A77" t="s">
        <v>411</v>
      </c>
      <c r="B77" t="s">
        <v>425</v>
      </c>
      <c r="C77" s="264">
        <v>44029</v>
      </c>
      <c r="D77" s="264">
        <v>44032</v>
      </c>
      <c r="E77" t="s">
        <v>186</v>
      </c>
      <c r="F77">
        <v>54010</v>
      </c>
      <c r="G77" t="s">
        <v>420</v>
      </c>
      <c r="H77" t="s">
        <v>188</v>
      </c>
      <c r="I77">
        <v>11300</v>
      </c>
      <c r="J77">
        <v>33801</v>
      </c>
      <c r="K77">
        <v>1981</v>
      </c>
      <c r="L77">
        <v>11363</v>
      </c>
      <c r="M77" t="s">
        <v>9</v>
      </c>
      <c r="N77">
        <v>120575</v>
      </c>
      <c r="O77" t="s">
        <v>9</v>
      </c>
      <c r="P77" t="s">
        <v>421</v>
      </c>
      <c r="U77" t="s">
        <v>424</v>
      </c>
      <c r="V77" t="s">
        <v>422</v>
      </c>
      <c r="X77">
        <v>8582275</v>
      </c>
      <c r="Y77">
        <v>9328</v>
      </c>
      <c r="Z77" s="264">
        <v>44029</v>
      </c>
      <c r="AA77">
        <v>-378.69</v>
      </c>
      <c r="AB77" t="s">
        <v>417</v>
      </c>
      <c r="AC77">
        <v>-378.69</v>
      </c>
      <c r="AD77" t="s">
        <v>418</v>
      </c>
      <c r="AE77">
        <v>2020</v>
      </c>
      <c r="AF77">
        <v>7</v>
      </c>
    </row>
    <row r="78" spans="1:32" x14ac:dyDescent="0.35">
      <c r="A78" s="276" t="s">
        <v>184</v>
      </c>
      <c r="B78" s="276" t="s">
        <v>217</v>
      </c>
      <c r="C78" s="276" t="s">
        <v>218</v>
      </c>
      <c r="D78" s="276" t="s">
        <v>219</v>
      </c>
      <c r="E78" s="276" t="s">
        <v>186</v>
      </c>
      <c r="F78" s="276">
        <v>72135</v>
      </c>
      <c r="G78" s="276" t="s">
        <v>220</v>
      </c>
      <c r="H78" s="276" t="s">
        <v>188</v>
      </c>
      <c r="I78" s="276">
        <v>30000</v>
      </c>
      <c r="J78" s="276">
        <v>33804</v>
      </c>
      <c r="K78" s="276">
        <v>1981</v>
      </c>
      <c r="L78" s="276">
        <v>11363</v>
      </c>
      <c r="M78" s="276" t="s">
        <v>189</v>
      </c>
      <c r="N78" s="276">
        <v>120575</v>
      </c>
      <c r="O78" s="276" t="s">
        <v>205</v>
      </c>
      <c r="P78" s="276" t="s">
        <v>9</v>
      </c>
      <c r="Q78" s="276" t="s">
        <v>9</v>
      </c>
      <c r="R78" s="276">
        <v>1003</v>
      </c>
      <c r="S78" s="276" t="s">
        <v>221</v>
      </c>
      <c r="T78" s="276" t="s">
        <v>9</v>
      </c>
      <c r="U78" s="276" t="s">
        <v>222</v>
      </c>
      <c r="V78" s="276" t="s">
        <v>223</v>
      </c>
      <c r="X78" s="276" t="s">
        <v>224</v>
      </c>
      <c r="Y78" s="276">
        <v>8</v>
      </c>
      <c r="Z78" s="276" t="s">
        <v>218</v>
      </c>
      <c r="AA78" s="277">
        <v>10500000</v>
      </c>
      <c r="AB78" s="277" t="s">
        <v>195</v>
      </c>
      <c r="AC78" s="278">
        <v>1096.6099999999999</v>
      </c>
      <c r="AD78" s="276" t="s">
        <v>196</v>
      </c>
      <c r="AE78" s="276">
        <v>2020</v>
      </c>
      <c r="AF78" s="276">
        <v>8</v>
      </c>
    </row>
    <row r="79" spans="1:32" x14ac:dyDescent="0.35">
      <c r="A79" s="276" t="s">
        <v>184</v>
      </c>
      <c r="B79" s="276" t="s">
        <v>204</v>
      </c>
      <c r="C79" s="279">
        <v>44033</v>
      </c>
      <c r="D79" s="279">
        <v>44034</v>
      </c>
      <c r="E79" s="276" t="s">
        <v>186</v>
      </c>
      <c r="F79" s="276">
        <v>72145</v>
      </c>
      <c r="G79" s="276" t="s">
        <v>187</v>
      </c>
      <c r="H79" s="276" t="s">
        <v>188</v>
      </c>
      <c r="I79" s="276">
        <v>30000</v>
      </c>
      <c r="J79" s="276">
        <v>33804</v>
      </c>
      <c r="K79" s="276">
        <v>1981</v>
      </c>
      <c r="L79" s="276">
        <v>11363</v>
      </c>
      <c r="M79" s="276" t="s">
        <v>189</v>
      </c>
      <c r="N79" s="276">
        <v>120575</v>
      </c>
      <c r="O79" s="276" t="s">
        <v>205</v>
      </c>
      <c r="P79" s="276" t="s">
        <v>9</v>
      </c>
      <c r="Q79" s="276" t="s">
        <v>9</v>
      </c>
      <c r="R79" s="276">
        <v>3051</v>
      </c>
      <c r="S79" s="276" t="s">
        <v>206</v>
      </c>
      <c r="T79" s="276" t="s">
        <v>9</v>
      </c>
      <c r="U79" s="276" t="s">
        <v>207</v>
      </c>
      <c r="V79" s="276" t="s">
        <v>208</v>
      </c>
      <c r="X79" s="276" t="s">
        <v>209</v>
      </c>
      <c r="Y79" s="276">
        <v>15</v>
      </c>
      <c r="Z79" s="279">
        <v>44033</v>
      </c>
      <c r="AA79" s="277">
        <v>2100000</v>
      </c>
      <c r="AB79" s="277" t="s">
        <v>195</v>
      </c>
      <c r="AC79" s="278">
        <v>219.9</v>
      </c>
      <c r="AD79" s="276" t="s">
        <v>196</v>
      </c>
      <c r="AE79" s="276">
        <v>2020</v>
      </c>
      <c r="AF79" s="276">
        <v>7</v>
      </c>
    </row>
    <row r="80" spans="1:32" customFormat="1" hidden="1" x14ac:dyDescent="0.35">
      <c r="A80" t="s">
        <v>411</v>
      </c>
      <c r="B80" t="s">
        <v>430</v>
      </c>
      <c r="C80" s="264">
        <v>44043</v>
      </c>
      <c r="D80" t="s">
        <v>428</v>
      </c>
      <c r="E80" t="s">
        <v>186</v>
      </c>
      <c r="F80">
        <v>54010</v>
      </c>
      <c r="G80" t="s">
        <v>420</v>
      </c>
      <c r="H80" t="s">
        <v>188</v>
      </c>
      <c r="I80">
        <v>11300</v>
      </c>
      <c r="J80">
        <v>33801</v>
      </c>
      <c r="K80">
        <v>1981</v>
      </c>
      <c r="L80">
        <v>11363</v>
      </c>
      <c r="M80" t="s">
        <v>9</v>
      </c>
      <c r="N80">
        <v>120575</v>
      </c>
      <c r="O80" t="s">
        <v>9</v>
      </c>
      <c r="P80" t="s">
        <v>421</v>
      </c>
      <c r="U80" t="s">
        <v>429</v>
      </c>
      <c r="V80" t="s">
        <v>422</v>
      </c>
      <c r="X80">
        <v>8596955</v>
      </c>
      <c r="Y80">
        <v>3859</v>
      </c>
      <c r="Z80" s="264">
        <v>44043</v>
      </c>
      <c r="AA80">
        <v>-15.39</v>
      </c>
      <c r="AB80" t="s">
        <v>417</v>
      </c>
      <c r="AC80">
        <v>-15.39</v>
      </c>
      <c r="AD80" t="s">
        <v>418</v>
      </c>
      <c r="AE80">
        <v>2020</v>
      </c>
      <c r="AF80">
        <v>7</v>
      </c>
    </row>
    <row r="81" spans="1:32" x14ac:dyDescent="0.35">
      <c r="A81" s="276" t="s">
        <v>275</v>
      </c>
      <c r="B81" s="276" t="s">
        <v>283</v>
      </c>
      <c r="C81" s="276" t="s">
        <v>259</v>
      </c>
      <c r="D81" s="279">
        <v>44082</v>
      </c>
      <c r="E81" s="276" t="s">
        <v>186</v>
      </c>
      <c r="F81" s="276">
        <v>72145</v>
      </c>
      <c r="G81" s="276" t="s">
        <v>187</v>
      </c>
      <c r="H81" s="276" t="s">
        <v>188</v>
      </c>
      <c r="I81" s="276">
        <v>30000</v>
      </c>
      <c r="J81" s="276">
        <v>33804</v>
      </c>
      <c r="K81" s="276">
        <v>1981</v>
      </c>
      <c r="L81" s="276">
        <v>11363</v>
      </c>
      <c r="M81" s="276" t="s">
        <v>189</v>
      </c>
      <c r="N81" s="276">
        <v>120575</v>
      </c>
      <c r="O81" s="276" t="s">
        <v>205</v>
      </c>
      <c r="P81" s="276" t="s">
        <v>9</v>
      </c>
      <c r="Q81" s="276" t="s">
        <v>284</v>
      </c>
      <c r="R81" s="276">
        <v>1250</v>
      </c>
      <c r="S81" s="276" t="s">
        <v>261</v>
      </c>
      <c r="T81" s="276" t="s">
        <v>9</v>
      </c>
      <c r="U81" s="276" t="s">
        <v>285</v>
      </c>
      <c r="V81" s="276" t="s">
        <v>286</v>
      </c>
      <c r="X81" s="276" t="s">
        <v>287</v>
      </c>
      <c r="Y81" s="276">
        <v>4</v>
      </c>
      <c r="Z81" s="276" t="s">
        <v>259</v>
      </c>
      <c r="AA81" s="277">
        <v>100749000</v>
      </c>
      <c r="AB81" s="277" t="s">
        <v>195</v>
      </c>
      <c r="AC81" s="278">
        <v>10491.41</v>
      </c>
      <c r="AD81" s="276" t="s">
        <v>196</v>
      </c>
      <c r="AE81" s="276">
        <v>2020</v>
      </c>
      <c r="AF81" s="276">
        <v>8</v>
      </c>
    </row>
    <row r="82" spans="1:32" customFormat="1" hidden="1" x14ac:dyDescent="0.35">
      <c r="A82" t="s">
        <v>411</v>
      </c>
      <c r="B82" t="s">
        <v>433</v>
      </c>
      <c r="C82" s="264">
        <v>44043</v>
      </c>
      <c r="D82" t="s">
        <v>234</v>
      </c>
      <c r="E82" t="s">
        <v>186</v>
      </c>
      <c r="F82">
        <v>54010</v>
      </c>
      <c r="G82" t="s">
        <v>420</v>
      </c>
      <c r="H82" t="s">
        <v>188</v>
      </c>
      <c r="I82">
        <v>11300</v>
      </c>
      <c r="J82">
        <v>33801</v>
      </c>
      <c r="K82">
        <v>1981</v>
      </c>
      <c r="L82">
        <v>11363</v>
      </c>
      <c r="M82" t="s">
        <v>9</v>
      </c>
      <c r="N82">
        <v>120575</v>
      </c>
      <c r="O82" t="s">
        <v>9</v>
      </c>
      <c r="P82" t="s">
        <v>421</v>
      </c>
      <c r="U82" t="s">
        <v>432</v>
      </c>
      <c r="V82" t="s">
        <v>422</v>
      </c>
      <c r="X82">
        <v>8614802</v>
      </c>
      <c r="Y82">
        <v>4902</v>
      </c>
      <c r="Z82" s="264">
        <v>44043</v>
      </c>
      <c r="AA82">
        <v>-48.7</v>
      </c>
      <c r="AB82" t="s">
        <v>417</v>
      </c>
      <c r="AC82">
        <v>-48.7</v>
      </c>
      <c r="AD82" t="s">
        <v>418</v>
      </c>
      <c r="AE82">
        <v>2020</v>
      </c>
      <c r="AF82">
        <v>7</v>
      </c>
    </row>
    <row r="83" spans="1:32" x14ac:dyDescent="0.35">
      <c r="A83" s="276" t="s">
        <v>184</v>
      </c>
      <c r="B83" s="276" t="s">
        <v>316</v>
      </c>
      <c r="C83" s="279">
        <v>44090</v>
      </c>
      <c r="D83" s="279">
        <v>44092</v>
      </c>
      <c r="E83" s="276" t="s">
        <v>186</v>
      </c>
      <c r="F83" s="276">
        <v>72145</v>
      </c>
      <c r="G83" s="276" t="s">
        <v>187</v>
      </c>
      <c r="H83" s="276" t="s">
        <v>188</v>
      </c>
      <c r="I83" s="276">
        <v>30000</v>
      </c>
      <c r="J83" s="276">
        <v>33804</v>
      </c>
      <c r="K83" s="276">
        <v>1981</v>
      </c>
      <c r="L83" s="276">
        <v>11363</v>
      </c>
      <c r="M83" s="276" t="s">
        <v>189</v>
      </c>
      <c r="N83" s="276">
        <v>120575</v>
      </c>
      <c r="O83" s="276" t="s">
        <v>205</v>
      </c>
      <c r="P83" s="276" t="s">
        <v>9</v>
      </c>
      <c r="Q83" s="276" t="s">
        <v>9</v>
      </c>
      <c r="R83" s="276">
        <v>7286</v>
      </c>
      <c r="S83" s="276" t="s">
        <v>317</v>
      </c>
      <c r="T83" s="276" t="s">
        <v>9</v>
      </c>
      <c r="U83" s="276" t="s">
        <v>318</v>
      </c>
      <c r="V83" s="276" t="s">
        <v>319</v>
      </c>
      <c r="X83" s="276" t="s">
        <v>320</v>
      </c>
      <c r="Y83" s="276">
        <v>36</v>
      </c>
      <c r="Z83" s="279">
        <v>44090</v>
      </c>
      <c r="AA83" s="277">
        <v>24550000</v>
      </c>
      <c r="AB83" s="277" t="s">
        <v>195</v>
      </c>
      <c r="AC83" s="278">
        <v>2556.4899999999998</v>
      </c>
      <c r="AD83" s="276" t="s">
        <v>196</v>
      </c>
      <c r="AE83" s="276">
        <v>2020</v>
      </c>
      <c r="AF83" s="276">
        <v>9</v>
      </c>
    </row>
    <row r="84" spans="1:32" x14ac:dyDescent="0.35">
      <c r="A84" s="276" t="s">
        <v>184</v>
      </c>
      <c r="B84" s="276" t="s">
        <v>321</v>
      </c>
      <c r="C84" s="279">
        <v>44090</v>
      </c>
      <c r="D84" s="279">
        <v>44092</v>
      </c>
      <c r="E84" s="276" t="s">
        <v>186</v>
      </c>
      <c r="F84" s="276">
        <v>72145</v>
      </c>
      <c r="G84" s="276" t="s">
        <v>187</v>
      </c>
      <c r="H84" s="276" t="s">
        <v>188</v>
      </c>
      <c r="I84" s="276">
        <v>30000</v>
      </c>
      <c r="J84" s="276">
        <v>33804</v>
      </c>
      <c r="K84" s="276">
        <v>1981</v>
      </c>
      <c r="L84" s="276">
        <v>11363</v>
      </c>
      <c r="M84" s="276" t="s">
        <v>189</v>
      </c>
      <c r="N84" s="276">
        <v>120575</v>
      </c>
      <c r="O84" s="276" t="s">
        <v>205</v>
      </c>
      <c r="P84" s="276" t="s">
        <v>9</v>
      </c>
      <c r="Q84" s="276" t="s">
        <v>9</v>
      </c>
      <c r="R84" s="276">
        <v>7489</v>
      </c>
      <c r="S84" s="276" t="s">
        <v>322</v>
      </c>
      <c r="T84" s="276" t="s">
        <v>9</v>
      </c>
      <c r="U84" s="276" t="s">
        <v>323</v>
      </c>
      <c r="V84" s="276" t="s">
        <v>324</v>
      </c>
      <c r="X84" s="276" t="s">
        <v>320</v>
      </c>
      <c r="Y84" s="276">
        <v>37</v>
      </c>
      <c r="Z84" s="279">
        <v>44090</v>
      </c>
      <c r="AA84" s="277">
        <v>23600000</v>
      </c>
      <c r="AB84" s="277" t="s">
        <v>195</v>
      </c>
      <c r="AC84" s="278">
        <v>2457.5700000000002</v>
      </c>
      <c r="AD84" s="276" t="s">
        <v>196</v>
      </c>
      <c r="AE84" s="276">
        <v>2020</v>
      </c>
      <c r="AF84" s="276">
        <v>9</v>
      </c>
    </row>
    <row r="85" spans="1:32" x14ac:dyDescent="0.35">
      <c r="A85" s="276" t="s">
        <v>184</v>
      </c>
      <c r="B85" s="276" t="s">
        <v>325</v>
      </c>
      <c r="C85" s="279">
        <v>44090</v>
      </c>
      <c r="D85" s="279">
        <v>44092</v>
      </c>
      <c r="E85" s="276" t="s">
        <v>186</v>
      </c>
      <c r="F85" s="276">
        <v>72145</v>
      </c>
      <c r="G85" s="276" t="s">
        <v>187</v>
      </c>
      <c r="H85" s="276" t="s">
        <v>188</v>
      </c>
      <c r="I85" s="276">
        <v>30000</v>
      </c>
      <c r="J85" s="276">
        <v>33804</v>
      </c>
      <c r="K85" s="276">
        <v>1981</v>
      </c>
      <c r="L85" s="276">
        <v>11363</v>
      </c>
      <c r="M85" s="276" t="s">
        <v>189</v>
      </c>
      <c r="N85" s="276">
        <v>120575</v>
      </c>
      <c r="O85" s="276" t="s">
        <v>205</v>
      </c>
      <c r="P85" s="276" t="s">
        <v>9</v>
      </c>
      <c r="Q85" s="276" t="s">
        <v>9</v>
      </c>
      <c r="R85" s="276">
        <v>7774</v>
      </c>
      <c r="S85" s="276" t="s">
        <v>326</v>
      </c>
      <c r="T85" s="276" t="s">
        <v>9</v>
      </c>
      <c r="U85" s="276" t="s">
        <v>327</v>
      </c>
      <c r="V85" s="276" t="s">
        <v>328</v>
      </c>
      <c r="X85" s="276" t="s">
        <v>320</v>
      </c>
      <c r="Y85" s="276">
        <v>39</v>
      </c>
      <c r="Z85" s="279">
        <v>44090</v>
      </c>
      <c r="AA85" s="277">
        <v>22850000</v>
      </c>
      <c r="AB85" s="277" t="s">
        <v>195</v>
      </c>
      <c r="AC85" s="278">
        <v>2379.46</v>
      </c>
      <c r="AD85" s="276" t="s">
        <v>196</v>
      </c>
      <c r="AE85" s="276">
        <v>2020</v>
      </c>
      <c r="AF85" s="276">
        <v>9</v>
      </c>
    </row>
    <row r="86" spans="1:32" customFormat="1" hidden="1" x14ac:dyDescent="0.35">
      <c r="A86" t="s">
        <v>411</v>
      </c>
      <c r="B86" t="s">
        <v>439</v>
      </c>
      <c r="C86" t="s">
        <v>435</v>
      </c>
      <c r="D86" t="s">
        <v>234</v>
      </c>
      <c r="E86" t="s">
        <v>186</v>
      </c>
      <c r="F86">
        <v>54010</v>
      </c>
      <c r="G86" t="s">
        <v>420</v>
      </c>
      <c r="H86" t="s">
        <v>188</v>
      </c>
      <c r="I86">
        <v>11300</v>
      </c>
      <c r="J86">
        <v>33801</v>
      </c>
      <c r="K86">
        <v>1981</v>
      </c>
      <c r="L86">
        <v>11363</v>
      </c>
      <c r="M86" t="s">
        <v>9</v>
      </c>
      <c r="N86">
        <v>120575</v>
      </c>
      <c r="O86" t="s">
        <v>9</v>
      </c>
      <c r="P86" t="s">
        <v>421</v>
      </c>
      <c r="U86" t="s">
        <v>436</v>
      </c>
      <c r="V86" t="s">
        <v>422</v>
      </c>
      <c r="X86">
        <v>8614804</v>
      </c>
      <c r="Y86">
        <v>3666</v>
      </c>
      <c r="Z86" t="s">
        <v>435</v>
      </c>
      <c r="AA86">
        <v>-458.73</v>
      </c>
      <c r="AB86" t="s">
        <v>417</v>
      </c>
      <c r="AC86">
        <v>-458.73</v>
      </c>
      <c r="AD86" t="s">
        <v>418</v>
      </c>
      <c r="AE86">
        <v>2020</v>
      </c>
      <c r="AF86">
        <v>8</v>
      </c>
    </row>
    <row r="87" spans="1:32" x14ac:dyDescent="0.35">
      <c r="A87" s="276" t="s">
        <v>275</v>
      </c>
      <c r="B87" s="276" t="s">
        <v>359</v>
      </c>
      <c r="C87" s="279">
        <v>44097</v>
      </c>
      <c r="D87" s="279">
        <v>44099</v>
      </c>
      <c r="E87" s="276" t="s">
        <v>186</v>
      </c>
      <c r="F87" s="276">
        <v>72145</v>
      </c>
      <c r="G87" s="276" t="s">
        <v>187</v>
      </c>
      <c r="H87" s="276" t="s">
        <v>188</v>
      </c>
      <c r="I87" s="276">
        <v>30000</v>
      </c>
      <c r="J87" s="276">
        <v>33804</v>
      </c>
      <c r="K87" s="276">
        <v>1981</v>
      </c>
      <c r="L87" s="276">
        <v>11363</v>
      </c>
      <c r="M87" s="276" t="s">
        <v>189</v>
      </c>
      <c r="N87" s="276">
        <v>120575</v>
      </c>
      <c r="O87" s="276" t="s">
        <v>205</v>
      </c>
      <c r="P87" s="276" t="s">
        <v>9</v>
      </c>
      <c r="Q87" s="276" t="s">
        <v>360</v>
      </c>
      <c r="R87" s="276">
        <v>354</v>
      </c>
      <c r="S87" s="276" t="s">
        <v>266</v>
      </c>
      <c r="T87" s="276" t="s">
        <v>9</v>
      </c>
      <c r="U87" s="276" t="s">
        <v>354</v>
      </c>
      <c r="V87" s="276" t="s">
        <v>355</v>
      </c>
      <c r="X87" s="276" t="s">
        <v>358</v>
      </c>
      <c r="Y87" s="276">
        <v>10</v>
      </c>
      <c r="Z87" s="279">
        <v>44097</v>
      </c>
      <c r="AA87" s="277">
        <v>-45160000</v>
      </c>
      <c r="AB87" s="277" t="s">
        <v>195</v>
      </c>
      <c r="AC87" s="278">
        <v>-4702.7</v>
      </c>
      <c r="AD87" s="276" t="s">
        <v>196</v>
      </c>
      <c r="AE87" s="276">
        <v>2020</v>
      </c>
      <c r="AF87" s="276">
        <v>9</v>
      </c>
    </row>
    <row r="88" spans="1:32" customFormat="1" hidden="1" x14ac:dyDescent="0.35">
      <c r="A88" t="s">
        <v>411</v>
      </c>
      <c r="B88" t="s">
        <v>442</v>
      </c>
      <c r="C88" t="s">
        <v>259</v>
      </c>
      <c r="D88" s="264">
        <v>44086</v>
      </c>
      <c r="E88" t="s">
        <v>186</v>
      </c>
      <c r="F88">
        <v>54010</v>
      </c>
      <c r="G88" t="s">
        <v>420</v>
      </c>
      <c r="H88" t="s">
        <v>188</v>
      </c>
      <c r="I88">
        <v>11300</v>
      </c>
      <c r="J88">
        <v>33801</v>
      </c>
      <c r="K88">
        <v>1981</v>
      </c>
      <c r="L88">
        <v>11363</v>
      </c>
      <c r="M88" t="s">
        <v>9</v>
      </c>
      <c r="N88">
        <v>120575</v>
      </c>
      <c r="O88" t="s">
        <v>9</v>
      </c>
      <c r="P88" t="s">
        <v>421</v>
      </c>
      <c r="U88" t="s">
        <v>441</v>
      </c>
      <c r="V88" t="s">
        <v>422</v>
      </c>
      <c r="X88">
        <v>8646760</v>
      </c>
      <c r="Y88">
        <v>4617</v>
      </c>
      <c r="Z88" t="s">
        <v>259</v>
      </c>
      <c r="AA88">
        <v>-1536.21</v>
      </c>
      <c r="AB88" t="s">
        <v>417</v>
      </c>
      <c r="AC88">
        <v>-1536.21</v>
      </c>
      <c r="AD88" t="s">
        <v>418</v>
      </c>
      <c r="AE88">
        <v>2020</v>
      </c>
      <c r="AF88">
        <v>8</v>
      </c>
    </row>
    <row r="89" spans="1:32" x14ac:dyDescent="0.35">
      <c r="A89" s="276" t="s">
        <v>275</v>
      </c>
      <c r="B89" s="276" t="s">
        <v>359</v>
      </c>
      <c r="C89" s="279">
        <v>44097</v>
      </c>
      <c r="D89" s="279">
        <v>44099</v>
      </c>
      <c r="E89" s="276" t="s">
        <v>186</v>
      </c>
      <c r="F89" s="276">
        <v>72145</v>
      </c>
      <c r="G89" s="276" t="s">
        <v>187</v>
      </c>
      <c r="H89" s="276" t="s">
        <v>188</v>
      </c>
      <c r="I89" s="276">
        <v>30000</v>
      </c>
      <c r="J89" s="276">
        <v>33804</v>
      </c>
      <c r="K89" s="276">
        <v>1981</v>
      </c>
      <c r="L89" s="276">
        <v>11363</v>
      </c>
      <c r="M89" s="276" t="s">
        <v>189</v>
      </c>
      <c r="N89" s="276">
        <v>120575</v>
      </c>
      <c r="O89" s="276" t="s">
        <v>205</v>
      </c>
      <c r="P89" s="276" t="s">
        <v>228</v>
      </c>
      <c r="Q89" s="276" t="s">
        <v>360</v>
      </c>
      <c r="R89" s="276">
        <v>354</v>
      </c>
      <c r="S89" s="276" t="s">
        <v>266</v>
      </c>
      <c r="T89" s="276" t="s">
        <v>9</v>
      </c>
      <c r="U89" s="276" t="s">
        <v>354</v>
      </c>
      <c r="V89" s="276" t="s">
        <v>355</v>
      </c>
      <c r="X89" s="276" t="s">
        <v>357</v>
      </c>
      <c r="Y89" s="276">
        <v>10</v>
      </c>
      <c r="Z89" s="279">
        <v>44097</v>
      </c>
      <c r="AA89" s="277">
        <v>45160000</v>
      </c>
      <c r="AB89" s="277" t="s">
        <v>195</v>
      </c>
      <c r="AC89" s="278">
        <v>4702.7</v>
      </c>
      <c r="AD89" s="276" t="s">
        <v>196</v>
      </c>
      <c r="AE89" s="276">
        <v>2020</v>
      </c>
      <c r="AF89" s="276">
        <v>9</v>
      </c>
    </row>
    <row r="90" spans="1:32" x14ac:dyDescent="0.35">
      <c r="A90" s="276" t="s">
        <v>275</v>
      </c>
      <c r="B90" s="276" t="s">
        <v>359</v>
      </c>
      <c r="C90" s="279">
        <v>44097</v>
      </c>
      <c r="D90" s="279">
        <v>44098</v>
      </c>
      <c r="E90" s="276" t="s">
        <v>186</v>
      </c>
      <c r="F90" s="276">
        <v>72145</v>
      </c>
      <c r="G90" s="276" t="s">
        <v>187</v>
      </c>
      <c r="H90" s="276" t="s">
        <v>188</v>
      </c>
      <c r="I90" s="276">
        <v>30000</v>
      </c>
      <c r="J90" s="276">
        <v>33804</v>
      </c>
      <c r="K90" s="276">
        <v>1981</v>
      </c>
      <c r="L90" s="276">
        <v>11363</v>
      </c>
      <c r="M90" s="276" t="s">
        <v>189</v>
      </c>
      <c r="N90" s="276">
        <v>120575</v>
      </c>
      <c r="O90" s="276" t="s">
        <v>205</v>
      </c>
      <c r="P90" s="276" t="s">
        <v>9</v>
      </c>
      <c r="Q90" s="276" t="s">
        <v>360</v>
      </c>
      <c r="R90" s="276">
        <v>354</v>
      </c>
      <c r="S90" s="276" t="s">
        <v>266</v>
      </c>
      <c r="T90" s="276" t="s">
        <v>9</v>
      </c>
      <c r="U90" s="276" t="s">
        <v>354</v>
      </c>
      <c r="V90" s="276" t="s">
        <v>355</v>
      </c>
      <c r="X90" s="276" t="s">
        <v>356</v>
      </c>
      <c r="Y90" s="276">
        <v>26</v>
      </c>
      <c r="Z90" s="279">
        <v>44097</v>
      </c>
      <c r="AA90" s="277">
        <v>45160000</v>
      </c>
      <c r="AB90" s="277" t="s">
        <v>195</v>
      </c>
      <c r="AC90" s="278">
        <v>4702.7</v>
      </c>
      <c r="AD90" s="276" t="s">
        <v>196</v>
      </c>
      <c r="AE90" s="276">
        <v>2020</v>
      </c>
      <c r="AF90" s="276">
        <v>9</v>
      </c>
    </row>
    <row r="91" spans="1:32" customFormat="1" hidden="1" x14ac:dyDescent="0.35">
      <c r="A91" t="s">
        <v>411</v>
      </c>
      <c r="B91" t="s">
        <v>445</v>
      </c>
      <c r="C91" s="264">
        <v>44085</v>
      </c>
      <c r="D91" s="264">
        <v>44086</v>
      </c>
      <c r="E91" t="s">
        <v>186</v>
      </c>
      <c r="F91">
        <v>54010</v>
      </c>
      <c r="G91" t="s">
        <v>420</v>
      </c>
      <c r="H91" t="s">
        <v>188</v>
      </c>
      <c r="I91">
        <v>11300</v>
      </c>
      <c r="J91">
        <v>33801</v>
      </c>
      <c r="K91">
        <v>1981</v>
      </c>
      <c r="L91">
        <v>11363</v>
      </c>
      <c r="M91" t="s">
        <v>9</v>
      </c>
      <c r="N91">
        <v>120575</v>
      </c>
      <c r="O91" t="s">
        <v>9</v>
      </c>
      <c r="P91" t="s">
        <v>421</v>
      </c>
      <c r="U91" t="s">
        <v>446</v>
      </c>
      <c r="V91" t="s">
        <v>422</v>
      </c>
      <c r="X91">
        <v>8646874</v>
      </c>
      <c r="Y91">
        <v>3243</v>
      </c>
      <c r="Z91" s="264">
        <v>44085</v>
      </c>
      <c r="AA91">
        <v>-1070.08</v>
      </c>
      <c r="AB91" t="s">
        <v>417</v>
      </c>
      <c r="AC91">
        <v>-1070.08</v>
      </c>
      <c r="AD91" t="s">
        <v>418</v>
      </c>
      <c r="AE91">
        <v>2020</v>
      </c>
      <c r="AF91">
        <v>9</v>
      </c>
    </row>
    <row r="92" spans="1:32" x14ac:dyDescent="0.35">
      <c r="A92" s="276" t="s">
        <v>275</v>
      </c>
      <c r="B92" s="276" t="s">
        <v>364</v>
      </c>
      <c r="C92" s="279">
        <v>44097</v>
      </c>
      <c r="D92" s="279">
        <v>44099</v>
      </c>
      <c r="E92" s="276" t="s">
        <v>186</v>
      </c>
      <c r="F92" s="276">
        <v>72145</v>
      </c>
      <c r="G92" s="276" t="s">
        <v>187</v>
      </c>
      <c r="H92" s="276" t="s">
        <v>188</v>
      </c>
      <c r="I92" s="276">
        <v>30000</v>
      </c>
      <c r="J92" s="276">
        <v>33804</v>
      </c>
      <c r="K92" s="276">
        <v>1981</v>
      </c>
      <c r="L92" s="276">
        <v>11363</v>
      </c>
      <c r="M92" s="276" t="s">
        <v>189</v>
      </c>
      <c r="N92" s="276">
        <v>120575</v>
      </c>
      <c r="O92" s="276" t="s">
        <v>205</v>
      </c>
      <c r="P92" s="276" t="s">
        <v>9</v>
      </c>
      <c r="Q92" s="276" t="s">
        <v>365</v>
      </c>
      <c r="R92" s="276">
        <v>354</v>
      </c>
      <c r="S92" s="276" t="s">
        <v>266</v>
      </c>
      <c r="T92" s="276">
        <v>90978</v>
      </c>
      <c r="U92" s="276" t="s">
        <v>362</v>
      </c>
      <c r="V92" s="276" t="s">
        <v>363</v>
      </c>
      <c r="X92" s="276" t="s">
        <v>358</v>
      </c>
      <c r="Y92" s="276">
        <v>11</v>
      </c>
      <c r="Z92" s="279">
        <v>44097</v>
      </c>
      <c r="AA92" s="277">
        <v>-50260000</v>
      </c>
      <c r="AB92" s="277" t="s">
        <v>195</v>
      </c>
      <c r="AC92" s="278">
        <v>-5233.78</v>
      </c>
      <c r="AD92" s="276" t="s">
        <v>196</v>
      </c>
      <c r="AE92" s="276">
        <v>2020</v>
      </c>
      <c r="AF92" s="276">
        <v>9</v>
      </c>
    </row>
    <row r="93" spans="1:32" x14ac:dyDescent="0.35">
      <c r="A93" s="276" t="s">
        <v>275</v>
      </c>
      <c r="B93" s="276" t="s">
        <v>364</v>
      </c>
      <c r="C93" s="279">
        <v>44097</v>
      </c>
      <c r="D93" s="279">
        <v>44099</v>
      </c>
      <c r="E93" s="276" t="s">
        <v>186</v>
      </c>
      <c r="F93" s="276">
        <v>72145</v>
      </c>
      <c r="G93" s="276" t="s">
        <v>187</v>
      </c>
      <c r="H93" s="276" t="s">
        <v>188</v>
      </c>
      <c r="I93" s="276">
        <v>30000</v>
      </c>
      <c r="J93" s="276">
        <v>33804</v>
      </c>
      <c r="K93" s="276">
        <v>1981</v>
      </c>
      <c r="L93" s="276">
        <v>11363</v>
      </c>
      <c r="M93" s="276" t="s">
        <v>189</v>
      </c>
      <c r="N93" s="276">
        <v>120575</v>
      </c>
      <c r="O93" s="276" t="s">
        <v>205</v>
      </c>
      <c r="P93" s="276" t="s">
        <v>228</v>
      </c>
      <c r="Q93" s="276" t="s">
        <v>365</v>
      </c>
      <c r="R93" s="276">
        <v>354</v>
      </c>
      <c r="S93" s="276" t="s">
        <v>266</v>
      </c>
      <c r="T93" s="276">
        <v>90978</v>
      </c>
      <c r="U93" s="276" t="s">
        <v>362</v>
      </c>
      <c r="V93" s="276" t="s">
        <v>363</v>
      </c>
      <c r="X93" s="276" t="s">
        <v>357</v>
      </c>
      <c r="Y93" s="276">
        <v>11</v>
      </c>
      <c r="Z93" s="279">
        <v>44097</v>
      </c>
      <c r="AA93" s="277">
        <v>50260000</v>
      </c>
      <c r="AB93" s="277" t="s">
        <v>195</v>
      </c>
      <c r="AC93" s="278">
        <v>5233.78</v>
      </c>
      <c r="AD93" s="276" t="s">
        <v>196</v>
      </c>
      <c r="AE93" s="276">
        <v>2020</v>
      </c>
      <c r="AF93" s="276">
        <v>9</v>
      </c>
    </row>
    <row r="94" spans="1:32" x14ac:dyDescent="0.35">
      <c r="A94" s="276" t="s">
        <v>275</v>
      </c>
      <c r="B94" s="276" t="s">
        <v>364</v>
      </c>
      <c r="C94" s="279">
        <v>44097</v>
      </c>
      <c r="D94" s="279">
        <v>44098</v>
      </c>
      <c r="E94" s="276" t="s">
        <v>186</v>
      </c>
      <c r="F94" s="276">
        <v>72145</v>
      </c>
      <c r="G94" s="276" t="s">
        <v>187</v>
      </c>
      <c r="H94" s="276" t="s">
        <v>188</v>
      </c>
      <c r="I94" s="276">
        <v>30000</v>
      </c>
      <c r="J94" s="276">
        <v>33804</v>
      </c>
      <c r="K94" s="276">
        <v>1981</v>
      </c>
      <c r="L94" s="276">
        <v>11363</v>
      </c>
      <c r="M94" s="276" t="s">
        <v>189</v>
      </c>
      <c r="N94" s="276">
        <v>120575</v>
      </c>
      <c r="O94" s="276" t="s">
        <v>205</v>
      </c>
      <c r="P94" s="276" t="s">
        <v>9</v>
      </c>
      <c r="Q94" s="276" t="s">
        <v>365</v>
      </c>
      <c r="R94" s="276">
        <v>354</v>
      </c>
      <c r="S94" s="276" t="s">
        <v>266</v>
      </c>
      <c r="T94" s="276">
        <v>90978</v>
      </c>
      <c r="U94" s="276" t="s">
        <v>362</v>
      </c>
      <c r="V94" s="276" t="s">
        <v>363</v>
      </c>
      <c r="X94" s="276" t="s">
        <v>356</v>
      </c>
      <c r="Y94" s="276">
        <v>24</v>
      </c>
      <c r="Z94" s="279">
        <v>44097</v>
      </c>
      <c r="AA94" s="277">
        <v>50260000</v>
      </c>
      <c r="AB94" s="277" t="s">
        <v>195</v>
      </c>
      <c r="AC94" s="278">
        <v>5233.78</v>
      </c>
      <c r="AD94" s="276" t="s">
        <v>196</v>
      </c>
      <c r="AE94" s="276">
        <v>2020</v>
      </c>
      <c r="AF94" s="276">
        <v>9</v>
      </c>
    </row>
    <row r="95" spans="1:32" customFormat="1" hidden="1" x14ac:dyDescent="0.35">
      <c r="A95" t="s">
        <v>411</v>
      </c>
      <c r="B95" t="s">
        <v>451</v>
      </c>
      <c r="C95" s="264">
        <v>44099</v>
      </c>
      <c r="D95" s="264">
        <v>44100</v>
      </c>
      <c r="E95" t="s">
        <v>186</v>
      </c>
      <c r="F95">
        <v>54010</v>
      </c>
      <c r="G95" t="s">
        <v>420</v>
      </c>
      <c r="H95" t="s">
        <v>188</v>
      </c>
      <c r="I95">
        <v>11300</v>
      </c>
      <c r="J95">
        <v>33801</v>
      </c>
      <c r="K95">
        <v>1981</v>
      </c>
      <c r="L95">
        <v>11363</v>
      </c>
      <c r="M95" t="s">
        <v>9</v>
      </c>
      <c r="N95">
        <v>120575</v>
      </c>
      <c r="O95" t="s">
        <v>9</v>
      </c>
      <c r="P95" t="s">
        <v>421</v>
      </c>
      <c r="U95" t="s">
        <v>449</v>
      </c>
      <c r="V95" t="s">
        <v>422</v>
      </c>
      <c r="X95">
        <v>8662445</v>
      </c>
      <c r="Y95">
        <v>3891</v>
      </c>
      <c r="Z95" s="264">
        <v>44099</v>
      </c>
      <c r="AA95">
        <v>-2018.83</v>
      </c>
      <c r="AB95" t="s">
        <v>417</v>
      </c>
      <c r="AC95">
        <v>-2018.83</v>
      </c>
      <c r="AD95" t="s">
        <v>418</v>
      </c>
      <c r="AE95">
        <v>2020</v>
      </c>
      <c r="AF95">
        <v>9</v>
      </c>
    </row>
    <row r="96" spans="1:32" x14ac:dyDescent="0.35">
      <c r="A96" s="276" t="s">
        <v>275</v>
      </c>
      <c r="B96" s="276" t="s">
        <v>369</v>
      </c>
      <c r="C96" s="279">
        <v>44097</v>
      </c>
      <c r="D96" s="279">
        <v>44098</v>
      </c>
      <c r="E96" s="276" t="s">
        <v>186</v>
      </c>
      <c r="F96" s="276">
        <v>72145</v>
      </c>
      <c r="G96" s="276" t="s">
        <v>187</v>
      </c>
      <c r="H96" s="276" t="s">
        <v>188</v>
      </c>
      <c r="I96" s="276">
        <v>30000</v>
      </c>
      <c r="J96" s="276">
        <v>33804</v>
      </c>
      <c r="K96" s="276">
        <v>1981</v>
      </c>
      <c r="L96" s="276">
        <v>11363</v>
      </c>
      <c r="M96" s="276" t="s">
        <v>189</v>
      </c>
      <c r="N96" s="276">
        <v>120575</v>
      </c>
      <c r="O96" s="276" t="s">
        <v>205</v>
      </c>
      <c r="P96" s="276" t="s">
        <v>9</v>
      </c>
      <c r="Q96" s="276" t="s">
        <v>370</v>
      </c>
      <c r="R96" s="276">
        <v>354</v>
      </c>
      <c r="S96" s="276" t="s">
        <v>266</v>
      </c>
      <c r="T96" s="276" t="s">
        <v>9</v>
      </c>
      <c r="U96" s="276" t="s">
        <v>367</v>
      </c>
      <c r="V96" s="276" t="s">
        <v>368</v>
      </c>
      <c r="X96" s="276" t="s">
        <v>356</v>
      </c>
      <c r="Y96" s="276">
        <v>25</v>
      </c>
      <c r="Z96" s="279">
        <v>44097</v>
      </c>
      <c r="AA96" s="277">
        <v>71320000</v>
      </c>
      <c r="AB96" s="277" t="s">
        <v>195</v>
      </c>
      <c r="AC96" s="278">
        <v>7426.85</v>
      </c>
      <c r="AD96" s="276" t="s">
        <v>196</v>
      </c>
      <c r="AE96" s="276">
        <v>2020</v>
      </c>
      <c r="AF96" s="276">
        <v>9</v>
      </c>
    </row>
    <row r="97" spans="1:32" customFormat="1" hidden="1" x14ac:dyDescent="0.35">
      <c r="A97" t="s">
        <v>452</v>
      </c>
      <c r="B97" t="s">
        <v>458</v>
      </c>
      <c r="C97" s="264">
        <v>44104</v>
      </c>
      <c r="D97" s="264">
        <v>44113</v>
      </c>
      <c r="E97" t="s">
        <v>186</v>
      </c>
      <c r="F97">
        <v>16108</v>
      </c>
      <c r="G97" t="s">
        <v>459</v>
      </c>
      <c r="H97" t="s">
        <v>188</v>
      </c>
      <c r="I97">
        <v>30000</v>
      </c>
      <c r="J97">
        <v>33804</v>
      </c>
      <c r="K97">
        <v>1981</v>
      </c>
      <c r="L97">
        <v>11363</v>
      </c>
      <c r="M97" t="s">
        <v>189</v>
      </c>
      <c r="N97">
        <v>120575</v>
      </c>
      <c r="O97" t="s">
        <v>205</v>
      </c>
      <c r="P97" t="s">
        <v>455</v>
      </c>
      <c r="Q97">
        <v>82780</v>
      </c>
      <c r="U97" t="s">
        <v>456</v>
      </c>
      <c r="V97" t="s">
        <v>456</v>
      </c>
      <c r="X97">
        <v>8679015</v>
      </c>
      <c r="Y97">
        <v>1</v>
      </c>
      <c r="Z97" s="264">
        <v>44104</v>
      </c>
      <c r="AA97">
        <v>0</v>
      </c>
      <c r="AB97" t="s">
        <v>195</v>
      </c>
      <c r="AC97">
        <v>0.01</v>
      </c>
      <c r="AD97" t="s">
        <v>457</v>
      </c>
      <c r="AE97">
        <v>2020</v>
      </c>
      <c r="AF97">
        <v>9</v>
      </c>
    </row>
    <row r="98" spans="1:32" customFormat="1" hidden="1" x14ac:dyDescent="0.35">
      <c r="A98" t="s">
        <v>452</v>
      </c>
      <c r="B98" t="s">
        <v>460</v>
      </c>
      <c r="C98" s="264">
        <v>44104</v>
      </c>
      <c r="D98" s="264">
        <v>44113</v>
      </c>
      <c r="E98" t="s">
        <v>186</v>
      </c>
      <c r="F98">
        <v>16108</v>
      </c>
      <c r="G98" t="s">
        <v>459</v>
      </c>
      <c r="H98" t="s">
        <v>188</v>
      </c>
      <c r="I98">
        <v>30000</v>
      </c>
      <c r="J98">
        <v>33804</v>
      </c>
      <c r="K98">
        <v>1981</v>
      </c>
      <c r="L98">
        <v>11363</v>
      </c>
      <c r="M98" t="s">
        <v>189</v>
      </c>
      <c r="N98">
        <v>120575</v>
      </c>
      <c r="O98" t="s">
        <v>205</v>
      </c>
      <c r="P98" t="s">
        <v>455</v>
      </c>
      <c r="Q98">
        <v>273796</v>
      </c>
      <c r="U98" t="s">
        <v>456</v>
      </c>
      <c r="V98" t="s">
        <v>456</v>
      </c>
      <c r="X98">
        <v>8679015</v>
      </c>
      <c r="Y98">
        <v>7</v>
      </c>
      <c r="Z98" s="264">
        <v>44104</v>
      </c>
      <c r="AA98">
        <v>0</v>
      </c>
      <c r="AB98" t="s">
        <v>195</v>
      </c>
      <c r="AC98">
        <v>-30.68</v>
      </c>
      <c r="AD98" t="s">
        <v>457</v>
      </c>
      <c r="AE98">
        <v>2020</v>
      </c>
      <c r="AF98">
        <v>9</v>
      </c>
    </row>
    <row r="99" spans="1:32" customFormat="1" hidden="1" x14ac:dyDescent="0.35">
      <c r="A99" t="s">
        <v>452</v>
      </c>
      <c r="B99" t="s">
        <v>461</v>
      </c>
      <c r="C99" s="264">
        <v>44104</v>
      </c>
      <c r="D99" s="264">
        <v>44113</v>
      </c>
      <c r="E99" t="s">
        <v>186</v>
      </c>
      <c r="F99">
        <v>56010</v>
      </c>
      <c r="G99" t="s">
        <v>462</v>
      </c>
      <c r="H99" t="s">
        <v>188</v>
      </c>
      <c r="I99">
        <v>30000</v>
      </c>
      <c r="J99">
        <v>33804</v>
      </c>
      <c r="K99">
        <v>1981</v>
      </c>
      <c r="L99">
        <v>11363</v>
      </c>
      <c r="M99" t="s">
        <v>189</v>
      </c>
      <c r="N99">
        <v>120575</v>
      </c>
      <c r="O99" t="s">
        <v>205</v>
      </c>
      <c r="P99" t="s">
        <v>455</v>
      </c>
      <c r="U99" t="s">
        <v>456</v>
      </c>
      <c r="V99" t="s">
        <v>456</v>
      </c>
      <c r="X99">
        <v>8679015</v>
      </c>
      <c r="Y99">
        <v>90</v>
      </c>
      <c r="Z99" s="264">
        <v>44104</v>
      </c>
      <c r="AA99">
        <v>0</v>
      </c>
      <c r="AB99" t="s">
        <v>195</v>
      </c>
      <c r="AC99">
        <v>-0.01</v>
      </c>
      <c r="AD99" t="s">
        <v>457</v>
      </c>
      <c r="AE99">
        <v>2020</v>
      </c>
      <c r="AF99">
        <v>9</v>
      </c>
    </row>
    <row r="100" spans="1:32" customFormat="1" hidden="1" x14ac:dyDescent="0.35">
      <c r="A100" t="s">
        <v>411</v>
      </c>
      <c r="B100" t="s">
        <v>463</v>
      </c>
      <c r="C100" s="264">
        <v>44104</v>
      </c>
      <c r="D100" s="264">
        <v>44123</v>
      </c>
      <c r="E100" t="s">
        <v>186</v>
      </c>
      <c r="F100">
        <v>54010</v>
      </c>
      <c r="G100" t="s">
        <v>420</v>
      </c>
      <c r="H100" t="s">
        <v>188</v>
      </c>
      <c r="I100">
        <v>11300</v>
      </c>
      <c r="J100">
        <v>33801</v>
      </c>
      <c r="K100">
        <v>1981</v>
      </c>
      <c r="L100">
        <v>11363</v>
      </c>
      <c r="M100" t="s">
        <v>9</v>
      </c>
      <c r="N100">
        <v>120575</v>
      </c>
      <c r="O100" t="s">
        <v>9</v>
      </c>
      <c r="P100" t="s">
        <v>421</v>
      </c>
      <c r="U100" t="s">
        <v>464</v>
      </c>
      <c r="V100" t="s">
        <v>422</v>
      </c>
      <c r="X100">
        <v>8690171</v>
      </c>
      <c r="Y100">
        <v>4089</v>
      </c>
      <c r="Z100" s="264">
        <v>44104</v>
      </c>
      <c r="AA100">
        <v>-906.43</v>
      </c>
      <c r="AB100" t="s">
        <v>417</v>
      </c>
      <c r="AC100">
        <v>-906.43</v>
      </c>
      <c r="AD100" t="s">
        <v>418</v>
      </c>
      <c r="AE100">
        <v>2020</v>
      </c>
      <c r="AF100">
        <v>9</v>
      </c>
    </row>
    <row r="101" spans="1:32" x14ac:dyDescent="0.35">
      <c r="A101" s="276" t="s">
        <v>275</v>
      </c>
      <c r="B101" s="276" t="s">
        <v>369</v>
      </c>
      <c r="C101" s="279">
        <v>44097</v>
      </c>
      <c r="D101" s="279">
        <v>44099</v>
      </c>
      <c r="E101" s="276" t="s">
        <v>186</v>
      </c>
      <c r="F101" s="276">
        <v>72145</v>
      </c>
      <c r="G101" s="276" t="s">
        <v>187</v>
      </c>
      <c r="H101" s="276" t="s">
        <v>188</v>
      </c>
      <c r="I101" s="276">
        <v>30000</v>
      </c>
      <c r="J101" s="276">
        <v>33804</v>
      </c>
      <c r="K101" s="276">
        <v>1981</v>
      </c>
      <c r="L101" s="276">
        <v>11363</v>
      </c>
      <c r="M101" s="276" t="s">
        <v>189</v>
      </c>
      <c r="N101" s="276">
        <v>120575</v>
      </c>
      <c r="O101" s="276" t="s">
        <v>205</v>
      </c>
      <c r="P101" s="276" t="s">
        <v>9</v>
      </c>
      <c r="Q101" s="276" t="s">
        <v>370</v>
      </c>
      <c r="R101" s="276">
        <v>354</v>
      </c>
      <c r="S101" s="276" t="s">
        <v>266</v>
      </c>
      <c r="T101" s="276" t="s">
        <v>9</v>
      </c>
      <c r="U101" s="276" t="s">
        <v>367</v>
      </c>
      <c r="V101" s="276" t="s">
        <v>368</v>
      </c>
      <c r="X101" s="276" t="s">
        <v>358</v>
      </c>
      <c r="Y101" s="276">
        <v>12</v>
      </c>
      <c r="Z101" s="279">
        <v>44097</v>
      </c>
      <c r="AA101" s="277">
        <v>-71320000</v>
      </c>
      <c r="AB101" s="277" t="s">
        <v>195</v>
      </c>
      <c r="AC101" s="278">
        <v>-7426.85</v>
      </c>
      <c r="AD101" s="276" t="s">
        <v>196</v>
      </c>
      <c r="AE101" s="276">
        <v>2020</v>
      </c>
      <c r="AF101" s="276">
        <v>9</v>
      </c>
    </row>
    <row r="102" spans="1:32" x14ac:dyDescent="0.35">
      <c r="A102" s="276" t="s">
        <v>275</v>
      </c>
      <c r="B102" s="276" t="s">
        <v>369</v>
      </c>
      <c r="C102" s="279">
        <v>44097</v>
      </c>
      <c r="D102" s="279">
        <v>44099</v>
      </c>
      <c r="E102" s="276" t="s">
        <v>186</v>
      </c>
      <c r="F102" s="276">
        <v>72145</v>
      </c>
      <c r="G102" s="276" t="s">
        <v>187</v>
      </c>
      <c r="H102" s="276" t="s">
        <v>188</v>
      </c>
      <c r="I102" s="276">
        <v>30000</v>
      </c>
      <c r="J102" s="276">
        <v>33804</v>
      </c>
      <c r="K102" s="276">
        <v>1981</v>
      </c>
      <c r="L102" s="276">
        <v>11363</v>
      </c>
      <c r="M102" s="276" t="s">
        <v>189</v>
      </c>
      <c r="N102" s="276">
        <v>120575</v>
      </c>
      <c r="O102" s="276" t="s">
        <v>205</v>
      </c>
      <c r="P102" s="276" t="s">
        <v>228</v>
      </c>
      <c r="Q102" s="276" t="s">
        <v>370</v>
      </c>
      <c r="R102" s="276">
        <v>354</v>
      </c>
      <c r="S102" s="276" t="s">
        <v>266</v>
      </c>
      <c r="T102" s="276" t="s">
        <v>9</v>
      </c>
      <c r="U102" s="276" t="s">
        <v>367</v>
      </c>
      <c r="V102" s="276" t="s">
        <v>368</v>
      </c>
      <c r="X102" s="276" t="s">
        <v>357</v>
      </c>
      <c r="Y102" s="276">
        <v>12</v>
      </c>
      <c r="Z102" s="279">
        <v>44097</v>
      </c>
      <c r="AA102" s="277">
        <v>71320000</v>
      </c>
      <c r="AB102" s="277" t="s">
        <v>195</v>
      </c>
      <c r="AC102" s="278">
        <v>7426.85</v>
      </c>
      <c r="AD102" s="276" t="s">
        <v>196</v>
      </c>
      <c r="AE102" s="276">
        <v>2020</v>
      </c>
      <c r="AF102" s="276">
        <v>9</v>
      </c>
    </row>
    <row r="103" spans="1:32" x14ac:dyDescent="0.35">
      <c r="A103" s="276" t="s">
        <v>275</v>
      </c>
      <c r="B103" s="276" t="s">
        <v>375</v>
      </c>
      <c r="C103" s="279">
        <v>44097</v>
      </c>
      <c r="D103" s="279">
        <v>44103</v>
      </c>
      <c r="E103" s="276" t="s">
        <v>186</v>
      </c>
      <c r="F103" s="276">
        <v>72145</v>
      </c>
      <c r="G103" s="276" t="s">
        <v>187</v>
      </c>
      <c r="H103" s="276" t="s">
        <v>188</v>
      </c>
      <c r="I103" s="276">
        <v>30000</v>
      </c>
      <c r="J103" s="276">
        <v>33804</v>
      </c>
      <c r="K103" s="276">
        <v>1981</v>
      </c>
      <c r="L103" s="276">
        <v>11363</v>
      </c>
      <c r="M103" s="276" t="s">
        <v>189</v>
      </c>
      <c r="N103" s="276">
        <v>120575</v>
      </c>
      <c r="O103" s="276" t="s">
        <v>205</v>
      </c>
      <c r="P103" s="276" t="s">
        <v>9</v>
      </c>
      <c r="Q103" s="276" t="s">
        <v>376</v>
      </c>
      <c r="R103" s="276">
        <v>3051</v>
      </c>
      <c r="S103" s="276" t="s">
        <v>206</v>
      </c>
      <c r="T103" s="276" t="s">
        <v>9</v>
      </c>
      <c r="U103" s="276" t="s">
        <v>372</v>
      </c>
      <c r="V103" s="276" t="s">
        <v>373</v>
      </c>
      <c r="X103" s="276" t="s">
        <v>374</v>
      </c>
      <c r="Y103" s="276">
        <v>8</v>
      </c>
      <c r="Z103" s="279">
        <v>44097</v>
      </c>
      <c r="AA103" s="277">
        <v>76050000</v>
      </c>
      <c r="AB103" s="277" t="s">
        <v>195</v>
      </c>
      <c r="AC103" s="278">
        <v>7919.4</v>
      </c>
      <c r="AD103" s="276" t="s">
        <v>196</v>
      </c>
      <c r="AE103" s="276">
        <v>2020</v>
      </c>
      <c r="AF103" s="276">
        <v>9</v>
      </c>
    </row>
    <row r="104" spans="1:32" x14ac:dyDescent="0.35">
      <c r="A104" s="276" t="s">
        <v>275</v>
      </c>
      <c r="B104" s="276" t="s">
        <v>276</v>
      </c>
      <c r="C104" s="279">
        <v>44081</v>
      </c>
      <c r="D104" s="279">
        <v>44082</v>
      </c>
      <c r="E104" s="276" t="s">
        <v>186</v>
      </c>
      <c r="F104" s="276">
        <v>72155</v>
      </c>
      <c r="G104" s="276" t="s">
        <v>277</v>
      </c>
      <c r="H104" s="276" t="s">
        <v>188</v>
      </c>
      <c r="I104" s="276">
        <v>30000</v>
      </c>
      <c r="J104" s="276">
        <v>33804</v>
      </c>
      <c r="K104" s="276">
        <v>1981</v>
      </c>
      <c r="L104" s="276">
        <v>11363</v>
      </c>
      <c r="M104" s="276" t="s">
        <v>189</v>
      </c>
      <c r="N104" s="276">
        <v>120575</v>
      </c>
      <c r="O104" s="276" t="s">
        <v>205</v>
      </c>
      <c r="P104" s="276" t="s">
        <v>9</v>
      </c>
      <c r="Q104" s="276" t="s">
        <v>278</v>
      </c>
      <c r="R104" s="276">
        <v>3051</v>
      </c>
      <c r="S104" s="276" t="s">
        <v>206</v>
      </c>
      <c r="T104" s="276">
        <v>90979</v>
      </c>
      <c r="U104" s="276" t="s">
        <v>279</v>
      </c>
      <c r="V104" s="276" t="s">
        <v>280</v>
      </c>
      <c r="X104" s="276" t="s">
        <v>281</v>
      </c>
      <c r="Y104" s="276">
        <v>30</v>
      </c>
      <c r="Z104" s="279">
        <v>44081</v>
      </c>
      <c r="AA104" s="277">
        <v>146800000</v>
      </c>
      <c r="AB104" s="277" t="s">
        <v>195</v>
      </c>
      <c r="AC104" s="278">
        <v>15286.89</v>
      </c>
      <c r="AD104" s="276" t="s">
        <v>196</v>
      </c>
      <c r="AE104" s="276">
        <v>2020</v>
      </c>
      <c r="AF104" s="276">
        <v>9</v>
      </c>
    </row>
    <row r="105" spans="1:32" x14ac:dyDescent="0.35">
      <c r="A105" s="276" t="s">
        <v>534</v>
      </c>
      <c r="B105" s="276" t="s">
        <v>606</v>
      </c>
      <c r="C105" s="279">
        <v>44112</v>
      </c>
      <c r="D105" s="279">
        <v>44116</v>
      </c>
      <c r="E105" s="276" t="s">
        <v>186</v>
      </c>
      <c r="F105" s="276">
        <v>72311</v>
      </c>
      <c r="G105" s="276" t="s">
        <v>607</v>
      </c>
      <c r="H105" s="276" t="s">
        <v>188</v>
      </c>
      <c r="I105" s="276">
        <v>30000</v>
      </c>
      <c r="J105" s="276">
        <v>33801</v>
      </c>
      <c r="K105" s="276">
        <v>1981</v>
      </c>
      <c r="L105" s="276">
        <v>11363</v>
      </c>
      <c r="M105" s="276" t="s">
        <v>189</v>
      </c>
      <c r="N105" s="276">
        <v>120575</v>
      </c>
      <c r="O105" s="276" t="s">
        <v>205</v>
      </c>
      <c r="P105" s="276" t="s">
        <v>228</v>
      </c>
      <c r="Q105" s="276">
        <v>852160</v>
      </c>
      <c r="R105" s="276">
        <v>3051</v>
      </c>
      <c r="S105" s="276" t="s">
        <v>206</v>
      </c>
      <c r="U105" s="276" t="s">
        <v>570</v>
      </c>
      <c r="V105" s="276" t="s">
        <v>540</v>
      </c>
      <c r="X105" s="276" t="s">
        <v>605</v>
      </c>
      <c r="Y105" s="276">
        <v>23</v>
      </c>
      <c r="Z105" s="279">
        <v>44112</v>
      </c>
      <c r="AA105" s="277">
        <v>33.340000000000003</v>
      </c>
      <c r="AB105" s="277" t="s">
        <v>417</v>
      </c>
      <c r="AC105" s="278">
        <v>33.340000000000003</v>
      </c>
      <c r="AD105" s="276" t="s">
        <v>542</v>
      </c>
      <c r="AE105" s="276">
        <v>2020</v>
      </c>
      <c r="AF105" s="276">
        <v>10</v>
      </c>
    </row>
    <row r="106" spans="1:32" x14ac:dyDescent="0.35">
      <c r="A106" s="276" t="s">
        <v>184</v>
      </c>
      <c r="B106" s="276" t="s">
        <v>306</v>
      </c>
      <c r="C106" s="279">
        <v>44088</v>
      </c>
      <c r="D106" s="279">
        <v>44090</v>
      </c>
      <c r="E106" s="276" t="s">
        <v>186</v>
      </c>
      <c r="F106" s="276">
        <v>72350</v>
      </c>
      <c r="G106" s="276" t="s">
        <v>307</v>
      </c>
      <c r="H106" s="276" t="s">
        <v>188</v>
      </c>
      <c r="I106" s="276">
        <v>30000</v>
      </c>
      <c r="J106" s="276">
        <v>33804</v>
      </c>
      <c r="K106" s="276">
        <v>1981</v>
      </c>
      <c r="L106" s="276">
        <v>11363</v>
      </c>
      <c r="M106" s="276" t="s">
        <v>189</v>
      </c>
      <c r="N106" s="276">
        <v>120575</v>
      </c>
      <c r="O106" s="276" t="s">
        <v>205</v>
      </c>
      <c r="P106" s="276" t="s">
        <v>9</v>
      </c>
      <c r="Q106" s="276" t="s">
        <v>9</v>
      </c>
      <c r="R106" s="276">
        <v>7143</v>
      </c>
      <c r="S106" s="276" t="s">
        <v>237</v>
      </c>
      <c r="T106" s="276" t="s">
        <v>9</v>
      </c>
      <c r="U106" s="276" t="s">
        <v>308</v>
      </c>
      <c r="V106" s="276" t="s">
        <v>308</v>
      </c>
      <c r="X106" s="276" t="s">
        <v>309</v>
      </c>
      <c r="Y106" s="276">
        <v>33</v>
      </c>
      <c r="Z106" s="279">
        <v>44088</v>
      </c>
      <c r="AA106" s="277">
        <v>4300000</v>
      </c>
      <c r="AB106" s="277" t="s">
        <v>195</v>
      </c>
      <c r="AC106" s="278">
        <v>447.78</v>
      </c>
      <c r="AD106" s="276" t="s">
        <v>196</v>
      </c>
      <c r="AE106" s="276">
        <v>2020</v>
      </c>
      <c r="AF106" s="276">
        <v>9</v>
      </c>
    </row>
    <row r="107" spans="1:32" customFormat="1" hidden="1" x14ac:dyDescent="0.35">
      <c r="A107" t="s">
        <v>411</v>
      </c>
      <c r="B107" t="s">
        <v>472</v>
      </c>
      <c r="C107" s="264">
        <v>44120</v>
      </c>
      <c r="D107" s="264">
        <v>44123</v>
      </c>
      <c r="E107" t="s">
        <v>186</v>
      </c>
      <c r="F107">
        <v>54010</v>
      </c>
      <c r="G107" t="s">
        <v>420</v>
      </c>
      <c r="H107" t="s">
        <v>188</v>
      </c>
      <c r="I107">
        <v>11300</v>
      </c>
      <c r="J107">
        <v>33801</v>
      </c>
      <c r="K107">
        <v>1981</v>
      </c>
      <c r="L107">
        <v>11363</v>
      </c>
      <c r="M107" t="s">
        <v>9</v>
      </c>
      <c r="N107">
        <v>120575</v>
      </c>
      <c r="O107" t="s">
        <v>9</v>
      </c>
      <c r="P107" t="s">
        <v>421</v>
      </c>
      <c r="U107" t="s">
        <v>469</v>
      </c>
      <c r="V107" t="s">
        <v>422</v>
      </c>
      <c r="X107">
        <v>8690179</v>
      </c>
      <c r="Y107">
        <v>4086</v>
      </c>
      <c r="Z107" s="264">
        <v>44120</v>
      </c>
      <c r="AA107">
        <v>-2049.91</v>
      </c>
      <c r="AB107" t="s">
        <v>417</v>
      </c>
      <c r="AC107">
        <v>-2049.91</v>
      </c>
      <c r="AD107" t="s">
        <v>418</v>
      </c>
      <c r="AE107">
        <v>2020</v>
      </c>
      <c r="AF107">
        <v>10</v>
      </c>
    </row>
    <row r="108" spans="1:32" customFormat="1" hidden="1" x14ac:dyDescent="0.35">
      <c r="A108" t="s">
        <v>452</v>
      </c>
      <c r="B108" t="s">
        <v>473</v>
      </c>
      <c r="C108" s="264">
        <v>43891</v>
      </c>
      <c r="D108" s="264">
        <v>43916</v>
      </c>
      <c r="E108" t="s">
        <v>186</v>
      </c>
      <c r="F108">
        <v>51005</v>
      </c>
      <c r="G108" t="s">
        <v>474</v>
      </c>
      <c r="H108" t="s">
        <v>188</v>
      </c>
      <c r="I108">
        <v>30000</v>
      </c>
      <c r="J108">
        <v>33801</v>
      </c>
      <c r="K108">
        <v>1981</v>
      </c>
      <c r="L108">
        <v>11363</v>
      </c>
      <c r="M108" t="s">
        <v>9</v>
      </c>
      <c r="N108">
        <v>120575</v>
      </c>
      <c r="O108" t="s">
        <v>9</v>
      </c>
      <c r="P108" t="s">
        <v>9</v>
      </c>
      <c r="U108" t="s">
        <v>475</v>
      </c>
      <c r="X108" t="s">
        <v>476</v>
      </c>
      <c r="Y108">
        <v>5</v>
      </c>
      <c r="Z108" s="264">
        <v>43891</v>
      </c>
      <c r="AA108">
        <v>-458067</v>
      </c>
      <c r="AB108" t="s">
        <v>417</v>
      </c>
      <c r="AC108">
        <v>-458067</v>
      </c>
      <c r="AD108" t="s">
        <v>477</v>
      </c>
      <c r="AE108">
        <v>2020</v>
      </c>
      <c r="AF108">
        <v>3</v>
      </c>
    </row>
    <row r="109" spans="1:32" customFormat="1" hidden="1" x14ac:dyDescent="0.35">
      <c r="A109" t="s">
        <v>452</v>
      </c>
      <c r="B109" t="s">
        <v>478</v>
      </c>
      <c r="C109" s="264">
        <v>43891</v>
      </c>
      <c r="D109" s="264">
        <v>43916</v>
      </c>
      <c r="E109" t="s">
        <v>186</v>
      </c>
      <c r="F109">
        <v>51005</v>
      </c>
      <c r="G109" t="s">
        <v>474</v>
      </c>
      <c r="H109" t="s">
        <v>188</v>
      </c>
      <c r="I109">
        <v>30000</v>
      </c>
      <c r="J109">
        <v>33801</v>
      </c>
      <c r="K109">
        <v>1981</v>
      </c>
      <c r="L109">
        <v>11363</v>
      </c>
      <c r="M109" t="s">
        <v>9</v>
      </c>
      <c r="N109">
        <v>120575</v>
      </c>
      <c r="O109" t="s">
        <v>9</v>
      </c>
      <c r="P109" t="s">
        <v>9</v>
      </c>
      <c r="U109" t="s">
        <v>475</v>
      </c>
      <c r="X109" t="s">
        <v>476</v>
      </c>
      <c r="Y109">
        <v>3</v>
      </c>
      <c r="Z109" s="264">
        <v>43891</v>
      </c>
      <c r="AA109">
        <v>-534412</v>
      </c>
      <c r="AB109" t="s">
        <v>417</v>
      </c>
      <c r="AC109">
        <v>-534412</v>
      </c>
      <c r="AD109" t="s">
        <v>477</v>
      </c>
      <c r="AE109">
        <v>2020</v>
      </c>
      <c r="AF109">
        <v>3</v>
      </c>
    </row>
    <row r="110" spans="1:32" customFormat="1" hidden="1" x14ac:dyDescent="0.35">
      <c r="A110" t="s">
        <v>452</v>
      </c>
      <c r="B110" t="s">
        <v>479</v>
      </c>
      <c r="C110" s="264">
        <v>43891</v>
      </c>
      <c r="D110" s="264">
        <v>43916</v>
      </c>
      <c r="E110" t="s">
        <v>186</v>
      </c>
      <c r="F110">
        <v>51005</v>
      </c>
      <c r="G110" t="s">
        <v>474</v>
      </c>
      <c r="H110" t="s">
        <v>188</v>
      </c>
      <c r="I110">
        <v>30000</v>
      </c>
      <c r="J110">
        <v>33801</v>
      </c>
      <c r="K110">
        <v>1981</v>
      </c>
      <c r="L110">
        <v>11363</v>
      </c>
      <c r="M110" t="s">
        <v>9</v>
      </c>
      <c r="N110">
        <v>120575</v>
      </c>
      <c r="O110" t="s">
        <v>9</v>
      </c>
      <c r="P110" t="s">
        <v>9</v>
      </c>
      <c r="U110" t="s">
        <v>475</v>
      </c>
      <c r="X110" t="s">
        <v>476</v>
      </c>
      <c r="Y110">
        <v>1</v>
      </c>
      <c r="Z110" s="264">
        <v>43891</v>
      </c>
      <c r="AA110">
        <v>-534412</v>
      </c>
      <c r="AB110" t="s">
        <v>417</v>
      </c>
      <c r="AC110">
        <v>-534412</v>
      </c>
      <c r="AD110" t="s">
        <v>477</v>
      </c>
      <c r="AE110">
        <v>2020</v>
      </c>
      <c r="AF110">
        <v>3</v>
      </c>
    </row>
    <row r="111" spans="1:32" customFormat="1" hidden="1" x14ac:dyDescent="0.35">
      <c r="A111" t="s">
        <v>452</v>
      </c>
      <c r="B111" t="s">
        <v>480</v>
      </c>
      <c r="C111" s="264">
        <v>43891</v>
      </c>
      <c r="D111" s="264">
        <v>43916</v>
      </c>
      <c r="E111" t="s">
        <v>186</v>
      </c>
      <c r="F111">
        <v>14081</v>
      </c>
      <c r="G111" t="s">
        <v>481</v>
      </c>
      <c r="H111" t="s">
        <v>188</v>
      </c>
      <c r="I111">
        <v>30000</v>
      </c>
      <c r="J111">
        <v>33801</v>
      </c>
      <c r="K111">
        <v>1981</v>
      </c>
      <c r="L111">
        <v>11363</v>
      </c>
      <c r="M111" t="s">
        <v>9</v>
      </c>
      <c r="N111">
        <v>120575</v>
      </c>
      <c r="O111" t="s">
        <v>9</v>
      </c>
      <c r="P111" t="s">
        <v>9</v>
      </c>
      <c r="U111" t="s">
        <v>475</v>
      </c>
      <c r="X111" t="s">
        <v>476</v>
      </c>
      <c r="Y111">
        <v>6</v>
      </c>
      <c r="Z111" s="264">
        <v>43891</v>
      </c>
      <c r="AA111">
        <v>458067</v>
      </c>
      <c r="AB111" t="s">
        <v>417</v>
      </c>
      <c r="AC111">
        <v>458067</v>
      </c>
      <c r="AD111" t="s">
        <v>477</v>
      </c>
      <c r="AE111">
        <v>2020</v>
      </c>
      <c r="AF111">
        <v>3</v>
      </c>
    </row>
    <row r="112" spans="1:32" customFormat="1" hidden="1" x14ac:dyDescent="0.35">
      <c r="A112" t="s">
        <v>452</v>
      </c>
      <c r="B112" t="s">
        <v>482</v>
      </c>
      <c r="C112" s="264">
        <v>43891</v>
      </c>
      <c r="D112" s="264">
        <v>43916</v>
      </c>
      <c r="E112" t="s">
        <v>186</v>
      </c>
      <c r="F112">
        <v>14081</v>
      </c>
      <c r="G112" t="s">
        <v>481</v>
      </c>
      <c r="H112" t="s">
        <v>188</v>
      </c>
      <c r="I112">
        <v>30000</v>
      </c>
      <c r="J112">
        <v>33801</v>
      </c>
      <c r="K112">
        <v>1981</v>
      </c>
      <c r="L112">
        <v>11363</v>
      </c>
      <c r="M112" t="s">
        <v>9</v>
      </c>
      <c r="N112">
        <v>120575</v>
      </c>
      <c r="O112" t="s">
        <v>9</v>
      </c>
      <c r="P112" t="s">
        <v>9</v>
      </c>
      <c r="U112" t="s">
        <v>475</v>
      </c>
      <c r="X112" t="s">
        <v>476</v>
      </c>
      <c r="Y112">
        <v>2</v>
      </c>
      <c r="Z112" s="264">
        <v>43891</v>
      </c>
      <c r="AA112">
        <v>534412</v>
      </c>
      <c r="AB112" t="s">
        <v>417</v>
      </c>
      <c r="AC112">
        <v>534412</v>
      </c>
      <c r="AD112" t="s">
        <v>477</v>
      </c>
      <c r="AE112">
        <v>2020</v>
      </c>
      <c r="AF112">
        <v>3</v>
      </c>
    </row>
    <row r="113" spans="1:32" customFormat="1" hidden="1" x14ac:dyDescent="0.35">
      <c r="A113" t="s">
        <v>452</v>
      </c>
      <c r="B113" t="s">
        <v>483</v>
      </c>
      <c r="C113" s="264">
        <v>43891</v>
      </c>
      <c r="D113" s="264">
        <v>43916</v>
      </c>
      <c r="E113" t="s">
        <v>186</v>
      </c>
      <c r="F113">
        <v>14081</v>
      </c>
      <c r="G113" t="s">
        <v>481</v>
      </c>
      <c r="H113" t="s">
        <v>188</v>
      </c>
      <c r="I113">
        <v>30000</v>
      </c>
      <c r="J113">
        <v>33801</v>
      </c>
      <c r="K113">
        <v>1981</v>
      </c>
      <c r="L113">
        <v>11363</v>
      </c>
      <c r="M113" t="s">
        <v>9</v>
      </c>
      <c r="N113">
        <v>120575</v>
      </c>
      <c r="O113" t="s">
        <v>9</v>
      </c>
      <c r="P113" t="s">
        <v>9</v>
      </c>
      <c r="U113" t="s">
        <v>475</v>
      </c>
      <c r="X113" t="s">
        <v>476</v>
      </c>
      <c r="Y113">
        <v>4</v>
      </c>
      <c r="Z113" s="264">
        <v>43891</v>
      </c>
      <c r="AA113">
        <v>534412</v>
      </c>
      <c r="AB113" t="s">
        <v>417</v>
      </c>
      <c r="AC113">
        <v>534412</v>
      </c>
      <c r="AD113" t="s">
        <v>477</v>
      </c>
      <c r="AE113">
        <v>2020</v>
      </c>
      <c r="AF113">
        <v>3</v>
      </c>
    </row>
    <row r="114" spans="1:32" x14ac:dyDescent="0.35">
      <c r="A114" s="276" t="s">
        <v>184</v>
      </c>
      <c r="B114" s="276" t="s">
        <v>310</v>
      </c>
      <c r="C114" s="279">
        <v>44088</v>
      </c>
      <c r="D114" s="279">
        <v>44090</v>
      </c>
      <c r="E114" s="276" t="s">
        <v>186</v>
      </c>
      <c r="F114" s="276">
        <v>72405</v>
      </c>
      <c r="G114" s="276" t="s">
        <v>311</v>
      </c>
      <c r="H114" s="276" t="s">
        <v>188</v>
      </c>
      <c r="I114" s="276">
        <v>30000</v>
      </c>
      <c r="J114" s="276">
        <v>33804</v>
      </c>
      <c r="K114" s="276">
        <v>1981</v>
      </c>
      <c r="L114" s="276">
        <v>11363</v>
      </c>
      <c r="M114" s="276" t="s">
        <v>189</v>
      </c>
      <c r="N114" s="276">
        <v>120575</v>
      </c>
      <c r="O114" s="276" t="s">
        <v>205</v>
      </c>
      <c r="P114" s="276" t="s">
        <v>9</v>
      </c>
      <c r="Q114" s="276" t="s">
        <v>9</v>
      </c>
      <c r="R114" s="276">
        <v>7143</v>
      </c>
      <c r="S114" s="276" t="s">
        <v>237</v>
      </c>
      <c r="T114" s="276" t="s">
        <v>9</v>
      </c>
      <c r="U114" s="276" t="s">
        <v>312</v>
      </c>
      <c r="V114" s="276" t="s">
        <v>312</v>
      </c>
      <c r="X114" s="276" t="s">
        <v>309</v>
      </c>
      <c r="Y114" s="276">
        <v>34</v>
      </c>
      <c r="Z114" s="279">
        <v>44088</v>
      </c>
      <c r="AA114" s="277">
        <v>825000</v>
      </c>
      <c r="AB114" s="277" t="s">
        <v>195</v>
      </c>
      <c r="AC114" s="278">
        <v>85.91</v>
      </c>
      <c r="AD114" s="276" t="s">
        <v>196</v>
      </c>
      <c r="AE114" s="276">
        <v>2020</v>
      </c>
      <c r="AF114" s="276">
        <v>9</v>
      </c>
    </row>
    <row r="115" spans="1:32" x14ac:dyDescent="0.35">
      <c r="A115" s="276" t="s">
        <v>184</v>
      </c>
      <c r="B115" s="276" t="s">
        <v>313</v>
      </c>
      <c r="C115" s="279">
        <v>44088</v>
      </c>
      <c r="D115" s="279">
        <v>44090</v>
      </c>
      <c r="E115" s="276" t="s">
        <v>186</v>
      </c>
      <c r="F115" s="276">
        <v>72405</v>
      </c>
      <c r="G115" s="276" t="s">
        <v>311</v>
      </c>
      <c r="H115" s="276" t="s">
        <v>188</v>
      </c>
      <c r="I115" s="276">
        <v>30000</v>
      </c>
      <c r="J115" s="276">
        <v>33804</v>
      </c>
      <c r="K115" s="276">
        <v>1981</v>
      </c>
      <c r="L115" s="276">
        <v>11363</v>
      </c>
      <c r="M115" s="276" t="s">
        <v>189</v>
      </c>
      <c r="N115" s="276">
        <v>120575</v>
      </c>
      <c r="O115" s="276" t="s">
        <v>205</v>
      </c>
      <c r="P115" s="276" t="s">
        <v>9</v>
      </c>
      <c r="Q115" s="276" t="s">
        <v>9</v>
      </c>
      <c r="R115" s="276">
        <v>5760</v>
      </c>
      <c r="S115" s="276" t="s">
        <v>247</v>
      </c>
      <c r="T115" s="276" t="s">
        <v>9</v>
      </c>
      <c r="U115" s="276" t="s">
        <v>314</v>
      </c>
      <c r="V115" s="276" t="s">
        <v>315</v>
      </c>
      <c r="X115" s="276" t="s">
        <v>309</v>
      </c>
      <c r="Y115" s="276">
        <v>35</v>
      </c>
      <c r="Z115" s="279">
        <v>44088</v>
      </c>
      <c r="AA115" s="277">
        <v>1680000</v>
      </c>
      <c r="AB115" s="277" t="s">
        <v>195</v>
      </c>
      <c r="AC115" s="278">
        <v>174.95</v>
      </c>
      <c r="AD115" s="276" t="s">
        <v>196</v>
      </c>
      <c r="AE115" s="276">
        <v>2020</v>
      </c>
      <c r="AF115" s="276">
        <v>9</v>
      </c>
    </row>
    <row r="116" spans="1:32" x14ac:dyDescent="0.35">
      <c r="A116" s="276" t="s">
        <v>184</v>
      </c>
      <c r="B116" s="276" t="s">
        <v>243</v>
      </c>
      <c r="C116" s="276" t="s">
        <v>244</v>
      </c>
      <c r="D116" s="276" t="s">
        <v>245</v>
      </c>
      <c r="E116" s="276" t="s">
        <v>186</v>
      </c>
      <c r="F116" s="276">
        <v>73120</v>
      </c>
      <c r="G116" s="276" t="s">
        <v>246</v>
      </c>
      <c r="H116" s="276" t="s">
        <v>188</v>
      </c>
      <c r="I116" s="276">
        <v>30000</v>
      </c>
      <c r="J116" s="276">
        <v>33804</v>
      </c>
      <c r="K116" s="276">
        <v>1981</v>
      </c>
      <c r="L116" s="276">
        <v>11363</v>
      </c>
      <c r="M116" s="276" t="s">
        <v>189</v>
      </c>
      <c r="N116" s="276">
        <v>120575</v>
      </c>
      <c r="O116" s="276" t="s">
        <v>205</v>
      </c>
      <c r="P116" s="276" t="s">
        <v>9</v>
      </c>
      <c r="Q116" s="276" t="s">
        <v>9</v>
      </c>
      <c r="R116" s="276">
        <v>5760</v>
      </c>
      <c r="S116" s="276" t="s">
        <v>247</v>
      </c>
      <c r="T116" s="276" t="s">
        <v>9</v>
      </c>
      <c r="U116" s="276" t="s">
        <v>248</v>
      </c>
      <c r="V116" s="276" t="s">
        <v>249</v>
      </c>
      <c r="X116" s="276" t="s">
        <v>250</v>
      </c>
      <c r="Y116" s="276">
        <v>18</v>
      </c>
      <c r="Z116" s="276" t="s">
        <v>244</v>
      </c>
      <c r="AA116" s="277">
        <v>1800000</v>
      </c>
      <c r="AB116" s="277" t="s">
        <v>195</v>
      </c>
      <c r="AC116" s="278">
        <v>187.99</v>
      </c>
      <c r="AD116" s="276" t="s">
        <v>196</v>
      </c>
      <c r="AE116" s="276">
        <v>2020</v>
      </c>
      <c r="AF116" s="276">
        <v>8</v>
      </c>
    </row>
    <row r="117" spans="1:32" x14ac:dyDescent="0.35">
      <c r="A117" s="276" t="s">
        <v>411</v>
      </c>
      <c r="B117" s="276" t="s">
        <v>427</v>
      </c>
      <c r="C117" s="279">
        <v>44043</v>
      </c>
      <c r="D117" s="276" t="s">
        <v>428</v>
      </c>
      <c r="E117" s="276" t="s">
        <v>186</v>
      </c>
      <c r="F117" s="276">
        <v>75105</v>
      </c>
      <c r="G117" s="276" t="s">
        <v>413</v>
      </c>
      <c r="H117" s="276" t="s">
        <v>188</v>
      </c>
      <c r="I117" s="276">
        <v>30000</v>
      </c>
      <c r="J117" s="276">
        <v>33804</v>
      </c>
      <c r="K117" s="276">
        <v>1981</v>
      </c>
      <c r="L117" s="276">
        <v>11363</v>
      </c>
      <c r="M117" s="276" t="s">
        <v>189</v>
      </c>
      <c r="N117" s="276">
        <v>120575</v>
      </c>
      <c r="O117" s="276" t="s">
        <v>205</v>
      </c>
      <c r="P117" s="276" t="s">
        <v>414</v>
      </c>
      <c r="U117" s="276" t="s">
        <v>429</v>
      </c>
      <c r="V117" s="276" t="s">
        <v>416</v>
      </c>
      <c r="X117" s="276">
        <v>8596955</v>
      </c>
      <c r="Y117" s="276">
        <v>3858</v>
      </c>
      <c r="Z117" s="279">
        <v>44043</v>
      </c>
      <c r="AA117" s="277">
        <v>15.39</v>
      </c>
      <c r="AB117" s="277" t="s">
        <v>417</v>
      </c>
      <c r="AC117" s="278">
        <v>15.39</v>
      </c>
      <c r="AD117" s="276" t="s">
        <v>418</v>
      </c>
      <c r="AE117" s="276">
        <v>2020</v>
      </c>
      <c r="AF117" s="276">
        <v>7</v>
      </c>
    </row>
    <row r="118" spans="1:32" x14ac:dyDescent="0.35">
      <c r="A118" s="276" t="s">
        <v>411</v>
      </c>
      <c r="B118" s="276" t="s">
        <v>438</v>
      </c>
      <c r="C118" s="276" t="s">
        <v>435</v>
      </c>
      <c r="D118" s="276" t="s">
        <v>234</v>
      </c>
      <c r="E118" s="276" t="s">
        <v>186</v>
      </c>
      <c r="F118" s="276">
        <v>75105</v>
      </c>
      <c r="G118" s="276" t="s">
        <v>413</v>
      </c>
      <c r="H118" s="276" t="s">
        <v>188</v>
      </c>
      <c r="I118" s="276">
        <v>30000</v>
      </c>
      <c r="J118" s="276">
        <v>33804</v>
      </c>
      <c r="K118" s="276">
        <v>1981</v>
      </c>
      <c r="L118" s="276">
        <v>11363</v>
      </c>
      <c r="M118" s="276" t="s">
        <v>189</v>
      </c>
      <c r="N118" s="276">
        <v>120575</v>
      </c>
      <c r="O118" s="276" t="s">
        <v>205</v>
      </c>
      <c r="P118" s="276" t="s">
        <v>414</v>
      </c>
      <c r="U118" s="276" t="s">
        <v>436</v>
      </c>
      <c r="V118" s="276" t="s">
        <v>416</v>
      </c>
      <c r="X118" s="276">
        <v>8614804</v>
      </c>
      <c r="Y118" s="276">
        <v>3664</v>
      </c>
      <c r="Z118" s="276" t="s">
        <v>435</v>
      </c>
      <c r="AA118" s="277">
        <v>76.760000000000005</v>
      </c>
      <c r="AB118" s="277" t="s">
        <v>417</v>
      </c>
      <c r="AC118" s="278">
        <v>76.760000000000005</v>
      </c>
      <c r="AD118" s="276" t="s">
        <v>418</v>
      </c>
      <c r="AE118" s="276">
        <v>2020</v>
      </c>
      <c r="AF118" s="276">
        <v>8</v>
      </c>
    </row>
    <row r="119" spans="1:32" x14ac:dyDescent="0.35">
      <c r="A119" s="276" t="s">
        <v>411</v>
      </c>
      <c r="B119" s="276" t="s">
        <v>444</v>
      </c>
      <c r="C119" s="276" t="s">
        <v>259</v>
      </c>
      <c r="D119" s="279">
        <v>44086</v>
      </c>
      <c r="E119" s="276" t="s">
        <v>186</v>
      </c>
      <c r="F119" s="276">
        <v>75105</v>
      </c>
      <c r="G119" s="276" t="s">
        <v>413</v>
      </c>
      <c r="H119" s="276" t="s">
        <v>188</v>
      </c>
      <c r="I119" s="276">
        <v>30000</v>
      </c>
      <c r="J119" s="276">
        <v>33804</v>
      </c>
      <c r="K119" s="276">
        <v>1981</v>
      </c>
      <c r="L119" s="276">
        <v>11363</v>
      </c>
      <c r="M119" s="276" t="s">
        <v>189</v>
      </c>
      <c r="N119" s="276">
        <v>120575</v>
      </c>
      <c r="O119" s="276" t="s">
        <v>205</v>
      </c>
      <c r="P119" s="276" t="s">
        <v>414</v>
      </c>
      <c r="U119" s="276" t="s">
        <v>441</v>
      </c>
      <c r="V119" s="276" t="s">
        <v>416</v>
      </c>
      <c r="X119" s="276">
        <v>8646760</v>
      </c>
      <c r="Y119" s="276">
        <v>4615</v>
      </c>
      <c r="Z119" s="276" t="s">
        <v>259</v>
      </c>
      <c r="AA119" s="277">
        <v>1159.08</v>
      </c>
      <c r="AB119" s="277" t="s">
        <v>417</v>
      </c>
      <c r="AC119" s="278">
        <v>1159.08</v>
      </c>
      <c r="AD119" s="276" t="s">
        <v>418</v>
      </c>
      <c r="AE119" s="276">
        <v>2020</v>
      </c>
      <c r="AF119" s="276">
        <v>8</v>
      </c>
    </row>
    <row r="120" spans="1:32" x14ac:dyDescent="0.35">
      <c r="A120" s="276" t="s">
        <v>411</v>
      </c>
      <c r="B120" s="276" t="s">
        <v>447</v>
      </c>
      <c r="C120" s="279">
        <v>44085</v>
      </c>
      <c r="D120" s="279">
        <v>44086</v>
      </c>
      <c r="E120" s="276" t="s">
        <v>186</v>
      </c>
      <c r="F120" s="276">
        <v>75105</v>
      </c>
      <c r="G120" s="276" t="s">
        <v>413</v>
      </c>
      <c r="H120" s="276" t="s">
        <v>188</v>
      </c>
      <c r="I120" s="276">
        <v>30000</v>
      </c>
      <c r="J120" s="276">
        <v>33804</v>
      </c>
      <c r="K120" s="276">
        <v>1981</v>
      </c>
      <c r="L120" s="276">
        <v>11363</v>
      </c>
      <c r="M120" s="276" t="s">
        <v>189</v>
      </c>
      <c r="N120" s="276">
        <v>120575</v>
      </c>
      <c r="O120" s="276" t="s">
        <v>205</v>
      </c>
      <c r="P120" s="276" t="s">
        <v>414</v>
      </c>
      <c r="U120" s="276" t="s">
        <v>446</v>
      </c>
      <c r="V120" s="276" t="s">
        <v>416</v>
      </c>
      <c r="X120" s="276">
        <v>8646874</v>
      </c>
      <c r="Y120" s="276">
        <v>3242</v>
      </c>
      <c r="Z120" s="279">
        <v>44085</v>
      </c>
      <c r="AA120" s="277">
        <v>1070.08</v>
      </c>
      <c r="AB120" s="277" t="s">
        <v>417</v>
      </c>
      <c r="AC120" s="278">
        <v>1070.08</v>
      </c>
      <c r="AD120" s="276" t="s">
        <v>418</v>
      </c>
      <c r="AE120" s="276">
        <v>2020</v>
      </c>
      <c r="AF120" s="276">
        <v>9</v>
      </c>
    </row>
    <row r="121" spans="1:32" x14ac:dyDescent="0.35">
      <c r="A121" s="276" t="s">
        <v>411</v>
      </c>
      <c r="B121" s="276" t="s">
        <v>450</v>
      </c>
      <c r="C121" s="279">
        <v>44099</v>
      </c>
      <c r="D121" s="279">
        <v>44100</v>
      </c>
      <c r="E121" s="276" t="s">
        <v>186</v>
      </c>
      <c r="F121" s="276">
        <v>75105</v>
      </c>
      <c r="G121" s="276" t="s">
        <v>413</v>
      </c>
      <c r="H121" s="276" t="s">
        <v>188</v>
      </c>
      <c r="I121" s="276">
        <v>30000</v>
      </c>
      <c r="J121" s="276">
        <v>33804</v>
      </c>
      <c r="K121" s="276">
        <v>1981</v>
      </c>
      <c r="L121" s="276">
        <v>11363</v>
      </c>
      <c r="M121" s="276" t="s">
        <v>189</v>
      </c>
      <c r="N121" s="276">
        <v>120575</v>
      </c>
      <c r="O121" s="276" t="s">
        <v>205</v>
      </c>
      <c r="P121" s="276" t="s">
        <v>414</v>
      </c>
      <c r="U121" s="276" t="s">
        <v>449</v>
      </c>
      <c r="V121" s="276" t="s">
        <v>416</v>
      </c>
      <c r="X121" s="276">
        <v>8662445</v>
      </c>
      <c r="Y121" s="276">
        <v>3889</v>
      </c>
      <c r="Z121" s="279">
        <v>44099</v>
      </c>
      <c r="AA121" s="277">
        <v>2010.74</v>
      </c>
      <c r="AB121" s="277" t="s">
        <v>417</v>
      </c>
      <c r="AC121" s="278">
        <v>2010.74</v>
      </c>
      <c r="AD121" s="276" t="s">
        <v>418</v>
      </c>
      <c r="AE121" s="276">
        <v>2020</v>
      </c>
      <c r="AF121" s="276">
        <v>9</v>
      </c>
    </row>
    <row r="122" spans="1:32" x14ac:dyDescent="0.35">
      <c r="A122" s="276" t="s">
        <v>411</v>
      </c>
      <c r="B122" s="276" t="s">
        <v>467</v>
      </c>
      <c r="C122" s="279">
        <v>44104</v>
      </c>
      <c r="D122" s="279">
        <v>44123</v>
      </c>
      <c r="E122" s="276" t="s">
        <v>186</v>
      </c>
      <c r="F122" s="276">
        <v>75105</v>
      </c>
      <c r="G122" s="276" t="s">
        <v>413</v>
      </c>
      <c r="H122" s="276" t="s">
        <v>188</v>
      </c>
      <c r="I122" s="276">
        <v>30000</v>
      </c>
      <c r="J122" s="276">
        <v>33804</v>
      </c>
      <c r="K122" s="276">
        <v>1981</v>
      </c>
      <c r="L122" s="276">
        <v>11363</v>
      </c>
      <c r="M122" s="276" t="s">
        <v>189</v>
      </c>
      <c r="N122" s="276">
        <v>120575</v>
      </c>
      <c r="O122" s="276" t="s">
        <v>205</v>
      </c>
      <c r="P122" s="276" t="s">
        <v>414</v>
      </c>
      <c r="U122" s="276" t="s">
        <v>464</v>
      </c>
      <c r="V122" s="276" t="s">
        <v>416</v>
      </c>
      <c r="X122" s="276">
        <v>8690171</v>
      </c>
      <c r="Y122" s="276">
        <v>4088</v>
      </c>
      <c r="Z122" s="279">
        <v>44104</v>
      </c>
      <c r="AA122" s="277">
        <v>810.65</v>
      </c>
      <c r="AB122" s="277" t="s">
        <v>417</v>
      </c>
      <c r="AC122" s="278">
        <v>810.65</v>
      </c>
      <c r="AD122" s="276" t="s">
        <v>418</v>
      </c>
      <c r="AE122" s="276">
        <v>2020</v>
      </c>
      <c r="AF122" s="276">
        <v>9</v>
      </c>
    </row>
    <row r="123" spans="1:32" x14ac:dyDescent="0.35">
      <c r="A123" s="276" t="s">
        <v>411</v>
      </c>
      <c r="B123" s="276" t="s">
        <v>470</v>
      </c>
      <c r="C123" s="279">
        <v>44120</v>
      </c>
      <c r="D123" s="279">
        <v>44123</v>
      </c>
      <c r="E123" s="276" t="s">
        <v>186</v>
      </c>
      <c r="F123" s="276">
        <v>75105</v>
      </c>
      <c r="G123" s="276" t="s">
        <v>413</v>
      </c>
      <c r="H123" s="276" t="s">
        <v>188</v>
      </c>
      <c r="I123" s="276">
        <v>30000</v>
      </c>
      <c r="J123" s="276">
        <v>33804</v>
      </c>
      <c r="K123" s="276">
        <v>1981</v>
      </c>
      <c r="L123" s="276">
        <v>11363</v>
      </c>
      <c r="M123" s="276" t="s">
        <v>189</v>
      </c>
      <c r="N123" s="276">
        <v>120575</v>
      </c>
      <c r="O123" s="276" t="s">
        <v>205</v>
      </c>
      <c r="P123" s="276" t="s">
        <v>414</v>
      </c>
      <c r="U123" s="276" t="s">
        <v>469</v>
      </c>
      <c r="V123" s="276" t="s">
        <v>416</v>
      </c>
      <c r="X123" s="276">
        <v>8690179</v>
      </c>
      <c r="Y123" s="276">
        <v>4085</v>
      </c>
      <c r="Z123" s="279">
        <v>44120</v>
      </c>
      <c r="AA123" s="277">
        <v>1685.8</v>
      </c>
      <c r="AB123" s="277" t="s">
        <v>417</v>
      </c>
      <c r="AC123" s="278">
        <v>1685.8</v>
      </c>
      <c r="AD123" s="276" t="s">
        <v>418</v>
      </c>
      <c r="AE123" s="276">
        <v>2020</v>
      </c>
      <c r="AF123" s="276">
        <v>10</v>
      </c>
    </row>
    <row r="124" spans="1:32" x14ac:dyDescent="0.35">
      <c r="A124" s="276" t="s">
        <v>411</v>
      </c>
      <c r="B124" s="276" t="s">
        <v>471</v>
      </c>
      <c r="C124" s="279">
        <v>44120</v>
      </c>
      <c r="D124" s="279">
        <v>44123</v>
      </c>
      <c r="E124" s="276" t="s">
        <v>186</v>
      </c>
      <c r="F124" s="276">
        <v>75105</v>
      </c>
      <c r="G124" s="276" t="s">
        <v>413</v>
      </c>
      <c r="H124" s="276" t="s">
        <v>188</v>
      </c>
      <c r="I124" s="276">
        <v>30000</v>
      </c>
      <c r="J124" s="276">
        <v>33801</v>
      </c>
      <c r="K124" s="276">
        <v>1981</v>
      </c>
      <c r="L124" s="276">
        <v>11363</v>
      </c>
      <c r="M124" s="276" t="s">
        <v>189</v>
      </c>
      <c r="N124" s="276">
        <v>120575</v>
      </c>
      <c r="O124" s="276" t="s">
        <v>205</v>
      </c>
      <c r="P124" s="276" t="s">
        <v>414</v>
      </c>
      <c r="U124" s="276" t="s">
        <v>469</v>
      </c>
      <c r="V124" s="276" t="s">
        <v>416</v>
      </c>
      <c r="X124" s="276">
        <v>8690179</v>
      </c>
      <c r="Y124" s="276">
        <v>4083</v>
      </c>
      <c r="Z124" s="279">
        <v>44120</v>
      </c>
      <c r="AA124" s="277">
        <v>21.61</v>
      </c>
      <c r="AB124" s="277" t="s">
        <v>417</v>
      </c>
      <c r="AC124" s="278">
        <v>21.61</v>
      </c>
      <c r="AD124" s="276" t="s">
        <v>418</v>
      </c>
      <c r="AE124" s="276">
        <v>2020</v>
      </c>
      <c r="AF124" s="276">
        <v>10</v>
      </c>
    </row>
    <row r="125" spans="1:32" x14ac:dyDescent="0.35">
      <c r="A125" s="276" t="s">
        <v>184</v>
      </c>
      <c r="B125" s="276" t="s">
        <v>233</v>
      </c>
      <c r="C125" s="276" t="s">
        <v>234</v>
      </c>
      <c r="D125" s="276" t="s">
        <v>235</v>
      </c>
      <c r="E125" s="276" t="s">
        <v>186</v>
      </c>
      <c r="F125" s="276">
        <v>75711</v>
      </c>
      <c r="G125" s="276" t="s">
        <v>236</v>
      </c>
      <c r="H125" s="276" t="s">
        <v>188</v>
      </c>
      <c r="I125" s="276">
        <v>30000</v>
      </c>
      <c r="J125" s="276">
        <v>33804</v>
      </c>
      <c r="K125" s="276">
        <v>1981</v>
      </c>
      <c r="L125" s="276">
        <v>11363</v>
      </c>
      <c r="M125" s="276" t="s">
        <v>189</v>
      </c>
      <c r="N125" s="276">
        <v>120575</v>
      </c>
      <c r="O125" s="276" t="s">
        <v>205</v>
      </c>
      <c r="P125" s="276" t="s">
        <v>9</v>
      </c>
      <c r="Q125" s="276" t="s">
        <v>9</v>
      </c>
      <c r="R125" s="276">
        <v>7143</v>
      </c>
      <c r="S125" s="276" t="s">
        <v>237</v>
      </c>
      <c r="T125" s="276" t="s">
        <v>9</v>
      </c>
      <c r="U125" s="276" t="s">
        <v>238</v>
      </c>
      <c r="V125" s="276" t="s">
        <v>238</v>
      </c>
      <c r="X125" s="276" t="s">
        <v>239</v>
      </c>
      <c r="Y125" s="276">
        <v>9</v>
      </c>
      <c r="Z125" s="276" t="s">
        <v>234</v>
      </c>
      <c r="AA125" s="277">
        <v>4032000</v>
      </c>
      <c r="AB125" s="277" t="s">
        <v>195</v>
      </c>
      <c r="AC125" s="278">
        <v>421.1</v>
      </c>
      <c r="AD125" s="276" t="s">
        <v>196</v>
      </c>
      <c r="AE125" s="276">
        <v>2020</v>
      </c>
      <c r="AF125" s="276">
        <v>8</v>
      </c>
    </row>
    <row r="126" spans="1:32" x14ac:dyDescent="0.35">
      <c r="A126" s="276" t="s">
        <v>184</v>
      </c>
      <c r="B126" s="276" t="s">
        <v>240</v>
      </c>
      <c r="C126" s="276" t="s">
        <v>234</v>
      </c>
      <c r="D126" s="276" t="s">
        <v>235</v>
      </c>
      <c r="E126" s="276" t="s">
        <v>186</v>
      </c>
      <c r="F126" s="276">
        <v>75711</v>
      </c>
      <c r="G126" s="276" t="s">
        <v>236</v>
      </c>
      <c r="H126" s="276" t="s">
        <v>188</v>
      </c>
      <c r="I126" s="276">
        <v>30000</v>
      </c>
      <c r="J126" s="276">
        <v>33804</v>
      </c>
      <c r="K126" s="276">
        <v>1981</v>
      </c>
      <c r="L126" s="276">
        <v>11363</v>
      </c>
      <c r="M126" s="276" t="s">
        <v>189</v>
      </c>
      <c r="N126" s="276">
        <v>120575</v>
      </c>
      <c r="O126" s="276" t="s">
        <v>205</v>
      </c>
      <c r="P126" s="276" t="s">
        <v>9</v>
      </c>
      <c r="Q126" s="276" t="s">
        <v>9</v>
      </c>
      <c r="R126" s="276">
        <v>639</v>
      </c>
      <c r="S126" s="276" t="s">
        <v>241</v>
      </c>
      <c r="T126" s="276" t="s">
        <v>9</v>
      </c>
      <c r="U126" s="276" t="s">
        <v>242</v>
      </c>
      <c r="V126" s="276" t="s">
        <v>242</v>
      </c>
      <c r="X126" s="276" t="s">
        <v>239</v>
      </c>
      <c r="Y126" s="276">
        <v>10</v>
      </c>
      <c r="Z126" s="276" t="s">
        <v>234</v>
      </c>
      <c r="AA126" s="277">
        <v>7950000</v>
      </c>
      <c r="AB126" s="277" t="s">
        <v>195</v>
      </c>
      <c r="AC126" s="278">
        <v>830.29</v>
      </c>
      <c r="AD126" s="276" t="s">
        <v>196</v>
      </c>
      <c r="AE126" s="276">
        <v>2020</v>
      </c>
      <c r="AF126" s="276">
        <v>8</v>
      </c>
    </row>
    <row r="127" spans="1:32" x14ac:dyDescent="0.35">
      <c r="A127" s="276" t="s">
        <v>275</v>
      </c>
      <c r="B127" s="276" t="s">
        <v>304</v>
      </c>
      <c r="C127" s="279">
        <v>44085</v>
      </c>
      <c r="D127" s="279">
        <v>44089</v>
      </c>
      <c r="E127" s="276" t="s">
        <v>186</v>
      </c>
      <c r="F127" s="276">
        <v>75711</v>
      </c>
      <c r="G127" s="276" t="s">
        <v>236</v>
      </c>
      <c r="H127" s="276" t="s">
        <v>188</v>
      </c>
      <c r="I127" s="276">
        <v>30000</v>
      </c>
      <c r="J127" s="276">
        <v>33804</v>
      </c>
      <c r="K127" s="276">
        <v>1981</v>
      </c>
      <c r="L127" s="276">
        <v>11363</v>
      </c>
      <c r="M127" s="276" t="s">
        <v>189</v>
      </c>
      <c r="N127" s="276">
        <v>120575</v>
      </c>
      <c r="O127" s="276" t="s">
        <v>205</v>
      </c>
      <c r="P127" s="276" t="s">
        <v>9</v>
      </c>
      <c r="Q127" s="276" t="s">
        <v>305</v>
      </c>
      <c r="R127" s="276">
        <v>3051</v>
      </c>
      <c r="S127" s="276" t="s">
        <v>206</v>
      </c>
      <c r="T127" s="276">
        <v>91008</v>
      </c>
      <c r="U127" s="276" t="s">
        <v>301</v>
      </c>
      <c r="V127" s="276" t="s">
        <v>302</v>
      </c>
      <c r="X127" s="276" t="s">
        <v>303</v>
      </c>
      <c r="Y127" s="276">
        <v>10</v>
      </c>
      <c r="Z127" s="279">
        <v>44085</v>
      </c>
      <c r="AA127" s="277">
        <v>24900000</v>
      </c>
      <c r="AB127" s="277" t="s">
        <v>195</v>
      </c>
      <c r="AC127" s="278">
        <v>2592.94</v>
      </c>
      <c r="AD127" s="276" t="s">
        <v>196</v>
      </c>
      <c r="AE127" s="276">
        <v>2020</v>
      </c>
      <c r="AF127" s="276">
        <v>9</v>
      </c>
    </row>
    <row r="128" spans="1:32" x14ac:dyDescent="0.35">
      <c r="A128" s="276" t="s">
        <v>184</v>
      </c>
      <c r="B128" s="276" t="s">
        <v>349</v>
      </c>
      <c r="C128" s="279">
        <v>44096</v>
      </c>
      <c r="D128" s="279">
        <v>44098</v>
      </c>
      <c r="E128" s="276" t="s">
        <v>186</v>
      </c>
      <c r="F128" s="276">
        <v>75711</v>
      </c>
      <c r="G128" s="276" t="s">
        <v>236</v>
      </c>
      <c r="H128" s="276" t="s">
        <v>188</v>
      </c>
      <c r="I128" s="276">
        <v>30000</v>
      </c>
      <c r="J128" s="276">
        <v>33804</v>
      </c>
      <c r="K128" s="276">
        <v>1981</v>
      </c>
      <c r="L128" s="276">
        <v>11363</v>
      </c>
      <c r="M128" s="276" t="s">
        <v>189</v>
      </c>
      <c r="N128" s="276">
        <v>120575</v>
      </c>
      <c r="O128" s="276" t="s">
        <v>205</v>
      </c>
      <c r="P128" s="276" t="s">
        <v>9</v>
      </c>
      <c r="Q128" s="276" t="s">
        <v>9</v>
      </c>
      <c r="R128" s="276">
        <v>6404</v>
      </c>
      <c r="S128" s="276" t="s">
        <v>350</v>
      </c>
      <c r="T128" s="276" t="s">
        <v>9</v>
      </c>
      <c r="U128" s="276" t="s">
        <v>351</v>
      </c>
      <c r="V128" s="276" t="s">
        <v>351</v>
      </c>
      <c r="X128" s="276" t="s">
        <v>352</v>
      </c>
      <c r="Y128" s="276">
        <v>86</v>
      </c>
      <c r="Z128" s="279">
        <v>44096</v>
      </c>
      <c r="AA128" s="277">
        <v>6400000</v>
      </c>
      <c r="AB128" s="277" t="s">
        <v>195</v>
      </c>
      <c r="AC128" s="278">
        <v>666.46</v>
      </c>
      <c r="AD128" s="276" t="s">
        <v>196</v>
      </c>
      <c r="AE128" s="276">
        <v>2020</v>
      </c>
      <c r="AF128" s="276">
        <v>9</v>
      </c>
    </row>
    <row r="129" spans="1:32" customFormat="1" hidden="1" x14ac:dyDescent="0.35">
      <c r="A129" t="s">
        <v>474</v>
      </c>
      <c r="B129" t="s">
        <v>512</v>
      </c>
      <c r="C129" s="264">
        <v>43901</v>
      </c>
      <c r="D129" s="264">
        <v>43917</v>
      </c>
      <c r="E129" t="s">
        <v>186</v>
      </c>
      <c r="F129">
        <v>14015</v>
      </c>
      <c r="G129" t="s">
        <v>513</v>
      </c>
      <c r="H129" t="s">
        <v>188</v>
      </c>
      <c r="I129">
        <v>30000</v>
      </c>
      <c r="J129">
        <v>33801</v>
      </c>
      <c r="K129">
        <v>1981</v>
      </c>
      <c r="L129">
        <v>11363</v>
      </c>
      <c r="M129" t="s">
        <v>189</v>
      </c>
      <c r="N129">
        <v>120575</v>
      </c>
      <c r="O129" t="s">
        <v>190</v>
      </c>
      <c r="P129" t="s">
        <v>514</v>
      </c>
      <c r="Q129" t="s">
        <v>9</v>
      </c>
      <c r="U129" t="s">
        <v>9</v>
      </c>
      <c r="X129" t="s">
        <v>515</v>
      </c>
      <c r="Y129">
        <v>2</v>
      </c>
      <c r="Z129" s="264">
        <v>43901</v>
      </c>
      <c r="AA129">
        <v>-534412</v>
      </c>
      <c r="AB129" t="s">
        <v>417</v>
      </c>
      <c r="AC129">
        <v>-534412</v>
      </c>
      <c r="AD129" t="s">
        <v>516</v>
      </c>
      <c r="AE129">
        <v>2020</v>
      </c>
      <c r="AF129">
        <v>3</v>
      </c>
    </row>
    <row r="130" spans="1:32" customFormat="1" hidden="1" x14ac:dyDescent="0.35">
      <c r="A130" t="s">
        <v>517</v>
      </c>
      <c r="B130" t="s">
        <v>518</v>
      </c>
      <c r="C130" s="264">
        <v>44097</v>
      </c>
      <c r="D130" s="264">
        <v>44103</v>
      </c>
      <c r="E130" t="s">
        <v>186</v>
      </c>
      <c r="F130">
        <v>16108</v>
      </c>
      <c r="G130" t="s">
        <v>459</v>
      </c>
      <c r="H130" t="s">
        <v>188</v>
      </c>
      <c r="I130">
        <v>30000</v>
      </c>
      <c r="J130">
        <v>33804</v>
      </c>
      <c r="K130">
        <v>1981</v>
      </c>
      <c r="L130">
        <v>11363</v>
      </c>
      <c r="M130" t="s">
        <v>189</v>
      </c>
      <c r="N130">
        <v>120575</v>
      </c>
      <c r="O130" t="s">
        <v>205</v>
      </c>
      <c r="P130" t="s">
        <v>519</v>
      </c>
      <c r="Q130">
        <v>82780</v>
      </c>
      <c r="U130" t="s">
        <v>520</v>
      </c>
      <c r="X130" t="s">
        <v>521</v>
      </c>
      <c r="Y130">
        <v>1</v>
      </c>
      <c r="Z130" s="264">
        <v>44097</v>
      </c>
      <c r="AA130">
        <v>-1940000</v>
      </c>
      <c r="AB130" t="s">
        <v>195</v>
      </c>
      <c r="AC130">
        <v>-202.02</v>
      </c>
      <c r="AD130" t="s">
        <v>516</v>
      </c>
      <c r="AE130">
        <v>2020</v>
      </c>
      <c r="AF130">
        <v>9</v>
      </c>
    </row>
    <row r="131" spans="1:32" customFormat="1" hidden="1" x14ac:dyDescent="0.35">
      <c r="A131" t="s">
        <v>517</v>
      </c>
      <c r="B131" t="s">
        <v>522</v>
      </c>
      <c r="C131" s="264">
        <v>44097</v>
      </c>
      <c r="D131" s="264">
        <v>44103</v>
      </c>
      <c r="E131" t="s">
        <v>186</v>
      </c>
      <c r="F131">
        <v>16108</v>
      </c>
      <c r="G131" t="s">
        <v>459</v>
      </c>
      <c r="H131" t="s">
        <v>188</v>
      </c>
      <c r="I131">
        <v>30000</v>
      </c>
      <c r="J131">
        <v>33804</v>
      </c>
      <c r="K131">
        <v>1981</v>
      </c>
      <c r="L131">
        <v>11363</v>
      </c>
      <c r="M131" t="s">
        <v>189</v>
      </c>
      <c r="N131">
        <v>120575</v>
      </c>
      <c r="O131" t="s">
        <v>205</v>
      </c>
      <c r="P131" t="s">
        <v>519</v>
      </c>
      <c r="Q131">
        <v>82780</v>
      </c>
      <c r="U131" t="s">
        <v>523</v>
      </c>
      <c r="X131" t="s">
        <v>521</v>
      </c>
      <c r="Y131">
        <v>5</v>
      </c>
      <c r="Z131" s="264">
        <v>44097</v>
      </c>
      <c r="AA131">
        <v>-120000</v>
      </c>
      <c r="AB131" t="s">
        <v>195</v>
      </c>
      <c r="AC131">
        <v>-12.5</v>
      </c>
      <c r="AD131" t="s">
        <v>516</v>
      </c>
      <c r="AE131">
        <v>2020</v>
      </c>
      <c r="AF131">
        <v>9</v>
      </c>
    </row>
    <row r="132" spans="1:32" customFormat="1" hidden="1" x14ac:dyDescent="0.35">
      <c r="A132" t="s">
        <v>517</v>
      </c>
      <c r="B132" t="s">
        <v>524</v>
      </c>
      <c r="C132" s="264">
        <v>44097</v>
      </c>
      <c r="D132" s="264">
        <v>44103</v>
      </c>
      <c r="E132" t="s">
        <v>186</v>
      </c>
      <c r="F132">
        <v>16108</v>
      </c>
      <c r="G132" t="s">
        <v>459</v>
      </c>
      <c r="H132" t="s">
        <v>188</v>
      </c>
      <c r="I132">
        <v>30000</v>
      </c>
      <c r="J132">
        <v>33804</v>
      </c>
      <c r="K132">
        <v>1981</v>
      </c>
      <c r="L132">
        <v>11363</v>
      </c>
      <c r="M132" t="s">
        <v>189</v>
      </c>
      <c r="N132">
        <v>120575</v>
      </c>
      <c r="O132" t="s">
        <v>205</v>
      </c>
      <c r="P132" t="s">
        <v>519</v>
      </c>
      <c r="Q132">
        <v>82780</v>
      </c>
      <c r="U132" t="s">
        <v>523</v>
      </c>
      <c r="X132" t="s">
        <v>521</v>
      </c>
      <c r="Y132">
        <v>9</v>
      </c>
      <c r="Z132" s="264">
        <v>44097</v>
      </c>
      <c r="AA132">
        <v>-330000</v>
      </c>
      <c r="AB132" t="s">
        <v>195</v>
      </c>
      <c r="AC132">
        <v>-34.36</v>
      </c>
      <c r="AD132" t="s">
        <v>516</v>
      </c>
      <c r="AE132">
        <v>2020</v>
      </c>
      <c r="AF132">
        <v>9</v>
      </c>
    </row>
    <row r="133" spans="1:32" x14ac:dyDescent="0.35">
      <c r="A133" s="276" t="s">
        <v>275</v>
      </c>
      <c r="B133" s="276" t="s">
        <v>395</v>
      </c>
      <c r="C133" s="279">
        <v>44116</v>
      </c>
      <c r="D133" s="279">
        <v>44117</v>
      </c>
      <c r="E133" s="276" t="s">
        <v>186</v>
      </c>
      <c r="F133" s="276">
        <v>75711</v>
      </c>
      <c r="G133" s="276" t="s">
        <v>236</v>
      </c>
      <c r="H133" s="276" t="s">
        <v>188</v>
      </c>
      <c r="I133" s="276">
        <v>30000</v>
      </c>
      <c r="J133" s="276">
        <v>33804</v>
      </c>
      <c r="K133" s="276">
        <v>1981</v>
      </c>
      <c r="L133" s="276">
        <v>11363</v>
      </c>
      <c r="M133" s="276" t="s">
        <v>189</v>
      </c>
      <c r="N133" s="276">
        <v>120575</v>
      </c>
      <c r="O133" s="276" t="s">
        <v>205</v>
      </c>
      <c r="P133" s="276" t="s">
        <v>228</v>
      </c>
      <c r="Q133" s="276" t="s">
        <v>396</v>
      </c>
      <c r="R133" s="276">
        <v>3051</v>
      </c>
      <c r="S133" s="276" t="s">
        <v>206</v>
      </c>
      <c r="T133" s="276">
        <v>91369</v>
      </c>
      <c r="U133" s="276" t="s">
        <v>393</v>
      </c>
      <c r="V133" s="276" t="s">
        <v>393</v>
      </c>
      <c r="X133" s="276" t="s">
        <v>394</v>
      </c>
      <c r="Y133" s="276">
        <v>18</v>
      </c>
      <c r="Z133" s="279">
        <v>44116</v>
      </c>
      <c r="AA133" s="277">
        <v>194295000</v>
      </c>
      <c r="AB133" s="277" t="s">
        <v>195</v>
      </c>
      <c r="AC133" s="278">
        <v>19994.240000000002</v>
      </c>
      <c r="AD133" s="276" t="s">
        <v>196</v>
      </c>
      <c r="AE133" s="276">
        <v>2020</v>
      </c>
      <c r="AF133" s="276">
        <v>10</v>
      </c>
    </row>
    <row r="134" spans="1:32" customFormat="1" hidden="1" x14ac:dyDescent="0.35">
      <c r="A134" t="s">
        <v>529</v>
      </c>
      <c r="B134" t="s">
        <v>530</v>
      </c>
      <c r="C134" s="264">
        <v>43891</v>
      </c>
      <c r="D134" s="264">
        <v>43915</v>
      </c>
      <c r="E134" t="s">
        <v>186</v>
      </c>
      <c r="F134">
        <v>14081</v>
      </c>
      <c r="G134" t="s">
        <v>481</v>
      </c>
      <c r="H134" t="s">
        <v>188</v>
      </c>
      <c r="I134">
        <v>30000</v>
      </c>
      <c r="J134">
        <v>33801</v>
      </c>
      <c r="K134">
        <v>1981</v>
      </c>
      <c r="L134">
        <v>11363</v>
      </c>
      <c r="M134" t="s">
        <v>189</v>
      </c>
      <c r="N134">
        <v>120575</v>
      </c>
      <c r="O134" t="s">
        <v>190</v>
      </c>
      <c r="P134" t="s">
        <v>9</v>
      </c>
      <c r="Q134" t="s">
        <v>9</v>
      </c>
      <c r="R134" t="s">
        <v>531</v>
      </c>
      <c r="U134" t="s">
        <v>9</v>
      </c>
      <c r="V134" t="s">
        <v>531</v>
      </c>
      <c r="X134" t="s">
        <v>532</v>
      </c>
      <c r="Y134">
        <v>2</v>
      </c>
      <c r="Z134" s="264">
        <v>43891</v>
      </c>
      <c r="AA134">
        <v>-534412</v>
      </c>
      <c r="AB134" t="s">
        <v>417</v>
      </c>
      <c r="AC134">
        <v>-534412</v>
      </c>
      <c r="AD134" t="s">
        <v>533</v>
      </c>
      <c r="AE134">
        <v>2020</v>
      </c>
      <c r="AF134">
        <v>3</v>
      </c>
    </row>
    <row r="135" spans="1:32" customFormat="1" hidden="1" x14ac:dyDescent="0.35">
      <c r="A135" t="s">
        <v>529</v>
      </c>
      <c r="B135" t="s">
        <v>530</v>
      </c>
      <c r="C135" s="264">
        <v>43891</v>
      </c>
      <c r="D135" s="264">
        <v>43915</v>
      </c>
      <c r="E135" t="s">
        <v>186</v>
      </c>
      <c r="F135">
        <v>14015</v>
      </c>
      <c r="G135" t="s">
        <v>513</v>
      </c>
      <c r="H135" t="s">
        <v>188</v>
      </c>
      <c r="I135">
        <v>30000</v>
      </c>
      <c r="J135">
        <v>33801</v>
      </c>
      <c r="K135">
        <v>1981</v>
      </c>
      <c r="L135">
        <v>11363</v>
      </c>
      <c r="M135" t="s">
        <v>189</v>
      </c>
      <c r="N135">
        <v>120575</v>
      </c>
      <c r="O135" t="s">
        <v>190</v>
      </c>
      <c r="P135" t="s">
        <v>9</v>
      </c>
      <c r="Q135" t="s">
        <v>9</v>
      </c>
      <c r="R135" t="s">
        <v>531</v>
      </c>
      <c r="U135" t="s">
        <v>9</v>
      </c>
      <c r="V135" t="s">
        <v>531</v>
      </c>
      <c r="X135" t="s">
        <v>532</v>
      </c>
      <c r="Y135">
        <v>1</v>
      </c>
      <c r="Z135" s="264">
        <v>43891</v>
      </c>
      <c r="AA135">
        <v>534412</v>
      </c>
      <c r="AB135" t="s">
        <v>417</v>
      </c>
      <c r="AC135">
        <v>534412</v>
      </c>
      <c r="AD135" t="s">
        <v>533</v>
      </c>
      <c r="AE135">
        <v>2020</v>
      </c>
      <c r="AF135">
        <v>3</v>
      </c>
    </row>
    <row r="136" spans="1:32" x14ac:dyDescent="0.35">
      <c r="A136" s="276" t="s">
        <v>275</v>
      </c>
      <c r="B136" s="276" t="s">
        <v>403</v>
      </c>
      <c r="C136" s="279">
        <v>44125</v>
      </c>
      <c r="D136" s="279">
        <v>44127</v>
      </c>
      <c r="E136" s="276" t="s">
        <v>186</v>
      </c>
      <c r="F136" s="276">
        <v>75711</v>
      </c>
      <c r="G136" s="276" t="s">
        <v>236</v>
      </c>
      <c r="H136" s="276" t="s">
        <v>188</v>
      </c>
      <c r="I136" s="276">
        <v>30000</v>
      </c>
      <c r="J136" s="276">
        <v>33804</v>
      </c>
      <c r="K136" s="276">
        <v>1981</v>
      </c>
      <c r="L136" s="276">
        <v>11363</v>
      </c>
      <c r="M136" s="276" t="s">
        <v>189</v>
      </c>
      <c r="N136" s="276">
        <v>120575</v>
      </c>
      <c r="O136" s="276" t="s">
        <v>205</v>
      </c>
      <c r="P136" s="276" t="s">
        <v>228</v>
      </c>
      <c r="Q136" s="276" t="s">
        <v>404</v>
      </c>
      <c r="R136" s="276">
        <v>1633</v>
      </c>
      <c r="S136" s="276" t="s">
        <v>292</v>
      </c>
      <c r="T136" s="276" t="s">
        <v>9</v>
      </c>
      <c r="U136" s="276" t="s">
        <v>405</v>
      </c>
      <c r="V136" s="276" t="s">
        <v>406</v>
      </c>
      <c r="X136" s="276" t="s">
        <v>407</v>
      </c>
      <c r="Y136" s="276">
        <v>14</v>
      </c>
      <c r="Z136" s="279">
        <v>44125</v>
      </c>
      <c r="AA136" s="277">
        <v>151820000</v>
      </c>
      <c r="AB136" s="277" t="s">
        <v>195</v>
      </c>
      <c r="AC136" s="278">
        <v>15623.28</v>
      </c>
      <c r="AD136" s="276" t="s">
        <v>196</v>
      </c>
      <c r="AE136" s="276">
        <v>2020</v>
      </c>
      <c r="AF136" s="276">
        <v>10</v>
      </c>
    </row>
    <row r="137" spans="1:32" x14ac:dyDescent="0.35">
      <c r="A137" s="276" t="s">
        <v>452</v>
      </c>
      <c r="B137" s="276" t="s">
        <v>453</v>
      </c>
      <c r="C137" s="279">
        <v>44104</v>
      </c>
      <c r="D137" s="279">
        <v>44113</v>
      </c>
      <c r="E137" s="276" t="s">
        <v>186</v>
      </c>
      <c r="F137" s="276">
        <v>76110</v>
      </c>
      <c r="G137" s="276" t="s">
        <v>454</v>
      </c>
      <c r="H137" s="276" t="s">
        <v>188</v>
      </c>
      <c r="I137" s="276">
        <v>30000</v>
      </c>
      <c r="J137" s="276">
        <v>33804</v>
      </c>
      <c r="K137" s="276">
        <v>1981</v>
      </c>
      <c r="L137" s="276">
        <v>11363</v>
      </c>
      <c r="M137" s="276" t="s">
        <v>189</v>
      </c>
      <c r="N137" s="276">
        <v>120575</v>
      </c>
      <c r="O137" s="276" t="s">
        <v>205</v>
      </c>
      <c r="P137" s="276" t="s">
        <v>455</v>
      </c>
      <c r="U137" s="276" t="s">
        <v>456</v>
      </c>
      <c r="V137" s="276" t="s">
        <v>456</v>
      </c>
      <c r="X137" s="276">
        <v>8679015</v>
      </c>
      <c r="Y137" s="276">
        <v>96</v>
      </c>
      <c r="Z137" s="279">
        <v>44104</v>
      </c>
      <c r="AA137" s="277">
        <v>0</v>
      </c>
      <c r="AB137" s="277" t="s">
        <v>195</v>
      </c>
      <c r="AC137" s="278">
        <v>30.68</v>
      </c>
      <c r="AD137" s="276" t="s">
        <v>457</v>
      </c>
      <c r="AE137" s="276">
        <v>2020</v>
      </c>
      <c r="AF137" s="276">
        <v>9</v>
      </c>
    </row>
    <row r="138" spans="1:32" x14ac:dyDescent="0.35">
      <c r="A138" s="276" t="s">
        <v>484</v>
      </c>
      <c r="B138" s="276" t="s">
        <v>491</v>
      </c>
      <c r="C138" s="279">
        <v>44043</v>
      </c>
      <c r="D138" s="276" t="s">
        <v>428</v>
      </c>
      <c r="E138" s="276" t="s">
        <v>186</v>
      </c>
      <c r="F138" s="276">
        <v>71405</v>
      </c>
      <c r="G138" s="276" t="s">
        <v>492</v>
      </c>
      <c r="H138" s="276" t="s">
        <v>188</v>
      </c>
      <c r="I138" s="276">
        <v>30000</v>
      </c>
      <c r="J138" s="276">
        <v>33804</v>
      </c>
      <c r="K138" s="276">
        <v>1981</v>
      </c>
      <c r="L138" s="276">
        <v>11363</v>
      </c>
      <c r="M138" s="276" t="s">
        <v>189</v>
      </c>
      <c r="N138" s="276">
        <v>120575</v>
      </c>
      <c r="O138" s="276" t="s">
        <v>199</v>
      </c>
      <c r="P138" s="276" t="s">
        <v>487</v>
      </c>
      <c r="U138" s="276" t="s">
        <v>488</v>
      </c>
      <c r="V138" s="276" t="s">
        <v>488</v>
      </c>
      <c r="X138" s="276" t="s">
        <v>489</v>
      </c>
      <c r="Y138" s="276">
        <v>47</v>
      </c>
      <c r="Z138" s="279">
        <v>44043</v>
      </c>
      <c r="AA138" s="277">
        <v>6318200</v>
      </c>
      <c r="AB138" s="277" t="s">
        <v>195</v>
      </c>
      <c r="AC138" s="278">
        <v>661.59</v>
      </c>
      <c r="AD138" s="276" t="s">
        <v>490</v>
      </c>
      <c r="AE138" s="276">
        <v>2020</v>
      </c>
      <c r="AF138" s="276">
        <v>7</v>
      </c>
    </row>
    <row r="139" spans="1:32" x14ac:dyDescent="0.35">
      <c r="A139" s="276" t="s">
        <v>484</v>
      </c>
      <c r="B139" s="276" t="s">
        <v>493</v>
      </c>
      <c r="C139" s="276" t="s">
        <v>259</v>
      </c>
      <c r="D139" s="276" t="s">
        <v>259</v>
      </c>
      <c r="E139" s="276" t="s">
        <v>186</v>
      </c>
      <c r="F139" s="276">
        <v>71405</v>
      </c>
      <c r="G139" s="276" t="s">
        <v>492</v>
      </c>
      <c r="H139" s="276" t="s">
        <v>188</v>
      </c>
      <c r="I139" s="276">
        <v>30000</v>
      </c>
      <c r="J139" s="276">
        <v>33804</v>
      </c>
      <c r="K139" s="276">
        <v>1981</v>
      </c>
      <c r="L139" s="276">
        <v>11363</v>
      </c>
      <c r="M139" s="276" t="s">
        <v>189</v>
      </c>
      <c r="N139" s="276">
        <v>120575</v>
      </c>
      <c r="O139" s="276" t="s">
        <v>199</v>
      </c>
      <c r="P139" s="276" t="s">
        <v>487</v>
      </c>
      <c r="U139" s="276" t="s">
        <v>488</v>
      </c>
      <c r="V139" s="276" t="s">
        <v>488</v>
      </c>
      <c r="X139" s="276" t="s">
        <v>494</v>
      </c>
      <c r="Y139" s="276">
        <v>52</v>
      </c>
      <c r="Z139" s="276" t="s">
        <v>259</v>
      </c>
      <c r="AA139" s="277">
        <v>6320169</v>
      </c>
      <c r="AB139" s="277" t="s">
        <v>195</v>
      </c>
      <c r="AC139" s="278">
        <v>660.07</v>
      </c>
      <c r="AD139" s="276" t="s">
        <v>490</v>
      </c>
      <c r="AE139" s="276">
        <v>2020</v>
      </c>
      <c r="AF139" s="276">
        <v>8</v>
      </c>
    </row>
    <row r="140" spans="1:32" x14ac:dyDescent="0.35">
      <c r="A140" s="276" t="s">
        <v>484</v>
      </c>
      <c r="B140" s="276" t="s">
        <v>497</v>
      </c>
      <c r="C140" s="276" t="s">
        <v>259</v>
      </c>
      <c r="D140" s="276" t="s">
        <v>259</v>
      </c>
      <c r="E140" s="276" t="s">
        <v>186</v>
      </c>
      <c r="F140" s="276">
        <v>71405</v>
      </c>
      <c r="G140" s="276" t="s">
        <v>492</v>
      </c>
      <c r="H140" s="276" t="s">
        <v>188</v>
      </c>
      <c r="I140" s="276">
        <v>30000</v>
      </c>
      <c r="J140" s="276">
        <v>33803</v>
      </c>
      <c r="K140" s="276">
        <v>1981</v>
      </c>
      <c r="L140" s="276">
        <v>11363</v>
      </c>
      <c r="M140" s="276" t="s">
        <v>189</v>
      </c>
      <c r="N140" s="276">
        <v>120575</v>
      </c>
      <c r="O140" s="276" t="s">
        <v>199</v>
      </c>
      <c r="P140" s="276" t="s">
        <v>487</v>
      </c>
      <c r="U140" s="276" t="s">
        <v>488</v>
      </c>
      <c r="V140" s="276" t="s">
        <v>488</v>
      </c>
      <c r="X140" s="276" t="s">
        <v>494</v>
      </c>
      <c r="Y140" s="276">
        <v>47</v>
      </c>
      <c r="Z140" s="276" t="s">
        <v>259</v>
      </c>
      <c r="AA140" s="277">
        <v>6173077</v>
      </c>
      <c r="AB140" s="277" t="s">
        <v>195</v>
      </c>
      <c r="AC140" s="278">
        <v>644.71</v>
      </c>
      <c r="AD140" s="276" t="s">
        <v>490</v>
      </c>
      <c r="AE140" s="276">
        <v>2020</v>
      </c>
      <c r="AF140" s="276">
        <v>8</v>
      </c>
    </row>
    <row r="141" spans="1:32" x14ac:dyDescent="0.35">
      <c r="A141" s="276" t="s">
        <v>484</v>
      </c>
      <c r="B141" s="276" t="s">
        <v>501</v>
      </c>
      <c r="C141" s="279">
        <v>44104</v>
      </c>
      <c r="D141" s="279">
        <v>44113</v>
      </c>
      <c r="E141" s="276" t="s">
        <v>186</v>
      </c>
      <c r="F141" s="276">
        <v>71405</v>
      </c>
      <c r="G141" s="276" t="s">
        <v>492</v>
      </c>
      <c r="H141" s="276" t="s">
        <v>188</v>
      </c>
      <c r="I141" s="276">
        <v>30000</v>
      </c>
      <c r="J141" s="276">
        <v>33803</v>
      </c>
      <c r="K141" s="276">
        <v>1981</v>
      </c>
      <c r="L141" s="276">
        <v>11363</v>
      </c>
      <c r="M141" s="276" t="s">
        <v>189</v>
      </c>
      <c r="N141" s="276">
        <v>120575</v>
      </c>
      <c r="O141" s="276" t="s">
        <v>199</v>
      </c>
      <c r="P141" s="276" t="s">
        <v>487</v>
      </c>
      <c r="U141" s="276" t="s">
        <v>488</v>
      </c>
      <c r="V141" s="276" t="s">
        <v>488</v>
      </c>
      <c r="X141" s="276" t="s">
        <v>499</v>
      </c>
      <c r="Y141" s="276">
        <v>50</v>
      </c>
      <c r="Z141" s="279">
        <v>44104</v>
      </c>
      <c r="AA141" s="277">
        <v>6175281.7199999997</v>
      </c>
      <c r="AB141" s="277" t="s">
        <v>195</v>
      </c>
      <c r="AC141" s="278">
        <v>643.05999999999995</v>
      </c>
      <c r="AD141" s="276" t="s">
        <v>490</v>
      </c>
      <c r="AE141" s="276">
        <v>2020</v>
      </c>
      <c r="AF141" s="276">
        <v>9</v>
      </c>
    </row>
    <row r="142" spans="1:32" x14ac:dyDescent="0.35">
      <c r="A142" s="276" t="s">
        <v>484</v>
      </c>
      <c r="B142" s="276" t="s">
        <v>502</v>
      </c>
      <c r="C142" s="279">
        <v>44104</v>
      </c>
      <c r="D142" s="279">
        <v>44113</v>
      </c>
      <c r="E142" s="276" t="s">
        <v>186</v>
      </c>
      <c r="F142" s="276">
        <v>71405</v>
      </c>
      <c r="G142" s="276" t="s">
        <v>492</v>
      </c>
      <c r="H142" s="276" t="s">
        <v>188</v>
      </c>
      <c r="I142" s="276">
        <v>30000</v>
      </c>
      <c r="J142" s="276">
        <v>33804</v>
      </c>
      <c r="K142" s="276">
        <v>1981</v>
      </c>
      <c r="L142" s="276">
        <v>11363</v>
      </c>
      <c r="M142" s="276" t="s">
        <v>189</v>
      </c>
      <c r="N142" s="276">
        <v>120575</v>
      </c>
      <c r="O142" s="276" t="s">
        <v>199</v>
      </c>
      <c r="P142" s="276" t="s">
        <v>487</v>
      </c>
      <c r="U142" s="276" t="s">
        <v>488</v>
      </c>
      <c r="V142" s="276" t="s">
        <v>488</v>
      </c>
      <c r="X142" s="276" t="s">
        <v>499</v>
      </c>
      <c r="Y142" s="276">
        <v>55</v>
      </c>
      <c r="Z142" s="279">
        <v>44104</v>
      </c>
      <c r="AA142" s="277">
        <v>6322373.7199999997</v>
      </c>
      <c r="AB142" s="277" t="s">
        <v>195</v>
      </c>
      <c r="AC142" s="278">
        <v>658.37</v>
      </c>
      <c r="AD142" s="276" t="s">
        <v>490</v>
      </c>
      <c r="AE142" s="276">
        <v>2020</v>
      </c>
      <c r="AF142" s="276">
        <v>9</v>
      </c>
    </row>
    <row r="143" spans="1:32" x14ac:dyDescent="0.35">
      <c r="A143" s="276" t="s">
        <v>484</v>
      </c>
      <c r="B143" s="276" t="s">
        <v>503</v>
      </c>
      <c r="C143" s="279">
        <v>44043</v>
      </c>
      <c r="D143" s="276" t="s">
        <v>428</v>
      </c>
      <c r="E143" s="276" t="s">
        <v>186</v>
      </c>
      <c r="F143" s="276">
        <v>71410</v>
      </c>
      <c r="G143" s="276" t="s">
        <v>504</v>
      </c>
      <c r="H143" s="276" t="s">
        <v>188</v>
      </c>
      <c r="I143" s="276">
        <v>30000</v>
      </c>
      <c r="J143" s="276">
        <v>33804</v>
      </c>
      <c r="K143" s="276">
        <v>1981</v>
      </c>
      <c r="L143" s="276">
        <v>11363</v>
      </c>
      <c r="M143" s="276" t="s">
        <v>189</v>
      </c>
      <c r="N143" s="276">
        <v>120575</v>
      </c>
      <c r="O143" s="276" t="s">
        <v>199</v>
      </c>
      <c r="P143" s="276" t="s">
        <v>487</v>
      </c>
      <c r="U143" s="276" t="s">
        <v>488</v>
      </c>
      <c r="V143" s="276" t="s">
        <v>488</v>
      </c>
      <c r="X143" s="276" t="s">
        <v>505</v>
      </c>
      <c r="Y143" s="276">
        <v>36</v>
      </c>
      <c r="Z143" s="279">
        <v>44043</v>
      </c>
      <c r="AA143" s="277">
        <v>2691.12</v>
      </c>
      <c r="AB143" s="277" t="s">
        <v>195</v>
      </c>
      <c r="AC143" s="278">
        <v>0.28000000000000003</v>
      </c>
      <c r="AD143" s="276" t="s">
        <v>490</v>
      </c>
      <c r="AE143" s="276">
        <v>2020</v>
      </c>
      <c r="AF143" s="276">
        <v>7</v>
      </c>
    </row>
    <row r="144" spans="1:32" x14ac:dyDescent="0.35">
      <c r="A144" s="276" t="s">
        <v>484</v>
      </c>
      <c r="B144" s="276" t="s">
        <v>506</v>
      </c>
      <c r="C144" s="276" t="s">
        <v>259</v>
      </c>
      <c r="D144" s="276" t="s">
        <v>259</v>
      </c>
      <c r="E144" s="276" t="s">
        <v>186</v>
      </c>
      <c r="F144" s="276">
        <v>71410</v>
      </c>
      <c r="G144" s="276" t="s">
        <v>504</v>
      </c>
      <c r="H144" s="276" t="s">
        <v>188</v>
      </c>
      <c r="I144" s="276">
        <v>30000</v>
      </c>
      <c r="J144" s="276">
        <v>33804</v>
      </c>
      <c r="K144" s="276">
        <v>1981</v>
      </c>
      <c r="L144" s="276">
        <v>11363</v>
      </c>
      <c r="M144" s="276" t="s">
        <v>189</v>
      </c>
      <c r="N144" s="276">
        <v>120575</v>
      </c>
      <c r="O144" s="276" t="s">
        <v>199</v>
      </c>
      <c r="P144" s="276" t="s">
        <v>487</v>
      </c>
      <c r="U144" s="276" t="s">
        <v>488</v>
      </c>
      <c r="V144" s="276" t="s">
        <v>488</v>
      </c>
      <c r="X144" s="276" t="s">
        <v>507</v>
      </c>
      <c r="Y144" s="276">
        <v>36</v>
      </c>
      <c r="Z144" s="276" t="s">
        <v>259</v>
      </c>
      <c r="AA144" s="277">
        <v>2691.12</v>
      </c>
      <c r="AB144" s="277" t="s">
        <v>195</v>
      </c>
      <c r="AC144" s="278">
        <v>0.28000000000000003</v>
      </c>
      <c r="AD144" s="276" t="s">
        <v>490</v>
      </c>
      <c r="AE144" s="276">
        <v>2020</v>
      </c>
      <c r="AF144" s="276">
        <v>8</v>
      </c>
    </row>
    <row r="145" spans="1:32" x14ac:dyDescent="0.35">
      <c r="A145" s="276" t="s">
        <v>484</v>
      </c>
      <c r="B145" s="276" t="s">
        <v>508</v>
      </c>
      <c r="C145" s="276" t="s">
        <v>259</v>
      </c>
      <c r="D145" s="276" t="s">
        <v>259</v>
      </c>
      <c r="E145" s="276" t="s">
        <v>186</v>
      </c>
      <c r="F145" s="276">
        <v>71410</v>
      </c>
      <c r="G145" s="276" t="s">
        <v>504</v>
      </c>
      <c r="H145" s="276" t="s">
        <v>188</v>
      </c>
      <c r="I145" s="276">
        <v>30000</v>
      </c>
      <c r="J145" s="276">
        <v>33803</v>
      </c>
      <c r="K145" s="276">
        <v>1981</v>
      </c>
      <c r="L145" s="276">
        <v>11363</v>
      </c>
      <c r="M145" s="276" t="s">
        <v>189</v>
      </c>
      <c r="N145" s="276">
        <v>120575</v>
      </c>
      <c r="O145" s="276" t="s">
        <v>199</v>
      </c>
      <c r="P145" s="276" t="s">
        <v>487</v>
      </c>
      <c r="U145" s="276" t="s">
        <v>488</v>
      </c>
      <c r="V145" s="276" t="s">
        <v>488</v>
      </c>
      <c r="X145" s="276" t="s">
        <v>507</v>
      </c>
      <c r="Y145" s="276">
        <v>31</v>
      </c>
      <c r="Z145" s="276" t="s">
        <v>259</v>
      </c>
      <c r="AA145" s="277">
        <v>2617.5700000000002</v>
      </c>
      <c r="AB145" s="277" t="s">
        <v>195</v>
      </c>
      <c r="AC145" s="278">
        <v>0.27</v>
      </c>
      <c r="AD145" s="276" t="s">
        <v>490</v>
      </c>
      <c r="AE145" s="276">
        <v>2020</v>
      </c>
      <c r="AF145" s="276">
        <v>8</v>
      </c>
    </row>
    <row r="146" spans="1:32" x14ac:dyDescent="0.35">
      <c r="A146" s="276" t="s">
        <v>484</v>
      </c>
      <c r="B146" s="276" t="s">
        <v>509</v>
      </c>
      <c r="C146" s="279">
        <v>44104</v>
      </c>
      <c r="D146" s="279">
        <v>44113</v>
      </c>
      <c r="E146" s="276" t="s">
        <v>186</v>
      </c>
      <c r="F146" s="276">
        <v>71410</v>
      </c>
      <c r="G146" s="276" t="s">
        <v>504</v>
      </c>
      <c r="H146" s="276" t="s">
        <v>188</v>
      </c>
      <c r="I146" s="276">
        <v>30000</v>
      </c>
      <c r="J146" s="276">
        <v>33803</v>
      </c>
      <c r="K146" s="276">
        <v>1981</v>
      </c>
      <c r="L146" s="276">
        <v>11363</v>
      </c>
      <c r="M146" s="276" t="s">
        <v>189</v>
      </c>
      <c r="N146" s="276">
        <v>120575</v>
      </c>
      <c r="O146" s="276" t="s">
        <v>199</v>
      </c>
      <c r="P146" s="276" t="s">
        <v>487</v>
      </c>
      <c r="U146" s="276" t="s">
        <v>488</v>
      </c>
      <c r="V146" s="276" t="s">
        <v>488</v>
      </c>
      <c r="X146" s="276" t="s">
        <v>510</v>
      </c>
      <c r="Y146" s="276">
        <v>32</v>
      </c>
      <c r="Z146" s="279">
        <v>44104</v>
      </c>
      <c r="AA146" s="277">
        <v>2617.5700000000002</v>
      </c>
      <c r="AB146" s="277" t="s">
        <v>195</v>
      </c>
      <c r="AC146" s="278">
        <v>0.27</v>
      </c>
      <c r="AD146" s="276" t="s">
        <v>490</v>
      </c>
      <c r="AE146" s="276">
        <v>2020</v>
      </c>
      <c r="AF146" s="276">
        <v>9</v>
      </c>
    </row>
    <row r="147" spans="1:32" x14ac:dyDescent="0.35">
      <c r="A147" s="276" t="s">
        <v>484</v>
      </c>
      <c r="B147" s="276" t="s">
        <v>511</v>
      </c>
      <c r="C147" s="279">
        <v>44104</v>
      </c>
      <c r="D147" s="279">
        <v>44113</v>
      </c>
      <c r="E147" s="276" t="s">
        <v>186</v>
      </c>
      <c r="F147" s="276">
        <v>71410</v>
      </c>
      <c r="G147" s="276" t="s">
        <v>504</v>
      </c>
      <c r="H147" s="276" t="s">
        <v>188</v>
      </c>
      <c r="I147" s="276">
        <v>30000</v>
      </c>
      <c r="J147" s="276">
        <v>33804</v>
      </c>
      <c r="K147" s="276">
        <v>1981</v>
      </c>
      <c r="L147" s="276">
        <v>11363</v>
      </c>
      <c r="M147" s="276" t="s">
        <v>189</v>
      </c>
      <c r="N147" s="276">
        <v>120575</v>
      </c>
      <c r="O147" s="276" t="s">
        <v>199</v>
      </c>
      <c r="P147" s="276" t="s">
        <v>487</v>
      </c>
      <c r="U147" s="276" t="s">
        <v>488</v>
      </c>
      <c r="V147" s="276" t="s">
        <v>488</v>
      </c>
      <c r="X147" s="276" t="s">
        <v>510</v>
      </c>
      <c r="Y147" s="276">
        <v>37</v>
      </c>
      <c r="Z147" s="279">
        <v>44104</v>
      </c>
      <c r="AA147" s="277">
        <v>2691.12</v>
      </c>
      <c r="AB147" s="277" t="s">
        <v>195</v>
      </c>
      <c r="AC147" s="278">
        <v>0.28000000000000003</v>
      </c>
      <c r="AD147" s="276" t="s">
        <v>490</v>
      </c>
      <c r="AE147" s="276">
        <v>2020</v>
      </c>
      <c r="AF147" s="276">
        <v>9</v>
      </c>
    </row>
    <row r="148" spans="1:32" x14ac:dyDescent="0.35">
      <c r="A148" s="276" t="s">
        <v>484</v>
      </c>
      <c r="B148" s="276" t="s">
        <v>485</v>
      </c>
      <c r="C148" s="279">
        <v>44043</v>
      </c>
      <c r="D148" s="276" t="s">
        <v>428</v>
      </c>
      <c r="E148" s="276" t="s">
        <v>186</v>
      </c>
      <c r="F148" s="276">
        <v>71415</v>
      </c>
      <c r="G148" s="276" t="s">
        <v>486</v>
      </c>
      <c r="H148" s="276" t="s">
        <v>188</v>
      </c>
      <c r="I148" s="276">
        <v>30000</v>
      </c>
      <c r="J148" s="276">
        <v>33804</v>
      </c>
      <c r="K148" s="276">
        <v>1981</v>
      </c>
      <c r="L148" s="276">
        <v>11363</v>
      </c>
      <c r="M148" s="276" t="s">
        <v>189</v>
      </c>
      <c r="N148" s="276">
        <v>120575</v>
      </c>
      <c r="O148" s="276" t="s">
        <v>199</v>
      </c>
      <c r="P148" s="276" t="s">
        <v>487</v>
      </c>
      <c r="U148" s="276" t="s">
        <v>488</v>
      </c>
      <c r="V148" s="276" t="s">
        <v>488</v>
      </c>
      <c r="X148" s="276" t="s">
        <v>489</v>
      </c>
      <c r="Y148" s="276">
        <v>92</v>
      </c>
      <c r="Z148" s="279">
        <v>44043</v>
      </c>
      <c r="AA148" s="277">
        <v>322934</v>
      </c>
      <c r="AB148" s="277" t="s">
        <v>195</v>
      </c>
      <c r="AC148" s="278">
        <v>33.82</v>
      </c>
      <c r="AD148" s="276" t="s">
        <v>490</v>
      </c>
      <c r="AE148" s="276">
        <v>2020</v>
      </c>
      <c r="AF148" s="276">
        <v>7</v>
      </c>
    </row>
    <row r="149" spans="1:32" x14ac:dyDescent="0.35">
      <c r="A149" s="276" t="s">
        <v>484</v>
      </c>
      <c r="B149" s="276" t="s">
        <v>495</v>
      </c>
      <c r="C149" s="276" t="s">
        <v>259</v>
      </c>
      <c r="D149" s="276" t="s">
        <v>259</v>
      </c>
      <c r="E149" s="276" t="s">
        <v>186</v>
      </c>
      <c r="F149" s="276">
        <v>71415</v>
      </c>
      <c r="G149" s="276" t="s">
        <v>486</v>
      </c>
      <c r="H149" s="276" t="s">
        <v>188</v>
      </c>
      <c r="I149" s="276">
        <v>30000</v>
      </c>
      <c r="J149" s="276">
        <v>33803</v>
      </c>
      <c r="K149" s="276">
        <v>1981</v>
      </c>
      <c r="L149" s="276">
        <v>11363</v>
      </c>
      <c r="M149" s="276" t="s">
        <v>189</v>
      </c>
      <c r="N149" s="276">
        <v>120575</v>
      </c>
      <c r="O149" s="276" t="s">
        <v>199</v>
      </c>
      <c r="P149" s="276" t="s">
        <v>487</v>
      </c>
      <c r="U149" s="276" t="s">
        <v>488</v>
      </c>
      <c r="V149" s="276" t="s">
        <v>488</v>
      </c>
      <c r="X149" s="276" t="s">
        <v>494</v>
      </c>
      <c r="Y149" s="276">
        <v>95</v>
      </c>
      <c r="Z149" s="276" t="s">
        <v>259</v>
      </c>
      <c r="AA149" s="277">
        <v>314108</v>
      </c>
      <c r="AB149" s="277" t="s">
        <v>195</v>
      </c>
      <c r="AC149" s="278">
        <v>32.81</v>
      </c>
      <c r="AD149" s="276" t="s">
        <v>490</v>
      </c>
      <c r="AE149" s="276">
        <v>2020</v>
      </c>
      <c r="AF149" s="276">
        <v>8</v>
      </c>
    </row>
    <row r="150" spans="1:32" x14ac:dyDescent="0.35">
      <c r="A150" s="276" t="s">
        <v>484</v>
      </c>
      <c r="B150" s="276" t="s">
        <v>496</v>
      </c>
      <c r="C150" s="276" t="s">
        <v>259</v>
      </c>
      <c r="D150" s="276" t="s">
        <v>259</v>
      </c>
      <c r="E150" s="276" t="s">
        <v>186</v>
      </c>
      <c r="F150" s="276">
        <v>71415</v>
      </c>
      <c r="G150" s="276" t="s">
        <v>486</v>
      </c>
      <c r="H150" s="276" t="s">
        <v>188</v>
      </c>
      <c r="I150" s="276">
        <v>30000</v>
      </c>
      <c r="J150" s="276">
        <v>33804</v>
      </c>
      <c r="K150" s="276">
        <v>1981</v>
      </c>
      <c r="L150" s="276">
        <v>11363</v>
      </c>
      <c r="M150" s="276" t="s">
        <v>189</v>
      </c>
      <c r="N150" s="276">
        <v>120575</v>
      </c>
      <c r="O150" s="276" t="s">
        <v>199</v>
      </c>
      <c r="P150" s="276" t="s">
        <v>487</v>
      </c>
      <c r="U150" s="276" t="s">
        <v>488</v>
      </c>
      <c r="V150" s="276" t="s">
        <v>488</v>
      </c>
      <c r="X150" s="276" t="s">
        <v>494</v>
      </c>
      <c r="Y150" s="276">
        <v>100</v>
      </c>
      <c r="Z150" s="276" t="s">
        <v>259</v>
      </c>
      <c r="AA150" s="277">
        <v>322934</v>
      </c>
      <c r="AB150" s="277" t="s">
        <v>195</v>
      </c>
      <c r="AC150" s="278">
        <v>33.729999999999997</v>
      </c>
      <c r="AD150" s="276" t="s">
        <v>490</v>
      </c>
      <c r="AE150" s="276">
        <v>2020</v>
      </c>
      <c r="AF150" s="276">
        <v>8</v>
      </c>
    </row>
    <row r="151" spans="1:32" x14ac:dyDescent="0.35">
      <c r="A151" s="276" t="s">
        <v>484</v>
      </c>
      <c r="B151" s="276" t="s">
        <v>498</v>
      </c>
      <c r="C151" s="279">
        <v>44104</v>
      </c>
      <c r="D151" s="279">
        <v>44113</v>
      </c>
      <c r="E151" s="276" t="s">
        <v>186</v>
      </c>
      <c r="F151" s="276">
        <v>71415</v>
      </c>
      <c r="G151" s="276" t="s">
        <v>486</v>
      </c>
      <c r="H151" s="276" t="s">
        <v>188</v>
      </c>
      <c r="I151" s="276">
        <v>30000</v>
      </c>
      <c r="J151" s="276">
        <v>33803</v>
      </c>
      <c r="K151" s="276">
        <v>1981</v>
      </c>
      <c r="L151" s="276">
        <v>11363</v>
      </c>
      <c r="M151" s="276" t="s">
        <v>189</v>
      </c>
      <c r="N151" s="276">
        <v>120575</v>
      </c>
      <c r="O151" s="276" t="s">
        <v>199</v>
      </c>
      <c r="P151" s="276" t="s">
        <v>487</v>
      </c>
      <c r="U151" s="276" t="s">
        <v>488</v>
      </c>
      <c r="V151" s="276" t="s">
        <v>488</v>
      </c>
      <c r="X151" s="276" t="s">
        <v>499</v>
      </c>
      <c r="Y151" s="276">
        <v>98</v>
      </c>
      <c r="Z151" s="279">
        <v>44104</v>
      </c>
      <c r="AA151" s="277">
        <v>314108</v>
      </c>
      <c r="AB151" s="277" t="s">
        <v>195</v>
      </c>
      <c r="AC151" s="278">
        <v>32.71</v>
      </c>
      <c r="AD151" s="276" t="s">
        <v>490</v>
      </c>
      <c r="AE151" s="276">
        <v>2020</v>
      </c>
      <c r="AF151" s="276">
        <v>9</v>
      </c>
    </row>
    <row r="152" spans="1:32" x14ac:dyDescent="0.35">
      <c r="A152" s="276" t="s">
        <v>484</v>
      </c>
      <c r="B152" s="276" t="s">
        <v>500</v>
      </c>
      <c r="C152" s="279">
        <v>44104</v>
      </c>
      <c r="D152" s="279">
        <v>44113</v>
      </c>
      <c r="E152" s="276" t="s">
        <v>186</v>
      </c>
      <c r="F152" s="276">
        <v>71415</v>
      </c>
      <c r="G152" s="276" t="s">
        <v>486</v>
      </c>
      <c r="H152" s="276" t="s">
        <v>188</v>
      </c>
      <c r="I152" s="276">
        <v>30000</v>
      </c>
      <c r="J152" s="276">
        <v>33804</v>
      </c>
      <c r="K152" s="276">
        <v>1981</v>
      </c>
      <c r="L152" s="276">
        <v>11363</v>
      </c>
      <c r="M152" s="276" t="s">
        <v>189</v>
      </c>
      <c r="N152" s="276">
        <v>120575</v>
      </c>
      <c r="O152" s="276" t="s">
        <v>199</v>
      </c>
      <c r="P152" s="276" t="s">
        <v>487</v>
      </c>
      <c r="U152" s="276" t="s">
        <v>488</v>
      </c>
      <c r="V152" s="276" t="s">
        <v>488</v>
      </c>
      <c r="X152" s="276" t="s">
        <v>499</v>
      </c>
      <c r="Y152" s="276">
        <v>103</v>
      </c>
      <c r="Z152" s="279">
        <v>44104</v>
      </c>
      <c r="AA152" s="277">
        <v>322934</v>
      </c>
      <c r="AB152" s="277" t="s">
        <v>195</v>
      </c>
      <c r="AC152" s="278">
        <v>33.630000000000003</v>
      </c>
      <c r="AD152" s="276" t="s">
        <v>490</v>
      </c>
      <c r="AE152" s="276">
        <v>2020</v>
      </c>
      <c r="AF152" s="276">
        <v>9</v>
      </c>
    </row>
    <row r="153" spans="1:32" x14ac:dyDescent="0.35">
      <c r="A153" s="276" t="s">
        <v>184</v>
      </c>
      <c r="B153" s="276" t="s">
        <v>225</v>
      </c>
      <c r="C153" s="276" t="s">
        <v>218</v>
      </c>
      <c r="D153" s="276" t="s">
        <v>226</v>
      </c>
      <c r="E153" s="276" t="s">
        <v>186</v>
      </c>
      <c r="F153" s="276">
        <v>72220</v>
      </c>
      <c r="G153" s="276" t="s">
        <v>227</v>
      </c>
      <c r="H153" s="276" t="s">
        <v>188</v>
      </c>
      <c r="I153" s="276">
        <v>30000</v>
      </c>
      <c r="J153" s="276">
        <v>33804</v>
      </c>
      <c r="K153" s="276">
        <v>1981</v>
      </c>
      <c r="L153" s="276">
        <v>11363</v>
      </c>
      <c r="M153" s="276" t="s">
        <v>189</v>
      </c>
      <c r="N153" s="276">
        <v>120575</v>
      </c>
      <c r="O153" s="276" t="s">
        <v>199</v>
      </c>
      <c r="P153" s="276" t="s">
        <v>228</v>
      </c>
      <c r="Q153" s="276" t="s">
        <v>9</v>
      </c>
      <c r="R153" s="276">
        <v>7807</v>
      </c>
      <c r="S153" s="276" t="s">
        <v>229</v>
      </c>
      <c r="T153" s="276" t="s">
        <v>9</v>
      </c>
      <c r="U153" s="276" t="s">
        <v>230</v>
      </c>
      <c r="V153" s="276" t="s">
        <v>231</v>
      </c>
      <c r="X153" s="276" t="s">
        <v>232</v>
      </c>
      <c r="Y153" s="276">
        <v>12</v>
      </c>
      <c r="Z153" s="276" t="s">
        <v>218</v>
      </c>
      <c r="AA153" s="277">
        <v>33000000</v>
      </c>
      <c r="AB153" s="277" t="s">
        <v>195</v>
      </c>
      <c r="AC153" s="278">
        <v>3446.48</v>
      </c>
      <c r="AD153" s="276" t="s">
        <v>196</v>
      </c>
      <c r="AE153" s="276">
        <v>2020</v>
      </c>
      <c r="AF153" s="276">
        <v>8</v>
      </c>
    </row>
    <row r="154" spans="1:32" x14ac:dyDescent="0.35">
      <c r="A154" s="276" t="s">
        <v>184</v>
      </c>
      <c r="B154" s="276" t="s">
        <v>251</v>
      </c>
      <c r="C154" s="276" t="s">
        <v>252</v>
      </c>
      <c r="D154" s="276" t="s">
        <v>253</v>
      </c>
      <c r="E154" s="276" t="s">
        <v>186</v>
      </c>
      <c r="F154" s="276">
        <v>72220</v>
      </c>
      <c r="G154" s="276" t="s">
        <v>227</v>
      </c>
      <c r="H154" s="276" t="s">
        <v>188</v>
      </c>
      <c r="I154" s="276">
        <v>30000</v>
      </c>
      <c r="J154" s="276">
        <v>33804</v>
      </c>
      <c r="K154" s="276">
        <v>1981</v>
      </c>
      <c r="L154" s="276">
        <v>11363</v>
      </c>
      <c r="M154" s="276" t="s">
        <v>189</v>
      </c>
      <c r="N154" s="276">
        <v>120575</v>
      </c>
      <c r="O154" s="276" t="s">
        <v>199</v>
      </c>
      <c r="P154" s="276" t="s">
        <v>228</v>
      </c>
      <c r="Q154" s="276" t="s">
        <v>9</v>
      </c>
      <c r="R154" s="276">
        <v>7617</v>
      </c>
      <c r="S154" s="276" t="s">
        <v>254</v>
      </c>
      <c r="T154" s="276" t="s">
        <v>9</v>
      </c>
      <c r="U154" s="276" t="s">
        <v>230</v>
      </c>
      <c r="V154" s="276" t="s">
        <v>255</v>
      </c>
      <c r="X154" s="276" t="s">
        <v>256</v>
      </c>
      <c r="Y154" s="276">
        <v>2</v>
      </c>
      <c r="Z154" s="276" t="s">
        <v>252</v>
      </c>
      <c r="AA154" s="277">
        <v>38450000</v>
      </c>
      <c r="AB154" s="277" t="s">
        <v>195</v>
      </c>
      <c r="AC154" s="278">
        <v>4015.67</v>
      </c>
      <c r="AD154" s="276" t="s">
        <v>196</v>
      </c>
      <c r="AE154" s="276">
        <v>2020</v>
      </c>
      <c r="AF154" s="276">
        <v>8</v>
      </c>
    </row>
    <row r="155" spans="1:32" x14ac:dyDescent="0.35">
      <c r="A155" s="276" t="s">
        <v>184</v>
      </c>
      <c r="B155" s="276" t="s">
        <v>210</v>
      </c>
      <c r="C155" s="276" t="s">
        <v>211</v>
      </c>
      <c r="D155" s="276" t="s">
        <v>212</v>
      </c>
      <c r="E155" s="276" t="s">
        <v>186</v>
      </c>
      <c r="F155" s="276">
        <v>72425</v>
      </c>
      <c r="G155" s="276" t="s">
        <v>213</v>
      </c>
      <c r="H155" s="276" t="s">
        <v>188</v>
      </c>
      <c r="I155" s="276">
        <v>30000</v>
      </c>
      <c r="J155" s="276">
        <v>33804</v>
      </c>
      <c r="K155" s="276">
        <v>1981</v>
      </c>
      <c r="L155" s="276">
        <v>11363</v>
      </c>
      <c r="M155" s="276" t="s">
        <v>189</v>
      </c>
      <c r="N155" s="276">
        <v>120575</v>
      </c>
      <c r="O155" s="276" t="s">
        <v>199</v>
      </c>
      <c r="P155" s="276" t="s">
        <v>9</v>
      </c>
      <c r="Q155" s="276" t="s">
        <v>9</v>
      </c>
      <c r="R155" s="276">
        <v>2329</v>
      </c>
      <c r="S155" s="276" t="s">
        <v>200</v>
      </c>
      <c r="T155" s="276" t="s">
        <v>9</v>
      </c>
      <c r="U155" s="276" t="s">
        <v>214</v>
      </c>
      <c r="V155" s="276" t="s">
        <v>215</v>
      </c>
      <c r="X155" s="276" t="s">
        <v>216</v>
      </c>
      <c r="Y155" s="276">
        <v>33</v>
      </c>
      <c r="Z155" s="276" t="s">
        <v>211</v>
      </c>
      <c r="AA155" s="277">
        <v>10000000</v>
      </c>
      <c r="AB155" s="277" t="s">
        <v>195</v>
      </c>
      <c r="AC155" s="278">
        <v>1044.3900000000001</v>
      </c>
      <c r="AD155" s="276" t="s">
        <v>196</v>
      </c>
      <c r="AE155" s="276">
        <v>2020</v>
      </c>
      <c r="AF155" s="276">
        <v>8</v>
      </c>
    </row>
    <row r="156" spans="1:32" x14ac:dyDescent="0.35">
      <c r="A156" s="276" t="s">
        <v>184</v>
      </c>
      <c r="B156" s="276" t="s">
        <v>197</v>
      </c>
      <c r="C156" s="279">
        <v>44018</v>
      </c>
      <c r="D156" s="279">
        <v>44021</v>
      </c>
      <c r="E156" s="276" t="s">
        <v>186</v>
      </c>
      <c r="F156" s="276">
        <v>72445</v>
      </c>
      <c r="G156" s="276" t="s">
        <v>198</v>
      </c>
      <c r="H156" s="276" t="s">
        <v>188</v>
      </c>
      <c r="I156" s="276">
        <v>30000</v>
      </c>
      <c r="J156" s="276">
        <v>33804</v>
      </c>
      <c r="K156" s="276">
        <v>1981</v>
      </c>
      <c r="L156" s="276">
        <v>11363</v>
      </c>
      <c r="M156" s="276" t="s">
        <v>189</v>
      </c>
      <c r="N156" s="276">
        <v>120575</v>
      </c>
      <c r="O156" s="276" t="s">
        <v>199</v>
      </c>
      <c r="P156" s="276" t="s">
        <v>9</v>
      </c>
      <c r="Q156" s="276" t="s">
        <v>9</v>
      </c>
      <c r="R156" s="276">
        <v>2329</v>
      </c>
      <c r="S156" s="276" t="s">
        <v>200</v>
      </c>
      <c r="T156" s="276" t="s">
        <v>9</v>
      </c>
      <c r="U156" s="276" t="s">
        <v>201</v>
      </c>
      <c r="V156" s="276" t="s">
        <v>202</v>
      </c>
      <c r="X156" s="276" t="s">
        <v>203</v>
      </c>
      <c r="Y156" s="276">
        <v>4</v>
      </c>
      <c r="Z156" s="279">
        <v>44018</v>
      </c>
      <c r="AA156" s="277">
        <v>21507901</v>
      </c>
      <c r="AB156" s="277" t="s">
        <v>195</v>
      </c>
      <c r="AC156" s="278">
        <v>2252.14</v>
      </c>
      <c r="AD156" s="276" t="s">
        <v>196</v>
      </c>
      <c r="AE156" s="276">
        <v>2020</v>
      </c>
      <c r="AF156" s="276">
        <v>7</v>
      </c>
    </row>
    <row r="157" spans="1:32" x14ac:dyDescent="0.35">
      <c r="A157" s="276" t="s">
        <v>184</v>
      </c>
      <c r="B157" s="276" t="s">
        <v>329</v>
      </c>
      <c r="C157" s="279">
        <v>44090</v>
      </c>
      <c r="D157" s="279">
        <v>44092</v>
      </c>
      <c r="E157" s="276" t="s">
        <v>186</v>
      </c>
      <c r="F157" s="276">
        <v>72510</v>
      </c>
      <c r="G157" s="276" t="s">
        <v>330</v>
      </c>
      <c r="H157" s="276" t="s">
        <v>188</v>
      </c>
      <c r="I157" s="276">
        <v>30000</v>
      </c>
      <c r="J157" s="276">
        <v>33804</v>
      </c>
      <c r="K157" s="276">
        <v>1981</v>
      </c>
      <c r="L157" s="276">
        <v>11363</v>
      </c>
      <c r="M157" s="276" t="s">
        <v>189</v>
      </c>
      <c r="N157" s="276">
        <v>120575</v>
      </c>
      <c r="O157" s="276" t="s">
        <v>199</v>
      </c>
      <c r="P157" s="276" t="s">
        <v>9</v>
      </c>
      <c r="Q157" s="276" t="s">
        <v>9</v>
      </c>
      <c r="R157" s="276">
        <v>128</v>
      </c>
      <c r="S157" s="276" t="s">
        <v>331</v>
      </c>
      <c r="T157" s="276" t="s">
        <v>9</v>
      </c>
      <c r="U157" s="276" t="s">
        <v>332</v>
      </c>
      <c r="V157" s="276" t="s">
        <v>333</v>
      </c>
      <c r="X157" s="276" t="s">
        <v>320</v>
      </c>
      <c r="Y157" s="276">
        <v>47</v>
      </c>
      <c r="Z157" s="279">
        <v>44090</v>
      </c>
      <c r="AA157" s="277">
        <v>510000</v>
      </c>
      <c r="AB157" s="277" t="s">
        <v>195</v>
      </c>
      <c r="AC157" s="278">
        <v>53.11</v>
      </c>
      <c r="AD157" s="276" t="s">
        <v>196</v>
      </c>
      <c r="AE157" s="276">
        <v>2020</v>
      </c>
      <c r="AF157" s="276">
        <v>9</v>
      </c>
    </row>
    <row r="158" spans="1:32" x14ac:dyDescent="0.35">
      <c r="A158" s="276" t="s">
        <v>184</v>
      </c>
      <c r="B158" s="276" t="s">
        <v>334</v>
      </c>
      <c r="C158" s="279">
        <v>44091</v>
      </c>
      <c r="D158" s="279">
        <v>44093</v>
      </c>
      <c r="E158" s="276" t="s">
        <v>186</v>
      </c>
      <c r="F158" s="276">
        <v>72510</v>
      </c>
      <c r="G158" s="276" t="s">
        <v>330</v>
      </c>
      <c r="H158" s="276" t="s">
        <v>188</v>
      </c>
      <c r="I158" s="276">
        <v>30000</v>
      </c>
      <c r="J158" s="276">
        <v>33804</v>
      </c>
      <c r="K158" s="276">
        <v>1981</v>
      </c>
      <c r="L158" s="276">
        <v>11363</v>
      </c>
      <c r="M158" s="276" t="s">
        <v>189</v>
      </c>
      <c r="N158" s="276">
        <v>120575</v>
      </c>
      <c r="O158" s="276" t="s">
        <v>199</v>
      </c>
      <c r="P158" s="276" t="s">
        <v>9</v>
      </c>
      <c r="Q158" s="276" t="s">
        <v>9</v>
      </c>
      <c r="R158" s="276">
        <v>7435</v>
      </c>
      <c r="S158" s="276" t="s">
        <v>335</v>
      </c>
      <c r="T158" s="276" t="s">
        <v>9</v>
      </c>
      <c r="U158" s="276" t="s">
        <v>336</v>
      </c>
      <c r="V158" s="276" t="s">
        <v>337</v>
      </c>
      <c r="X158" s="276" t="s">
        <v>338</v>
      </c>
      <c r="Y158" s="276">
        <v>9</v>
      </c>
      <c r="Z158" s="279">
        <v>44091</v>
      </c>
      <c r="AA158" s="277">
        <v>600000</v>
      </c>
      <c r="AB158" s="277" t="s">
        <v>195</v>
      </c>
      <c r="AC158" s="278">
        <v>62.48</v>
      </c>
      <c r="AD158" s="276" t="s">
        <v>196</v>
      </c>
      <c r="AE158" s="276">
        <v>2020</v>
      </c>
      <c r="AF158" s="276">
        <v>9</v>
      </c>
    </row>
    <row r="159" spans="1:32" x14ac:dyDescent="0.35">
      <c r="A159" s="276" t="s">
        <v>184</v>
      </c>
      <c r="B159" s="276" t="s">
        <v>397</v>
      </c>
      <c r="C159" s="279">
        <v>44124</v>
      </c>
      <c r="D159" s="279">
        <v>44125</v>
      </c>
      <c r="E159" s="276" t="s">
        <v>186</v>
      </c>
      <c r="F159" s="276">
        <v>73410</v>
      </c>
      <c r="G159" s="276" t="s">
        <v>398</v>
      </c>
      <c r="H159" s="276" t="s">
        <v>188</v>
      </c>
      <c r="I159" s="276">
        <v>30000</v>
      </c>
      <c r="J159" s="276">
        <v>33803</v>
      </c>
      <c r="K159" s="276">
        <v>1981</v>
      </c>
      <c r="L159" s="276">
        <v>11363</v>
      </c>
      <c r="M159" s="276" t="s">
        <v>189</v>
      </c>
      <c r="N159" s="276">
        <v>120575</v>
      </c>
      <c r="O159" s="276" t="s">
        <v>199</v>
      </c>
      <c r="P159" s="276" t="s">
        <v>9</v>
      </c>
      <c r="Q159" s="276" t="s">
        <v>9</v>
      </c>
      <c r="R159" s="276">
        <v>7339</v>
      </c>
      <c r="S159" s="276" t="s">
        <v>399</v>
      </c>
      <c r="T159" s="276" t="s">
        <v>9</v>
      </c>
      <c r="U159" s="276" t="s">
        <v>400</v>
      </c>
      <c r="V159" s="276" t="s">
        <v>401</v>
      </c>
      <c r="X159" s="276" t="s">
        <v>402</v>
      </c>
      <c r="Y159" s="276">
        <v>20</v>
      </c>
      <c r="Z159" s="279">
        <v>44124</v>
      </c>
      <c r="AA159" s="277">
        <v>1455000</v>
      </c>
      <c r="AB159" s="277" t="s">
        <v>195</v>
      </c>
      <c r="AC159" s="278">
        <v>149.72999999999999</v>
      </c>
      <c r="AD159" s="276" t="s">
        <v>196</v>
      </c>
      <c r="AE159" s="276">
        <v>2020</v>
      </c>
      <c r="AF159" s="276">
        <v>10</v>
      </c>
    </row>
    <row r="160" spans="1:32" x14ac:dyDescent="0.35">
      <c r="A160" s="276" t="s">
        <v>411</v>
      </c>
      <c r="B160" s="276" t="s">
        <v>423</v>
      </c>
      <c r="C160" s="279">
        <v>44029</v>
      </c>
      <c r="D160" s="279">
        <v>44032</v>
      </c>
      <c r="E160" s="276" t="s">
        <v>186</v>
      </c>
      <c r="F160" s="276">
        <v>75105</v>
      </c>
      <c r="G160" s="276" t="s">
        <v>413</v>
      </c>
      <c r="H160" s="276" t="s">
        <v>188</v>
      </c>
      <c r="I160" s="276">
        <v>30000</v>
      </c>
      <c r="J160" s="276">
        <v>33804</v>
      </c>
      <c r="K160" s="276">
        <v>1981</v>
      </c>
      <c r="L160" s="276">
        <v>11363</v>
      </c>
      <c r="M160" s="276" t="s">
        <v>189</v>
      </c>
      <c r="N160" s="276">
        <v>120575</v>
      </c>
      <c r="O160" s="276" t="s">
        <v>199</v>
      </c>
      <c r="P160" s="276" t="s">
        <v>414</v>
      </c>
      <c r="U160" s="276" t="s">
        <v>424</v>
      </c>
      <c r="V160" s="276" t="s">
        <v>416</v>
      </c>
      <c r="X160" s="276">
        <v>8582275</v>
      </c>
      <c r="Y160" s="276">
        <v>4755</v>
      </c>
      <c r="Z160" s="279">
        <v>44029</v>
      </c>
      <c r="AA160" s="277">
        <v>157.65</v>
      </c>
      <c r="AB160" s="277" t="s">
        <v>417</v>
      </c>
      <c r="AC160" s="278">
        <v>157.65</v>
      </c>
      <c r="AD160" s="276" t="s">
        <v>418</v>
      </c>
      <c r="AE160" s="276">
        <v>2020</v>
      </c>
      <c r="AF160" s="276">
        <v>7</v>
      </c>
    </row>
    <row r="161" spans="1:32" x14ac:dyDescent="0.35">
      <c r="A161" s="276" t="s">
        <v>411</v>
      </c>
      <c r="B161" s="276" t="s">
        <v>431</v>
      </c>
      <c r="C161" s="279">
        <v>44043</v>
      </c>
      <c r="D161" s="276" t="s">
        <v>234</v>
      </c>
      <c r="E161" s="276" t="s">
        <v>186</v>
      </c>
      <c r="F161" s="276">
        <v>75105</v>
      </c>
      <c r="G161" s="276" t="s">
        <v>413</v>
      </c>
      <c r="H161" s="276" t="s">
        <v>188</v>
      </c>
      <c r="I161" s="276">
        <v>30000</v>
      </c>
      <c r="J161" s="276">
        <v>33804</v>
      </c>
      <c r="K161" s="276">
        <v>1981</v>
      </c>
      <c r="L161" s="276">
        <v>11363</v>
      </c>
      <c r="M161" s="276" t="s">
        <v>189</v>
      </c>
      <c r="N161" s="276">
        <v>120575</v>
      </c>
      <c r="O161" s="276" t="s">
        <v>199</v>
      </c>
      <c r="P161" s="276" t="s">
        <v>414</v>
      </c>
      <c r="U161" s="276" t="s">
        <v>432</v>
      </c>
      <c r="V161" s="276" t="s">
        <v>416</v>
      </c>
      <c r="X161" s="276">
        <v>8614802</v>
      </c>
      <c r="Y161" s="276">
        <v>4901</v>
      </c>
      <c r="Z161" s="279">
        <v>44043</v>
      </c>
      <c r="AA161" s="277">
        <v>48.7</v>
      </c>
      <c r="AB161" s="277" t="s">
        <v>417</v>
      </c>
      <c r="AC161" s="278">
        <v>48.7</v>
      </c>
      <c r="AD161" s="276" t="s">
        <v>418</v>
      </c>
      <c r="AE161" s="276">
        <v>2020</v>
      </c>
      <c r="AF161" s="276">
        <v>7</v>
      </c>
    </row>
    <row r="162" spans="1:32" x14ac:dyDescent="0.35">
      <c r="A162" s="276" t="s">
        <v>411</v>
      </c>
      <c r="B162" s="276" t="s">
        <v>434</v>
      </c>
      <c r="C162" s="276" t="s">
        <v>435</v>
      </c>
      <c r="D162" s="276" t="s">
        <v>234</v>
      </c>
      <c r="E162" s="276" t="s">
        <v>186</v>
      </c>
      <c r="F162" s="276">
        <v>75105</v>
      </c>
      <c r="G162" s="276" t="s">
        <v>413</v>
      </c>
      <c r="H162" s="276" t="s">
        <v>188</v>
      </c>
      <c r="I162" s="276">
        <v>30000</v>
      </c>
      <c r="J162" s="276">
        <v>33804</v>
      </c>
      <c r="K162" s="276">
        <v>1981</v>
      </c>
      <c r="L162" s="276">
        <v>11363</v>
      </c>
      <c r="M162" s="276" t="s">
        <v>189</v>
      </c>
      <c r="N162" s="276">
        <v>120575</v>
      </c>
      <c r="O162" s="276" t="s">
        <v>199</v>
      </c>
      <c r="P162" s="276" t="s">
        <v>414</v>
      </c>
      <c r="U162" s="276" t="s">
        <v>436</v>
      </c>
      <c r="V162" s="276" t="s">
        <v>416</v>
      </c>
      <c r="X162" s="276">
        <v>8614804</v>
      </c>
      <c r="Y162" s="276">
        <v>3665</v>
      </c>
      <c r="Z162" s="276" t="s">
        <v>435</v>
      </c>
      <c r="AA162" s="277">
        <v>314.36</v>
      </c>
      <c r="AB162" s="277" t="s">
        <v>417</v>
      </c>
      <c r="AC162" s="278">
        <v>314.36</v>
      </c>
      <c r="AD162" s="276" t="s">
        <v>418</v>
      </c>
      <c r="AE162" s="276">
        <v>2020</v>
      </c>
      <c r="AF162" s="276">
        <v>8</v>
      </c>
    </row>
    <row r="163" spans="1:32" x14ac:dyDescent="0.35">
      <c r="A163" s="276" t="s">
        <v>411</v>
      </c>
      <c r="B163" s="276" t="s">
        <v>440</v>
      </c>
      <c r="C163" s="276" t="s">
        <v>259</v>
      </c>
      <c r="D163" s="279">
        <v>44086</v>
      </c>
      <c r="E163" s="276" t="s">
        <v>186</v>
      </c>
      <c r="F163" s="276">
        <v>75105</v>
      </c>
      <c r="G163" s="276" t="s">
        <v>413</v>
      </c>
      <c r="H163" s="276" t="s">
        <v>188</v>
      </c>
      <c r="I163" s="276">
        <v>30000</v>
      </c>
      <c r="J163" s="276">
        <v>33804</v>
      </c>
      <c r="K163" s="276">
        <v>1981</v>
      </c>
      <c r="L163" s="276">
        <v>11363</v>
      </c>
      <c r="M163" s="276" t="s">
        <v>189</v>
      </c>
      <c r="N163" s="276">
        <v>120575</v>
      </c>
      <c r="O163" s="276" t="s">
        <v>199</v>
      </c>
      <c r="P163" s="276" t="s">
        <v>414</v>
      </c>
      <c r="U163" s="276" t="s">
        <v>441</v>
      </c>
      <c r="V163" s="276" t="s">
        <v>416</v>
      </c>
      <c r="X163" s="276">
        <v>8646760</v>
      </c>
      <c r="Y163" s="276">
        <v>4616</v>
      </c>
      <c r="Z163" s="276" t="s">
        <v>259</v>
      </c>
      <c r="AA163" s="277">
        <v>329.68</v>
      </c>
      <c r="AB163" s="277" t="s">
        <v>417</v>
      </c>
      <c r="AC163" s="278">
        <v>329.68</v>
      </c>
      <c r="AD163" s="276" t="s">
        <v>418</v>
      </c>
      <c r="AE163" s="276">
        <v>2020</v>
      </c>
      <c r="AF163" s="276">
        <v>8</v>
      </c>
    </row>
    <row r="164" spans="1:32" x14ac:dyDescent="0.35">
      <c r="A164" s="276" t="s">
        <v>411</v>
      </c>
      <c r="B164" s="276" t="s">
        <v>443</v>
      </c>
      <c r="C164" s="276" t="s">
        <v>259</v>
      </c>
      <c r="D164" s="279">
        <v>44086</v>
      </c>
      <c r="E164" s="276" t="s">
        <v>186</v>
      </c>
      <c r="F164" s="276">
        <v>75105</v>
      </c>
      <c r="G164" s="276" t="s">
        <v>413</v>
      </c>
      <c r="H164" s="276" t="s">
        <v>188</v>
      </c>
      <c r="I164" s="276">
        <v>30000</v>
      </c>
      <c r="J164" s="276">
        <v>33803</v>
      </c>
      <c r="K164" s="276">
        <v>1981</v>
      </c>
      <c r="L164" s="276">
        <v>11363</v>
      </c>
      <c r="M164" s="276" t="s">
        <v>189</v>
      </c>
      <c r="N164" s="276">
        <v>120575</v>
      </c>
      <c r="O164" s="276" t="s">
        <v>199</v>
      </c>
      <c r="P164" s="276" t="s">
        <v>414</v>
      </c>
      <c r="U164" s="276" t="s">
        <v>441</v>
      </c>
      <c r="V164" s="276" t="s">
        <v>416</v>
      </c>
      <c r="X164" s="276">
        <v>8646760</v>
      </c>
      <c r="Y164" s="276">
        <v>4614</v>
      </c>
      <c r="Z164" s="276" t="s">
        <v>259</v>
      </c>
      <c r="AA164" s="277">
        <v>47.45</v>
      </c>
      <c r="AB164" s="277" t="s">
        <v>417</v>
      </c>
      <c r="AC164" s="278">
        <v>47.45</v>
      </c>
      <c r="AD164" s="276" t="s">
        <v>418</v>
      </c>
      <c r="AE164" s="276">
        <v>2020</v>
      </c>
      <c r="AF164" s="276">
        <v>8</v>
      </c>
    </row>
    <row r="165" spans="1:32" x14ac:dyDescent="0.35">
      <c r="A165" s="276" t="s">
        <v>411</v>
      </c>
      <c r="B165" s="276" t="s">
        <v>448</v>
      </c>
      <c r="C165" s="279">
        <v>44099</v>
      </c>
      <c r="D165" s="279">
        <v>44100</v>
      </c>
      <c r="E165" s="276" t="s">
        <v>186</v>
      </c>
      <c r="F165" s="276">
        <v>75105</v>
      </c>
      <c r="G165" s="276" t="s">
        <v>413</v>
      </c>
      <c r="H165" s="276" t="s">
        <v>188</v>
      </c>
      <c r="I165" s="276">
        <v>30000</v>
      </c>
      <c r="J165" s="276">
        <v>33804</v>
      </c>
      <c r="K165" s="276">
        <v>1981</v>
      </c>
      <c r="L165" s="276">
        <v>11363</v>
      </c>
      <c r="M165" s="276" t="s">
        <v>189</v>
      </c>
      <c r="N165" s="276">
        <v>120575</v>
      </c>
      <c r="O165" s="276" t="s">
        <v>199</v>
      </c>
      <c r="P165" s="276" t="s">
        <v>414</v>
      </c>
      <c r="U165" s="276" t="s">
        <v>449</v>
      </c>
      <c r="V165" s="276" t="s">
        <v>416</v>
      </c>
      <c r="X165" s="276">
        <v>8662445</v>
      </c>
      <c r="Y165" s="276">
        <v>3890</v>
      </c>
      <c r="Z165" s="279">
        <v>44099</v>
      </c>
      <c r="AA165" s="277">
        <v>8.09</v>
      </c>
      <c r="AB165" s="277" t="s">
        <v>417</v>
      </c>
      <c r="AC165" s="278">
        <v>8.09</v>
      </c>
      <c r="AD165" s="276" t="s">
        <v>418</v>
      </c>
      <c r="AE165" s="276">
        <v>2020</v>
      </c>
      <c r="AF165" s="276">
        <v>9</v>
      </c>
    </row>
    <row r="166" spans="1:32" x14ac:dyDescent="0.35">
      <c r="A166" s="276" t="s">
        <v>411</v>
      </c>
      <c r="B166" s="276" t="s">
        <v>465</v>
      </c>
      <c r="C166" s="279">
        <v>44104</v>
      </c>
      <c r="D166" s="279">
        <v>44123</v>
      </c>
      <c r="E166" s="276" t="s">
        <v>186</v>
      </c>
      <c r="F166" s="276">
        <v>75105</v>
      </c>
      <c r="G166" s="276" t="s">
        <v>413</v>
      </c>
      <c r="H166" s="276" t="s">
        <v>188</v>
      </c>
      <c r="I166" s="276">
        <v>30000</v>
      </c>
      <c r="J166" s="276">
        <v>33803</v>
      </c>
      <c r="K166" s="276">
        <v>1981</v>
      </c>
      <c r="L166" s="276">
        <v>11363</v>
      </c>
      <c r="M166" s="276" t="s">
        <v>189</v>
      </c>
      <c r="N166" s="276">
        <v>120575</v>
      </c>
      <c r="O166" s="276" t="s">
        <v>199</v>
      </c>
      <c r="P166" s="276" t="s">
        <v>414</v>
      </c>
      <c r="U166" s="276" t="s">
        <v>464</v>
      </c>
      <c r="V166" s="276" t="s">
        <v>416</v>
      </c>
      <c r="X166" s="276">
        <v>8690171</v>
      </c>
      <c r="Y166" s="276">
        <v>4086</v>
      </c>
      <c r="Z166" s="279">
        <v>44104</v>
      </c>
      <c r="AA166" s="277">
        <v>47.32</v>
      </c>
      <c r="AB166" s="277" t="s">
        <v>417</v>
      </c>
      <c r="AC166" s="278">
        <v>47.32</v>
      </c>
      <c r="AD166" s="276" t="s">
        <v>418</v>
      </c>
      <c r="AE166" s="276">
        <v>2020</v>
      </c>
      <c r="AF166" s="276">
        <v>9</v>
      </c>
    </row>
    <row r="167" spans="1:32" ht="15" thickBot="1" x14ac:dyDescent="0.4">
      <c r="A167" s="276" t="s">
        <v>411</v>
      </c>
      <c r="B167" s="276" t="s">
        <v>466</v>
      </c>
      <c r="C167" s="279">
        <v>44104</v>
      </c>
      <c r="D167" s="279">
        <v>44123</v>
      </c>
      <c r="E167" s="276" t="s">
        <v>186</v>
      </c>
      <c r="F167" s="276">
        <v>75105</v>
      </c>
      <c r="G167" s="276" t="s">
        <v>413</v>
      </c>
      <c r="H167" s="276" t="s">
        <v>188</v>
      </c>
      <c r="I167" s="276">
        <v>30000</v>
      </c>
      <c r="J167" s="276">
        <v>33804</v>
      </c>
      <c r="K167" s="276">
        <v>1981</v>
      </c>
      <c r="L167" s="276">
        <v>11363</v>
      </c>
      <c r="M167" s="276" t="s">
        <v>189</v>
      </c>
      <c r="N167" s="276">
        <v>120575</v>
      </c>
      <c r="O167" s="276" t="s">
        <v>199</v>
      </c>
      <c r="P167" s="276" t="s">
        <v>414</v>
      </c>
      <c r="U167" s="276" t="s">
        <v>464</v>
      </c>
      <c r="V167" s="276" t="s">
        <v>416</v>
      </c>
      <c r="X167" s="276">
        <v>8690171</v>
      </c>
      <c r="Y167" s="276">
        <v>4087</v>
      </c>
      <c r="Z167" s="279">
        <v>44104</v>
      </c>
      <c r="AA167" s="277">
        <v>48.46</v>
      </c>
      <c r="AB167" s="277" t="s">
        <v>417</v>
      </c>
      <c r="AC167" s="278">
        <v>48.46</v>
      </c>
      <c r="AD167" s="276" t="s">
        <v>418</v>
      </c>
      <c r="AE167" s="276">
        <v>2020</v>
      </c>
      <c r="AF167" s="276">
        <v>9</v>
      </c>
    </row>
    <row r="168" spans="1:32" ht="15" thickBot="1" x14ac:dyDescent="0.4">
      <c r="AC168" s="280">
        <f>SUBTOTAL(9,AC2:AC167)</f>
        <v>151880.09000000003</v>
      </c>
    </row>
  </sheetData>
  <autoFilter ref="A1:AF167" xr:uid="{DA2CCBE7-B3A1-42BA-BA0B-41D977FCE335}">
    <filterColumn colId="5">
      <filters>
        <filter val="71405"/>
        <filter val="71410"/>
        <filter val="71415"/>
        <filter val="71610"/>
        <filter val="71615"/>
        <filter val="71620"/>
        <filter val="71635"/>
        <filter val="72135"/>
        <filter val="72145"/>
        <filter val="72155"/>
        <filter val="72220"/>
        <filter val="72311"/>
        <filter val="72350"/>
        <filter val="72405"/>
        <filter val="72425"/>
        <filter val="72445"/>
        <filter val="72510"/>
        <filter val="73120"/>
        <filter val="73410"/>
        <filter val="75105"/>
        <filter val="75711"/>
        <filter val="76110"/>
        <filter val="76135"/>
      </filters>
    </filterColumn>
    <sortState xmlns:xlrd2="http://schemas.microsoft.com/office/spreadsheetml/2017/richdata2" ref="A2:AF167">
      <sortCondition ref="O1:O167"/>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13A21-EBAE-4A03-BD09-ABC0BD9CC25B}">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RAP ISP PAR CATEGORIE BUDGET</vt:lpstr>
      <vt:lpstr>RAP ISP PAR RESULTAT 1JUIN 2020</vt:lpstr>
      <vt:lpstr>SEARCH</vt:lpstr>
      <vt:lpstr>AAA 30 OCT 2020</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Search_Finance</dc:creator>
  <cp:lastModifiedBy>Joachim OUEDRAOGO</cp:lastModifiedBy>
  <cp:lastPrinted>2020-10-31T20:41:51Z</cp:lastPrinted>
  <dcterms:created xsi:type="dcterms:W3CDTF">2020-04-27T17:49:14Z</dcterms:created>
  <dcterms:modified xsi:type="dcterms:W3CDTF">2020-11-10T11:40:37Z</dcterms:modified>
</cp:coreProperties>
</file>