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oachim.ouedraogo\Desktop\PBF_Ojoachim\Dossiers par projets\Femmes_Jeunes filles leaders\"/>
    </mc:Choice>
  </mc:AlternateContent>
  <xr:revisionPtr revIDLastSave="0" documentId="13_ncr:1_{BD3E0429-DB00-4279-8523-FC6875B78FA5}" xr6:coauthVersionLast="45" xr6:coauthVersionMax="45" xr10:uidLastSave="{00000000-0000-0000-0000-000000000000}"/>
  <bookViews>
    <workbookView xWindow="-110" yWindow="-110" windowWidth="19420" windowHeight="10420" xr2:uid="{00000000-000D-0000-FFFF-FFFF00000000}"/>
  </bookViews>
  <sheets>
    <sheet name="PAR CATEGORIE BUDGETAIRE" sheetId="2" r:id="rId1"/>
    <sheet name="PAR RESULTA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2" l="1"/>
  <c r="H13" i="1"/>
  <c r="K31" i="1" l="1"/>
  <c r="G34" i="2"/>
  <c r="K9" i="1" l="1"/>
  <c r="G36" i="2" l="1"/>
  <c r="K7" i="1"/>
  <c r="J34" i="1"/>
  <c r="K22" i="1" l="1"/>
  <c r="K16" i="1"/>
  <c r="K34" i="1" s="1"/>
  <c r="K36" i="1" s="1"/>
  <c r="K28" i="2" l="1"/>
  <c r="K30" i="2"/>
  <c r="K33" i="2"/>
  <c r="K27" i="2"/>
  <c r="J29" i="2"/>
  <c r="J31" i="2"/>
  <c r="J32" i="2"/>
  <c r="J33" i="2"/>
  <c r="H34" i="2" l="1"/>
  <c r="I34" i="2"/>
  <c r="L33" i="2" l="1"/>
  <c r="F30" i="2"/>
  <c r="F28" i="2"/>
  <c r="F27" i="2"/>
  <c r="L27" i="2" l="1"/>
  <c r="J27" i="2"/>
  <c r="L28" i="2"/>
  <c r="J28" i="2"/>
  <c r="L30" i="2"/>
  <c r="J30" i="2"/>
  <c r="C34" i="2"/>
  <c r="D34" i="2"/>
  <c r="E34" i="2"/>
  <c r="E36" i="2" s="1"/>
  <c r="F34" i="2"/>
  <c r="H35" i="2"/>
  <c r="H36" i="2" s="1"/>
  <c r="J34" i="2" l="1"/>
  <c r="D36" i="2"/>
  <c r="K34" i="2"/>
  <c r="L34" i="2"/>
  <c r="F35" i="2"/>
  <c r="F36" i="2" s="1"/>
  <c r="C35" i="2"/>
  <c r="L36" i="2"/>
  <c r="C36" i="2" l="1"/>
  <c r="K35" i="2"/>
  <c r="J35" i="2"/>
  <c r="J36" i="2" s="1"/>
  <c r="K36" i="2"/>
  <c r="J37" i="2"/>
  <c r="D40" i="2"/>
  <c r="L35" i="2"/>
  <c r="I35" i="2" l="1"/>
  <c r="I36" i="2" s="1"/>
  <c r="E11" i="2"/>
  <c r="E12" i="2"/>
  <c r="E13" i="2"/>
  <c r="E14" i="2"/>
  <c r="E15" i="2"/>
  <c r="E16" i="2"/>
  <c r="E10" i="2"/>
  <c r="D17" i="2"/>
  <c r="D18" i="2" s="1"/>
  <c r="D19" i="2" s="1"/>
  <c r="C17" i="2"/>
  <c r="C18" i="2" s="1"/>
  <c r="D39" i="2" l="1"/>
  <c r="C19" i="2"/>
  <c r="E17" i="2"/>
  <c r="E18" i="2" l="1"/>
  <c r="E19" i="2" s="1"/>
  <c r="F34" i="1" l="1"/>
  <c r="E34" i="1"/>
  <c r="D34" i="1"/>
  <c r="G33" i="1"/>
  <c r="G32" i="1"/>
  <c r="G31" i="1"/>
  <c r="G30" i="1"/>
  <c r="F29" i="1"/>
  <c r="E29" i="1"/>
  <c r="D29" i="1"/>
  <c r="G28" i="1"/>
  <c r="G27" i="1"/>
  <c r="F25" i="1"/>
  <c r="E25" i="1"/>
  <c r="D25" i="1"/>
  <c r="G24" i="1"/>
  <c r="G23" i="1"/>
  <c r="G22" i="1"/>
  <c r="G21" i="1"/>
  <c r="G20" i="1"/>
  <c r="F18" i="1"/>
  <c r="E18" i="1"/>
  <c r="D18" i="1"/>
  <c r="G17" i="1"/>
  <c r="G16" i="1"/>
  <c r="G15" i="1"/>
  <c r="F13" i="1"/>
  <c r="E13" i="1"/>
  <c r="D13" i="1"/>
  <c r="G12" i="1"/>
  <c r="G11" i="1"/>
  <c r="G10" i="1"/>
  <c r="G9" i="1"/>
  <c r="G8" i="1"/>
  <c r="G7" i="1"/>
  <c r="H18" i="1" l="1"/>
  <c r="G13" i="1"/>
  <c r="H25" i="1"/>
  <c r="G18" i="1"/>
  <c r="H34" i="1"/>
  <c r="G25" i="1"/>
  <c r="H29" i="1"/>
  <c r="G29" i="1"/>
  <c r="G34" i="1"/>
</calcChain>
</file>

<file path=xl/sharedStrings.xml><?xml version="1.0" encoding="utf-8"?>
<sst xmlns="http://schemas.openxmlformats.org/spreadsheetml/2006/main" count="150" uniqueCount="134">
  <si>
    <t>Nombre de resultat/ produit</t>
  </si>
  <si>
    <t>Formulation du resultat/ produit/activite</t>
  </si>
  <si>
    <t>Organisation recipiendiaire 3 (budget en USD)</t>
  </si>
  <si>
    <t>Total</t>
  </si>
  <si>
    <t>Notes quelconque le cas echeant (.e.g sur types des entrants ou justification du budget)</t>
  </si>
  <si>
    <t xml:space="preserve">RESULTAT 1: </t>
  </si>
  <si>
    <t xml:space="preserve">Les violences communautaires, intercommunautaires, politiques, y compris les Violences Basées sur le Genre (VBG) et les affrontements entre les forces de sécurité et la population (particulièrement les jeunes) sont réduites avant, pendant et après les élections législatives et présidentielles de 2020, ceci grâce à la participation effective des femmes et jeunes filles en milieu communautaire  </t>
  </si>
  <si>
    <t>Produit 1.1:</t>
  </si>
  <si>
    <t>800 femmes et jeunes filles leaders communautaires participent activement aux processus de prévention et gestion des conflits dans les zones cibles</t>
  </si>
  <si>
    <t>Activite 1.1.1:</t>
  </si>
  <si>
    <t xml:space="preserve">Réaliser une cartographie des organisations non formelles de femmes et jeunes filles leaders communautaires et des mécanismes communautaires de prévention et de résolution de conflits </t>
  </si>
  <si>
    <t>RUNO 1 : UNICEF
RUNO 2 : PNUD
Consultant : 12,000 USD : UNDG Categ : 4
Atelier de travail et de validation : 4000 USD : 4
Fourniture pédagogique : 1,000 USD : 2</t>
  </si>
  <si>
    <t>Activite 1.1.2:</t>
  </si>
  <si>
    <t xml:space="preserve">Identifier 800 femmes dont au moins 30% de jeunes filles leaders communautaires dans les quartiers des cinq communes de Conakry </t>
  </si>
  <si>
    <t>Recensement : 6000 USD : 7
Atelier de restitution et de partage des résultats : 4000 USD :UNDG Categ 7
Cette activite sera menee par les VNU relais communautaires de Paix</t>
  </si>
  <si>
    <t>Former 800 femmes et jeunes filles leaders communautaires identifiées dans les communes de Conakry, sur leur rôle dans la prévention et la gestion des conflits, sur le leadership et le réseautage, le plaidoyer et l’animation des dialogues communautaires (des séances de formation différentiées par tranche d’âge seront prévues)</t>
  </si>
  <si>
    <t xml:space="preserve"> Ateliers de formation de formatrices (800 femmes et filles leaders): 18,000USD: 4
Ateliers de démultiplication auprès des autres organisations informelles de femmes communautaires: 20,000 USD:UNDG Categ 4
Supports de formation: 2000 USD: 2</t>
  </si>
  <si>
    <t>Activite 1.1.4</t>
  </si>
  <si>
    <t xml:space="preserve">Organiser une série de séances de formation sur le leadership féminin, la prise de parole en public, la participation citoyenne et l’égalité de genre pour les jeunes filles ciblées par le projet  </t>
  </si>
  <si>
    <t>Ateliers de formation (frais de facilitation, collation, salle, frais de transport… ): 13,000 USD: 4
Fourniture pedagogique: 2000 USD: 2</t>
  </si>
  <si>
    <t>Activite 1.1.5</t>
  </si>
  <si>
    <t xml:space="preserve">Réalisation d'une cartographie des endroits non-sécuritaires pour les femmes et jeunes filles ou à haut risque de Violence et harcèlement Sexuelle </t>
  </si>
  <si>
    <t>Consultant : 18,000 USD : UNDG Categ : 4 
Ateliers de travail et de validation : 5000 USD : 4
Fourniture pédagogique : 2,000 USD : 2
Appui technique ONUFemmes: 5000 USD: 4</t>
  </si>
  <si>
    <t>Activite 1.1.6</t>
  </si>
  <si>
    <t xml:space="preserve">Conception et mise en œuvre d’une stratégie des acteurs communautaires et forces de la sécurité visant la protection des femmes et des filles dans les espaces publics et dans les zones identifiées comme les moins sécurisees pour les femmes et jeunes filles </t>
  </si>
  <si>
    <t>Consultant : 20,000 USD : UNDG Categ : 4 
Ateliers de travail et de validation : 11,000 USD : 4
Fourniture pédagogique : 4,000 USD : 2
Appui technique ONUFemmes: 10,000 USD: 4
Appui pour la mise en oeuvre de la strategie 35,000 USD: 4</t>
  </si>
  <si>
    <t>Produit total</t>
  </si>
  <si>
    <t>Produit 1.2:</t>
  </si>
  <si>
    <t xml:space="preserve">Les journalistes, les chefs de district/secteurs, Maires, Conseillers communaux, jeunes filles/garçons et forces de sécurité sont conscients du rôle des femmes et jeunes filles dans la prévention et la résolution des conflits </t>
  </si>
  <si>
    <t>Activite 1.2.1</t>
  </si>
  <si>
    <t>Former les acteurs locaux (leaders communautaires, autorités, jeunes) sur le rôle des femmes et jeunes filles leaders dans la prévention et la gestion de conflits</t>
  </si>
  <si>
    <t>Ateliers de formation : 23,000 USD : UNDG Categ 4
Sessions d'echange entre les leaders communautaires  et les femmes: 5000 USD: 4
Supports de formation : 2,000 USD : 2</t>
  </si>
  <si>
    <t>Activite 1.2.2</t>
  </si>
  <si>
    <t>Former les forces de sécurité hommes/femmes (policiers, gendarme, militaire, etc.) sur la prévention et la gestion des conflits, sur leur rôle et celui des femmes leaders communautaires dans ce processus</t>
  </si>
  <si>
    <t>Ateliers de formation : 23,000 USD : UNDG Categ 4
Sessions d'echange entre les forces de securite et les femmes: 5000 USD: 4
Supports de formation : 2,000 USD : 2</t>
  </si>
  <si>
    <t>Activite 1.2.3</t>
  </si>
  <si>
    <t xml:space="preserve">Sensibiliser et outiller les journalistes (radio, TV, presse), les jeunes filles et garçons, sur les techniques de communications, la réalisation de produits médias, sur l’utilisation des réseaux sociaux pour la prévention des conflits et le rôle des femmes leaders communautaires </t>
  </si>
  <si>
    <t>Sessions d’échange avec les journalistes : 17,000 USD : UNDG Categ 4
Supports de formation : 3,000 USD : 2</t>
  </si>
  <si>
    <t>Produit 1.3:</t>
  </si>
  <si>
    <t xml:space="preserve">Les acteurs communautaires (leaders politique et religieux, responsables des médias, la société civile) dialoguent sur la nécessité d’avoir des élections apaisées grâce à la médiation des femmes et jeunes filles leaders communautaires </t>
  </si>
  <si>
    <t>Activite 1.3.1</t>
  </si>
  <si>
    <t xml:space="preserve">Organiser les sessions de dialogue entre les membres des organisations communautaires non formelles de femmes </t>
  </si>
  <si>
    <t>Sessions de dialogue : 35,000 USD : UNDG Categ 4
Supports de formation : 5,000 USD : 2</t>
  </si>
  <si>
    <t>Activite 1.3.2</t>
  </si>
  <si>
    <t xml:space="preserve">Organiser les sessions de dialogue avec les jeunes, les médias de proximité, les leaders communautaires, les collectivités locales sur la nécessité d’avoir les élections apaisées en 2020 et sur le role des femmes dans la prevention et la gestion des conflits </t>
  </si>
  <si>
    <t>Sessions de dialogue : 32,000 USD : UNDG Categ 4
Supports de formation : 3,000 USD : 2</t>
  </si>
  <si>
    <t>Activite 1.3.3</t>
  </si>
  <si>
    <t xml:space="preserve">Organiser les campagnes de sensibilisation de masse sur l’importance de la paix et la cohésion sociale, à travers les SMS, les réseaux sociaux et les maisons de jeunes  </t>
  </si>
  <si>
    <t xml:space="preserve">Agence de communication : 35,000 USD : UNDG Categ 4
Materiels : 10,000 USD: 2
</t>
  </si>
  <si>
    <t>Activite 1.3.4</t>
  </si>
  <si>
    <t xml:space="preserve">Accompagner les jeunes filles et garçons dans la production et la diffusion de vidéo et autres contenus média sur, la prevention et la resolution des conflits, le role des jeunes dans la prevention des conflits et sur le rôle des femmes dans la prévention des conflits et leur résolution </t>
  </si>
  <si>
    <t>Ateliers de formation : 20,000 USD : UNDG Categ 4
Supports de formation 3,000 USD : 2
Matériels (Smartphones, mini camera, outil de montage vidéo…) : 20,000 USD : 2
Réalisation et diffusion/distribution des produits médias 17,000 USD : 4</t>
  </si>
  <si>
    <t>Activite 1.3.5</t>
  </si>
  <si>
    <t xml:space="preserve">Organiser une journée sur la thématique « Tous et toutes pour la paix » (concert, festival, match de football, marche blanche etc…) , incluant des concerts et des foires où les femmes et jeunes pourront entrepreneurs pourront exposer et vendre leurs produits </t>
  </si>
  <si>
    <t>Agence de communication : 40,000 USD : UNDG Categ 4
Materiels : 9,600 USD: 2</t>
  </si>
  <si>
    <t>Produit 1.4:</t>
  </si>
  <si>
    <t>Les organisations féminines non formelles échangent les informations, les expériences et les bonnes pratiques entre elles pour contribuer à la prévention et la résolution des conflits</t>
  </si>
  <si>
    <t>Activite 1.4.1</t>
  </si>
  <si>
    <t>Organiser les sessions d’échange en direction des membres des organisations non formelles de femmes pour le partage des informations, de pratiques et d’expériences en matière de prévention de conflits et de consolidation de la paix</t>
  </si>
  <si>
    <t>Activite 1.4.2</t>
  </si>
  <si>
    <t>Organiser des sessions de plaidoyer auprès des leaders politiques, des organisations ‘formelles’ de femmes et de la société civile, des médias, des institutions républicaines (médiateur national, CENI…) en vue des élections apaisées</t>
  </si>
  <si>
    <t>Sessions de dialogue : 17,000 USD : UNDG Categ 4
Supports de formation : 3,000 USD : 2</t>
  </si>
  <si>
    <t>Cout de personnel du projet si pas inclus dans les activites si-dessus</t>
  </si>
  <si>
    <t>Coûts du personnel de gestion et de mise en œuvre</t>
  </si>
  <si>
    <t xml:space="preserve">2 NOA (Coordonnateur et chargé du Suivi &amp; Evaluation) : 75,000USD UNICEF
1 SB 4 (Chargé de projet PNUD) : 36,000USD 
1 Spécialiste Genre : 45,000 USD (50% du temps)
14 VNU relais communautaires de paix : 105,000 USD 
2 Assistants financiers (GS5 à l’UNICEF : 25,000 SB3 : 21,600 USD au PNUD)
1 Chauffeur 10800 USD
</t>
  </si>
  <si>
    <t>Couts operationnels si pas inclus dans les activites si-dessus</t>
  </si>
  <si>
    <t xml:space="preserve">Couts de fonctionnement, fournitures, materiels de base,frais de carburant, communication, visibilite </t>
  </si>
  <si>
    <t>Fonctionnement carburant, amortissement véhicule, entretien, 10,000 USD UNDG Categ 7
Fournitures et consommables bureau 10,000 USD : 2
Frais généraux de fonctionnement : 33000 USD : 7
Communication et visibilité 10,000 USD : 7 
Ordinateurs portables 12,000 USD: 2</t>
  </si>
  <si>
    <t>Budget de suivi</t>
  </si>
  <si>
    <t>Suivi et évaluation du projet</t>
  </si>
  <si>
    <t>Consultant pour enquetes de perception au debut et la fin du projet: 50,000 USD: UNDG 4
Réunion COPIL / CT: 15000USD: 7
Revue à mi parcours: 10 000USD: 4</t>
  </si>
  <si>
    <t>Budget pour l'évaluation finale indépendante</t>
  </si>
  <si>
    <t>Réalisation d'une évaluation finale indépendante</t>
  </si>
  <si>
    <t>Consultant/Bureau etude 35,000 USD UNDG 4 
Atelier de restitution 5000 USD: 4</t>
  </si>
  <si>
    <t>Coûts supplémentaires total</t>
  </si>
  <si>
    <t>Commentaires</t>
  </si>
  <si>
    <t>Activité 1.1.3.</t>
  </si>
  <si>
    <t>Activité nécessitant l'identification des bénéficiares (en cours)</t>
  </si>
  <si>
    <t>Aucune dépense à ce jour</t>
  </si>
  <si>
    <t>Car les activités devant faire l'objet de dépense non pas           encore commencées</t>
  </si>
  <si>
    <t>Organisation recipiendiaire 1 (budget en USD) UNICEF</t>
  </si>
  <si>
    <t>Organisation recipiendiaire 2 (budget en USD) PNUD</t>
  </si>
  <si>
    <t>Personnel déjà en fonction dont les fonds transfèrés UNICEF : 
Coordonateur du projet
Assistante Télécommunications
Le reste sont des UNV dont les fonds n'ont pas encore été débités (UNV international spécialiste genre et 14 UNV commaunutaires)</t>
  </si>
  <si>
    <t xml:space="preserve">Frais de fonctionnement  (fournitures, carburant, amortissement véhicule, etc) UNICEF 
</t>
  </si>
  <si>
    <t>UNICEF</t>
  </si>
  <si>
    <t>PNUD</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</si>
  <si>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</si>
  <si>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</si>
  <si>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</si>
  <si>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</si>
  <si>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</si>
  <si>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</si>
  <si>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</si>
  <si>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</si>
  <si>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</si>
  <si>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</si>
  <si>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Organisation recipendiaire 1
UNICEF</t>
  </si>
  <si>
    <t>Organisation recipendiaire 2
PNUD</t>
  </si>
  <si>
    <t>CATEGORIES</t>
  </si>
  <si>
    <t>Avances non justifiées</t>
  </si>
  <si>
    <t>SOLDE TOTAL</t>
  </si>
  <si>
    <t>Sous-total</t>
  </si>
  <si>
    <t xml:space="preserve">8. Coûts indirects*  </t>
  </si>
  <si>
    <t xml:space="preserve">TABLEAU AVEC DECAISSEMENT </t>
  </si>
  <si>
    <t>Commitment UNICEF</t>
  </si>
  <si>
    <t xml:space="preserve">Commitment PNUD </t>
  </si>
  <si>
    <t>% de Realisation UNICEF</t>
  </si>
  <si>
    <t>% de realisation PNUD</t>
  </si>
  <si>
    <t>Tableau 2 - Budget de projet PBF par categorie de cout de l'ONU</t>
  </si>
  <si>
    <t>Note: S'il s'agit d'une revision budgetaire, veuillez inclure des colonnes additionnelles pour montrer les changements</t>
  </si>
  <si>
    <t>Taux de décaissement UNICEF</t>
  </si>
  <si>
    <t>Pourcentage du budget pour chaque produit ou activite reserve pour GEWE</t>
  </si>
  <si>
    <t>Taux de décaissement PNUD</t>
  </si>
  <si>
    <t>Décaissement Tranche1 UNICEF</t>
  </si>
  <si>
    <t>BUDGET Tranche1 UNICEF</t>
  </si>
  <si>
    <t>Décaissement Tranche 1 PNUD</t>
  </si>
  <si>
    <t>BUDGET Tranche1 PNUD</t>
  </si>
  <si>
    <t>Niveau de décaissement/ engagement actuel en USD UNICEF</t>
  </si>
  <si>
    <t xml:space="preserve">Niveau de décaissement/engagement actuel USD PNUD </t>
  </si>
  <si>
    <t xml:space="preserve">Activité par encore initiée, prévue pour le première trimestre 2021. 
</t>
  </si>
  <si>
    <t>Activité en cours. Formation des femmes bénéficiaires à se tenir en novembre 2020.</t>
  </si>
  <si>
    <t xml:space="preserve">Activité achevée partiellement, la deuxième phase sera menée par les femmes bénéficiaires.  
Achat du matériel de communication et protection pour les VNU (T-shirts, masques, gel, dispositif de lavage de mains, etc). </t>
  </si>
  <si>
    <t xml:space="preserve">Consultant national expert en production vidéo en cours de selection. </t>
  </si>
  <si>
    <t xml:space="preserve">Etude de base, début du projet achevé. </t>
  </si>
  <si>
    <t xml:space="preserve">Rapport de la cartographie disponible                          La liste des organisations Non formelles de femmes disponibles                          Un repertoire electronique par géolocalisation des femmes identifiées disponible                          TDR de la cartograhie disponible                            </t>
  </si>
  <si>
    <t>La liste des 800 femmes est dejà disponible dont 32% de filles. Cependant, la phase de validation est en cours avec les appels téléphoniques des VNU relais communautaires. Cette activité a été conjointement ménée lors de la formation des 800 femmes/filles</t>
  </si>
  <si>
    <t>Le consultant recruté;       30 journalistes formés dont 40% de femmes/filles ; des modules sur:  le metier de journaliste, les médias et les conflits en période électorale, les VBG;                                  le rapport est en cours de production par le consultants</t>
  </si>
  <si>
    <t>80 Acteurs  locaux dont ( 84 femmes et filles actrices) sont formés sur  la prévention et la gestion des conflits ; le leadership; le PDL; PAI,  la négociation, la médiation et les VBG; le Rapport de formation est disponible</t>
  </si>
  <si>
    <t xml:space="preserve">Couts  indirects </t>
  </si>
  <si>
    <t>Les TDR sont produits,          les 800 femmes formées sur la prévention et la gestion des conflits, le leadership, les VBG;                                           le rapport de formation est en cours de prouction             la liste des femmes bénéficaires disponible;          800 actrices de paix disponibles pour les actions de prévention , gestion et résolution de conflits communauatires dans les 5 communes</t>
  </si>
  <si>
    <t xml:space="preserve">Activité pas encore initiée, prévue pour le première trimestre 2021. 
Consultant international en cours de recrutement. </t>
  </si>
  <si>
    <t>UNICEF: LE CABINET CIVICOM  est dejà recruté;      la note méthologique disponible;                                  le rapport préliminaire disponible; les messages de paix validés. Il reste les animations dans les maisons de jeunesse des 5 communes et l'immersion sur les sites et réseaux de communication de masse et la confection d'autres outils de visibilité du projet</t>
  </si>
  <si>
    <t xml:space="preserve">Activité reportée compte tenu du contexte actuel lié au COVID19. Cependant des discussions sont en cours avec une agence promoteur evenementuel Benedy Record  et Tidane World Music et d'autres organisations de la société civile de Conakry pour une mobilisation sanitairement sécurisée tenant compte du contexte COVID-19  </t>
  </si>
  <si>
    <t xml:space="preserve">Rapport financier de progrès UNICEF/PNUD - Projet d'Appui aux femmes leaders communautaires pour la prévention des éventuels conflits liés
 aux élections législatives et présidentielles de 2020 - Novembre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</si>
</sst>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quot;$&quot;* #,##0.00_);_(&quot;$&quot;* \(#,##0.00\);_(&quot;$&quot;* &quot;-&quot;??_);_(@_)"/>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8"/>
      <name val="Calibri"/>
      <family val="2"/>
      <scheme val="minor"/>
    </font>
    <font>
      <b/>
      <sz val="14"/>
      <color theme="1"/>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b/>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rgb="FF000000"/>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3" fillId="0" borderId="1" xfId="0" applyFont="1" applyBorder="1" applyAlignment="1" applyProtection="1">
      <alignment horizontal="left" vertical="top" wrapText="1"/>
      <protection locked="0"/>
    </xf>
    <xf numFmtId="165" fontId="3" fillId="0" borderId="1" xfId="1" applyFont="1" applyBorder="1" applyAlignment="1" applyProtection="1">
      <alignment horizontal="center" vertical="center" wrapText="1"/>
      <protection locked="0"/>
    </xf>
    <xf numFmtId="165" fontId="3" fillId="2" borderId="1" xfId="1" applyFont="1" applyFill="1" applyBorder="1" applyAlignment="1">
      <alignment horizontal="center" vertical="center" wrapText="1"/>
    </xf>
    <xf numFmtId="9" fontId="3" fillId="0" borderId="1" xfId="2" applyFont="1" applyBorder="1" applyAlignment="1" applyProtection="1">
      <alignment horizontal="center" vertical="center" wrapText="1"/>
      <protection locked="0"/>
    </xf>
    <xf numFmtId="0" fontId="0" fillId="0" borderId="0" xfId="0" applyAlignment="1">
      <alignment wrapText="1"/>
    </xf>
    <xf numFmtId="0" fontId="2" fillId="2" borderId="1" xfId="0" applyFont="1" applyFill="1" applyBorder="1" applyAlignment="1">
      <alignment vertical="center" wrapText="1"/>
    </xf>
    <xf numFmtId="165" fontId="2" fillId="2" borderId="1" xfId="1" applyFont="1" applyFill="1" applyBorder="1" applyAlignment="1">
      <alignment horizontal="center" vertical="center" wrapText="1"/>
    </xf>
    <xf numFmtId="165" fontId="2" fillId="2" borderId="2" xfId="1" applyFont="1" applyFill="1" applyBorder="1" applyAlignment="1">
      <alignment horizontal="center" vertical="center" wrapText="1"/>
    </xf>
    <xf numFmtId="0" fontId="2" fillId="3" borderId="0" xfId="0" applyFont="1" applyFill="1" applyAlignment="1">
      <alignment vertical="center" wrapText="1"/>
    </xf>
    <xf numFmtId="0" fontId="2" fillId="2" borderId="1" xfId="0" applyFont="1" applyFill="1" applyBorder="1" applyAlignment="1">
      <alignment horizontal="center" vertical="top" wrapText="1"/>
    </xf>
    <xf numFmtId="165" fontId="3" fillId="0" borderId="1" xfId="1" applyFont="1" applyBorder="1" applyAlignment="1" applyProtection="1">
      <alignment horizontal="center" vertical="top" wrapText="1"/>
      <protection locked="0"/>
    </xf>
    <xf numFmtId="165" fontId="3" fillId="2" borderId="1" xfId="1" applyFont="1" applyFill="1" applyBorder="1" applyAlignment="1">
      <alignment horizontal="center" vertical="top" wrapText="1"/>
    </xf>
    <xf numFmtId="9" fontId="3" fillId="0" borderId="1" xfId="2" applyFont="1" applyBorder="1" applyAlignment="1" applyProtection="1">
      <alignment horizontal="center" vertical="top" wrapText="1"/>
      <protection locked="0"/>
    </xf>
    <xf numFmtId="0" fontId="2" fillId="2" borderId="4" xfId="0" applyFont="1" applyFill="1" applyBorder="1" applyAlignment="1">
      <alignment horizontal="center" vertical="top" wrapText="1"/>
    </xf>
    <xf numFmtId="0" fontId="3" fillId="2" borderId="4" xfId="0" applyFont="1" applyFill="1" applyBorder="1" applyAlignment="1">
      <alignment horizontal="center" vertical="center" wrapText="1"/>
    </xf>
    <xf numFmtId="49" fontId="3" fillId="0" borderId="4" xfId="1" applyNumberFormat="1" applyFont="1" applyBorder="1" applyAlignment="1" applyProtection="1">
      <alignment horizontal="left" vertical="top" wrapText="1"/>
      <protection locked="0"/>
    </xf>
    <xf numFmtId="49" fontId="3" fillId="0" borderId="4" xfId="1" applyNumberFormat="1" applyFont="1" applyBorder="1" applyAlignment="1" applyProtection="1">
      <alignment horizontal="left" wrapText="1"/>
      <protection locked="0"/>
    </xf>
    <xf numFmtId="49" fontId="3" fillId="3" borderId="4" xfId="1" applyNumberFormat="1" applyFont="1" applyFill="1" applyBorder="1" applyAlignment="1" applyProtection="1">
      <alignment horizontal="left" wrapText="1"/>
      <protection locked="0"/>
    </xf>
    <xf numFmtId="0" fontId="0" fillId="0" borderId="1" xfId="0" applyBorder="1"/>
    <xf numFmtId="0" fontId="0" fillId="0" borderId="1" xfId="0" applyBorder="1" applyAlignment="1">
      <alignment vertical="top"/>
    </xf>
    <xf numFmtId="0" fontId="4"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xf>
    <xf numFmtId="0" fontId="3" fillId="4" borderId="1" xfId="0" applyFont="1" applyFill="1" applyBorder="1" applyAlignment="1">
      <alignment vertical="top" wrapText="1"/>
    </xf>
    <xf numFmtId="0" fontId="2" fillId="2" borderId="1" xfId="0" applyFont="1" applyFill="1" applyBorder="1" applyAlignment="1">
      <alignment vertical="top" wrapText="1"/>
    </xf>
    <xf numFmtId="0" fontId="3" fillId="3" borderId="1" xfId="0" applyFont="1" applyFill="1" applyBorder="1" applyAlignment="1" applyProtection="1">
      <alignment vertical="top" wrapText="1"/>
      <protection locked="0"/>
    </xf>
    <xf numFmtId="165" fontId="3" fillId="0" borderId="1" xfId="1" applyFont="1" applyBorder="1" applyAlignment="1" applyProtection="1">
      <alignment vertical="top" wrapText="1"/>
      <protection locked="0"/>
    </xf>
    <xf numFmtId="165" fontId="3" fillId="2" borderId="1" xfId="1" applyFont="1" applyFill="1" applyBorder="1" applyAlignment="1">
      <alignment vertical="top" wrapText="1"/>
    </xf>
    <xf numFmtId="9" fontId="3" fillId="0" borderId="1" xfId="2" applyFont="1" applyBorder="1" applyAlignment="1" applyProtection="1">
      <alignment vertical="top" wrapText="1"/>
      <protection locked="0"/>
    </xf>
    <xf numFmtId="49" fontId="3" fillId="0" borderId="4"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horizontal="left" vertical="top" wrapText="1"/>
      <protection locked="0"/>
    </xf>
    <xf numFmtId="0" fontId="2" fillId="5" borderId="3" xfId="0" applyFont="1" applyFill="1" applyBorder="1" applyAlignment="1" applyProtection="1">
      <alignment vertical="center" wrapText="1"/>
      <protection locked="0"/>
    </xf>
    <xf numFmtId="165" fontId="2" fillId="5" borderId="3" xfId="1" applyFont="1" applyFill="1" applyBorder="1" applyAlignment="1">
      <alignment vertical="center" wrapText="1"/>
    </xf>
    <xf numFmtId="165" fontId="2" fillId="2" borderId="3" xfId="1" applyFont="1" applyFill="1" applyBorder="1" applyAlignment="1">
      <alignment horizontal="center" vertical="center" wrapText="1"/>
    </xf>
    <xf numFmtId="0" fontId="3" fillId="3" borderId="3" xfId="0" applyFont="1" applyFill="1" applyBorder="1" applyAlignment="1" applyProtection="1">
      <alignment vertical="center" wrapText="1"/>
      <protection locked="0"/>
    </xf>
    <xf numFmtId="0" fontId="0" fillId="0" borderId="1" xfId="0" applyBorder="1" applyAlignment="1">
      <alignment horizontal="left" vertical="top" wrapText="1"/>
    </xf>
    <xf numFmtId="165" fontId="0" fillId="0" borderId="1" xfId="1" applyFont="1" applyBorder="1" applyAlignment="1">
      <alignment horizontal="left" vertical="top" wrapText="1"/>
    </xf>
    <xf numFmtId="165" fontId="0" fillId="7" borderId="0" xfId="1" applyFont="1" applyFill="1"/>
    <xf numFmtId="0" fontId="0" fillId="7" borderId="5" xfId="0" applyFill="1" applyBorder="1" applyAlignment="1">
      <alignment horizontal="center" vertical="top" wrapText="1"/>
    </xf>
    <xf numFmtId="165" fontId="0" fillId="8" borderId="0" xfId="0" applyNumberFormat="1" applyFill="1"/>
    <xf numFmtId="0" fontId="0" fillId="8" borderId="5" xfId="0" applyFill="1" applyBorder="1" applyAlignment="1">
      <alignment horizontal="center" vertical="top" wrapText="1"/>
    </xf>
    <xf numFmtId="0" fontId="3" fillId="0" borderId="0" xfId="0" applyFont="1" applyAlignment="1">
      <alignment wrapText="1"/>
    </xf>
    <xf numFmtId="165" fontId="3" fillId="3" borderId="0" xfId="1" applyFont="1" applyFill="1" applyAlignment="1">
      <alignment vertical="center" wrapText="1"/>
    </xf>
    <xf numFmtId="0" fontId="3" fillId="3" borderId="0" xfId="0" applyFont="1" applyFill="1" applyAlignment="1">
      <alignment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8" xfId="0" applyFont="1" applyFill="1" applyBorder="1" applyAlignment="1" applyProtection="1">
      <alignment vertical="center" wrapText="1"/>
      <protection locked="0"/>
    </xf>
    <xf numFmtId="165" fontId="7" fillId="2" borderId="11" xfId="0" applyNumberFormat="1" applyFont="1" applyFill="1" applyBorder="1" applyAlignment="1">
      <alignment wrapText="1"/>
    </xf>
    <xf numFmtId="165" fontId="7" fillId="2" borderId="12" xfId="0" applyNumberFormat="1" applyFont="1" applyFill="1" applyBorder="1" applyAlignment="1">
      <alignment wrapText="1"/>
    </xf>
    <xf numFmtId="165" fontId="0" fillId="3" borderId="3" xfId="0" applyNumberFormat="1" applyFont="1" applyFill="1" applyBorder="1" applyAlignment="1">
      <alignment wrapText="1"/>
    </xf>
    <xf numFmtId="165" fontId="7" fillId="3" borderId="6" xfId="0" applyNumberFormat="1" applyFont="1" applyFill="1" applyBorder="1" applyAlignment="1">
      <alignment wrapText="1"/>
    </xf>
    <xf numFmtId="165" fontId="0" fillId="3" borderId="1" xfId="0" applyNumberFormat="1" applyFont="1" applyFill="1" applyBorder="1" applyAlignment="1">
      <alignment wrapText="1"/>
    </xf>
    <xf numFmtId="165" fontId="0" fillId="3" borderId="1" xfId="1" applyFont="1" applyFill="1" applyBorder="1" applyAlignment="1">
      <alignment wrapText="1"/>
    </xf>
    <xf numFmtId="165" fontId="0" fillId="3" borderId="9" xfId="0" applyNumberFormat="1" applyFont="1" applyFill="1" applyBorder="1" applyAlignment="1">
      <alignment wrapText="1"/>
    </xf>
    <xf numFmtId="0" fontId="9" fillId="0" borderId="19" xfId="0" applyFont="1" applyBorder="1" applyAlignment="1">
      <alignment vertical="center" wrapText="1"/>
    </xf>
    <xf numFmtId="0" fontId="3" fillId="0" borderId="0" xfId="0" applyFont="1" applyFill="1" applyBorder="1" applyAlignment="1">
      <alignment wrapText="1"/>
    </xf>
    <xf numFmtId="0" fontId="7" fillId="0" borderId="0" xfId="0" applyFont="1" applyFill="1" applyBorder="1" applyAlignment="1">
      <alignment horizontal="center" vertical="center" wrapText="1"/>
    </xf>
    <xf numFmtId="165" fontId="7" fillId="0" borderId="0" xfId="0" applyNumberFormat="1" applyFont="1" applyFill="1" applyBorder="1" applyAlignment="1">
      <alignment wrapText="1"/>
    </xf>
    <xf numFmtId="165" fontId="3" fillId="0" borderId="0" xfId="1" applyFont="1" applyFill="1" applyBorder="1" applyAlignment="1" applyProtection="1">
      <alignment vertical="center" wrapText="1"/>
      <protection locked="0"/>
    </xf>
    <xf numFmtId="165" fontId="0" fillId="0" borderId="0" xfId="0" applyNumberFormat="1" applyFont="1" applyFill="1" applyBorder="1" applyAlignment="1">
      <alignment wrapText="1"/>
    </xf>
    <xf numFmtId="165" fontId="2" fillId="0" borderId="0" xfId="0" applyNumberFormat="1" applyFont="1" applyFill="1" applyBorder="1" applyAlignment="1">
      <alignment vertical="center" wrapText="1"/>
    </xf>
    <xf numFmtId="165" fontId="3" fillId="0" borderId="0" xfId="0" applyNumberFormat="1" applyFont="1" applyFill="1" applyBorder="1" applyAlignment="1">
      <alignment vertical="center" wrapText="1"/>
    </xf>
    <xf numFmtId="165" fontId="0" fillId="3" borderId="10" xfId="0" applyNumberFormat="1" applyFont="1" applyFill="1" applyBorder="1" applyAlignment="1">
      <alignment wrapText="1"/>
    </xf>
    <xf numFmtId="0" fontId="2" fillId="0" borderId="0" xfId="0" applyFont="1"/>
    <xf numFmtId="0" fontId="7" fillId="0" borderId="0" xfId="0" applyFont="1"/>
    <xf numFmtId="9" fontId="7" fillId="7" borderId="1" xfId="2" applyFont="1" applyFill="1" applyBorder="1" applyAlignment="1">
      <alignment horizontal="center" vertical="center"/>
    </xf>
    <xf numFmtId="9" fontId="7" fillId="8" borderId="1" xfId="2" applyFont="1" applyFill="1" applyBorder="1" applyAlignment="1">
      <alignment horizontal="center" vertical="center"/>
    </xf>
    <xf numFmtId="165" fontId="0" fillId="3" borderId="20" xfId="0" applyNumberFormat="1" applyFont="1" applyFill="1" applyBorder="1" applyAlignment="1">
      <alignment wrapText="1"/>
    </xf>
    <xf numFmtId="165" fontId="0" fillId="3" borderId="18" xfId="0" applyNumberFormat="1" applyFont="1" applyFill="1" applyBorder="1" applyAlignment="1">
      <alignment wrapText="1"/>
    </xf>
    <xf numFmtId="165" fontId="0" fillId="3" borderId="18" xfId="1" applyFont="1" applyFill="1" applyBorder="1" applyAlignment="1">
      <alignment wrapText="1"/>
    </xf>
    <xf numFmtId="165" fontId="0" fillId="3" borderId="26" xfId="0" applyNumberFormat="1" applyFont="1" applyFill="1" applyBorder="1" applyAlignment="1">
      <alignment wrapText="1"/>
    </xf>
    <xf numFmtId="165" fontId="7" fillId="2" borderId="25" xfId="0" applyNumberFormat="1" applyFont="1" applyFill="1" applyBorder="1" applyAlignment="1">
      <alignment wrapText="1"/>
    </xf>
    <xf numFmtId="0" fontId="0" fillId="2" borderId="8" xfId="0" applyFont="1" applyFill="1" applyBorder="1" applyAlignment="1">
      <alignment vertical="center" wrapText="1"/>
    </xf>
    <xf numFmtId="0" fontId="7" fillId="2" borderId="14" xfId="0" applyFont="1" applyFill="1" applyBorder="1" applyAlignment="1">
      <alignment wrapText="1"/>
    </xf>
    <xf numFmtId="0" fontId="0" fillId="0" borderId="0" xfId="0" applyAlignment="1">
      <alignment horizontal="center"/>
    </xf>
    <xf numFmtId="0" fontId="7" fillId="2" borderId="0" xfId="0" applyFont="1" applyFill="1" applyBorder="1" applyAlignment="1">
      <alignment horizontal="center" vertical="center" wrapText="1"/>
    </xf>
    <xf numFmtId="165" fontId="7" fillId="3" borderId="0" xfId="0" applyNumberFormat="1" applyFont="1" applyFill="1" applyBorder="1" applyAlignment="1">
      <alignment wrapText="1"/>
    </xf>
    <xf numFmtId="165" fontId="0" fillId="3" borderId="0" xfId="0" applyNumberFormat="1" applyFont="1" applyFill="1" applyBorder="1" applyAlignment="1">
      <alignment wrapText="1"/>
    </xf>
    <xf numFmtId="165" fontId="7" fillId="2" borderId="0" xfId="0" applyNumberFormat="1" applyFont="1" applyFill="1" applyBorder="1" applyAlignment="1">
      <alignment wrapText="1"/>
    </xf>
    <xf numFmtId="0" fontId="3" fillId="0" borderId="0" xfId="0" applyFont="1" applyFill="1" applyBorder="1" applyAlignment="1">
      <alignment horizontal="center" wrapText="1"/>
    </xf>
    <xf numFmtId="165" fontId="3" fillId="0" borderId="0" xfId="1" applyFont="1" applyFill="1" applyBorder="1" applyAlignment="1" applyProtection="1">
      <alignment horizontal="center" vertical="center" wrapText="1"/>
      <protection locked="0"/>
    </xf>
    <xf numFmtId="165" fontId="2" fillId="0" borderId="0" xfId="0" applyNumberFormat="1" applyFont="1" applyFill="1" applyBorder="1" applyAlignment="1">
      <alignment horizontal="center" vertical="center" wrapText="1"/>
    </xf>
    <xf numFmtId="9" fontId="0" fillId="0" borderId="27" xfId="2" applyFont="1" applyBorder="1" applyAlignment="1">
      <alignment horizontal="center"/>
    </xf>
    <xf numFmtId="165" fontId="9" fillId="10" borderId="3" xfId="1" applyFont="1" applyFill="1" applyBorder="1" applyAlignment="1">
      <alignment horizontal="center" wrapText="1"/>
    </xf>
    <xf numFmtId="165" fontId="10" fillId="10" borderId="18" xfId="1" applyFont="1" applyFill="1" applyBorder="1" applyAlignment="1">
      <alignment horizontal="center" wrapText="1"/>
    </xf>
    <xf numFmtId="165" fontId="9" fillId="10" borderId="1" xfId="1" applyFont="1" applyFill="1" applyBorder="1" applyAlignment="1">
      <alignment horizontal="center" wrapText="1"/>
    </xf>
    <xf numFmtId="165" fontId="10" fillId="10" borderId="32" xfId="1" applyFont="1" applyFill="1" applyBorder="1" applyAlignment="1">
      <alignment horizontal="center" wrapText="1"/>
    </xf>
    <xf numFmtId="165" fontId="9" fillId="10" borderId="2" xfId="1" applyFont="1" applyFill="1" applyBorder="1" applyAlignment="1">
      <alignment horizontal="center" wrapText="1"/>
    </xf>
    <xf numFmtId="165" fontId="9" fillId="10" borderId="5" xfId="1" applyFont="1" applyFill="1" applyBorder="1" applyAlignment="1">
      <alignment horizontal="center" wrapText="1"/>
    </xf>
    <xf numFmtId="0" fontId="8" fillId="11" borderId="13" xfId="0" applyFont="1" applyFill="1" applyBorder="1" applyAlignment="1">
      <alignment horizontal="center" vertical="center" wrapText="1"/>
    </xf>
    <xf numFmtId="0" fontId="8" fillId="11" borderId="14" xfId="0" applyFont="1" applyFill="1" applyBorder="1" applyAlignment="1">
      <alignment horizontal="center" vertical="center" wrapText="1"/>
    </xf>
    <xf numFmtId="165" fontId="3" fillId="11" borderId="3" xfId="0" applyNumberFormat="1" applyFont="1" applyFill="1" applyBorder="1" applyAlignment="1">
      <alignment wrapText="1"/>
    </xf>
    <xf numFmtId="165" fontId="9" fillId="11" borderId="3" xfId="1" applyFont="1" applyFill="1" applyBorder="1" applyAlignment="1">
      <alignment horizontal="center" wrapText="1"/>
    </xf>
    <xf numFmtId="165" fontId="10" fillId="11" borderId="3" xfId="1" applyFont="1" applyFill="1" applyBorder="1" applyAlignment="1">
      <alignment horizontal="center" wrapText="1"/>
    </xf>
    <xf numFmtId="165" fontId="9" fillId="11" borderId="1" xfId="1" applyFont="1" applyFill="1" applyBorder="1" applyAlignment="1">
      <alignment horizontal="center" wrapText="1"/>
    </xf>
    <xf numFmtId="165" fontId="3" fillId="11" borderId="1" xfId="0" applyNumberFormat="1" applyFont="1" applyFill="1" applyBorder="1" applyAlignment="1">
      <alignment wrapText="1"/>
    </xf>
    <xf numFmtId="165" fontId="0" fillId="11" borderId="1" xfId="0" applyNumberFormat="1" applyFont="1" applyFill="1" applyBorder="1" applyAlignment="1">
      <alignment wrapText="1"/>
    </xf>
    <xf numFmtId="165" fontId="9" fillId="11" borderId="5" xfId="1" applyFont="1" applyFill="1" applyBorder="1" applyAlignment="1">
      <alignment horizontal="center" wrapText="1"/>
    </xf>
    <xf numFmtId="165" fontId="9" fillId="11" borderId="2" xfId="1" applyFont="1" applyFill="1" applyBorder="1" applyAlignment="1">
      <alignment horizontal="center" wrapText="1"/>
    </xf>
    <xf numFmtId="0" fontId="9" fillId="0" borderId="31" xfId="0" applyFont="1" applyFill="1" applyBorder="1" applyAlignment="1">
      <alignment vertical="center" wrapText="1"/>
    </xf>
    <xf numFmtId="0" fontId="8" fillId="2" borderId="19" xfId="0" applyFont="1" applyFill="1" applyBorder="1" applyAlignment="1">
      <alignment vertical="center" wrapText="1"/>
    </xf>
    <xf numFmtId="165" fontId="8" fillId="2" borderId="35" xfId="1" applyFont="1" applyFill="1" applyBorder="1" applyAlignment="1">
      <alignment horizontal="right" vertical="center" wrapText="1"/>
    </xf>
    <xf numFmtId="9" fontId="7" fillId="2" borderId="27" xfId="2" applyFont="1" applyFill="1" applyBorder="1" applyAlignment="1">
      <alignment horizontal="center"/>
    </xf>
    <xf numFmtId="0" fontId="8" fillId="2" borderId="27" xfId="0" applyFont="1" applyFill="1" applyBorder="1" applyAlignment="1">
      <alignment horizontal="center" vertical="center" wrapText="1"/>
    </xf>
    <xf numFmtId="165" fontId="8" fillId="2" borderId="33" xfId="1" applyFont="1" applyFill="1" applyBorder="1" applyAlignment="1">
      <alignment vertical="center" wrapText="1"/>
    </xf>
    <xf numFmtId="165" fontId="9" fillId="0" borderId="34" xfId="1" applyFont="1" applyFill="1" applyBorder="1" applyAlignment="1">
      <alignment horizontal="right" vertical="center" wrapText="1"/>
    </xf>
    <xf numFmtId="165" fontId="9" fillId="0" borderId="5" xfId="1" applyFont="1" applyFill="1" applyBorder="1" applyAlignment="1">
      <alignment horizontal="center" vertical="center" wrapText="1"/>
    </xf>
    <xf numFmtId="165" fontId="9" fillId="0" borderId="3" xfId="1" applyFont="1" applyFill="1" applyBorder="1" applyAlignment="1">
      <alignment horizontal="center"/>
    </xf>
    <xf numFmtId="0" fontId="9" fillId="0" borderId="36" xfId="0" applyFont="1" applyBorder="1" applyAlignment="1">
      <alignment vertical="center" wrapText="1"/>
    </xf>
    <xf numFmtId="165" fontId="10" fillId="10" borderId="37" xfId="1" applyFont="1" applyFill="1" applyBorder="1" applyAlignment="1">
      <alignment horizontal="center" wrapText="1"/>
    </xf>
    <xf numFmtId="165" fontId="9" fillId="10" borderId="38" xfId="1" applyFont="1" applyFill="1" applyBorder="1" applyAlignment="1">
      <alignment horizontal="center" wrapText="1"/>
    </xf>
    <xf numFmtId="165" fontId="3" fillId="11" borderId="38" xfId="0" applyNumberFormat="1" applyFont="1" applyFill="1" applyBorder="1" applyAlignment="1">
      <alignment wrapText="1"/>
    </xf>
    <xf numFmtId="165" fontId="9" fillId="11" borderId="38" xfId="1" applyFont="1" applyFill="1" applyBorder="1" applyAlignment="1">
      <alignment horizontal="center" wrapText="1"/>
    </xf>
    <xf numFmtId="165" fontId="9" fillId="3" borderId="38" xfId="1" applyFont="1" applyFill="1" applyBorder="1" applyAlignment="1">
      <alignment horizontal="center"/>
    </xf>
    <xf numFmtId="9" fontId="0" fillId="0" borderId="40" xfId="2" applyFont="1" applyBorder="1" applyAlignment="1">
      <alignment horizontal="center"/>
    </xf>
    <xf numFmtId="0" fontId="7" fillId="8" borderId="1" xfId="0" applyFont="1" applyFill="1" applyBorder="1" applyAlignment="1">
      <alignment wrapText="1"/>
    </xf>
    <xf numFmtId="0" fontId="7" fillId="7" borderId="1" xfId="0" applyFont="1" applyFill="1" applyBorder="1" applyAlignment="1">
      <alignment wrapText="1"/>
    </xf>
    <xf numFmtId="165" fontId="0" fillId="0" borderId="0" xfId="0" applyNumberFormat="1"/>
    <xf numFmtId="9" fontId="9" fillId="3" borderId="39" xfId="2" applyFont="1" applyFill="1" applyBorder="1" applyAlignment="1">
      <alignment horizontal="center" vertical="center"/>
    </xf>
    <xf numFmtId="0" fontId="11" fillId="0" borderId="1" xfId="0" applyFont="1" applyBorder="1" applyAlignment="1">
      <alignment vertical="top" wrapText="1"/>
    </xf>
    <xf numFmtId="165" fontId="7" fillId="0" borderId="1" xfId="1" applyFont="1" applyBorder="1" applyAlignment="1">
      <alignment horizontal="left" vertical="top" wrapText="1"/>
    </xf>
    <xf numFmtId="0" fontId="2" fillId="5" borderId="0" xfId="0" applyFont="1" applyFill="1" applyBorder="1" applyAlignment="1" applyProtection="1">
      <alignment vertical="center" wrapText="1"/>
      <protection locked="0"/>
    </xf>
    <xf numFmtId="165" fontId="2" fillId="5" borderId="0" xfId="1" applyFont="1" applyFill="1" applyBorder="1" applyAlignment="1">
      <alignment vertical="center" wrapText="1"/>
    </xf>
    <xf numFmtId="165" fontId="2" fillId="2" borderId="0" xfId="1"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vertical="top" wrapText="1"/>
      <protection locked="0"/>
    </xf>
    <xf numFmtId="164" fontId="0" fillId="0" borderId="0" xfId="0" applyNumberFormat="1"/>
    <xf numFmtId="2" fontId="4" fillId="0" borderId="1" xfId="0" applyNumberFormat="1" applyFont="1" applyBorder="1" applyAlignment="1">
      <alignment vertical="top" wrapText="1"/>
    </xf>
    <xf numFmtId="2" fontId="11" fillId="0" borderId="1" xfId="0" applyNumberFormat="1" applyFont="1" applyBorder="1" applyAlignment="1">
      <alignment vertical="top" wrapText="1"/>
    </xf>
    <xf numFmtId="0" fontId="6" fillId="6" borderId="0" xfId="0" applyFont="1" applyFill="1" applyAlignment="1">
      <alignment horizontal="center" vertical="top" wrapText="1"/>
    </xf>
    <xf numFmtId="165" fontId="7" fillId="2" borderId="24" xfId="1" applyFont="1" applyFill="1" applyBorder="1" applyAlignment="1">
      <alignment horizontal="center" vertical="center" wrapText="1"/>
    </xf>
    <xf numFmtId="165" fontId="7" fillId="2" borderId="25" xfId="1" applyFont="1" applyFill="1" applyBorder="1" applyAlignment="1">
      <alignment horizontal="center" vertical="center" wrapText="1"/>
    </xf>
    <xf numFmtId="165" fontId="7" fillId="2" borderId="22" xfId="1" applyFont="1" applyFill="1" applyBorder="1" applyAlignment="1">
      <alignment horizontal="center" vertical="center" wrapText="1"/>
    </xf>
    <xf numFmtId="165" fontId="7" fillId="2" borderId="11" xfId="1" applyFont="1" applyFill="1" applyBorder="1" applyAlignment="1">
      <alignment horizontal="center" vertical="center" wrapText="1"/>
    </xf>
    <xf numFmtId="0" fontId="7" fillId="2" borderId="13" xfId="0" applyFont="1" applyFill="1" applyBorder="1" applyAlignment="1">
      <alignment horizontal="center" wrapText="1"/>
    </xf>
    <xf numFmtId="0" fontId="7" fillId="2" borderId="14" xfId="0" applyFont="1" applyFill="1" applyBorder="1" applyAlignment="1">
      <alignment horizontal="center" wrapText="1"/>
    </xf>
    <xf numFmtId="0" fontId="7" fillId="2" borderId="2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2" fillId="9" borderId="28" xfId="0" applyFont="1" applyFill="1" applyBorder="1" applyAlignment="1">
      <alignment horizontal="center"/>
    </xf>
    <xf numFmtId="0" fontId="2" fillId="9" borderId="29" xfId="0" applyFont="1" applyFill="1" applyBorder="1" applyAlignment="1">
      <alignment horizontal="center"/>
    </xf>
    <xf numFmtId="0" fontId="2" fillId="9" borderId="30" xfId="0" applyFont="1" applyFill="1" applyBorder="1" applyAlignment="1">
      <alignment horizont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40"/>
  <sheetViews>
    <sheetView tabSelected="1" zoomScale="110" zoomScaleNormal="110" workbookViewId="0">
      <selection activeCell="A2" sqref="A2:K2"/>
    </sheetView>
  </sheetViews>
  <sheetFormatPr baseColWidth="10" defaultColWidth="9.1796875" defaultRowHeight="14.5" x14ac:dyDescent="0.35"/>
  <cols>
    <col min="1" max="1" width="1.453125" customWidth="1"/>
    <col min="2" max="2" width="43" customWidth="1"/>
    <col min="3" max="3" width="18.26953125" customWidth="1"/>
    <col min="4" max="4" width="14.7265625" customWidth="1"/>
    <col min="5" max="7" width="14.1796875" customWidth="1"/>
    <col min="8" max="8" width="16.1796875" customWidth="1"/>
    <col min="9" max="9" width="12.7265625" customWidth="1"/>
    <col min="10" max="10" width="14.7265625" bestFit="1" customWidth="1"/>
    <col min="11" max="11" width="16.453125" customWidth="1"/>
    <col min="12" max="12" width="14.453125" style="80" customWidth="1"/>
  </cols>
  <sheetData>
    <row r="2" spans="1:14" ht="37.5" customHeight="1" x14ac:dyDescent="0.35">
      <c r="A2" s="135" t="s">
        <v>133</v>
      </c>
      <c r="B2" s="135"/>
      <c r="C2" s="135"/>
      <c r="D2" s="135"/>
      <c r="E2" s="135"/>
      <c r="F2" s="135"/>
      <c r="G2" s="135"/>
      <c r="H2" s="135"/>
      <c r="I2" s="135"/>
      <c r="J2" s="135"/>
      <c r="K2" s="135"/>
    </row>
    <row r="4" spans="1:14" ht="15.5" x14ac:dyDescent="0.35">
      <c r="A4" s="69" t="s">
        <v>108</v>
      </c>
      <c r="B4" s="69"/>
      <c r="C4" s="69"/>
      <c r="D4" s="69"/>
    </row>
    <row r="5" spans="1:14" x14ac:dyDescent="0.35">
      <c r="A5" s="70"/>
      <c r="B5" s="70"/>
      <c r="C5" s="70"/>
      <c r="D5" s="70"/>
    </row>
    <row r="6" spans="1:14" x14ac:dyDescent="0.35">
      <c r="A6" s="70" t="s">
        <v>109</v>
      </c>
      <c r="B6" s="70"/>
      <c r="C6" s="70"/>
      <c r="D6" s="70"/>
    </row>
    <row r="7" spans="1:14" s="47" customFormat="1" ht="19.5" customHeight="1" thickBot="1" x14ac:dyDescent="0.4">
      <c r="A7" s="70"/>
      <c r="B7" s="70"/>
      <c r="C7" s="70"/>
      <c r="D7" s="70"/>
      <c r="E7"/>
      <c r="F7"/>
      <c r="G7"/>
      <c r="H7"/>
      <c r="I7"/>
      <c r="J7"/>
      <c r="K7"/>
      <c r="L7" s="85"/>
      <c r="M7" s="61"/>
    </row>
    <row r="8" spans="1:14" s="47" customFormat="1" ht="19.5" customHeight="1" x14ac:dyDescent="0.35">
      <c r="B8" s="140" t="s">
        <v>98</v>
      </c>
      <c r="C8" s="136" t="s">
        <v>96</v>
      </c>
      <c r="D8" s="138" t="s">
        <v>97</v>
      </c>
      <c r="E8" s="142" t="s">
        <v>95</v>
      </c>
      <c r="F8" s="81"/>
      <c r="G8" s="81"/>
      <c r="H8" s="62"/>
      <c r="I8" s="61"/>
      <c r="J8" s="61"/>
      <c r="K8" s="61"/>
      <c r="L8" s="85"/>
      <c r="M8" s="61"/>
    </row>
    <row r="9" spans="1:14" s="47" customFormat="1" ht="20.25" customHeight="1" thickBot="1" x14ac:dyDescent="0.4">
      <c r="B9" s="141"/>
      <c r="C9" s="137"/>
      <c r="D9" s="139"/>
      <c r="E9" s="143"/>
      <c r="F9" s="81"/>
      <c r="G9" s="81"/>
      <c r="H9" s="62"/>
      <c r="I9" s="61"/>
      <c r="J9" s="61"/>
      <c r="K9" s="61"/>
      <c r="L9" s="85"/>
      <c r="M9" s="61"/>
    </row>
    <row r="10" spans="1:14" s="47" customFormat="1" ht="35.25" customHeight="1" x14ac:dyDescent="0.35">
      <c r="B10" s="50" t="s">
        <v>86</v>
      </c>
      <c r="C10" s="73">
        <v>250000</v>
      </c>
      <c r="D10" s="55">
        <v>78400</v>
      </c>
      <c r="E10" s="56">
        <f t="shared" ref="E10:E17" si="0">C10+D10</f>
        <v>328400</v>
      </c>
      <c r="F10" s="82"/>
      <c r="G10" s="82"/>
      <c r="H10" s="63"/>
      <c r="I10" s="61"/>
      <c r="J10" s="61"/>
      <c r="K10" s="61"/>
      <c r="L10" s="85"/>
      <c r="M10" s="61"/>
    </row>
    <row r="11" spans="1:14" s="47" customFormat="1" ht="45" customHeight="1" x14ac:dyDescent="0.35">
      <c r="B11" s="51" t="s">
        <v>87</v>
      </c>
      <c r="C11" s="73">
        <v>74000</v>
      </c>
      <c r="D11" s="55">
        <v>43600</v>
      </c>
      <c r="E11" s="56">
        <f t="shared" si="0"/>
        <v>117600</v>
      </c>
      <c r="F11" s="82"/>
      <c r="G11" s="82"/>
      <c r="H11" s="63"/>
      <c r="I11" s="61"/>
      <c r="J11" s="61"/>
      <c r="K11" s="61"/>
      <c r="L11" s="85"/>
      <c r="M11" s="61"/>
    </row>
    <row r="12" spans="1:14" s="47" customFormat="1" ht="48" customHeight="1" x14ac:dyDescent="0.35">
      <c r="B12" s="51" t="s">
        <v>88</v>
      </c>
      <c r="C12" s="73">
        <v>0</v>
      </c>
      <c r="D12" s="55"/>
      <c r="E12" s="56">
        <f t="shared" si="0"/>
        <v>0</v>
      </c>
      <c r="F12" s="82"/>
      <c r="G12" s="82"/>
      <c r="H12" s="63"/>
      <c r="I12" s="61"/>
      <c r="J12" s="61"/>
      <c r="K12" s="61"/>
      <c r="L12" s="85"/>
      <c r="M12" s="61"/>
    </row>
    <row r="13" spans="1:14" s="47" customFormat="1" ht="21" customHeight="1" x14ac:dyDescent="0.35">
      <c r="B13" s="52" t="s">
        <v>89</v>
      </c>
      <c r="C13" s="73">
        <v>406000</v>
      </c>
      <c r="D13" s="55">
        <v>184000</v>
      </c>
      <c r="E13" s="56">
        <f t="shared" si="0"/>
        <v>590000</v>
      </c>
      <c r="F13" s="82"/>
      <c r="G13" s="82"/>
      <c r="H13" s="63"/>
      <c r="I13" s="61"/>
      <c r="J13" s="61"/>
      <c r="K13" s="61"/>
      <c r="L13" s="86"/>
      <c r="M13" s="64"/>
      <c r="N13" s="48"/>
    </row>
    <row r="14" spans="1:14" s="47" customFormat="1" ht="39.75" customHeight="1" x14ac:dyDescent="0.35">
      <c r="B14" s="51" t="s">
        <v>90</v>
      </c>
      <c r="C14" s="73">
        <v>0</v>
      </c>
      <c r="D14" s="55">
        <v>0</v>
      </c>
      <c r="E14" s="56">
        <f t="shared" si="0"/>
        <v>0</v>
      </c>
      <c r="F14" s="82"/>
      <c r="G14" s="82"/>
      <c r="H14" s="63"/>
      <c r="I14" s="64"/>
      <c r="J14" s="64"/>
      <c r="K14" s="64"/>
      <c r="L14" s="86"/>
      <c r="M14" s="64"/>
      <c r="N14" s="48"/>
    </row>
    <row r="15" spans="1:14" s="47" customFormat="1" ht="46.5" customHeight="1" x14ac:dyDescent="0.35">
      <c r="B15" s="51" t="s">
        <v>91</v>
      </c>
      <c r="C15" s="73">
        <v>0</v>
      </c>
      <c r="D15" s="55">
        <v>0</v>
      </c>
      <c r="E15" s="56">
        <f t="shared" si="0"/>
        <v>0</v>
      </c>
      <c r="F15" s="82"/>
      <c r="G15" s="82"/>
      <c r="H15" s="63"/>
      <c r="I15" s="64"/>
      <c r="J15" s="64"/>
      <c r="K15" s="64"/>
      <c r="L15" s="86"/>
      <c r="M15" s="64"/>
      <c r="N15" s="48"/>
    </row>
    <row r="16" spans="1:14" s="47" customFormat="1" ht="50.25" customHeight="1" x14ac:dyDescent="0.35">
      <c r="B16" s="51" t="s">
        <v>92</v>
      </c>
      <c r="C16" s="74">
        <v>23000</v>
      </c>
      <c r="D16" s="57">
        <v>11000</v>
      </c>
      <c r="E16" s="56">
        <f t="shared" si="0"/>
        <v>34000</v>
      </c>
      <c r="F16" s="82"/>
      <c r="G16" s="82"/>
      <c r="H16" s="63"/>
      <c r="I16" s="64"/>
      <c r="J16" s="64"/>
      <c r="K16" s="64"/>
      <c r="L16" s="86"/>
      <c r="M16" s="64"/>
      <c r="N16" s="48"/>
    </row>
    <row r="17" spans="1:14" s="47" customFormat="1" ht="26.25" customHeight="1" x14ac:dyDescent="0.35">
      <c r="B17" s="78" t="s">
        <v>93</v>
      </c>
      <c r="C17" s="75">
        <f>SUM(C10:C16)</f>
        <v>753000</v>
      </c>
      <c r="D17" s="58">
        <f>SUM(D10:D16)</f>
        <v>317000</v>
      </c>
      <c r="E17" s="56">
        <f t="shared" si="0"/>
        <v>1070000</v>
      </c>
      <c r="F17" s="82"/>
      <c r="G17" s="82"/>
      <c r="H17" s="63"/>
      <c r="I17" s="64"/>
      <c r="J17" s="64"/>
      <c r="K17" s="64"/>
      <c r="L17" s="87"/>
      <c r="M17" s="67"/>
      <c r="N17" s="49"/>
    </row>
    <row r="18" spans="1:14" s="47" customFormat="1" ht="23.25" customHeight="1" thickBot="1" x14ac:dyDescent="0.4">
      <c r="B18" s="78" t="s">
        <v>94</v>
      </c>
      <c r="C18" s="76">
        <f>C17/100*7</f>
        <v>52710</v>
      </c>
      <c r="D18" s="59">
        <f>D17/100*7</f>
        <v>22190</v>
      </c>
      <c r="E18" s="68">
        <f>E17/100*7</f>
        <v>74900</v>
      </c>
      <c r="F18" s="83"/>
      <c r="G18" s="83"/>
      <c r="H18" s="65"/>
      <c r="I18" s="66"/>
      <c r="J18" s="66"/>
      <c r="K18" s="66"/>
      <c r="L18" s="87"/>
      <c r="M18" s="67"/>
      <c r="N18" s="49"/>
    </row>
    <row r="19" spans="1:14" ht="16" thickBot="1" x14ac:dyDescent="0.4">
      <c r="A19" s="47"/>
      <c r="B19" s="79" t="s">
        <v>95</v>
      </c>
      <c r="C19" s="77">
        <f>C17+C18</f>
        <v>805710</v>
      </c>
      <c r="D19" s="53">
        <f>D17+D18</f>
        <v>339190</v>
      </c>
      <c r="E19" s="54">
        <f>E17+E18</f>
        <v>1144900</v>
      </c>
      <c r="F19" s="84"/>
      <c r="G19" s="84"/>
      <c r="H19" s="63"/>
      <c r="I19" s="66"/>
      <c r="J19" s="66"/>
      <c r="K19" s="66"/>
    </row>
    <row r="23" spans="1:14" ht="15" thickBot="1" x14ac:dyDescent="0.4"/>
    <row r="24" spans="1:14" ht="16.149999999999999" customHeight="1" thickBot="1" x14ac:dyDescent="0.4">
      <c r="B24" s="144" t="s">
        <v>103</v>
      </c>
      <c r="C24" s="145"/>
      <c r="D24" s="145"/>
      <c r="E24" s="145"/>
      <c r="F24" s="145"/>
      <c r="G24" s="145"/>
      <c r="H24" s="145"/>
      <c r="I24" s="145"/>
      <c r="J24" s="145"/>
      <c r="K24" s="145"/>
      <c r="L24" s="146"/>
    </row>
    <row r="25" spans="1:14" ht="43.9" customHeight="1" x14ac:dyDescent="0.35">
      <c r="B25" s="147" t="s">
        <v>98</v>
      </c>
      <c r="C25" s="153" t="s">
        <v>114</v>
      </c>
      <c r="D25" s="155" t="s">
        <v>113</v>
      </c>
      <c r="E25" s="155" t="s">
        <v>104</v>
      </c>
      <c r="F25" s="149" t="s">
        <v>116</v>
      </c>
      <c r="G25" s="151" t="s">
        <v>115</v>
      </c>
      <c r="H25" s="151" t="s">
        <v>105</v>
      </c>
      <c r="I25" s="95" t="s">
        <v>99</v>
      </c>
      <c r="J25" s="147" t="s">
        <v>100</v>
      </c>
      <c r="K25" s="157" t="s">
        <v>106</v>
      </c>
      <c r="L25" s="147" t="s">
        <v>107</v>
      </c>
    </row>
    <row r="26" spans="1:14" ht="15" thickBot="1" x14ac:dyDescent="0.4">
      <c r="B26" s="148"/>
      <c r="C26" s="154"/>
      <c r="D26" s="156"/>
      <c r="E26" s="156"/>
      <c r="F26" s="150"/>
      <c r="G26" s="152"/>
      <c r="H26" s="152"/>
      <c r="I26" s="96"/>
      <c r="J26" s="148"/>
      <c r="K26" s="158"/>
      <c r="L26" s="148"/>
    </row>
    <row r="27" spans="1:14" ht="16" thickBot="1" x14ac:dyDescent="0.4">
      <c r="B27" s="114" t="s">
        <v>86</v>
      </c>
      <c r="C27" s="115">
        <v>143000</v>
      </c>
      <c r="D27" s="116">
        <v>56498.64</v>
      </c>
      <c r="E27" s="116">
        <v>0</v>
      </c>
      <c r="F27" s="117">
        <f>78400*70%</f>
        <v>54880</v>
      </c>
      <c r="G27" s="118">
        <v>0</v>
      </c>
      <c r="H27" s="118">
        <v>0</v>
      </c>
      <c r="I27" s="118"/>
      <c r="J27" s="119">
        <f>(C27+F27)-(D27+E27+G27+H27)</f>
        <v>141381.35999999999</v>
      </c>
      <c r="K27" s="124">
        <f>(D27+E27)/C27</f>
        <v>0.39509538461538463</v>
      </c>
      <c r="L27" s="120">
        <f>(H27+G27)/F27</f>
        <v>0</v>
      </c>
    </row>
    <row r="28" spans="1:14" ht="16" thickBot="1" x14ac:dyDescent="0.4">
      <c r="B28" s="60" t="s">
        <v>87</v>
      </c>
      <c r="C28" s="90">
        <v>50000</v>
      </c>
      <c r="D28" s="91">
        <v>18332.349999999999</v>
      </c>
      <c r="E28" s="89">
        <v>0</v>
      </c>
      <c r="F28" s="97">
        <f>43600*70%</f>
        <v>30519.999999999996</v>
      </c>
      <c r="G28" s="99">
        <v>177.03</v>
      </c>
      <c r="H28" s="98">
        <v>0</v>
      </c>
      <c r="I28" s="100"/>
      <c r="J28" s="119">
        <f t="shared" ref="J28:J33" si="1">(C28+F28)-(D28+E28+G28+H28)</f>
        <v>62010.62</v>
      </c>
      <c r="K28" s="124">
        <f t="shared" ref="K28:K36" si="2">(D28+E28)/C28</f>
        <v>0.36664699999999995</v>
      </c>
      <c r="L28" s="120">
        <f t="shared" ref="L28:L33" si="3">(H28+G28)/F28</f>
        <v>5.800458715596331E-3</v>
      </c>
    </row>
    <row r="29" spans="1:14" ht="29.5" thickBot="1" x14ac:dyDescent="0.4">
      <c r="B29" s="60" t="s">
        <v>88</v>
      </c>
      <c r="C29" s="90">
        <v>0</v>
      </c>
      <c r="D29" s="91"/>
      <c r="E29" s="89">
        <v>0</v>
      </c>
      <c r="F29" s="97">
        <v>0</v>
      </c>
      <c r="G29" s="98">
        <v>5392.49</v>
      </c>
      <c r="H29" s="98">
        <v>0</v>
      </c>
      <c r="I29" s="100"/>
      <c r="J29" s="119">
        <f t="shared" si="1"/>
        <v>-5392.49</v>
      </c>
      <c r="K29" s="124">
        <v>0</v>
      </c>
      <c r="L29" s="120">
        <v>0</v>
      </c>
    </row>
    <row r="30" spans="1:14" ht="16" thickBot="1" x14ac:dyDescent="0.4">
      <c r="B30" s="60" t="s">
        <v>89</v>
      </c>
      <c r="C30" s="90">
        <v>250000</v>
      </c>
      <c r="D30" s="91">
        <v>22424.799999999999</v>
      </c>
      <c r="E30" s="89">
        <v>7257.87</v>
      </c>
      <c r="F30" s="97">
        <f>184000*70%</f>
        <v>128799.99999999999</v>
      </c>
      <c r="G30" s="98">
        <v>120963.83</v>
      </c>
      <c r="H30" s="98">
        <v>0</v>
      </c>
      <c r="I30" s="100"/>
      <c r="J30" s="119">
        <f t="shared" si="1"/>
        <v>228153.5</v>
      </c>
      <c r="K30" s="124">
        <f t="shared" si="2"/>
        <v>0.11873067999999999</v>
      </c>
      <c r="L30" s="120">
        <f t="shared" si="3"/>
        <v>0.93916017080745351</v>
      </c>
    </row>
    <row r="31" spans="1:14" ht="16" thickBot="1" x14ac:dyDescent="0.4">
      <c r="B31" s="60" t="s">
        <v>90</v>
      </c>
      <c r="C31" s="90">
        <v>0</v>
      </c>
      <c r="D31" s="91">
        <v>617.62</v>
      </c>
      <c r="E31" s="89">
        <v>169.4</v>
      </c>
      <c r="F31" s="97">
        <v>0</v>
      </c>
      <c r="G31" s="98">
        <v>9963.2099999999991</v>
      </c>
      <c r="H31" s="98">
        <v>0</v>
      </c>
      <c r="I31" s="100"/>
      <c r="J31" s="119">
        <f t="shared" si="1"/>
        <v>-10750.23</v>
      </c>
      <c r="K31" s="124">
        <v>0</v>
      </c>
      <c r="L31" s="120">
        <v>0</v>
      </c>
    </row>
    <row r="32" spans="1:14" ht="16" thickBot="1" x14ac:dyDescent="0.4">
      <c r="B32" s="60" t="s">
        <v>91</v>
      </c>
      <c r="C32" s="90">
        <v>0</v>
      </c>
      <c r="D32" s="91"/>
      <c r="E32" s="89">
        <v>0</v>
      </c>
      <c r="F32" s="101">
        <v>0</v>
      </c>
      <c r="G32" s="98">
        <v>0</v>
      </c>
      <c r="H32" s="98">
        <v>0</v>
      </c>
      <c r="I32" s="100"/>
      <c r="J32" s="119">
        <f t="shared" si="1"/>
        <v>0</v>
      </c>
      <c r="K32" s="124">
        <v>0</v>
      </c>
      <c r="L32" s="120">
        <v>0</v>
      </c>
    </row>
    <row r="33" spans="2:12" ht="29.5" thickBot="1" x14ac:dyDescent="0.4">
      <c r="B33" s="60" t="s">
        <v>92</v>
      </c>
      <c r="C33" s="92">
        <v>40000</v>
      </c>
      <c r="D33" s="93">
        <v>19343.29</v>
      </c>
      <c r="E33" s="94">
        <v>6940.69</v>
      </c>
      <c r="F33" s="102">
        <v>7700</v>
      </c>
      <c r="G33" s="103">
        <v>2499.7800000000002</v>
      </c>
      <c r="H33" s="103">
        <v>0</v>
      </c>
      <c r="I33" s="104"/>
      <c r="J33" s="119">
        <f t="shared" si="1"/>
        <v>18916.240000000002</v>
      </c>
      <c r="K33" s="124">
        <f t="shared" si="2"/>
        <v>0.65709949999999995</v>
      </c>
      <c r="L33" s="120">
        <f t="shared" si="3"/>
        <v>0.32464675324675329</v>
      </c>
    </row>
    <row r="34" spans="2:12" ht="15" thickBot="1" x14ac:dyDescent="0.4">
      <c r="B34" s="106" t="s">
        <v>101</v>
      </c>
      <c r="C34" s="107">
        <f>SUM(C27:C33)</f>
        <v>483000</v>
      </c>
      <c r="D34" s="107">
        <f t="shared" ref="D34:I34" si="4">SUM(D27:D33)</f>
        <v>117216.69999999998</v>
      </c>
      <c r="E34" s="107">
        <f t="shared" si="4"/>
        <v>14367.96</v>
      </c>
      <c r="F34" s="107">
        <f t="shared" si="4"/>
        <v>221900</v>
      </c>
      <c r="G34" s="107">
        <f>SUM(G27:G33)</f>
        <v>138996.34</v>
      </c>
      <c r="H34" s="107">
        <f t="shared" si="4"/>
        <v>0</v>
      </c>
      <c r="I34" s="107">
        <f t="shared" si="4"/>
        <v>0</v>
      </c>
      <c r="J34" s="107">
        <f>SUM(J27:J33)</f>
        <v>434319</v>
      </c>
      <c r="K34" s="124">
        <f t="shared" si="2"/>
        <v>0.27243200828157343</v>
      </c>
      <c r="L34" s="108">
        <f>(H34+G34)/F34</f>
        <v>0.62639179810725554</v>
      </c>
    </row>
    <row r="35" spans="2:12" ht="15" thickBot="1" x14ac:dyDescent="0.4">
      <c r="B35" s="105" t="s">
        <v>102</v>
      </c>
      <c r="C35" s="111">
        <f>C34*0.07</f>
        <v>33810</v>
      </c>
      <c r="D35" s="112">
        <v>8205.17</v>
      </c>
      <c r="E35" s="111">
        <f>C35-D35</f>
        <v>25604.83</v>
      </c>
      <c r="F35" s="111">
        <f>F34*0.07</f>
        <v>15533.000000000002</v>
      </c>
      <c r="G35" s="111">
        <v>5289.32</v>
      </c>
      <c r="H35" s="111">
        <f t="shared" ref="H35:I35" si="5">H34*0.07</f>
        <v>0</v>
      </c>
      <c r="I35" s="111">
        <f t="shared" si="5"/>
        <v>0</v>
      </c>
      <c r="J35" s="113">
        <f>(C35+F35)-(D35+E35+G35+H35)</f>
        <v>10243.68</v>
      </c>
      <c r="K35" s="124">
        <f t="shared" si="2"/>
        <v>1</v>
      </c>
      <c r="L35" s="88">
        <f t="shared" ref="L35" si="6">(H35+G35)/F35</f>
        <v>0.34052147041782005</v>
      </c>
    </row>
    <row r="36" spans="2:12" ht="15" thickBot="1" x14ac:dyDescent="0.4">
      <c r="B36" s="109" t="s">
        <v>95</v>
      </c>
      <c r="C36" s="110">
        <f>C34+C35</f>
        <v>516810</v>
      </c>
      <c r="D36" s="110">
        <f>D34+D35</f>
        <v>125421.86999999998</v>
      </c>
      <c r="E36" s="110">
        <f>E34+E35</f>
        <v>39972.79</v>
      </c>
      <c r="F36" s="110">
        <f>F34+F35</f>
        <v>237433</v>
      </c>
      <c r="G36" s="110">
        <f t="shared" ref="G36:I36" si="7">G34+G35</f>
        <v>144285.66</v>
      </c>
      <c r="H36" s="110">
        <f t="shared" si="7"/>
        <v>0</v>
      </c>
      <c r="I36" s="110">
        <f t="shared" si="7"/>
        <v>0</v>
      </c>
      <c r="J36" s="110">
        <f>SUM(J34:J35)</f>
        <v>444562.68</v>
      </c>
      <c r="K36" s="124">
        <f t="shared" si="2"/>
        <v>0.32002991428184435</v>
      </c>
      <c r="L36" s="108">
        <f>(H36+G36)/F36</f>
        <v>0.6076900009686943</v>
      </c>
    </row>
    <row r="37" spans="2:12" x14ac:dyDescent="0.35">
      <c r="J37" s="123">
        <f>(C36+F36)-(D36+E36+G36+H36)</f>
        <v>444562.68000000005</v>
      </c>
    </row>
    <row r="39" spans="2:12" ht="43.5" x14ac:dyDescent="0.35">
      <c r="C39" s="121" t="s">
        <v>110</v>
      </c>
      <c r="D39" s="72">
        <f>K36</f>
        <v>0.32002991428184435</v>
      </c>
    </row>
    <row r="40" spans="2:12" ht="29" x14ac:dyDescent="0.35">
      <c r="C40" s="122" t="s">
        <v>112</v>
      </c>
      <c r="D40" s="71">
        <f>L36</f>
        <v>0.6076900009686943</v>
      </c>
    </row>
  </sheetData>
  <mergeCells count="16">
    <mergeCell ref="B24:L24"/>
    <mergeCell ref="L25:L26"/>
    <mergeCell ref="F25:F26"/>
    <mergeCell ref="G25:G26"/>
    <mergeCell ref="B25:B26"/>
    <mergeCell ref="C25:C26"/>
    <mergeCell ref="D25:D26"/>
    <mergeCell ref="J25:J26"/>
    <mergeCell ref="K25:K26"/>
    <mergeCell ref="E25:E26"/>
    <mergeCell ref="H25:H26"/>
    <mergeCell ref="A2:K2"/>
    <mergeCell ref="C8:C9"/>
    <mergeCell ref="D8:D9"/>
    <mergeCell ref="B8:B9"/>
    <mergeCell ref="E8:E9"/>
  </mergeCells>
  <dataValidations count="7">
    <dataValidation allowBlank="1" showInputMessage="1" showErrorMessage="1" prompt="Includes all related staff and temporary staff costs including base salary, post adjustment and all staff entitlements." sqref="B10" xr:uid="{00000000-0002-0000-00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1" xr:uid="{00000000-0002-0000-00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2" xr:uid="{00000000-0002-0000-0000-000002000000}"/>
    <dataValidation allowBlank="1" showInputMessage="1" showErrorMessage="1" prompt="Includes staff and non-staff travel paid for by the organization directly related to a project." sqref="B14" xr:uid="{00000000-0002-0000-0000-000003000000}"/>
    <dataValidation allowBlank="1" showInputMessage="1" showErrorMessage="1" prompt="Services contracted by an organization which follow the normal procurement processes." sqref="B13" xr:uid="{00000000-0002-0000-00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5" xr:uid="{00000000-0002-0000-0000-000005000000}"/>
    <dataValidation allowBlank="1" showInputMessage="1" showErrorMessage="1" prompt=" Includes all general operating costs for running an office. Examples include telecommunication, rents, finance charges and other costs which cannot be mapped to other expense categories." sqref="B16" xr:uid="{00000000-0002-0000-0000-000006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1"/>
  <sheetViews>
    <sheetView topLeftCell="C22" zoomScale="80" zoomScaleNormal="80" workbookViewId="0">
      <selection activeCell="K38" sqref="K38"/>
    </sheetView>
  </sheetViews>
  <sheetFormatPr baseColWidth="10" defaultColWidth="9.1796875" defaultRowHeight="14.5" x14ac:dyDescent="0.35"/>
  <cols>
    <col min="2" max="2" width="18" customWidth="1"/>
    <col min="3" max="3" width="25.26953125" customWidth="1"/>
    <col min="4" max="4" width="15.1796875" customWidth="1"/>
    <col min="5" max="5" width="16.26953125" customWidth="1"/>
    <col min="6" max="6" width="13" customWidth="1"/>
    <col min="7" max="7" width="16" customWidth="1"/>
    <col min="8" max="8" width="24.26953125" customWidth="1"/>
    <col min="9" max="9" width="24.1796875" customWidth="1"/>
    <col min="10" max="11" width="20.54296875" customWidth="1"/>
    <col min="12" max="12" width="25.26953125" customWidth="1"/>
  </cols>
  <sheetData>
    <row r="2" spans="2:12" ht="24" customHeight="1" x14ac:dyDescent="0.35"/>
    <row r="3" spans="2:12" ht="62" x14ac:dyDescent="0.35">
      <c r="B3" s="15" t="s">
        <v>0</v>
      </c>
      <c r="C3" s="15" t="s">
        <v>1</v>
      </c>
      <c r="D3" s="15" t="s">
        <v>80</v>
      </c>
      <c r="E3" s="15" t="s">
        <v>81</v>
      </c>
      <c r="F3" s="15" t="s">
        <v>2</v>
      </c>
      <c r="G3" s="15" t="s">
        <v>3</v>
      </c>
      <c r="H3" s="15" t="s">
        <v>111</v>
      </c>
      <c r="I3" s="19" t="s">
        <v>4</v>
      </c>
      <c r="J3" s="15" t="s">
        <v>117</v>
      </c>
      <c r="K3" s="15" t="s">
        <v>118</v>
      </c>
      <c r="L3" s="15" t="s">
        <v>75</v>
      </c>
    </row>
    <row r="4" spans="2:12" ht="15.5" x14ac:dyDescent="0.35">
      <c r="B4" s="2"/>
      <c r="C4" s="2"/>
      <c r="D4" s="3"/>
      <c r="E4" s="3"/>
      <c r="F4" s="3"/>
      <c r="G4" s="1"/>
      <c r="H4" s="2"/>
      <c r="I4" s="20"/>
      <c r="J4" s="24"/>
      <c r="K4" s="24"/>
      <c r="L4" s="24"/>
    </row>
    <row r="5" spans="2:12" ht="15.5" x14ac:dyDescent="0.35">
      <c r="B5" s="4" t="s">
        <v>5</v>
      </c>
      <c r="C5" s="161" t="s">
        <v>6</v>
      </c>
      <c r="D5" s="161"/>
      <c r="E5" s="161"/>
      <c r="F5" s="161"/>
      <c r="G5" s="161"/>
      <c r="H5" s="161"/>
      <c r="I5" s="162"/>
      <c r="J5" s="24"/>
      <c r="K5" s="24"/>
      <c r="L5" s="24"/>
    </row>
    <row r="6" spans="2:12" ht="15.5" x14ac:dyDescent="0.35">
      <c r="B6" s="4" t="s">
        <v>7</v>
      </c>
      <c r="C6" s="163" t="s">
        <v>8</v>
      </c>
      <c r="D6" s="163"/>
      <c r="E6" s="163"/>
      <c r="F6" s="163"/>
      <c r="G6" s="163"/>
      <c r="H6" s="163"/>
      <c r="I6" s="164"/>
      <c r="J6" s="24"/>
      <c r="K6" s="24"/>
      <c r="L6" s="24"/>
    </row>
    <row r="7" spans="2:12" ht="162" customHeight="1" x14ac:dyDescent="0.35">
      <c r="B7" s="5" t="s">
        <v>9</v>
      </c>
      <c r="C7" s="6" t="s">
        <v>10</v>
      </c>
      <c r="D7" s="16"/>
      <c r="E7" s="16">
        <v>17000</v>
      </c>
      <c r="F7" s="16"/>
      <c r="G7" s="17">
        <f t="shared" ref="G7:G12" si="0">SUM(D7:F7)</f>
        <v>17000</v>
      </c>
      <c r="H7" s="18">
        <v>0.95</v>
      </c>
      <c r="I7" s="21" t="s">
        <v>11</v>
      </c>
      <c r="J7" s="26"/>
      <c r="K7" s="133">
        <f>8877.54+545.96</f>
        <v>9423.5</v>
      </c>
      <c r="L7" s="27" t="s">
        <v>124</v>
      </c>
    </row>
    <row r="8" spans="2:12" ht="145" x14ac:dyDescent="0.35">
      <c r="B8" s="5" t="s">
        <v>12</v>
      </c>
      <c r="C8" s="6" t="s">
        <v>13</v>
      </c>
      <c r="D8" s="16"/>
      <c r="E8" s="16">
        <v>10000</v>
      </c>
      <c r="F8" s="16"/>
      <c r="G8" s="17">
        <f t="shared" si="0"/>
        <v>10000</v>
      </c>
      <c r="H8" s="18">
        <v>0.95</v>
      </c>
      <c r="I8" s="21" t="s">
        <v>14</v>
      </c>
      <c r="J8" s="26">
        <v>0</v>
      </c>
      <c r="K8" s="26"/>
      <c r="L8" s="27" t="s">
        <v>125</v>
      </c>
    </row>
    <row r="9" spans="2:12" ht="230.25" customHeight="1" x14ac:dyDescent="0.35">
      <c r="B9" s="5" t="s">
        <v>76</v>
      </c>
      <c r="C9" s="6" t="s">
        <v>15</v>
      </c>
      <c r="D9" s="16"/>
      <c r="E9" s="16">
        <v>40000</v>
      </c>
      <c r="F9" s="16"/>
      <c r="G9" s="17">
        <f t="shared" si="0"/>
        <v>40000</v>
      </c>
      <c r="H9" s="18">
        <v>0.95</v>
      </c>
      <c r="I9" s="21" t="s">
        <v>16</v>
      </c>
      <c r="J9" s="26" t="s">
        <v>78</v>
      </c>
      <c r="K9" s="26">
        <f>20663.84+3924.01</f>
        <v>24587.85</v>
      </c>
      <c r="L9" s="27" t="s">
        <v>129</v>
      </c>
    </row>
    <row r="10" spans="2:12" ht="124" x14ac:dyDescent="0.35">
      <c r="B10" s="5" t="s">
        <v>17</v>
      </c>
      <c r="C10" s="6" t="s">
        <v>18</v>
      </c>
      <c r="D10" s="7"/>
      <c r="E10" s="7">
        <v>15000</v>
      </c>
      <c r="F10" s="7"/>
      <c r="G10" s="8">
        <f t="shared" si="0"/>
        <v>15000</v>
      </c>
      <c r="H10" s="9">
        <v>0.95</v>
      </c>
      <c r="I10" s="22" t="s">
        <v>19</v>
      </c>
      <c r="J10" s="24">
        <v>0</v>
      </c>
      <c r="K10" s="24"/>
      <c r="L10" s="24"/>
    </row>
    <row r="11" spans="2:12" ht="139.5" x14ac:dyDescent="0.35">
      <c r="B11" s="5" t="s">
        <v>20</v>
      </c>
      <c r="C11" s="6" t="s">
        <v>21</v>
      </c>
      <c r="D11" s="16">
        <v>30000</v>
      </c>
      <c r="E11" s="16"/>
      <c r="F11" s="16"/>
      <c r="G11" s="17">
        <f t="shared" si="0"/>
        <v>30000</v>
      </c>
      <c r="H11" s="18"/>
      <c r="I11" s="21" t="s">
        <v>22</v>
      </c>
      <c r="J11" s="24">
        <v>0</v>
      </c>
      <c r="K11" s="24"/>
      <c r="L11" s="26" t="s">
        <v>130</v>
      </c>
    </row>
    <row r="12" spans="2:12" ht="201.5" x14ac:dyDescent="0.35">
      <c r="B12" s="5" t="s">
        <v>23</v>
      </c>
      <c r="C12" s="6" t="s">
        <v>24</v>
      </c>
      <c r="D12" s="16">
        <v>60000</v>
      </c>
      <c r="E12" s="16">
        <v>20000</v>
      </c>
      <c r="F12" s="16"/>
      <c r="G12" s="17">
        <f t="shared" si="0"/>
        <v>80000</v>
      </c>
      <c r="H12" s="18">
        <v>0.95</v>
      </c>
      <c r="I12" s="21" t="s">
        <v>25</v>
      </c>
      <c r="J12" s="25">
        <v>0</v>
      </c>
      <c r="K12" s="25"/>
      <c r="L12" s="27" t="s">
        <v>119</v>
      </c>
    </row>
    <row r="13" spans="2:12" ht="15.5" x14ac:dyDescent="0.35">
      <c r="B13" s="10"/>
      <c r="C13" s="11" t="s">
        <v>26</v>
      </c>
      <c r="D13" s="12">
        <f>SUM(D7:D12)</f>
        <v>90000</v>
      </c>
      <c r="E13" s="12">
        <f>SUM(E7:E12)</f>
        <v>102000</v>
      </c>
      <c r="F13" s="12">
        <f>SUM(F7:F12)</f>
        <v>0</v>
      </c>
      <c r="G13" s="12">
        <f>SUM(G7:G12)</f>
        <v>192000</v>
      </c>
      <c r="H13" s="12">
        <f>(H7*G7)+(H8*G8)+(H9*G9)+(H10*G10)+(H11*G11)+(H12*G12)</f>
        <v>153900</v>
      </c>
      <c r="I13" s="23"/>
      <c r="J13" s="24"/>
      <c r="K13" s="24"/>
      <c r="L13" s="24"/>
    </row>
    <row r="14" spans="2:12" ht="15.5" x14ac:dyDescent="0.35">
      <c r="B14" s="4" t="s">
        <v>27</v>
      </c>
      <c r="C14" s="159" t="s">
        <v>28</v>
      </c>
      <c r="D14" s="159"/>
      <c r="E14" s="159"/>
      <c r="F14" s="159"/>
      <c r="G14" s="159"/>
      <c r="H14" s="159"/>
      <c r="I14" s="160"/>
      <c r="J14" s="24"/>
      <c r="K14" s="24"/>
      <c r="L14" s="24"/>
    </row>
    <row r="15" spans="2:12" ht="139.5" x14ac:dyDescent="0.35">
      <c r="B15" s="5" t="s">
        <v>29</v>
      </c>
      <c r="C15" s="6" t="s">
        <v>30</v>
      </c>
      <c r="D15" s="16"/>
      <c r="E15" s="16">
        <v>30000</v>
      </c>
      <c r="F15" s="16"/>
      <c r="G15" s="17">
        <f>SUM(D15:F15)</f>
        <v>30000</v>
      </c>
      <c r="H15" s="18">
        <v>0.95</v>
      </c>
      <c r="I15" s="21" t="s">
        <v>31</v>
      </c>
      <c r="J15" s="26">
        <v>0</v>
      </c>
      <c r="K15" s="125">
        <v>25389.53</v>
      </c>
      <c r="L15" s="27" t="s">
        <v>127</v>
      </c>
    </row>
    <row r="16" spans="2:12" ht="139.5" x14ac:dyDescent="0.35">
      <c r="B16" s="5" t="s">
        <v>32</v>
      </c>
      <c r="C16" s="6" t="s">
        <v>33</v>
      </c>
      <c r="D16" s="16"/>
      <c r="E16" s="16">
        <v>30000</v>
      </c>
      <c r="F16" s="16"/>
      <c r="G16" s="17">
        <f t="shared" ref="G16:G17" si="1">SUM(D16:F16)</f>
        <v>30000</v>
      </c>
      <c r="H16" s="18">
        <v>0.95</v>
      </c>
      <c r="I16" s="21" t="s">
        <v>34</v>
      </c>
      <c r="J16" s="26">
        <v>0</v>
      </c>
      <c r="K16" s="125">
        <f>22716.34+3000</f>
        <v>25716.34</v>
      </c>
      <c r="L16" s="27" t="s">
        <v>79</v>
      </c>
    </row>
    <row r="17" spans="2:12" ht="170.5" x14ac:dyDescent="0.35">
      <c r="B17" s="5" t="s">
        <v>35</v>
      </c>
      <c r="C17" s="6" t="s">
        <v>36</v>
      </c>
      <c r="D17" s="16"/>
      <c r="E17" s="16">
        <v>20000</v>
      </c>
      <c r="F17" s="16"/>
      <c r="G17" s="17">
        <f t="shared" si="1"/>
        <v>20000</v>
      </c>
      <c r="H17" s="18">
        <v>0.95</v>
      </c>
      <c r="I17" s="21" t="s">
        <v>37</v>
      </c>
      <c r="J17" s="26">
        <v>0</v>
      </c>
      <c r="K17" s="134">
        <v>29637.1</v>
      </c>
      <c r="L17" s="27" t="s">
        <v>126</v>
      </c>
    </row>
    <row r="18" spans="2:12" ht="15.5" x14ac:dyDescent="0.35">
      <c r="B18" s="10"/>
      <c r="C18" s="11" t="s">
        <v>26</v>
      </c>
      <c r="D18" s="13">
        <f>SUM(D15:D17)</f>
        <v>0</v>
      </c>
      <c r="E18" s="13">
        <f>SUM(E15:E17)</f>
        <v>80000</v>
      </c>
      <c r="F18" s="13">
        <f>SUM(F15:F17)</f>
        <v>0</v>
      </c>
      <c r="G18" s="13">
        <f>SUM(G15:G17)</f>
        <v>80000</v>
      </c>
      <c r="H18" s="12" t="e">
        <f>(H15*G15)+(K1717*G16)+(H17*G17)+(#REF!*#REF!)+(#REF!*#REF!)+(#REF!*#REF!)+(#REF!*#REF!)+(#REF!*#REF!)</f>
        <v>#REF!</v>
      </c>
      <c r="I18" s="23"/>
      <c r="J18" s="24"/>
      <c r="K18" s="24"/>
      <c r="L18" s="24"/>
    </row>
    <row r="19" spans="2:12" ht="15.5" x14ac:dyDescent="0.35">
      <c r="B19" s="4" t="s">
        <v>38</v>
      </c>
      <c r="C19" s="159" t="s">
        <v>39</v>
      </c>
      <c r="D19" s="159"/>
      <c r="E19" s="159"/>
      <c r="F19" s="159"/>
      <c r="G19" s="159"/>
      <c r="H19" s="159"/>
      <c r="I19" s="160"/>
      <c r="J19" s="24"/>
      <c r="K19" s="24"/>
      <c r="L19" s="24"/>
    </row>
    <row r="20" spans="2:12" ht="87.75" customHeight="1" x14ac:dyDescent="0.35">
      <c r="B20" s="5" t="s">
        <v>40</v>
      </c>
      <c r="C20" s="6" t="s">
        <v>41</v>
      </c>
      <c r="D20" s="16">
        <v>40000</v>
      </c>
      <c r="E20" s="16"/>
      <c r="F20" s="16"/>
      <c r="G20" s="17">
        <f>SUM(D20:F20)</f>
        <v>40000</v>
      </c>
      <c r="H20" s="18">
        <v>0.95</v>
      </c>
      <c r="I20" s="21" t="s">
        <v>42</v>
      </c>
      <c r="J20" s="28">
        <v>0</v>
      </c>
      <c r="K20" s="28"/>
      <c r="L20" s="27" t="s">
        <v>120</v>
      </c>
    </row>
    <row r="21" spans="2:12" ht="168" customHeight="1" x14ac:dyDescent="0.35">
      <c r="B21" s="5" t="s">
        <v>43</v>
      </c>
      <c r="C21" s="6" t="s">
        <v>44</v>
      </c>
      <c r="D21" s="16">
        <v>35000</v>
      </c>
      <c r="E21" s="16"/>
      <c r="F21" s="16"/>
      <c r="G21" s="17">
        <f t="shared" ref="G21:G24" si="2">SUM(D21:F21)</f>
        <v>35000</v>
      </c>
      <c r="H21" s="18">
        <v>0.95</v>
      </c>
      <c r="I21" s="21" t="s">
        <v>45</v>
      </c>
      <c r="J21" s="25">
        <v>0</v>
      </c>
      <c r="K21" s="25"/>
      <c r="L21" s="27" t="s">
        <v>121</v>
      </c>
    </row>
    <row r="22" spans="2:12" ht="203" x14ac:dyDescent="0.35">
      <c r="B22" s="5" t="s">
        <v>46</v>
      </c>
      <c r="C22" s="6" t="s">
        <v>47</v>
      </c>
      <c r="D22" s="16">
        <v>25000</v>
      </c>
      <c r="E22" s="16">
        <v>20000</v>
      </c>
      <c r="F22" s="16"/>
      <c r="G22" s="17">
        <f t="shared" si="2"/>
        <v>45000</v>
      </c>
      <c r="H22" s="18">
        <v>0.95</v>
      </c>
      <c r="I22" s="21" t="s">
        <v>48</v>
      </c>
      <c r="J22" s="26">
        <v>0</v>
      </c>
      <c r="K22" s="125">
        <f xml:space="preserve"> 13133.72+3000</f>
        <v>16133.72</v>
      </c>
      <c r="L22" s="27" t="s">
        <v>131</v>
      </c>
    </row>
    <row r="23" spans="2:12" ht="222" customHeight="1" x14ac:dyDescent="0.35">
      <c r="B23" s="29" t="s">
        <v>49</v>
      </c>
      <c r="C23" s="6" t="s">
        <v>50</v>
      </c>
      <c r="D23" s="16">
        <v>60000</v>
      </c>
      <c r="E23" s="16"/>
      <c r="F23" s="16"/>
      <c r="G23" s="17">
        <f t="shared" si="2"/>
        <v>60000</v>
      </c>
      <c r="H23" s="18">
        <v>0.95</v>
      </c>
      <c r="I23" s="21" t="s">
        <v>51</v>
      </c>
      <c r="J23" s="28">
        <v>0</v>
      </c>
      <c r="K23" s="28"/>
      <c r="L23" s="27" t="s">
        <v>122</v>
      </c>
    </row>
    <row r="24" spans="2:12" ht="188.5" x14ac:dyDescent="0.35">
      <c r="B24" s="5" t="s">
        <v>52</v>
      </c>
      <c r="C24" s="6" t="s">
        <v>53</v>
      </c>
      <c r="D24" s="16"/>
      <c r="E24" s="16">
        <v>49600</v>
      </c>
      <c r="F24" s="16"/>
      <c r="G24" s="17">
        <f t="shared" si="2"/>
        <v>49600</v>
      </c>
      <c r="H24" s="18">
        <v>0.95</v>
      </c>
      <c r="I24" s="21" t="s">
        <v>54</v>
      </c>
      <c r="J24" s="25">
        <v>0</v>
      </c>
      <c r="K24" s="25"/>
      <c r="L24" s="27" t="s">
        <v>132</v>
      </c>
    </row>
    <row r="25" spans="2:12" ht="15.5" x14ac:dyDescent="0.35">
      <c r="B25" s="10"/>
      <c r="C25" s="11" t="s">
        <v>26</v>
      </c>
      <c r="D25" s="13">
        <f>SUM(D20:D24)</f>
        <v>160000</v>
      </c>
      <c r="E25" s="13">
        <f>SUM(E20:E24)</f>
        <v>69600</v>
      </c>
      <c r="F25" s="13">
        <f>SUM(F20:F24)</f>
        <v>0</v>
      </c>
      <c r="G25" s="13">
        <f>SUM(G20:G24)</f>
        <v>229600</v>
      </c>
      <c r="H25" s="12" t="e">
        <f>(H20*G20)+(H21*G21)+(H22*G22)+(H23*G23)+(H24*G24)+(#REF!*#REF!)+(#REF!*#REF!)+(#REF!*#REF!)</f>
        <v>#REF!</v>
      </c>
      <c r="I25" s="23"/>
      <c r="J25" s="24"/>
      <c r="K25" s="24"/>
      <c r="L25" s="24"/>
    </row>
    <row r="26" spans="2:12" ht="15.5" x14ac:dyDescent="0.35">
      <c r="B26" s="4" t="s">
        <v>55</v>
      </c>
      <c r="C26" s="159" t="s">
        <v>56</v>
      </c>
      <c r="D26" s="159"/>
      <c r="E26" s="159"/>
      <c r="F26" s="159"/>
      <c r="G26" s="159"/>
      <c r="H26" s="159"/>
      <c r="I26" s="160"/>
      <c r="J26" s="24"/>
      <c r="K26" s="24"/>
      <c r="L26" s="24"/>
    </row>
    <row r="27" spans="2:12" ht="162" customHeight="1" x14ac:dyDescent="0.35">
      <c r="B27" s="5" t="s">
        <v>57</v>
      </c>
      <c r="C27" s="6" t="s">
        <v>58</v>
      </c>
      <c r="D27" s="16"/>
      <c r="E27" s="16">
        <v>40000</v>
      </c>
      <c r="F27" s="16"/>
      <c r="G27" s="17">
        <f>SUM(D27:F27)</f>
        <v>40000</v>
      </c>
      <c r="H27" s="18">
        <v>0.95</v>
      </c>
      <c r="I27" s="21" t="s">
        <v>42</v>
      </c>
      <c r="J27" s="25">
        <v>0</v>
      </c>
      <c r="K27" s="25"/>
      <c r="L27" s="27" t="s">
        <v>77</v>
      </c>
    </row>
    <row r="28" spans="2:12" ht="155" x14ac:dyDescent="0.35">
      <c r="B28" s="5" t="s">
        <v>59</v>
      </c>
      <c r="C28" s="6" t="s">
        <v>60</v>
      </c>
      <c r="D28" s="16"/>
      <c r="E28" s="16">
        <v>20000</v>
      </c>
      <c r="F28" s="16"/>
      <c r="G28" s="17">
        <f t="shared" ref="G28" si="3">SUM(D28:F28)</f>
        <v>20000</v>
      </c>
      <c r="H28" s="18">
        <v>0.95</v>
      </c>
      <c r="I28" s="21" t="s">
        <v>61</v>
      </c>
      <c r="J28" s="25">
        <v>0</v>
      </c>
      <c r="K28" s="25"/>
      <c r="L28" s="27" t="s">
        <v>77</v>
      </c>
    </row>
    <row r="29" spans="2:12" ht="15.5" x14ac:dyDescent="0.35">
      <c r="B29" s="10"/>
      <c r="C29" s="11" t="s">
        <v>26</v>
      </c>
      <c r="D29" s="12">
        <f>SUM(D27:D28)</f>
        <v>0</v>
      </c>
      <c r="E29" s="12">
        <f>SUM(E27:E28)</f>
        <v>60000</v>
      </c>
      <c r="F29" s="12">
        <f>SUM(F27:F28)</f>
        <v>0</v>
      </c>
      <c r="G29" s="12">
        <f>SUM(G27:G28)</f>
        <v>60000</v>
      </c>
      <c r="H29" s="12" t="e">
        <f>(H27*G27)+(H28*G28)+(#REF!*#REF!)+(#REF!*#REF!)+(#REF!*#REF!)+(#REF!*#REF!)+(#REF!*#REF!)+(#REF!*#REF!)</f>
        <v>#REF!</v>
      </c>
      <c r="I29" s="23"/>
      <c r="J29" s="24"/>
      <c r="K29" s="24"/>
      <c r="L29" s="24"/>
    </row>
    <row r="30" spans="2:12" ht="296.25" customHeight="1" x14ac:dyDescent="0.35">
      <c r="B30" s="30" t="s">
        <v>62</v>
      </c>
      <c r="C30" s="31" t="s">
        <v>63</v>
      </c>
      <c r="D30" s="32">
        <v>250000</v>
      </c>
      <c r="E30" s="32">
        <v>68400</v>
      </c>
      <c r="F30" s="32"/>
      <c r="G30" s="33">
        <f>SUM(D30:F30)</f>
        <v>318400</v>
      </c>
      <c r="H30" s="34">
        <v>0.95</v>
      </c>
      <c r="I30" s="35" t="s">
        <v>64</v>
      </c>
      <c r="J30" s="42">
        <v>35331.81</v>
      </c>
      <c r="K30" s="42"/>
      <c r="L30" s="27" t="s">
        <v>82</v>
      </c>
    </row>
    <row r="31" spans="2:12" ht="271.5" customHeight="1" x14ac:dyDescent="0.35">
      <c r="B31" s="30" t="s">
        <v>65</v>
      </c>
      <c r="C31" s="31" t="s">
        <v>66</v>
      </c>
      <c r="D31" s="32">
        <v>50000</v>
      </c>
      <c r="E31" s="32">
        <v>25000</v>
      </c>
      <c r="F31" s="32"/>
      <c r="G31" s="33">
        <f>SUM(D31:F31)</f>
        <v>75000</v>
      </c>
      <c r="H31" s="34">
        <v>0.95</v>
      </c>
      <c r="I31" s="36" t="s">
        <v>67</v>
      </c>
      <c r="J31" s="42">
        <v>12485.64</v>
      </c>
      <c r="K31" s="126">
        <f>177.03+5392.49+2499.78+39</f>
        <v>8108.2999999999993</v>
      </c>
      <c r="L31" s="27" t="s">
        <v>83</v>
      </c>
    </row>
    <row r="32" spans="2:12" ht="139.5" x14ac:dyDescent="0.35">
      <c r="B32" s="30" t="s">
        <v>68</v>
      </c>
      <c r="C32" s="31" t="s">
        <v>69</v>
      </c>
      <c r="D32" s="32">
        <v>75000</v>
      </c>
      <c r="E32" s="32"/>
      <c r="F32" s="32"/>
      <c r="G32" s="33">
        <f>SUM(D32:F32)</f>
        <v>75000</v>
      </c>
      <c r="H32" s="34">
        <v>0.95</v>
      </c>
      <c r="I32" s="36" t="s">
        <v>70</v>
      </c>
      <c r="J32" s="41"/>
      <c r="K32" s="42"/>
      <c r="L32" s="27" t="s">
        <v>123</v>
      </c>
    </row>
    <row r="33" spans="2:12" ht="62" x14ac:dyDescent="0.35">
      <c r="B33" s="30" t="s">
        <v>71</v>
      </c>
      <c r="C33" s="31" t="s">
        <v>72</v>
      </c>
      <c r="D33" s="32">
        <v>40000</v>
      </c>
      <c r="E33" s="32"/>
      <c r="F33" s="32"/>
      <c r="G33" s="33">
        <f>SUM(D33:F33)</f>
        <v>40000</v>
      </c>
      <c r="H33" s="34">
        <v>0.95</v>
      </c>
      <c r="I33" s="36" t="s">
        <v>73</v>
      </c>
      <c r="J33" s="25"/>
      <c r="K33" s="25"/>
      <c r="L33" s="25"/>
    </row>
    <row r="34" spans="2:12" ht="31" x14ac:dyDescent="0.35">
      <c r="B34" s="14"/>
      <c r="C34" s="37" t="s">
        <v>74</v>
      </c>
      <c r="D34" s="38">
        <f>SUM(D30:D33)</f>
        <v>415000</v>
      </c>
      <c r="E34" s="38">
        <f>SUM(E30:E33)</f>
        <v>93400</v>
      </c>
      <c r="F34" s="38">
        <f>SUM(F30:F33)</f>
        <v>0</v>
      </c>
      <c r="G34" s="38">
        <f>SUM(G30:G33)</f>
        <v>508400</v>
      </c>
      <c r="H34" s="39">
        <f>(H30*G30)+(H31*G31)+(H32*G32)+(H33*G33)</f>
        <v>482980</v>
      </c>
      <c r="I34" s="40"/>
      <c r="J34" s="45">
        <f>J30+J31</f>
        <v>47817.45</v>
      </c>
      <c r="K34" s="45">
        <f>K7+K9+K15+K16+K17+K22+K31</f>
        <v>138996.34</v>
      </c>
      <c r="L34" s="46" t="s">
        <v>84</v>
      </c>
    </row>
    <row r="35" spans="2:12" ht="15.5" x14ac:dyDescent="0.35">
      <c r="B35" s="14"/>
      <c r="C35" s="127" t="s">
        <v>128</v>
      </c>
      <c r="D35" s="128"/>
      <c r="E35" s="128"/>
      <c r="F35" s="128"/>
      <c r="G35" s="128"/>
      <c r="H35" s="129"/>
      <c r="I35" s="130"/>
      <c r="J35" s="45"/>
      <c r="K35" s="43">
        <v>5289.32</v>
      </c>
      <c r="L35" s="46"/>
    </row>
    <row r="36" spans="2:12" ht="15.5" x14ac:dyDescent="0.35">
      <c r="C36" s="131" t="s">
        <v>95</v>
      </c>
      <c r="J36" s="43">
        <v>0</v>
      </c>
      <c r="K36" s="132">
        <f>K34+K35</f>
        <v>144285.66</v>
      </c>
      <c r="L36" s="44" t="s">
        <v>85</v>
      </c>
    </row>
    <row r="41" spans="2:12" x14ac:dyDescent="0.35">
      <c r="K41" s="123"/>
    </row>
  </sheetData>
  <mergeCells count="5">
    <mergeCell ref="C26:I26"/>
    <mergeCell ref="C5:I5"/>
    <mergeCell ref="C6:I6"/>
    <mergeCell ref="C14:I14"/>
    <mergeCell ref="C19:I19"/>
  </mergeCells>
  <phoneticPr fontId="5" type="noConversion"/>
  <dataValidations count="4">
    <dataValidation allowBlank="1" showInputMessage="1" showErrorMessage="1" prompt="Insert name of recipient agency here _x000a_" sqref="D4:G4" xr:uid="{00000000-0002-0000-0100-000000000000}"/>
    <dataValidation allowBlank="1" showInputMessage="1" showErrorMessage="1" prompt="Insert *text* description of Activity here" sqref="C7 C15 C20 C27" xr:uid="{00000000-0002-0000-0100-000001000000}"/>
    <dataValidation allowBlank="1" showInputMessage="1" showErrorMessage="1" prompt="Insert *text* description of Output here" sqref="C6 C14 C19 C26" xr:uid="{00000000-0002-0000-0100-000002000000}"/>
    <dataValidation allowBlank="1" showInputMessage="1" showErrorMessage="1" prompt="Insert *text* description of Outcome here" sqref="C5:I5" xr:uid="{00000000-0002-0000-0100-000003000000}"/>
  </dataValidation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PAR CATEGORIE BUDGETAIRE</vt:lpstr>
      <vt:lpstr>PAR RESULTAT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Joachim OUEDRAOGO</cp:lastModifiedBy>
  <cp:lastPrinted>2020-06-02T15:52:22Z</cp:lastPrinted>
  <dcterms:created xsi:type="dcterms:W3CDTF">2020-06-02T11:48:20Z</dcterms:created>
  <dcterms:modified xsi:type="dcterms:W3CDTF">2020-11-13T11:21:49Z</dcterms:modified>
</cp:coreProperties>
</file>