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ppoline.uwimbabazi\Desktop\PBF Secretariat\PBF secretariat\Rapports et CR\Rapport annuel novembre 2020\Projet participation citoyenne\"/>
    </mc:Choice>
  </mc:AlternateContent>
  <xr:revisionPtr revIDLastSave="0" documentId="8_{DEF9675B-8A8E-4028-A857-B2673CAE0822}" xr6:coauthVersionLast="45" xr6:coauthVersionMax="45" xr10:uidLastSave="{00000000-0000-0000-0000-000000000000}"/>
  <bookViews>
    <workbookView xWindow="-110" yWindow="-110" windowWidth="19420" windowHeight="10420" activeTab="1" xr2:uid="{00000000-000D-0000-FFFF-FFFF00000000}"/>
  </bookViews>
  <sheets>
    <sheet name="Budget par resultats" sheetId="1" r:id="rId1"/>
    <sheet name="Budget par categorie" sheetId="2" r:id="rId2"/>
  </sheets>
  <definedNames>
    <definedName name="_xlnm.Print_Area" localSheetId="1">'Budget par categorie'!#REF!</definedName>
    <definedName name="_xlnm.Print_Area" localSheetId="0">'Budget par resultats'!$A$1:$M$57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7" i="2" l="1"/>
  <c r="L58" i="1"/>
  <c r="O12" i="2" l="1"/>
  <c r="N12" i="2"/>
  <c r="U15" i="2" l="1"/>
  <c r="U14" i="2"/>
  <c r="U12" i="2"/>
  <c r="U11" i="2"/>
  <c r="U10" i="2"/>
  <c r="L56" i="1"/>
  <c r="Q9" i="2"/>
  <c r="Q16" i="2" s="1"/>
  <c r="I35" i="1"/>
  <c r="I27" i="1"/>
  <c r="I21" i="1"/>
  <c r="I28" i="1" s="1"/>
  <c r="I14" i="1"/>
  <c r="F50" i="1"/>
  <c r="F55" i="1" s="1"/>
  <c r="T16" i="2"/>
  <c r="T18" i="2" s="1"/>
  <c r="S16" i="2"/>
  <c r="S18" i="2"/>
  <c r="R16" i="2"/>
  <c r="R18" i="2" s="1"/>
  <c r="M16" i="2"/>
  <c r="L16" i="2"/>
  <c r="K16" i="2"/>
  <c r="J16" i="2"/>
  <c r="I16" i="2"/>
  <c r="H16" i="2"/>
  <c r="H17" i="2" s="1"/>
  <c r="D16" i="2"/>
  <c r="B16" i="2"/>
  <c r="B18" i="2" s="1"/>
  <c r="O15" i="2"/>
  <c r="N15" i="2"/>
  <c r="F15" i="2"/>
  <c r="C15" i="2"/>
  <c r="E15" i="2" s="1"/>
  <c r="O14" i="2"/>
  <c r="N14" i="2"/>
  <c r="F14" i="2"/>
  <c r="C14" i="2"/>
  <c r="E14" i="2" s="1"/>
  <c r="G14" i="2" s="1"/>
  <c r="U13" i="2"/>
  <c r="O13" i="2"/>
  <c r="N13" i="2"/>
  <c r="P13" i="2" s="1"/>
  <c r="F13" i="2"/>
  <c r="C13" i="2"/>
  <c r="E13" i="2" s="1"/>
  <c r="G13" i="2" s="1"/>
  <c r="P12" i="2"/>
  <c r="F12" i="2"/>
  <c r="C12" i="2"/>
  <c r="E12" i="2" s="1"/>
  <c r="G12" i="2" s="1"/>
  <c r="O11" i="2"/>
  <c r="N11" i="2"/>
  <c r="F11" i="2"/>
  <c r="E11" i="2"/>
  <c r="G11" i="2" s="1"/>
  <c r="O10" i="2"/>
  <c r="N10" i="2"/>
  <c r="P10" i="2" s="1"/>
  <c r="F10" i="2"/>
  <c r="E10" i="2"/>
  <c r="G10" i="2" s="1"/>
  <c r="O9" i="2"/>
  <c r="N9" i="2"/>
  <c r="P9" i="2"/>
  <c r="F9" i="2"/>
  <c r="E9" i="2"/>
  <c r="G9" i="2" s="1"/>
  <c r="M17" i="2"/>
  <c r="B17" i="2"/>
  <c r="L54" i="1"/>
  <c r="L52" i="1"/>
  <c r="L53" i="1"/>
  <c r="L51" i="1"/>
  <c r="L49" i="1"/>
  <c r="K50" i="1"/>
  <c r="J50" i="1"/>
  <c r="I50" i="1"/>
  <c r="H50" i="1"/>
  <c r="L47" i="1"/>
  <c r="L45" i="1"/>
  <c r="L40" i="1"/>
  <c r="H41" i="1"/>
  <c r="I41" i="1"/>
  <c r="J41" i="1"/>
  <c r="K41" i="1"/>
  <c r="L38" i="1"/>
  <c r="L39" i="1"/>
  <c r="L37" i="1"/>
  <c r="L41" i="1" s="1"/>
  <c r="L34" i="1"/>
  <c r="L33" i="1"/>
  <c r="L32" i="1"/>
  <c r="L31" i="1"/>
  <c r="H35" i="1"/>
  <c r="J35" i="1"/>
  <c r="K35" i="1"/>
  <c r="L24" i="1"/>
  <c r="L25" i="1"/>
  <c r="L27" i="1" s="1"/>
  <c r="L26" i="1"/>
  <c r="L23" i="1"/>
  <c r="K27" i="1"/>
  <c r="J27" i="1"/>
  <c r="H27" i="1"/>
  <c r="E27" i="1"/>
  <c r="J21" i="1"/>
  <c r="L17" i="1"/>
  <c r="L21" i="1" s="1"/>
  <c r="L18" i="1"/>
  <c r="L19" i="1"/>
  <c r="L20" i="1"/>
  <c r="L16" i="1"/>
  <c r="L13" i="1"/>
  <c r="K21" i="1"/>
  <c r="K28" i="1" s="1"/>
  <c r="H21" i="1"/>
  <c r="L11" i="1"/>
  <c r="L12" i="1"/>
  <c r="L10" i="1"/>
  <c r="K14" i="1"/>
  <c r="J14" i="1"/>
  <c r="H14" i="1"/>
  <c r="E14" i="1"/>
  <c r="E28" i="1" s="1"/>
  <c r="N54" i="1"/>
  <c r="O54" i="1"/>
  <c r="N53" i="1"/>
  <c r="O53" i="1"/>
  <c r="N52" i="1"/>
  <c r="O52" i="1" s="1"/>
  <c r="N51" i="1"/>
  <c r="O51" i="1"/>
  <c r="N49" i="1"/>
  <c r="O49" i="1"/>
  <c r="N47" i="1"/>
  <c r="O47" i="1"/>
  <c r="N45" i="1"/>
  <c r="O45" i="1" s="1"/>
  <c r="N40" i="1"/>
  <c r="O40" i="1"/>
  <c r="N39" i="1"/>
  <c r="O39" i="1" s="1"/>
  <c r="N38" i="1"/>
  <c r="O38" i="1"/>
  <c r="N37" i="1"/>
  <c r="O37" i="1" s="1"/>
  <c r="N34" i="1"/>
  <c r="O34" i="1" s="1"/>
  <c r="N33" i="1"/>
  <c r="O33" i="1" s="1"/>
  <c r="N32" i="1"/>
  <c r="O32" i="1"/>
  <c r="N31" i="1"/>
  <c r="O31" i="1"/>
  <c r="N26" i="1"/>
  <c r="O26" i="1" s="1"/>
  <c r="N25" i="1"/>
  <c r="O25" i="1"/>
  <c r="N24" i="1"/>
  <c r="O24" i="1"/>
  <c r="N23" i="1"/>
  <c r="O23" i="1"/>
  <c r="N20" i="1"/>
  <c r="O20" i="1" s="1"/>
  <c r="N19" i="1"/>
  <c r="O19" i="1" s="1"/>
  <c r="N18" i="1"/>
  <c r="O18" i="1" s="1"/>
  <c r="N17" i="1"/>
  <c r="O17" i="1"/>
  <c r="N16" i="1"/>
  <c r="O16" i="1" s="1"/>
  <c r="N13" i="1"/>
  <c r="O13" i="1" s="1"/>
  <c r="N12" i="1"/>
  <c r="O12" i="1"/>
  <c r="N11" i="1"/>
  <c r="O11" i="1"/>
  <c r="N10" i="1"/>
  <c r="O10" i="1" s="1"/>
  <c r="D21" i="1"/>
  <c r="D50" i="1"/>
  <c r="B50" i="1" s="1"/>
  <c r="D27" i="1"/>
  <c r="C35" i="1"/>
  <c r="D41" i="1"/>
  <c r="D35" i="1"/>
  <c r="D42" i="1" s="1"/>
  <c r="E35" i="1"/>
  <c r="E41" i="1"/>
  <c r="C27" i="1"/>
  <c r="B27" i="1" s="1"/>
  <c r="E21" i="1"/>
  <c r="C21" i="1"/>
  <c r="D14" i="1"/>
  <c r="C14" i="1"/>
  <c r="C50" i="1"/>
  <c r="E50" i="1"/>
  <c r="C41" i="1"/>
  <c r="B41" i="1" s="1"/>
  <c r="L17" i="2" l="1"/>
  <c r="L18" i="2" s="1"/>
  <c r="J17" i="2"/>
  <c r="J18" i="2" s="1"/>
  <c r="C28" i="1"/>
  <c r="J28" i="1"/>
  <c r="N16" i="2"/>
  <c r="N17" i="2" s="1"/>
  <c r="P11" i="2"/>
  <c r="P15" i="2"/>
  <c r="E42" i="1"/>
  <c r="B21" i="1"/>
  <c r="B35" i="1"/>
  <c r="L14" i="1"/>
  <c r="H28" i="1"/>
  <c r="C42" i="1"/>
  <c r="C55" i="1" s="1"/>
  <c r="D28" i="1"/>
  <c r="B28" i="1" s="1"/>
  <c r="O55" i="1"/>
  <c r="E55" i="1"/>
  <c r="F56" i="1"/>
  <c r="F57" i="1" s="1"/>
  <c r="B42" i="1"/>
  <c r="L28" i="1"/>
  <c r="D55" i="1"/>
  <c r="O16" i="2"/>
  <c r="D17" i="2"/>
  <c r="D18" i="2" s="1"/>
  <c r="J42" i="1"/>
  <c r="P14" i="2"/>
  <c r="I42" i="1"/>
  <c r="I55" i="1" s="1"/>
  <c r="I57" i="1" s="1"/>
  <c r="B14" i="1"/>
  <c r="H42" i="1"/>
  <c r="F16" i="2"/>
  <c r="F17" i="2" s="1"/>
  <c r="F18" i="2" s="1"/>
  <c r="M18" i="2"/>
  <c r="I17" i="2"/>
  <c r="I18" i="2" s="1"/>
  <c r="K55" i="1"/>
  <c r="K57" i="1" s="1"/>
  <c r="L50" i="1"/>
  <c r="O17" i="2"/>
  <c r="O18" i="2" s="1"/>
  <c r="H18" i="2"/>
  <c r="G15" i="2"/>
  <c r="G16" i="2" s="1"/>
  <c r="C16" i="2"/>
  <c r="K17" i="2"/>
  <c r="K18" i="2" s="1"/>
  <c r="E16" i="2"/>
  <c r="Q18" i="2"/>
  <c r="U16" i="2"/>
  <c r="U18" i="2" s="1"/>
  <c r="T20" i="2" s="1"/>
  <c r="U9" i="2"/>
  <c r="L35" i="1"/>
  <c r="L42" i="1" s="1"/>
  <c r="H55" i="1"/>
  <c r="H57" i="1" s="1"/>
  <c r="N18" i="2" l="1"/>
  <c r="P16" i="2"/>
  <c r="P17" i="2" s="1"/>
  <c r="P18" i="2" s="1"/>
  <c r="J55" i="1"/>
  <c r="J57" i="1" s="1"/>
  <c r="B55" i="1"/>
  <c r="C56" i="1"/>
  <c r="C57" i="1"/>
  <c r="E56" i="1"/>
  <c r="E57" i="1" s="1"/>
  <c r="D56" i="1"/>
  <c r="D57" i="1" s="1"/>
  <c r="L55" i="1"/>
  <c r="L57" i="1" s="1"/>
  <c r="G17" i="2"/>
  <c r="G18" i="2" s="1"/>
  <c r="E17" i="2"/>
  <c r="E18" i="2"/>
  <c r="C17" i="2"/>
  <c r="C18" i="2" s="1"/>
  <c r="B57" i="1" l="1"/>
  <c r="B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Utilisateur Windows</author>
  </authors>
  <commentList>
    <comment ref="G9" authorId="0" shapeId="0" xr:uid="{00000000-0006-0000-0100-000001000000}">
      <text>
        <r>
          <rPr>
            <b/>
            <sz val="9"/>
            <color indexed="81"/>
            <rFont val="Tahoma"/>
            <family val="2"/>
          </rPr>
          <t>Administrator:</t>
        </r>
        <r>
          <rPr>
            <sz val="9"/>
            <color indexed="81"/>
            <rFont val="Tahoma"/>
            <family val="2"/>
          </rPr>
          <t xml:space="preserve">
Légère augmentation à partir de la catégorie 7, due à l'usage des catégories diffèrentes dans le système UNICEF.</t>
        </r>
      </text>
    </comment>
    <comment ref="G10" authorId="0" shapeId="0" xr:uid="{00000000-0006-0000-0100-000002000000}">
      <text>
        <r>
          <rPr>
            <b/>
            <sz val="9"/>
            <color indexed="81"/>
            <rFont val="Tahoma"/>
            <family val="2"/>
          </rPr>
          <t>Administrator:</t>
        </r>
        <r>
          <rPr>
            <sz val="9"/>
            <color indexed="81"/>
            <rFont val="Tahoma"/>
            <family val="2"/>
          </rPr>
          <t xml:space="preserve">
Augmentation à partir de la catégorie 5, due à l'usage des catégories diffèrentes dans le système UNICEF. </t>
        </r>
      </text>
    </comment>
    <comment ref="R11" authorId="1" shapeId="0" xr:uid="{00000000-0006-0000-0100-000003000000}">
      <text>
        <r>
          <rPr>
            <b/>
            <sz val="9"/>
            <color indexed="81"/>
            <rFont val="Tahoma"/>
            <charset val="1"/>
          </rPr>
          <t>Utilisateur Windows:</t>
        </r>
        <r>
          <rPr>
            <sz val="9"/>
            <color indexed="81"/>
            <rFont val="Tahoma"/>
            <charset val="1"/>
          </rPr>
          <t xml:space="preserve">
Explication à fournir du PNUD</t>
        </r>
      </text>
    </comment>
    <comment ref="G12" authorId="0" shapeId="0" xr:uid="{00000000-0006-0000-0100-000004000000}">
      <text>
        <r>
          <rPr>
            <b/>
            <sz val="9"/>
            <color indexed="81"/>
            <rFont val="Tahoma"/>
            <family val="2"/>
          </rPr>
          <t>Administrator:</t>
        </r>
        <r>
          <rPr>
            <sz val="9"/>
            <color indexed="81"/>
            <rFont val="Tahoma"/>
            <family val="2"/>
          </rPr>
          <t xml:space="preserve">
Augmentation, a partir des categories 6 et 7, due à l'usage des catégories différentes dans le système UNICEF. La mise en oeuvre des activités planifiées de communication et visbilité se fera par les services contractuels et le recrutement d'un  consultant</t>
        </r>
      </text>
    </comment>
    <comment ref="G13" authorId="0" shapeId="0" xr:uid="{00000000-0006-0000-0100-000005000000}">
      <text>
        <r>
          <rPr>
            <b/>
            <sz val="9"/>
            <color indexed="81"/>
            <rFont val="Tahoma"/>
            <family val="2"/>
          </rPr>
          <t>Administrator:</t>
        </r>
        <r>
          <rPr>
            <sz val="9"/>
            <color indexed="81"/>
            <rFont val="Tahoma"/>
            <family val="2"/>
          </rPr>
          <t xml:space="preserve">
La différence du montant est inclue  dans la catégorie 2 pour la mise en oeuvre de l'évaluation </t>
        </r>
      </text>
    </comment>
    <comment ref="G14" authorId="0" shapeId="0" xr:uid="{00000000-0006-0000-0100-000006000000}">
      <text>
        <r>
          <rPr>
            <b/>
            <sz val="9"/>
            <color indexed="81"/>
            <rFont val="Tahoma"/>
            <family val="2"/>
          </rPr>
          <t>Administrator:</t>
        </r>
        <r>
          <rPr>
            <sz val="9"/>
            <color indexed="81"/>
            <rFont val="Tahoma"/>
            <family val="2"/>
          </rPr>
          <t xml:space="preserve">
La différence du montant est inclue dans la catégorie 4, pour le recrutement d'un consultant pour l’appui à la réalisation des activités planifiées.</t>
        </r>
      </text>
    </comment>
    <comment ref="S14" authorId="1" shapeId="0" xr:uid="{00000000-0006-0000-0100-000007000000}">
      <text>
        <r>
          <rPr>
            <b/>
            <sz val="9"/>
            <color indexed="81"/>
            <rFont val="Tahoma"/>
            <charset val="1"/>
          </rPr>
          <t>Utilisateur Windows:</t>
        </r>
        <r>
          <rPr>
            <sz val="9"/>
            <color indexed="81"/>
            <rFont val="Tahoma"/>
            <charset val="1"/>
          </rPr>
          <t xml:space="preserve">
Certaines sous activités de l'activité 1.1.4 du buget d'un montant de 47 839, 97 USD ont été consédées à APLFT. Ce qui explique le depassement de la subvention.  </t>
        </r>
      </text>
    </comment>
    <comment ref="G15" authorId="0" shapeId="0" xr:uid="{00000000-0006-0000-0100-000008000000}">
      <text>
        <r>
          <rPr>
            <b/>
            <sz val="9"/>
            <color indexed="81"/>
            <rFont val="Tahoma"/>
            <family val="2"/>
          </rPr>
          <t>Administrator:</t>
        </r>
        <r>
          <rPr>
            <sz val="9"/>
            <color indexed="81"/>
            <rFont val="Tahoma"/>
            <family val="2"/>
          </rPr>
          <t xml:space="preserve">
La différence du montant a ete reversee dans les categories 1 et 4 pour tenir compte des differences de categories dans le systeme d'UNICEF </t>
        </r>
      </text>
    </comment>
  </commentList>
</comments>
</file>

<file path=xl/sharedStrings.xml><?xml version="1.0" encoding="utf-8"?>
<sst xmlns="http://schemas.openxmlformats.org/spreadsheetml/2006/main" count="137" uniqueCount="121">
  <si>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</si>
  <si>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</si>
  <si>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</si>
  <si>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</si>
  <si>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</si>
  <si>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</si>
  <si>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</si>
  <si>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</si>
  <si>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</si>
  <si>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</si>
  <si>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</si>
  <si>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</si>
  <si>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Activite 1.1.1:</t>
  </si>
  <si>
    <t>Activite 1.1.2:</t>
  </si>
  <si>
    <t>Activite 1.2.1:</t>
  </si>
  <si>
    <t>Activite 1.3.1:</t>
  </si>
  <si>
    <t>Activite 1.3.2:</t>
  </si>
  <si>
    <t>Activite 1.3.3:</t>
  </si>
  <si>
    <t>Activite 2.1.1:</t>
  </si>
  <si>
    <t>Activite 2.1.2:</t>
  </si>
  <si>
    <t>Activite 2.1.3:</t>
  </si>
  <si>
    <t>Activite 2.2.1:</t>
  </si>
  <si>
    <t>Activite 2.2.2:</t>
  </si>
  <si>
    <t>Activite 2.2.3:</t>
  </si>
  <si>
    <t>Activite 3.3.1:</t>
  </si>
  <si>
    <t>Activite 3.3.2:</t>
  </si>
  <si>
    <t>Cout de personnel du projet si pas inclus dans les activites si-dessus</t>
  </si>
  <si>
    <t>Couts operationnels si pas inclus dans les activites si-dessus</t>
  </si>
  <si>
    <t>Budget S&amp;E du projet</t>
  </si>
  <si>
    <t>Couts indirects (7%):</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</si>
  <si>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</si>
  <si>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</si>
  <si>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</si>
  <si>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</si>
  <si>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</si>
  <si>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</si>
  <si>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</si>
  <si>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</si>
  <si>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</si>
  <si>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</si>
  <si>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</si>
  <si>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</si>
  <si>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</si>
  <si>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</si>
  <si>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Resultat 1: L’environnement légal favorable contribue à la participation des jeunes femmes et des hommes et des femmes à la gouvernance locale pour la consolidation de la paix</t>
  </si>
  <si>
    <t>Appuyer le processus d’opérationnalisation des Résolutions 1325 et 2250 et les stratégies genre et jeunesse du Tchad</t>
  </si>
  <si>
    <t>Production des supports de communication sur la citoyennete et la cohesion sociale</t>
  </si>
  <si>
    <t>Mise en de la plateforme des jeunes leaders des partis politiques pour la promotion de dialogue apaisé et sans violence lors des élections</t>
  </si>
  <si>
    <t>Appuyer le plaidoyer auprès des leaders traditionnels et religieux pour l’inclusion des jeunes femmes,       hommes, déplacés internes aux mécanismes de gouvernance locale</t>
  </si>
  <si>
    <t>Former les leaders traditionnels, religieux et les forces de l'ordre et de sur la prévention, la résolution pacifique des conflits, l’écocitoyenneté, la gestion participative et rationnelle et équitable des ressources foncières.</t>
  </si>
  <si>
    <t>Mise en place des plateformes de dialogue et d’échange entre leaders/autorités et associations des femmes et des jeunes</t>
  </si>
  <si>
    <t>Resultat 2: Les autorités, les acteurs locaux et la communauté en général (20.0000 bénéficiaires), les jeunes femmes et hommes, les femmes sont sensibilisés et mieux outillées pour être les agents catalyseurs de la culture de paix, la résolution pacifique des conflits intercommunautaires, le brassage intercommunautaire et la consolidation de la paix.</t>
  </si>
  <si>
    <t>Renforcer les capacités des enseignants, des membres des associations des parents d’élèves (APE) et associations des mères des élèves (AME) à promouvoir les principes de coexistence pacifique et de justice, à travers leur formation en Peacebuilding et les compétences de vie courante</t>
  </si>
  <si>
    <t>Appuyer la mise en place des Réseaux Communautaires de Protection des jeunes hommes et femmes pour la promotion des droits humains et la cohabitation pacifique.</t>
  </si>
  <si>
    <t>Formation sur les droits des femmes, les masulinites et genre  au benefice des groupes cibles: autorites locales, enseignants, directeurs de lycees et universites, lycees et associations des parents, organisations des jeunes, des femmes et hommes et leaders religieux</t>
  </si>
  <si>
    <t>Organisation d'activites culturelles  et sportives avec les jeunes filles et garcons pour la promotion de la paix ( theatre, concours d'illustration, recit et ou reprographie</t>
  </si>
  <si>
    <t>Formation des jeunes hommes et femmes au metiers pour leur insertion socio-economique</t>
  </si>
  <si>
    <t>Developpement des activites generatrices des revenus avec les associations des jeunes hommes et des jeunes femmes</t>
  </si>
  <si>
    <t>PNUD</t>
  </si>
  <si>
    <t>UNICEF</t>
  </si>
  <si>
    <t>HCDH</t>
  </si>
  <si>
    <t>Produit 2.2: Les jeunes femmes et hommes, les femmes ainsi que les autres acteurs communautaires sensibilisés promeuvent et contribuent à la résolution pacifique des conflits intercommunautaire, le brassage intercommunautaire en vue de la consolidation de la paix et affirment leur leadership</t>
  </si>
  <si>
    <t>Produit 2.1: Les acteurs locaux, les jeunes femmes et des hommes, les femmes ont des compétences davantage accrues pour promouvoir un dialogue constructif, une participation inclusive aux mécanismes de gouvernance locale, de prévention et de résolution de conflits.</t>
  </si>
  <si>
    <t>Produit 1.1: L’opérationnalisation des résolutions 1325-2250 et des stratégies nationale du Genre et de la jeunes favorisent la participation des jeunes,  femmes et hommes y compris des personnes déplacées à la gouvernance locale, à l’accès à la justice et au processus de consolidation de la paix à N’Djaména et dans la région du Lac.</t>
  </si>
  <si>
    <t>Produit 1.3: La gouvernance locale, l’Etat de droit et la cohésion sociale est améliorée à N’Djamena et dans la région du Lac par des instances de dialogues communautaires qui fonctionnent de manière participative, inclusive et dans le respect de l’équité et des droits fondamentaux de l’homme</t>
  </si>
  <si>
    <t>Résultat 3- La coordination et communication autour du portefeuille PBF facilite l’atteinte des résultats attendus, à travers une orientation stratégique et un cadre de suivi et évaluation renforcés.</t>
  </si>
  <si>
    <t>Produit 3.1 : L’unité de coordination du Fonds est opérationnelle et les partenaires nationaux, partenaires d’exécution et les bénéficiaires sont mieux familiarisés avec les acquis des projets PBF</t>
  </si>
  <si>
    <t>Produit 3.2 : Le suivi et l’évaluation du portefeuille PBF est efficace et facilite l’atteinte des résultats attendus des interventions financés par le PBF.</t>
  </si>
  <si>
    <t xml:space="preserve">Appuyer la mise en place des bureaux d'aide juridique et l'assistance judiciaire pour l'accompagnement des jeunes hommes, femmes âgées de 15 à 35 ans, femmes rurales et vulnérables (déplacées, retournées et refugiées) pour l’accès à leurs droits dans les systèmes de justice formels et informels existants. </t>
  </si>
  <si>
    <t>Former les jeunes femmes et hommes sur les processus et procédures de participation au fonctionnement des organes décentralisés (Mairie, conseil régional)</t>
  </si>
  <si>
    <t>Organiser une compétition communale des organisations à base communautaire pour des actions de cohésion sociale et de gouvernance locale</t>
  </si>
  <si>
    <t>Activite 1.2.5:</t>
  </si>
  <si>
    <t>Appui à la tenue des audiences foraines en matière de délivrance des actes de naissance pour promouvoir le droit à la nationalité</t>
  </si>
  <si>
    <t xml:space="preserve">SOUS TOTAL DU BUDGET DE PROJET:  </t>
  </si>
  <si>
    <t xml:space="preserve">BUDGET TOTAL DU PROJET:  </t>
  </si>
  <si>
    <t>Activite 1.3.4:</t>
  </si>
  <si>
    <t xml:space="preserve">Renforcer les capacités des leaders communautaires, mouvements et organisations des femmes et des jeunes en plaidoyer public en vue de leur participation croissante dans les processus et instances de gouvernance locale. </t>
  </si>
  <si>
    <t xml:space="preserve"> Appui au dialogue intergenerationnel sur l'egalite du genre et la consolidation de la paix, la masculinite et le leadership ( debats radio, atelier sur le mentorat, partage d'experience entre les organisations des hommes et jeunes</t>
  </si>
  <si>
    <t>Activite 2.2.4:</t>
  </si>
  <si>
    <t>Produit 1.2: Les leaders de la société civile, les jeunes femmes et hommes y compris les femmes connaissent les processus et procédures légales de participation citoyenne et engagent des initiatives pour la cohésion sociale et à la prise de décision au sein des espaces de gouvernance locale à N’djaména, à Moundou et dans la région du Lac.</t>
  </si>
  <si>
    <t>Appuyer la redynamisation et/ou la mise en place des clubs des jeunes « acteurs de la paix  et comite de paix dans  les différents centres de lecture et d’animation culturelle  et lycees, les jeunes leders des partis politiques</t>
  </si>
  <si>
    <t>Appuyer la sensibilisation à travers les émissions radios des jeunes hommes, femmes âgées de 15 à 35 ans, femmes rurales et vulnérables (déplacées, retournées et refugiées) sur la coexistence pacifique et le recours à la justice et le respect des droits humains</t>
  </si>
  <si>
    <t>Activite 1.1.3:</t>
  </si>
  <si>
    <t>Activite 1.1.4 :</t>
  </si>
  <si>
    <t>Activite 1.2.3:</t>
  </si>
  <si>
    <t>Total Produit 1,1</t>
  </si>
  <si>
    <t>Activite 3.3.3</t>
  </si>
  <si>
    <t xml:space="preserve">Produit 3.3 : Une communication efficace est assurée autour des résultats obtenus par les projets et la visibilité de PBF est assurée au Tchad auprès des bailleurs de fonds, des bénéficiaires et des partenaires techniques et financiers. </t>
  </si>
  <si>
    <t>Total Produit 3</t>
  </si>
  <si>
    <t>OHCHR</t>
  </si>
  <si>
    <t>Mise en place de U_Report pour echange entre les jeunes sur la citoyennete et la cohesion sociale; organisation  des journée d'information sur les conditions de particpation aux élections législatives locales et communales</t>
  </si>
  <si>
    <t>Communication</t>
  </si>
  <si>
    <t>Activite 1.2.2:</t>
  </si>
  <si>
    <t>Activite 1.2.4:</t>
  </si>
  <si>
    <t>Total Produit 1.2</t>
  </si>
  <si>
    <t>Total Produit 1.3</t>
  </si>
  <si>
    <t>Activite 2.1.4</t>
  </si>
  <si>
    <t>Total Produit 2.1</t>
  </si>
  <si>
    <t>Total Produit 2.2</t>
  </si>
  <si>
    <t>N/A</t>
  </si>
  <si>
    <t xml:space="preserve">Recrutement d'un Staff International P3 et d'un VNU national M&amp;E/communication, chauffeur, equipement de bureau </t>
  </si>
  <si>
    <t xml:space="preserve">Equipements et achats </t>
  </si>
  <si>
    <t>PAM</t>
  </si>
  <si>
    <t>Niveau de dépense actuel  HCDH</t>
  </si>
  <si>
    <t>Niveau de dépense actuel UNICEF</t>
  </si>
  <si>
    <t>Niveau de dépense actuel PNUD</t>
  </si>
  <si>
    <t>Niveau de dépense actuel PAM</t>
  </si>
  <si>
    <t>Depenses/engagements</t>
  </si>
  <si>
    <t>Tranche 1
(70%)
Pro Doc</t>
  </si>
  <si>
    <t>Tranche 1 (70%)
Révision</t>
  </si>
  <si>
    <t>Tranche 2 (30%) 
Pro Doc</t>
  </si>
  <si>
    <t>Tranche 2 (30%)
Révision</t>
  </si>
  <si>
    <t>TOTAL (T1+T2)
Pro Doc</t>
  </si>
  <si>
    <t>Reversement d'une partie du budget par le partenaire de mise en oeuvre du fait de la pandémie de COVID- 19</t>
  </si>
  <si>
    <t xml:space="preserve">Suivi-évaluation </t>
  </si>
  <si>
    <t>Communication PBF</t>
  </si>
  <si>
    <t>1 staff NOB C4D Education
1 staff C4D NOB Com Strat
1 staff NOB Protection
1 staff GS5 Assistant administratif</t>
  </si>
  <si>
    <t xml:space="preserve">Mission de suivi-Evaluation et Evaluation finale du projet </t>
  </si>
  <si>
    <t>Total 
(T1 +T2)
Révision</t>
  </si>
  <si>
    <r>
      <t xml:space="preserve">Niveau de depense/ engagement actuel en USD total de 4 agences </t>
    </r>
    <r>
      <rPr>
        <sz val="9"/>
        <color theme="1"/>
        <rFont val="Times New Roman"/>
        <family val="1"/>
      </rPr>
      <t>(a remplir au moment des rapports de projet)</t>
    </r>
  </si>
  <si>
    <r>
      <t xml:space="preserve">Notes quelconque le cas echeant </t>
    </r>
    <r>
      <rPr>
        <sz val="9"/>
        <color theme="1"/>
        <rFont val="Times New Roman"/>
        <family val="1"/>
      </rPr>
      <t>(e.g sur types des entrants ou justification du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</si>
</sst>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 &quot;€&quot;_-;\-* #,##0.00\ &quot;€&quot;_-;_-* &quot;-&quot;??\ &quot;€&quot;_-;_-@_-"/>
    <numFmt numFmtId="165" formatCode="_-* #,##0.00\ _€_-;\-* #,##0.00\ _€_-;_-* &quot;-&quot;??\ _€_-;_-@_-"/>
    <numFmt numFmtId="166" formatCode="&quot;$&quot;#,##0.00"/>
    <numFmt numFmtId="167" formatCode="_-[$$-409]* #,##0_ ;_-[$$-409]* \-#,##0\ ;_-[$$-409]* &quot;-&quot;_ ;_-@_ "/>
    <numFmt numFmtId="168" formatCode="_([$$-409]* #,##0.00_);_([$$-409]* \(#,##0.00\);_([$$-409]* &quot;-&quot;??_);_(@_)"/>
    <numFmt numFmtId="170" formatCode="[$$-409]#,##0"/>
    <numFmt numFmtId="171" formatCode="[$$-409]#,##0.00"/>
  </numFmts>
  <fonts count="26" x14ac:knownFonts="1">
    <font>
      <sz val="11"/>
      <color theme="1"/>
      <name val="Calibri"/>
      <family val="2"/>
      <scheme val="minor"/>
    </font>
    <font>
      <b/>
      <sz val="11"/>
      <name val="Times New Roman"/>
      <family val="1"/>
    </font>
    <font>
      <sz val="8"/>
      <name val="Calibri"/>
      <family val="2"/>
    </font>
    <font>
      <sz val="9"/>
      <name val="Times New Roman"/>
      <family val="1"/>
    </font>
    <font>
      <b/>
      <sz val="9"/>
      <name val="Times New Roman"/>
      <family val="1"/>
    </font>
    <font>
      <sz val="9"/>
      <color indexed="81"/>
      <name val="Tahoma"/>
      <family val="2"/>
    </font>
    <font>
      <b/>
      <sz val="9"/>
      <color indexed="81"/>
      <name val="Tahoma"/>
      <family val="2"/>
    </font>
    <font>
      <sz val="11"/>
      <name val="Times New Roman"/>
      <family val="1"/>
    </font>
    <font>
      <sz val="11"/>
      <color theme="1"/>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sz val="11"/>
      <color theme="1"/>
      <name val="Times New Roman"/>
      <family val="1"/>
    </font>
    <font>
      <b/>
      <sz val="11"/>
      <color theme="1"/>
      <name val="Times New Roman"/>
      <family val="1"/>
    </font>
    <font>
      <sz val="9"/>
      <color theme="1"/>
      <name val="Times New Roman"/>
      <family val="1"/>
    </font>
    <font>
      <sz val="9"/>
      <color rgb="FFFF0000"/>
      <name val="Times New Roman"/>
      <family val="1"/>
    </font>
    <font>
      <sz val="11"/>
      <color rgb="FF000000"/>
      <name val="Times New Roman"/>
      <family val="1"/>
    </font>
    <font>
      <b/>
      <sz val="11"/>
      <color rgb="FFFF0000"/>
      <name val="Times New Roman"/>
      <family val="1"/>
    </font>
    <font>
      <b/>
      <sz val="16"/>
      <color theme="1"/>
      <name val="Times New Roman"/>
      <family val="1"/>
    </font>
    <font>
      <b/>
      <sz val="12"/>
      <color theme="1"/>
      <name val="Times New Roman"/>
      <family val="1"/>
    </font>
    <font>
      <b/>
      <sz val="9"/>
      <color theme="1"/>
      <name val="Times New Roman"/>
      <family val="1"/>
    </font>
    <font>
      <b/>
      <sz val="9"/>
      <color rgb="FFFF0000"/>
      <name val="Times New Roman"/>
      <family val="1"/>
    </font>
    <font>
      <b/>
      <sz val="10"/>
      <color theme="1"/>
      <name val="Times New Roman"/>
      <family val="1"/>
    </font>
    <font>
      <sz val="11"/>
      <color rgb="FFFF0000"/>
      <name val="Times New Roman"/>
      <family val="1"/>
    </font>
    <font>
      <sz val="9"/>
      <color indexed="81"/>
      <name val="Tahoma"/>
      <charset val="1"/>
    </font>
    <font>
      <b/>
      <sz val="9"/>
      <color indexed="81"/>
      <name val="Tahoma"/>
      <charset val="1"/>
    </font>
  </fonts>
  <fills count="1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rgb="FFB3B3B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00B0F0"/>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2"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176">
    <xf numFmtId="0" fontId="0" fillId="0" borderId="0" xfId="0"/>
    <xf numFmtId="0" fontId="12" fillId="2" borderId="1" xfId="0" applyFont="1" applyFill="1" applyBorder="1" applyAlignment="1">
      <alignment horizontal="left" vertical="top" wrapText="1"/>
    </xf>
    <xf numFmtId="0" fontId="12" fillId="2" borderId="8" xfId="0" applyFont="1" applyFill="1" applyBorder="1" applyAlignment="1">
      <alignment horizontal="left" vertical="top" wrapText="1"/>
    </xf>
    <xf numFmtId="0" fontId="16" fillId="0" borderId="8" xfId="0" applyFont="1" applyBorder="1" applyAlignment="1">
      <alignment horizontal="left" vertical="top" wrapText="1"/>
    </xf>
    <xf numFmtId="0" fontId="12" fillId="0" borderId="8" xfId="0" applyFont="1" applyBorder="1" applyAlignment="1">
      <alignment horizontal="left"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3" fillId="10" borderId="13" xfId="0" applyFont="1" applyFill="1" applyBorder="1" applyAlignment="1">
      <alignment horizontal="center" vertical="top" wrapText="1"/>
    </xf>
    <xf numFmtId="0" fontId="13" fillId="8" borderId="13" xfId="0" applyFont="1" applyFill="1" applyBorder="1" applyAlignment="1">
      <alignment horizontal="center" vertical="top" wrapText="1"/>
    </xf>
    <xf numFmtId="0" fontId="13" fillId="11" borderId="13" xfId="0" applyFont="1" applyFill="1" applyBorder="1" applyAlignment="1">
      <alignment horizontal="center" vertical="top" wrapText="1"/>
    </xf>
    <xf numFmtId="0" fontId="13" fillId="12" borderId="13" xfId="0" applyFont="1" applyFill="1" applyBorder="1" applyAlignment="1">
      <alignment horizontal="center" vertical="top" wrapText="1"/>
    </xf>
    <xf numFmtId="0" fontId="13" fillId="9" borderId="13" xfId="0" applyFont="1" applyFill="1" applyBorder="1" applyAlignment="1">
      <alignment horizontal="center" vertical="top" wrapText="1"/>
    </xf>
    <xf numFmtId="0" fontId="12" fillId="0" borderId="14" xfId="0" applyFont="1" applyBorder="1" applyAlignment="1">
      <alignment horizontal="center" vertical="top" wrapText="1"/>
    </xf>
    <xf numFmtId="0" fontId="12" fillId="2" borderId="7" xfId="0" applyFont="1" applyFill="1" applyBorder="1" applyAlignment="1">
      <alignment horizontal="left" vertical="top" wrapText="1"/>
    </xf>
    <xf numFmtId="0" fontId="7" fillId="2" borderId="1"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2" borderId="1" xfId="0" applyFont="1" applyFill="1" applyBorder="1" applyAlignment="1">
      <alignment horizontal="left" vertical="top"/>
    </xf>
    <xf numFmtId="0" fontId="12" fillId="3" borderId="8" xfId="0" applyFont="1"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xf>
    <xf numFmtId="0" fontId="0" fillId="0" borderId="0" xfId="0" applyFont="1" applyAlignment="1">
      <alignment horizontal="left" vertical="top"/>
    </xf>
    <xf numFmtId="3" fontId="0" fillId="2" borderId="0" xfId="0" applyNumberFormat="1" applyFont="1" applyFill="1" applyAlignment="1">
      <alignment horizontal="left" vertical="top"/>
    </xf>
    <xf numFmtId="0" fontId="0" fillId="2" borderId="0" xfId="0" applyFont="1" applyFill="1" applyAlignment="1">
      <alignment horizontal="left" vertical="top"/>
    </xf>
    <xf numFmtId="0" fontId="0" fillId="13" borderId="0" xfId="0" applyFont="1" applyFill="1" applyAlignment="1">
      <alignment horizontal="left" vertical="top"/>
    </xf>
    <xf numFmtId="0" fontId="13" fillId="3" borderId="7" xfId="0" applyFont="1" applyFill="1" applyBorder="1" applyAlignment="1">
      <alignment horizontal="left" vertical="top" wrapText="1"/>
    </xf>
    <xf numFmtId="0" fontId="7" fillId="2" borderId="7" xfId="0" applyFont="1" applyFill="1" applyBorder="1" applyAlignment="1">
      <alignment horizontal="left" vertical="top" wrapText="1"/>
    </xf>
    <xf numFmtId="0" fontId="1" fillId="2" borderId="7" xfId="0" applyFont="1" applyFill="1" applyBorder="1" applyAlignment="1">
      <alignment horizontal="left" vertical="top" wrapText="1"/>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13" fillId="3" borderId="20" xfId="0" applyFont="1" applyFill="1" applyBorder="1" applyAlignment="1">
      <alignment horizontal="left" vertical="top" wrapText="1"/>
    </xf>
    <xf numFmtId="0" fontId="13" fillId="3" borderId="21"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12" fillId="0" borderId="7" xfId="0" applyFont="1" applyBorder="1" applyAlignment="1">
      <alignment horizontal="left" vertical="top" wrapText="1"/>
    </xf>
    <xf numFmtId="0" fontId="12" fillId="2" borderId="21" xfId="0" applyFont="1" applyFill="1" applyBorder="1" applyAlignment="1">
      <alignment horizontal="left" vertical="top" wrapText="1"/>
    </xf>
    <xf numFmtId="0" fontId="0" fillId="0" borderId="0" xfId="0" applyFont="1" applyFill="1" applyAlignment="1">
      <alignment horizontal="left" vertical="top"/>
    </xf>
    <xf numFmtId="0" fontId="0" fillId="9" borderId="0" xfId="0" applyFont="1" applyFill="1" applyAlignment="1">
      <alignment horizontal="left" vertical="top"/>
    </xf>
    <xf numFmtId="0" fontId="17" fillId="2" borderId="8" xfId="0" applyFont="1" applyFill="1" applyBorder="1" applyAlignment="1">
      <alignment horizontal="left" vertical="top" wrapText="1"/>
    </xf>
    <xf numFmtId="0" fontId="0" fillId="14" borderId="0" xfId="0" applyFont="1" applyFill="1" applyAlignment="1">
      <alignment horizontal="left" vertical="top"/>
    </xf>
    <xf numFmtId="0" fontId="12" fillId="15" borderId="8" xfId="0" applyFont="1" applyFill="1" applyBorder="1" applyAlignment="1">
      <alignment horizontal="left" vertical="top" wrapText="1"/>
    </xf>
    <xf numFmtId="0" fontId="13"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168" fontId="0" fillId="0" borderId="0" xfId="0" applyNumberFormat="1" applyFont="1" applyAlignment="1">
      <alignment horizontal="left" vertical="top"/>
    </xf>
    <xf numFmtId="0" fontId="13" fillId="6" borderId="9" xfId="0" applyFont="1" applyFill="1" applyBorder="1" applyAlignment="1">
      <alignment horizontal="left" vertical="top" wrapText="1"/>
    </xf>
    <xf numFmtId="0" fontId="13" fillId="6" borderId="11" xfId="0" applyFont="1" applyFill="1" applyBorder="1" applyAlignment="1">
      <alignment horizontal="left" vertical="top" wrapText="1"/>
    </xf>
    <xf numFmtId="165" fontId="9" fillId="0" borderId="0" xfId="1" applyFont="1" applyAlignment="1">
      <alignment horizontal="left" vertical="top"/>
    </xf>
    <xf numFmtId="168" fontId="0" fillId="0" borderId="0" xfId="0" applyNumberForma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12" fillId="0" borderId="0" xfId="0" applyFont="1" applyAlignment="1">
      <alignment horizontal="left" vertical="top"/>
    </xf>
    <xf numFmtId="9" fontId="12" fillId="2" borderId="1" xfId="3" applyNumberFormat="1" applyFont="1" applyFill="1" applyBorder="1" applyAlignment="1">
      <alignment horizontal="right" vertical="top" wrapText="1"/>
    </xf>
    <xf numFmtId="9" fontId="12" fillId="0" borderId="1" xfId="3" applyNumberFormat="1" applyFont="1" applyBorder="1" applyAlignment="1">
      <alignment horizontal="right" vertical="top" wrapText="1"/>
    </xf>
    <xf numFmtId="9" fontId="12" fillId="0" borderId="1" xfId="0" applyNumberFormat="1" applyFont="1" applyBorder="1" applyAlignment="1">
      <alignment horizontal="right" vertical="top" wrapText="1"/>
    </xf>
    <xf numFmtId="0" fontId="13" fillId="3" borderId="1" xfId="0" applyFont="1" applyFill="1" applyBorder="1" applyAlignment="1">
      <alignment horizontal="right" vertical="top" wrapText="1"/>
    </xf>
    <xf numFmtId="0" fontId="12" fillId="0" borderId="1" xfId="0" applyFont="1" applyBorder="1" applyAlignment="1">
      <alignment horizontal="right" vertical="top" wrapText="1"/>
    </xf>
    <xf numFmtId="9" fontId="7" fillId="2" borderId="1" xfId="3" applyNumberFormat="1" applyFont="1" applyFill="1" applyBorder="1" applyAlignment="1">
      <alignment horizontal="right" vertical="top" wrapText="1"/>
    </xf>
    <xf numFmtId="0" fontId="12" fillId="3" borderId="1" xfId="0" applyFont="1" applyFill="1" applyBorder="1" applyAlignment="1">
      <alignment horizontal="right" vertical="top" wrapText="1"/>
    </xf>
    <xf numFmtId="9" fontId="12" fillId="2" borderId="1" xfId="2" applyNumberFormat="1" applyFont="1" applyFill="1" applyBorder="1" applyAlignment="1">
      <alignment horizontal="right" vertical="top" wrapText="1"/>
    </xf>
    <xf numFmtId="0" fontId="12" fillId="3" borderId="2" xfId="0" applyFont="1" applyFill="1" applyBorder="1" applyAlignment="1">
      <alignment horizontal="right" vertical="top" wrapText="1"/>
    </xf>
    <xf numFmtId="9" fontId="12" fillId="2" borderId="1" xfId="0" applyNumberFormat="1" applyFont="1" applyFill="1" applyBorder="1" applyAlignment="1">
      <alignment horizontal="right" vertical="top" wrapText="1"/>
    </xf>
    <xf numFmtId="0" fontId="13" fillId="6" borderId="1" xfId="0" applyFont="1" applyFill="1" applyBorder="1" applyAlignment="1">
      <alignment horizontal="right" vertical="top" wrapText="1"/>
    </xf>
    <xf numFmtId="0" fontId="12" fillId="6" borderId="1" xfId="0" applyFont="1" applyFill="1" applyBorder="1" applyAlignment="1">
      <alignment horizontal="right" vertical="top" wrapText="1"/>
    </xf>
    <xf numFmtId="0" fontId="13" fillId="6" borderId="10" xfId="0" applyFont="1" applyFill="1" applyBorder="1" applyAlignment="1">
      <alignment horizontal="right" vertical="top" wrapText="1"/>
    </xf>
    <xf numFmtId="9" fontId="12" fillId="15" borderId="1" xfId="0" applyNumberFormat="1" applyFont="1" applyFill="1" applyBorder="1" applyAlignment="1">
      <alignment horizontal="right" vertical="top" wrapText="1"/>
    </xf>
    <xf numFmtId="0" fontId="13" fillId="3" borderId="2" xfId="0" applyFont="1" applyFill="1" applyBorder="1" applyAlignment="1">
      <alignment horizontal="right" vertical="top" wrapText="1"/>
    </xf>
    <xf numFmtId="170" fontId="12" fillId="2" borderId="1" xfId="2" applyNumberFormat="1" applyFont="1" applyFill="1" applyBorder="1" applyAlignment="1">
      <alignment horizontal="right" vertical="top" wrapText="1"/>
    </xf>
    <xf numFmtId="170" fontId="13" fillId="3" borderId="1" xfId="2" applyNumberFormat="1" applyFont="1" applyFill="1" applyBorder="1" applyAlignment="1">
      <alignment horizontal="right" vertical="top" wrapText="1"/>
    </xf>
    <xf numFmtId="170" fontId="13" fillId="3" borderId="1" xfId="0" applyNumberFormat="1" applyFont="1" applyFill="1" applyBorder="1" applyAlignment="1">
      <alignment horizontal="right" vertical="top" wrapText="1"/>
    </xf>
    <xf numFmtId="170" fontId="12" fillId="0" borderId="1" xfId="0" applyNumberFormat="1" applyFont="1" applyBorder="1" applyAlignment="1">
      <alignment horizontal="right" vertical="top" wrapText="1"/>
    </xf>
    <xf numFmtId="170" fontId="12" fillId="9" borderId="1" xfId="0" applyNumberFormat="1" applyFont="1" applyFill="1" applyBorder="1" applyAlignment="1">
      <alignment horizontal="right" vertical="top" wrapText="1"/>
    </xf>
    <xf numFmtId="170" fontId="13" fillId="9" borderId="1" xfId="0" applyNumberFormat="1" applyFont="1" applyFill="1" applyBorder="1" applyAlignment="1">
      <alignment horizontal="right" vertical="top" wrapText="1"/>
    </xf>
    <xf numFmtId="170" fontId="13" fillId="9" borderId="1" xfId="1" applyNumberFormat="1" applyFont="1" applyFill="1" applyBorder="1" applyAlignment="1">
      <alignment horizontal="right" vertical="top" wrapText="1"/>
    </xf>
    <xf numFmtId="170" fontId="12" fillId="2" borderId="1" xfId="2" applyNumberFormat="1" applyFont="1" applyFill="1" applyBorder="1" applyAlignment="1">
      <alignment vertical="top" wrapText="1"/>
    </xf>
    <xf numFmtId="170" fontId="1" fillId="2" borderId="1" xfId="0" applyNumberFormat="1" applyFont="1" applyFill="1" applyBorder="1" applyAlignment="1">
      <alignment vertical="top" wrapText="1"/>
    </xf>
    <xf numFmtId="170" fontId="12" fillId="0" borderId="1" xfId="0" applyNumberFormat="1" applyFont="1" applyBorder="1" applyAlignment="1">
      <alignment vertical="top" wrapText="1"/>
    </xf>
    <xf numFmtId="170" fontId="12" fillId="9" borderId="1" xfId="0" applyNumberFormat="1" applyFont="1" applyFill="1" applyBorder="1" applyAlignment="1">
      <alignment vertical="top" wrapText="1"/>
    </xf>
    <xf numFmtId="170" fontId="13" fillId="9" borderId="1" xfId="1" applyNumberFormat="1" applyFont="1" applyFill="1" applyBorder="1" applyAlignment="1">
      <alignment vertical="top" wrapText="1"/>
    </xf>
    <xf numFmtId="170" fontId="13" fillId="3" borderId="2" xfId="0" applyNumberFormat="1" applyFont="1" applyFill="1" applyBorder="1" applyAlignment="1">
      <alignment horizontal="right" vertical="top" wrapText="1"/>
    </xf>
    <xf numFmtId="170" fontId="1" fillId="3" borderId="1" xfId="0" applyNumberFormat="1" applyFont="1" applyFill="1" applyBorder="1" applyAlignment="1">
      <alignment horizontal="left" vertical="top" wrapText="1"/>
    </xf>
    <xf numFmtId="170" fontId="13" fillId="9" borderId="2" xfId="1" applyNumberFormat="1" applyFont="1" applyFill="1" applyBorder="1" applyAlignment="1">
      <alignment horizontal="right" vertical="top" wrapText="1"/>
    </xf>
    <xf numFmtId="170" fontId="1" fillId="3" borderId="1" xfId="0" applyNumberFormat="1" applyFont="1" applyFill="1" applyBorder="1" applyAlignment="1">
      <alignment horizontal="right" vertical="top" wrapText="1"/>
    </xf>
    <xf numFmtId="170" fontId="7" fillId="2" borderId="1" xfId="2" applyNumberFormat="1" applyFont="1" applyFill="1" applyBorder="1" applyAlignment="1">
      <alignment horizontal="right" vertical="top" wrapText="1"/>
    </xf>
    <xf numFmtId="170" fontId="7" fillId="0" borderId="1" xfId="0" applyNumberFormat="1" applyFont="1" applyBorder="1" applyAlignment="1">
      <alignment horizontal="right" vertical="top" wrapText="1"/>
    </xf>
    <xf numFmtId="170" fontId="7" fillId="9" borderId="1" xfId="0" applyNumberFormat="1" applyFont="1" applyFill="1" applyBorder="1" applyAlignment="1">
      <alignment horizontal="right" vertical="top" wrapText="1"/>
    </xf>
    <xf numFmtId="170" fontId="13" fillId="3" borderId="1" xfId="0" applyNumberFormat="1" applyFont="1" applyFill="1" applyBorder="1" applyAlignment="1">
      <alignment vertical="top" wrapText="1"/>
    </xf>
    <xf numFmtId="170" fontId="13" fillId="3" borderId="2" xfId="0" applyNumberFormat="1" applyFont="1" applyFill="1" applyBorder="1" applyAlignment="1">
      <alignment vertical="top" wrapText="1"/>
    </xf>
    <xf numFmtId="170" fontId="1" fillId="3" borderId="1" xfId="0" applyNumberFormat="1" applyFont="1" applyFill="1" applyBorder="1" applyAlignment="1">
      <alignment vertical="top" wrapText="1"/>
    </xf>
    <xf numFmtId="170" fontId="13" fillId="9" borderId="1" xfId="0" applyNumberFormat="1" applyFont="1" applyFill="1" applyBorder="1" applyAlignment="1">
      <alignment vertical="top" wrapText="1"/>
    </xf>
    <xf numFmtId="170" fontId="13" fillId="9" borderId="2" xfId="1" applyNumberFormat="1" applyFont="1" applyFill="1" applyBorder="1" applyAlignment="1">
      <alignment vertical="top" wrapText="1"/>
    </xf>
    <xf numFmtId="170" fontId="12" fillId="15" borderId="1" xfId="0" applyNumberFormat="1" applyFont="1" applyFill="1" applyBorder="1" applyAlignment="1">
      <alignment horizontal="right" vertical="top" wrapText="1"/>
    </xf>
    <xf numFmtId="170" fontId="13" fillId="6" borderId="1" xfId="0" applyNumberFormat="1" applyFont="1" applyFill="1" applyBorder="1" applyAlignment="1">
      <alignment horizontal="right" vertical="top" wrapText="1"/>
    </xf>
    <xf numFmtId="170" fontId="13" fillId="6" borderId="10" xfId="0" applyNumberFormat="1" applyFont="1" applyFill="1" applyBorder="1" applyAlignment="1">
      <alignment horizontal="right" vertical="top" wrapText="1"/>
    </xf>
    <xf numFmtId="170" fontId="13" fillId="9" borderId="10" xfId="0" applyNumberFormat="1" applyFont="1" applyFill="1" applyBorder="1" applyAlignment="1">
      <alignment horizontal="right" vertical="top" wrapText="1"/>
    </xf>
    <xf numFmtId="170" fontId="12" fillId="2" borderId="1" xfId="0" applyNumberFormat="1" applyFont="1" applyFill="1" applyBorder="1" applyAlignment="1">
      <alignment horizontal="right" vertical="top" wrapText="1"/>
    </xf>
    <xf numFmtId="170" fontId="12" fillId="0" borderId="1" xfId="0" applyNumberFormat="1" applyFont="1" applyFill="1" applyBorder="1" applyAlignment="1">
      <alignment horizontal="right" vertical="top" wrapText="1"/>
    </xf>
    <xf numFmtId="170" fontId="13" fillId="2" borderId="1" xfId="0" applyNumberFormat="1" applyFont="1" applyFill="1" applyBorder="1" applyAlignment="1">
      <alignment horizontal="right" vertical="top" wrapText="1"/>
    </xf>
    <xf numFmtId="0" fontId="19"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20" fillId="7" borderId="5" xfId="0" applyFont="1" applyFill="1" applyBorder="1" applyAlignment="1">
      <alignment horizontal="center" vertical="top" wrapText="1"/>
    </xf>
    <xf numFmtId="0" fontId="20" fillId="4" borderId="10" xfId="0" applyFont="1" applyFill="1" applyBorder="1" applyAlignment="1">
      <alignment horizontal="center" vertical="top" wrapText="1"/>
    </xf>
    <xf numFmtId="0" fontId="21" fillId="9" borderId="10" xfId="0" applyFont="1" applyFill="1" applyBorder="1" applyAlignment="1">
      <alignment horizontal="center" vertical="top" wrapText="1"/>
    </xf>
    <xf numFmtId="0" fontId="13" fillId="8" borderId="10" xfId="0" applyFont="1" applyFill="1" applyBorder="1" applyAlignment="1">
      <alignment horizontal="center" vertical="top"/>
    </xf>
    <xf numFmtId="0" fontId="22" fillId="8" borderId="10" xfId="0" applyFont="1" applyFill="1" applyBorder="1" applyAlignment="1">
      <alignment horizontal="center" vertical="top"/>
    </xf>
    <xf numFmtId="0" fontId="13" fillId="8" borderId="11" xfId="0" applyFont="1" applyFill="1" applyBorder="1" applyAlignment="1">
      <alignment horizontal="center" vertical="top"/>
    </xf>
    <xf numFmtId="0" fontId="14" fillId="0" borderId="15" xfId="0" applyFont="1" applyBorder="1" applyAlignment="1">
      <alignment vertical="top" wrapText="1"/>
    </xf>
    <xf numFmtId="170" fontId="3" fillId="0" borderId="3" xfId="0" applyNumberFormat="1" applyFont="1" applyBorder="1" applyAlignment="1">
      <alignment horizontal="right" vertical="top" wrapText="1"/>
    </xf>
    <xf numFmtId="170" fontId="15" fillId="9" borderId="3" xfId="0" applyNumberFormat="1" applyFont="1" applyFill="1" applyBorder="1" applyAlignment="1">
      <alignment horizontal="right" vertical="top" wrapText="1"/>
    </xf>
    <xf numFmtId="170" fontId="14" fillId="0" borderId="3" xfId="0" applyNumberFormat="1" applyFont="1" applyBorder="1" applyAlignment="1">
      <alignment horizontal="right" vertical="top" wrapText="1"/>
    </xf>
    <xf numFmtId="170" fontId="14" fillId="0" borderId="16" xfId="0" applyNumberFormat="1" applyFont="1" applyBorder="1" applyAlignment="1">
      <alignment horizontal="right" vertical="top" wrapText="1"/>
    </xf>
    <xf numFmtId="0" fontId="14" fillId="0" borderId="7" xfId="0" applyFont="1" applyBorder="1" applyAlignment="1">
      <alignment vertical="top" wrapText="1"/>
    </xf>
    <xf numFmtId="170" fontId="3" fillId="0" borderId="1" xfId="0" applyNumberFormat="1" applyFont="1" applyBorder="1" applyAlignment="1">
      <alignment horizontal="right" vertical="top" wrapText="1"/>
    </xf>
    <xf numFmtId="170" fontId="15" fillId="9" borderId="1" xfId="0" applyNumberFormat="1" applyFont="1" applyFill="1" applyBorder="1" applyAlignment="1">
      <alignment horizontal="right" vertical="top" wrapText="1"/>
    </xf>
    <xf numFmtId="170" fontId="14" fillId="0" borderId="1" xfId="0" applyNumberFormat="1" applyFont="1" applyBorder="1" applyAlignment="1">
      <alignment horizontal="right" vertical="top" wrapText="1"/>
    </xf>
    <xf numFmtId="170" fontId="14" fillId="0" borderId="8" xfId="0" applyNumberFormat="1" applyFont="1" applyBorder="1" applyAlignment="1">
      <alignment horizontal="right" vertical="top" wrapText="1"/>
    </xf>
    <xf numFmtId="170" fontId="3" fillId="9" borderId="1" xfId="0" applyNumberFormat="1" applyFont="1" applyFill="1" applyBorder="1" applyAlignment="1">
      <alignment horizontal="right" vertical="top" wrapText="1"/>
    </xf>
    <xf numFmtId="170" fontId="14" fillId="0" borderId="1" xfId="0" applyNumberFormat="1" applyFont="1" applyBorder="1" applyAlignment="1">
      <alignment horizontal="right" vertical="top"/>
    </xf>
    <xf numFmtId="0" fontId="14" fillId="0" borderId="20" xfId="0" applyFont="1" applyBorder="1" applyAlignment="1">
      <alignment vertical="top" wrapText="1"/>
    </xf>
    <xf numFmtId="170" fontId="3" fillId="0" borderId="2" xfId="0" applyNumberFormat="1" applyFont="1" applyBorder="1" applyAlignment="1">
      <alignment horizontal="right" vertical="top" wrapText="1"/>
    </xf>
    <xf numFmtId="170" fontId="15" fillId="9" borderId="2" xfId="0" applyNumberFormat="1" applyFont="1" applyFill="1" applyBorder="1" applyAlignment="1">
      <alignment horizontal="right" vertical="top" wrapText="1"/>
    </xf>
    <xf numFmtId="170" fontId="14" fillId="0" borderId="2" xfId="0" applyNumberFormat="1" applyFont="1" applyBorder="1" applyAlignment="1">
      <alignment horizontal="right" vertical="top" wrapText="1"/>
    </xf>
    <xf numFmtId="170" fontId="14" fillId="0" borderId="21" xfId="0" applyNumberFormat="1" applyFont="1" applyBorder="1" applyAlignment="1">
      <alignment horizontal="right" vertical="top" wrapText="1"/>
    </xf>
    <xf numFmtId="0" fontId="20" fillId="5" borderId="17" xfId="0" applyFont="1" applyFill="1" applyBorder="1" applyAlignment="1">
      <alignment vertical="top" wrapText="1"/>
    </xf>
    <xf numFmtId="170" fontId="4" fillId="5" borderId="18" xfId="0" applyNumberFormat="1" applyFont="1" applyFill="1" applyBorder="1" applyAlignment="1">
      <alignment horizontal="right" vertical="top" wrapText="1"/>
    </xf>
    <xf numFmtId="170" fontId="4" fillId="9" borderId="18" xfId="0" applyNumberFormat="1" applyFont="1" applyFill="1" applyBorder="1" applyAlignment="1">
      <alignment horizontal="right" vertical="top" wrapText="1"/>
    </xf>
    <xf numFmtId="170" fontId="14" fillId="6" borderId="18" xfId="0" applyNumberFormat="1" applyFont="1" applyFill="1" applyBorder="1" applyAlignment="1">
      <alignment horizontal="right" vertical="top"/>
    </xf>
    <xf numFmtId="170" fontId="14" fillId="6" borderId="19" xfId="0" applyNumberFormat="1" applyFont="1" applyFill="1" applyBorder="1" applyAlignment="1">
      <alignment horizontal="right" vertical="top"/>
    </xf>
    <xf numFmtId="170" fontId="3" fillId="9" borderId="3" xfId="0" applyNumberFormat="1" applyFont="1" applyFill="1" applyBorder="1" applyAlignment="1">
      <alignment horizontal="right" vertical="top" wrapText="1"/>
    </xf>
    <xf numFmtId="0" fontId="20" fillId="5" borderId="9" xfId="0" applyFont="1" applyFill="1" applyBorder="1" applyAlignment="1">
      <alignment vertical="top" wrapText="1"/>
    </xf>
    <xf numFmtId="170" fontId="20" fillId="5" borderId="10" xfId="0" applyNumberFormat="1" applyFont="1" applyFill="1" applyBorder="1" applyAlignment="1">
      <alignment horizontal="right" vertical="top" wrapText="1"/>
    </xf>
    <xf numFmtId="170" fontId="4" fillId="9" borderId="10" xfId="0" applyNumberFormat="1" applyFont="1" applyFill="1" applyBorder="1" applyAlignment="1">
      <alignment horizontal="right" vertical="top" wrapText="1"/>
    </xf>
    <xf numFmtId="170" fontId="4" fillId="5" borderId="10" xfId="0" applyNumberFormat="1" applyFont="1" applyFill="1" applyBorder="1" applyAlignment="1">
      <alignment horizontal="right" vertical="top" wrapText="1"/>
    </xf>
    <xf numFmtId="170" fontId="14" fillId="6" borderId="10" xfId="0" applyNumberFormat="1" applyFont="1" applyFill="1" applyBorder="1" applyAlignment="1">
      <alignment horizontal="right" vertical="top"/>
    </xf>
    <xf numFmtId="170" fontId="14" fillId="6" borderId="11" xfId="0" applyNumberFormat="1" applyFont="1" applyFill="1" applyBorder="1" applyAlignment="1">
      <alignment horizontal="right" vertical="top"/>
    </xf>
    <xf numFmtId="168" fontId="12" fillId="0" borderId="0" xfId="0" applyNumberFormat="1" applyFont="1" applyAlignment="1">
      <alignment vertical="top"/>
    </xf>
    <xf numFmtId="166" fontId="12" fillId="0" borderId="0" xfId="0" applyNumberFormat="1" applyFont="1" applyAlignment="1">
      <alignment vertical="top"/>
    </xf>
    <xf numFmtId="167" fontId="12" fillId="0" borderId="0" xfId="0" applyNumberFormat="1" applyFont="1" applyAlignment="1">
      <alignment vertical="top"/>
    </xf>
    <xf numFmtId="0" fontId="12" fillId="0" borderId="0" xfId="0" applyFont="1" applyAlignment="1">
      <alignment vertical="top" wrapText="1"/>
    </xf>
    <xf numFmtId="10" fontId="23" fillId="0" borderId="0" xfId="3" applyNumberFormat="1" applyFont="1" applyAlignment="1">
      <alignment vertical="top"/>
    </xf>
    <xf numFmtId="10" fontId="12" fillId="0" borderId="0" xfId="3" applyNumberFormat="1" applyFont="1" applyAlignment="1">
      <alignment vertical="top"/>
    </xf>
    <xf numFmtId="165" fontId="12" fillId="0" borderId="0" xfId="1" applyFont="1" applyAlignment="1">
      <alignment vertical="top"/>
    </xf>
    <xf numFmtId="43" fontId="12" fillId="0" borderId="0" xfId="0" applyNumberFormat="1" applyFont="1" applyAlignment="1">
      <alignment vertical="top"/>
    </xf>
    <xf numFmtId="170" fontId="14" fillId="0" borderId="3" xfId="0" applyNumberFormat="1" applyFont="1" applyBorder="1" applyAlignment="1">
      <alignment horizontal="right" vertical="top"/>
    </xf>
    <xf numFmtId="170" fontId="14" fillId="0" borderId="2" xfId="0" applyNumberFormat="1" applyFont="1" applyBorder="1" applyAlignment="1">
      <alignment horizontal="right" vertical="top"/>
    </xf>
    <xf numFmtId="170" fontId="14" fillId="0" borderId="16" xfId="0" applyNumberFormat="1" applyFont="1" applyBorder="1" applyAlignment="1">
      <alignment horizontal="right" vertical="top"/>
    </xf>
    <xf numFmtId="0" fontId="14" fillId="0" borderId="0" xfId="0" applyFont="1" applyAlignment="1">
      <alignment vertical="top"/>
    </xf>
    <xf numFmtId="0" fontId="7" fillId="0" borderId="8" xfId="0" applyFont="1" applyBorder="1" applyAlignment="1">
      <alignment horizontal="left" vertical="top" wrapText="1"/>
    </xf>
    <xf numFmtId="171" fontId="13" fillId="9" borderId="1" xfId="0" applyNumberFormat="1" applyFont="1" applyFill="1" applyBorder="1" applyAlignment="1">
      <alignment horizontal="right" vertical="top" wrapText="1"/>
    </xf>
    <xf numFmtId="165" fontId="13" fillId="6" borderId="1" xfId="1" applyFont="1" applyFill="1" applyBorder="1" applyAlignment="1">
      <alignment horizontal="right" vertical="top" wrapText="1"/>
    </xf>
    <xf numFmtId="10" fontId="0" fillId="0" borderId="0" xfId="3" applyNumberFormat="1" applyFont="1" applyAlignment="1">
      <alignment horizontal="left" vertical="top"/>
    </xf>
    <xf numFmtId="0" fontId="12" fillId="15" borderId="7" xfId="0" applyFont="1" applyFill="1" applyBorder="1" applyAlignment="1">
      <alignment horizontal="left" vertical="top" wrapText="1"/>
    </xf>
    <xf numFmtId="0" fontId="12" fillId="15" borderId="1" xfId="0" applyFont="1" applyFill="1" applyBorder="1" applyAlignment="1">
      <alignment horizontal="left" vertical="top" wrapText="1"/>
    </xf>
    <xf numFmtId="0" fontId="12" fillId="15" borderId="8" xfId="0" applyFont="1" applyFill="1" applyBorder="1" applyAlignment="1">
      <alignment horizontal="left" vertical="top" wrapText="1"/>
    </xf>
    <xf numFmtId="0" fontId="13" fillId="15" borderId="17" xfId="0" applyFont="1" applyFill="1" applyBorder="1" applyAlignment="1">
      <alignment horizontal="left" vertical="top" wrapText="1"/>
    </xf>
    <xf numFmtId="0" fontId="13" fillId="15" borderId="18" xfId="0" applyFont="1" applyFill="1" applyBorder="1" applyAlignment="1">
      <alignment horizontal="left" vertical="top" wrapText="1"/>
    </xf>
    <xf numFmtId="0" fontId="13" fillId="15" borderId="19" xfId="0" applyFont="1" applyFill="1" applyBorder="1" applyAlignment="1">
      <alignment horizontal="left" vertical="top" wrapText="1"/>
    </xf>
    <xf numFmtId="0" fontId="12" fillId="15" borderId="15" xfId="0" applyFont="1" applyFill="1" applyBorder="1" applyAlignment="1">
      <alignment horizontal="left" vertical="top" wrapText="1"/>
    </xf>
    <xf numFmtId="0" fontId="12" fillId="15" borderId="3" xfId="0" applyFont="1" applyFill="1" applyBorder="1" applyAlignment="1">
      <alignment horizontal="left" vertical="top" wrapText="1"/>
    </xf>
    <xf numFmtId="0" fontId="12" fillId="15" borderId="16" xfId="0" applyFont="1" applyFill="1" applyBorder="1" applyAlignment="1">
      <alignment horizontal="left" vertical="top" wrapText="1"/>
    </xf>
    <xf numFmtId="0" fontId="13" fillId="15" borderId="7" xfId="0" applyFont="1" applyFill="1" applyBorder="1" applyAlignment="1">
      <alignment horizontal="left" vertical="top" wrapText="1"/>
    </xf>
    <xf numFmtId="0" fontId="13" fillId="15" borderId="1" xfId="0" applyFont="1" applyFill="1" applyBorder="1" applyAlignment="1">
      <alignment horizontal="left" vertical="top" wrapText="1"/>
    </xf>
    <xf numFmtId="0" fontId="13" fillId="16" borderId="17" xfId="0" applyFont="1" applyFill="1" applyBorder="1" applyAlignment="1">
      <alignment horizontal="left" vertical="top" wrapText="1"/>
    </xf>
    <xf numFmtId="0" fontId="13" fillId="16" borderId="18" xfId="0" applyFont="1" applyFill="1" applyBorder="1" applyAlignment="1">
      <alignment horizontal="left" vertical="top" wrapText="1"/>
    </xf>
    <xf numFmtId="0" fontId="13" fillId="16" borderId="19" xfId="0" applyFont="1" applyFill="1" applyBorder="1" applyAlignment="1">
      <alignment horizontal="left" vertical="top" wrapText="1"/>
    </xf>
    <xf numFmtId="0" fontId="13" fillId="3" borderId="17" xfId="0" applyFont="1" applyFill="1" applyBorder="1" applyAlignment="1">
      <alignment horizontal="left" vertical="top" wrapText="1"/>
    </xf>
    <xf numFmtId="0" fontId="13" fillId="3" borderId="18" xfId="0" applyFont="1" applyFill="1" applyBorder="1" applyAlignment="1">
      <alignment horizontal="left" vertical="top" wrapText="1"/>
    </xf>
    <xf numFmtId="0" fontId="13" fillId="3" borderId="19" xfId="0" applyFont="1" applyFill="1" applyBorder="1" applyAlignment="1">
      <alignment horizontal="left" vertical="top" wrapText="1"/>
    </xf>
    <xf numFmtId="0" fontId="20" fillId="7" borderId="5" xfId="0" applyFont="1" applyFill="1" applyBorder="1" applyAlignment="1">
      <alignment horizontal="center" vertical="top" wrapText="1"/>
    </xf>
    <xf numFmtId="0" fontId="20" fillId="7" borderId="10" xfId="0" applyFont="1" applyFill="1" applyBorder="1" applyAlignment="1">
      <alignment horizontal="center" vertical="top" wrapText="1"/>
    </xf>
    <xf numFmtId="0" fontId="13" fillId="8" borderId="5" xfId="0" applyFont="1" applyFill="1" applyBorder="1" applyAlignment="1">
      <alignment horizontal="center" vertical="top"/>
    </xf>
    <xf numFmtId="0" fontId="13" fillId="8" borderId="6" xfId="0" applyFont="1" applyFill="1" applyBorder="1" applyAlignment="1">
      <alignment horizontal="center" vertical="top"/>
    </xf>
    <xf numFmtId="0" fontId="20" fillId="4" borderId="4" xfId="0" applyFont="1" applyFill="1" applyBorder="1" applyAlignment="1">
      <alignment horizontal="center" vertical="top" wrapText="1"/>
    </xf>
    <xf numFmtId="0" fontId="20" fillId="4" borderId="9" xfId="0" applyFont="1" applyFill="1" applyBorder="1" applyAlignment="1">
      <alignment horizontal="center" vertical="top" wrapText="1"/>
    </xf>
    <xf numFmtId="9" fontId="12" fillId="0" borderId="0" xfId="3" applyFont="1" applyAlignment="1">
      <alignment vertical="top" wrapText="1"/>
    </xf>
    <xf numFmtId="9" fontId="12" fillId="0" borderId="0" xfId="3" applyFont="1" applyAlignment="1">
      <alignment vertical="top"/>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0"/>
  <sheetViews>
    <sheetView view="pageBreakPreview" topLeftCell="E1" zoomScale="113" zoomScaleSheetLayoutView="100" workbookViewId="0">
      <selection activeCell="K59" sqref="K59"/>
    </sheetView>
  </sheetViews>
  <sheetFormatPr defaultColWidth="10.7265625" defaultRowHeight="14.5" x14ac:dyDescent="0.35"/>
  <cols>
    <col min="1" max="1" width="16.1796875" style="19" customWidth="1"/>
    <col min="2" max="2" width="36.54296875" style="19" customWidth="1"/>
    <col min="3" max="6" width="11.7265625" style="19" customWidth="1"/>
    <col min="7" max="7" width="14" style="19" customWidth="1"/>
    <col min="8" max="10" width="11.7265625" style="19" customWidth="1"/>
    <col min="11" max="11" width="14" style="19" customWidth="1"/>
    <col min="12" max="12" width="14.7265625" style="19" customWidth="1"/>
    <col min="13" max="13" width="15.26953125" style="19" customWidth="1"/>
    <col min="14" max="14" width="8.453125" style="19" hidden="1" customWidth="1"/>
    <col min="15" max="15" width="8.26953125" style="19" hidden="1" customWidth="1"/>
    <col min="16" max="16" width="3.54296875" style="19" customWidth="1"/>
    <col min="17" max="17" width="28.7265625" style="19" customWidth="1"/>
    <col min="18" max="18" width="34.26953125" style="19" customWidth="1"/>
    <col min="19" max="16384" width="10.7265625" style="19"/>
  </cols>
  <sheetData>
    <row r="1" spans="1:31" ht="20" x14ac:dyDescent="0.35">
      <c r="A1" s="48" t="s">
        <v>6</v>
      </c>
      <c r="B1" s="18"/>
      <c r="C1" s="18"/>
      <c r="D1" s="18"/>
    </row>
    <row r="2" spans="1:31" ht="15.5" x14ac:dyDescent="0.35">
      <c r="A2" s="49"/>
      <c r="B2" s="20"/>
      <c r="C2" s="20"/>
      <c r="D2" s="20"/>
    </row>
    <row r="3" spans="1:31" ht="15.5" x14ac:dyDescent="0.35">
      <c r="A3" s="50" t="s">
        <v>7</v>
      </c>
      <c r="B3" s="20"/>
      <c r="C3" s="20"/>
      <c r="D3" s="20"/>
    </row>
    <row r="4" spans="1:31" x14ac:dyDescent="0.35">
      <c r="A4" s="50"/>
    </row>
    <row r="5" spans="1:31" ht="15" x14ac:dyDescent="0.35">
      <c r="A5" s="49" t="s">
        <v>8</v>
      </c>
    </row>
    <row r="6" spans="1:31" ht="15" thickBot="1" x14ac:dyDescent="0.4"/>
    <row r="7" spans="1:31" s="21" customFormat="1" ht="112.5" thickBot="1" x14ac:dyDescent="0.4">
      <c r="A7" s="5" t="s">
        <v>9</v>
      </c>
      <c r="B7" s="6" t="s">
        <v>10</v>
      </c>
      <c r="C7" s="7" t="s">
        <v>60</v>
      </c>
      <c r="D7" s="8" t="s">
        <v>59</v>
      </c>
      <c r="E7" s="9" t="s">
        <v>58</v>
      </c>
      <c r="F7" s="10" t="s">
        <v>102</v>
      </c>
      <c r="G7" s="6" t="s">
        <v>11</v>
      </c>
      <c r="H7" s="11" t="s">
        <v>103</v>
      </c>
      <c r="I7" s="11" t="s">
        <v>104</v>
      </c>
      <c r="J7" s="11" t="s">
        <v>105</v>
      </c>
      <c r="K7" s="11" t="s">
        <v>106</v>
      </c>
      <c r="L7" s="11" t="s">
        <v>119</v>
      </c>
      <c r="M7" s="12" t="s">
        <v>120</v>
      </c>
    </row>
    <row r="8" spans="1:31" s="21" customFormat="1" ht="15" thickBot="1" x14ac:dyDescent="0.4">
      <c r="A8" s="162" t="s">
        <v>44</v>
      </c>
      <c r="B8" s="163"/>
      <c r="C8" s="163"/>
      <c r="D8" s="163"/>
      <c r="E8" s="163"/>
      <c r="F8" s="163"/>
      <c r="G8" s="163"/>
      <c r="H8" s="163"/>
      <c r="I8" s="163"/>
      <c r="J8" s="163"/>
      <c r="K8" s="163"/>
      <c r="L8" s="163"/>
      <c r="M8" s="164"/>
    </row>
    <row r="9" spans="1:31" s="21" customFormat="1" x14ac:dyDescent="0.35">
      <c r="A9" s="157" t="s">
        <v>63</v>
      </c>
      <c r="B9" s="158"/>
      <c r="C9" s="158"/>
      <c r="D9" s="158"/>
      <c r="E9" s="158"/>
      <c r="F9" s="158"/>
      <c r="G9" s="158"/>
      <c r="H9" s="158"/>
      <c r="I9" s="158"/>
      <c r="J9" s="158"/>
      <c r="K9" s="158"/>
      <c r="L9" s="158"/>
      <c r="M9" s="159"/>
    </row>
    <row r="10" spans="1:31" s="23" customFormat="1" ht="42" x14ac:dyDescent="0.35">
      <c r="A10" s="13" t="s">
        <v>12</v>
      </c>
      <c r="B10" s="1" t="s">
        <v>45</v>
      </c>
      <c r="C10" s="66">
        <v>0</v>
      </c>
      <c r="D10" s="66">
        <v>65000</v>
      </c>
      <c r="E10" s="66">
        <v>0</v>
      </c>
      <c r="F10" s="66">
        <v>0</v>
      </c>
      <c r="G10" s="51">
        <v>1</v>
      </c>
      <c r="H10" s="69">
        <v>0</v>
      </c>
      <c r="I10" s="69">
        <v>41307.42</v>
      </c>
      <c r="J10" s="69">
        <v>0</v>
      </c>
      <c r="K10" s="69"/>
      <c r="L10" s="70">
        <f>H10+I10+J10+K10</f>
        <v>41307.42</v>
      </c>
      <c r="M10" s="2"/>
      <c r="N10" s="22">
        <f>D10</f>
        <v>65000</v>
      </c>
      <c r="O10" s="23">
        <f>N10*G10</f>
        <v>65000</v>
      </c>
    </row>
    <row r="11" spans="1:31" s="24" customFormat="1" ht="84" x14ac:dyDescent="0.35">
      <c r="A11" s="13" t="s">
        <v>13</v>
      </c>
      <c r="B11" s="1" t="s">
        <v>76</v>
      </c>
      <c r="C11" s="66">
        <v>35000</v>
      </c>
      <c r="D11" s="66">
        <v>50000</v>
      </c>
      <c r="E11" s="66">
        <v>50000</v>
      </c>
      <c r="F11" s="66">
        <v>0</v>
      </c>
      <c r="G11" s="51">
        <v>1</v>
      </c>
      <c r="H11" s="69">
        <v>10401.006711409396</v>
      </c>
      <c r="I11" s="69">
        <v>24527.18</v>
      </c>
      <c r="J11" s="69">
        <v>50000</v>
      </c>
      <c r="K11" s="69"/>
      <c r="L11" s="70">
        <f>H11+I11+J11+K11</f>
        <v>84928.186711409391</v>
      </c>
      <c r="M11" s="2"/>
      <c r="N11" s="22">
        <f>F11+E11+D11+C11</f>
        <v>135000</v>
      </c>
      <c r="O11" s="23">
        <f>N11*G11</f>
        <v>135000</v>
      </c>
      <c r="P11" s="23"/>
      <c r="Q11" s="23"/>
      <c r="R11" s="23"/>
      <c r="S11" s="23"/>
      <c r="T11" s="23"/>
      <c r="U11" s="23"/>
      <c r="V11" s="23"/>
      <c r="W11" s="23"/>
      <c r="X11" s="23"/>
      <c r="Y11" s="23"/>
      <c r="Z11" s="23"/>
      <c r="AA11" s="23"/>
      <c r="AB11" s="23"/>
      <c r="AC11" s="23"/>
      <c r="AD11" s="23"/>
      <c r="AE11" s="23"/>
    </row>
    <row r="12" spans="1:31" s="21" customFormat="1" ht="98" x14ac:dyDescent="0.35">
      <c r="A12" s="13" t="s">
        <v>82</v>
      </c>
      <c r="B12" s="1" t="s">
        <v>81</v>
      </c>
      <c r="C12" s="66">
        <v>30000</v>
      </c>
      <c r="D12" s="66">
        <v>0</v>
      </c>
      <c r="E12" s="66">
        <v>30000</v>
      </c>
      <c r="F12" s="66">
        <v>0</v>
      </c>
      <c r="G12" s="52">
        <v>1</v>
      </c>
      <c r="H12" s="69">
        <v>21322.413793103449</v>
      </c>
      <c r="I12" s="69">
        <v>0</v>
      </c>
      <c r="J12" s="69">
        <v>7000</v>
      </c>
      <c r="K12" s="69"/>
      <c r="L12" s="70">
        <f>H12+I12+J12+K12</f>
        <v>28322.413793103449</v>
      </c>
      <c r="M12" s="3"/>
      <c r="N12" s="22">
        <f>F12+E12+D12+C12</f>
        <v>60000</v>
      </c>
      <c r="O12" s="23">
        <f>N12*G12</f>
        <v>60000</v>
      </c>
    </row>
    <row r="13" spans="1:31" s="21" customFormat="1" ht="112" x14ac:dyDescent="0.35">
      <c r="A13" s="13" t="s">
        <v>83</v>
      </c>
      <c r="B13" s="14" t="s">
        <v>68</v>
      </c>
      <c r="C13" s="66">
        <v>132000</v>
      </c>
      <c r="D13" s="66">
        <v>0</v>
      </c>
      <c r="E13" s="66">
        <v>0</v>
      </c>
      <c r="F13" s="66">
        <v>0</v>
      </c>
      <c r="G13" s="53">
        <v>0.7</v>
      </c>
      <c r="H13" s="69">
        <v>133533.97</v>
      </c>
      <c r="I13" s="69">
        <v>0</v>
      </c>
      <c r="J13" s="69">
        <v>0</v>
      </c>
      <c r="K13" s="69">
        <v>0</v>
      </c>
      <c r="L13" s="70">
        <f>H13+I13+J13+K13</f>
        <v>133533.97</v>
      </c>
      <c r="M13" s="3"/>
      <c r="N13" s="22">
        <f>F13+E13+D13+C13</f>
        <v>132000</v>
      </c>
      <c r="O13" s="23">
        <f>N13*G13</f>
        <v>92400</v>
      </c>
    </row>
    <row r="14" spans="1:31" s="21" customFormat="1" x14ac:dyDescent="0.35">
      <c r="A14" s="25" t="s">
        <v>85</v>
      </c>
      <c r="B14" s="68">
        <f>C14+D14+E14</f>
        <v>392000</v>
      </c>
      <c r="C14" s="67">
        <f>SUM(C10:C13)</f>
        <v>197000</v>
      </c>
      <c r="D14" s="67">
        <f>SUM(D10:D13)</f>
        <v>115000</v>
      </c>
      <c r="E14" s="67">
        <f>SUM(E10:E13)</f>
        <v>80000</v>
      </c>
      <c r="F14" s="67"/>
      <c r="G14" s="54"/>
      <c r="H14" s="67">
        <f>SUM(H10:H13)</f>
        <v>165257.39050451285</v>
      </c>
      <c r="I14" s="67">
        <f>SUM(I10:I13)</f>
        <v>65834.600000000006</v>
      </c>
      <c r="J14" s="67">
        <f>SUM(J10:J13)</f>
        <v>57000</v>
      </c>
      <c r="K14" s="67">
        <f>SUM(K10:K13)</f>
        <v>0</v>
      </c>
      <c r="L14" s="71">
        <f>SUM(L10:L13)</f>
        <v>288091.9905045128</v>
      </c>
      <c r="M14" s="17"/>
    </row>
    <row r="15" spans="1:31" s="21" customFormat="1" x14ac:dyDescent="0.35">
      <c r="A15" s="151" t="s">
        <v>79</v>
      </c>
      <c r="B15" s="152"/>
      <c r="C15" s="152"/>
      <c r="D15" s="152"/>
      <c r="E15" s="152"/>
      <c r="F15" s="152"/>
      <c r="G15" s="152"/>
      <c r="H15" s="152"/>
      <c r="I15" s="152"/>
      <c r="J15" s="152"/>
      <c r="K15" s="152"/>
      <c r="L15" s="152"/>
      <c r="M15" s="153"/>
    </row>
    <row r="16" spans="1:31" s="21" customFormat="1" ht="28" x14ac:dyDescent="0.35">
      <c r="A16" s="26" t="s">
        <v>14</v>
      </c>
      <c r="B16" s="14" t="s">
        <v>46</v>
      </c>
      <c r="C16" s="73">
        <v>15000</v>
      </c>
      <c r="D16" s="73">
        <v>30000</v>
      </c>
      <c r="E16" s="73">
        <v>15000</v>
      </c>
      <c r="F16" s="73">
        <v>0</v>
      </c>
      <c r="G16" s="51">
        <v>0.5</v>
      </c>
      <c r="H16" s="75">
        <v>0</v>
      </c>
      <c r="I16" s="75">
        <v>10028.49</v>
      </c>
      <c r="J16" s="75">
        <v>7200</v>
      </c>
      <c r="K16" s="75"/>
      <c r="L16" s="76">
        <f>H16+I16+J16+K16</f>
        <v>17228.489999999998</v>
      </c>
      <c r="M16" s="4"/>
      <c r="N16" s="22">
        <f>F16+E16+D16+C16</f>
        <v>60000</v>
      </c>
      <c r="O16" s="21">
        <f>N16*G16</f>
        <v>30000</v>
      </c>
    </row>
    <row r="17" spans="1:15" s="21" customFormat="1" ht="84" x14ac:dyDescent="0.35">
      <c r="A17" s="26" t="s">
        <v>92</v>
      </c>
      <c r="B17" s="14" t="s">
        <v>90</v>
      </c>
      <c r="C17" s="73">
        <v>10000</v>
      </c>
      <c r="D17" s="73">
        <v>30000</v>
      </c>
      <c r="E17" s="73">
        <v>0</v>
      </c>
      <c r="F17" s="73">
        <v>0</v>
      </c>
      <c r="G17" s="51">
        <v>0.5</v>
      </c>
      <c r="H17" s="75">
        <v>0</v>
      </c>
      <c r="I17" s="75">
        <v>21000</v>
      </c>
      <c r="J17" s="75">
        <v>0</v>
      </c>
      <c r="K17" s="75"/>
      <c r="L17" s="76">
        <f>H17+I17+J17+K17</f>
        <v>21000</v>
      </c>
      <c r="M17" s="2"/>
      <c r="N17" s="22">
        <f>F17+E17+D17+C17</f>
        <v>40000</v>
      </c>
      <c r="O17" s="21">
        <f>N17*G17</f>
        <v>20000</v>
      </c>
    </row>
    <row r="18" spans="1:15" s="21" customFormat="1" ht="56" x14ac:dyDescent="0.35">
      <c r="A18" s="26" t="s">
        <v>84</v>
      </c>
      <c r="B18" s="14" t="s">
        <v>47</v>
      </c>
      <c r="C18" s="73">
        <v>0</v>
      </c>
      <c r="D18" s="73">
        <v>0</v>
      </c>
      <c r="E18" s="73">
        <v>10000</v>
      </c>
      <c r="F18" s="73">
        <v>0</v>
      </c>
      <c r="G18" s="51">
        <v>0.2</v>
      </c>
      <c r="H18" s="75">
        <v>0</v>
      </c>
      <c r="I18" s="75">
        <v>0</v>
      </c>
      <c r="J18" s="75">
        <v>17000</v>
      </c>
      <c r="K18" s="75"/>
      <c r="L18" s="76">
        <f>H18+I18+J18+K18</f>
        <v>17000</v>
      </c>
      <c r="M18" s="4"/>
      <c r="N18" s="22">
        <f>F18+E18+D18+C18</f>
        <v>10000</v>
      </c>
      <c r="O18" s="21">
        <f>N18*G18</f>
        <v>2000</v>
      </c>
    </row>
    <row r="19" spans="1:15" s="21" customFormat="1" ht="56" x14ac:dyDescent="0.35">
      <c r="A19" s="26" t="s">
        <v>93</v>
      </c>
      <c r="B19" s="14" t="s">
        <v>70</v>
      </c>
      <c r="C19" s="73">
        <v>15000</v>
      </c>
      <c r="D19" s="73">
        <v>25000</v>
      </c>
      <c r="E19" s="73">
        <v>50000</v>
      </c>
      <c r="F19" s="73">
        <v>0</v>
      </c>
      <c r="G19" s="51">
        <v>0.5</v>
      </c>
      <c r="H19" s="75">
        <v>0</v>
      </c>
      <c r="I19" s="75">
        <v>17500</v>
      </c>
      <c r="J19" s="75">
        <v>40000</v>
      </c>
      <c r="K19" s="75"/>
      <c r="L19" s="76">
        <f>H19+I19+J19+K19</f>
        <v>57500</v>
      </c>
      <c r="M19" s="2"/>
      <c r="N19" s="22">
        <f>F19+E19+D19+C19</f>
        <v>90000</v>
      </c>
      <c r="O19" s="21">
        <f>N19*G19</f>
        <v>45000</v>
      </c>
    </row>
    <row r="20" spans="1:15" s="21" customFormat="1" ht="56" x14ac:dyDescent="0.35">
      <c r="A20" s="26" t="s">
        <v>71</v>
      </c>
      <c r="B20" s="14" t="s">
        <v>69</v>
      </c>
      <c r="C20" s="73">
        <v>0</v>
      </c>
      <c r="D20" s="73">
        <v>0</v>
      </c>
      <c r="E20" s="73">
        <v>30000</v>
      </c>
      <c r="F20" s="73">
        <v>0</v>
      </c>
      <c r="G20" s="51">
        <v>0.3</v>
      </c>
      <c r="H20" s="75">
        <v>0</v>
      </c>
      <c r="I20" s="75">
        <v>0</v>
      </c>
      <c r="J20" s="75">
        <v>0</v>
      </c>
      <c r="K20" s="75"/>
      <c r="L20" s="76">
        <f>H20+I20+J20+K20</f>
        <v>0</v>
      </c>
      <c r="M20" s="4"/>
      <c r="N20" s="22">
        <f>F20+E20+D20+C20</f>
        <v>30000</v>
      </c>
      <c r="O20" s="21">
        <f>N20*G20</f>
        <v>9000</v>
      </c>
    </row>
    <row r="21" spans="1:15" s="21" customFormat="1" x14ac:dyDescent="0.35">
      <c r="A21" s="27" t="s">
        <v>94</v>
      </c>
      <c r="B21" s="74">
        <f>C21+D21+E21</f>
        <v>230000</v>
      </c>
      <c r="C21" s="74">
        <f>SUM(C16:C20)</f>
        <v>40000</v>
      </c>
      <c r="D21" s="74">
        <f>SUM(D16:D20)</f>
        <v>85000</v>
      </c>
      <c r="E21" s="74">
        <f>SUM(E16:E20)</f>
        <v>105000</v>
      </c>
      <c r="F21" s="74"/>
      <c r="G21" s="55"/>
      <c r="H21" s="74">
        <f>SUM(H16:H20)</f>
        <v>0</v>
      </c>
      <c r="I21" s="74">
        <f>SUM(I16:I20)</f>
        <v>48528.49</v>
      </c>
      <c r="J21" s="74">
        <f>SUM(J16:J20)</f>
        <v>64200</v>
      </c>
      <c r="K21" s="74">
        <f>SUM(K16:K20)</f>
        <v>0</v>
      </c>
      <c r="L21" s="77">
        <f>SUM(L16:L20)</f>
        <v>112728.48999999999</v>
      </c>
      <c r="M21" s="4"/>
    </row>
    <row r="22" spans="1:15" s="21" customFormat="1" x14ac:dyDescent="0.35">
      <c r="A22" s="151" t="s">
        <v>64</v>
      </c>
      <c r="B22" s="152"/>
      <c r="C22" s="152"/>
      <c r="D22" s="152"/>
      <c r="E22" s="152"/>
      <c r="F22" s="152"/>
      <c r="G22" s="152"/>
      <c r="H22" s="152"/>
      <c r="I22" s="152"/>
      <c r="J22" s="152"/>
      <c r="K22" s="152"/>
      <c r="L22" s="152"/>
      <c r="M22" s="153"/>
    </row>
    <row r="23" spans="1:15" s="21" customFormat="1" ht="70" x14ac:dyDescent="0.35">
      <c r="A23" s="26" t="s">
        <v>15</v>
      </c>
      <c r="B23" s="14" t="s">
        <v>48</v>
      </c>
      <c r="C23" s="66">
        <v>0</v>
      </c>
      <c r="D23" s="66">
        <v>50000</v>
      </c>
      <c r="E23" s="66">
        <v>45000</v>
      </c>
      <c r="F23" s="66">
        <v>0</v>
      </c>
      <c r="G23" s="51">
        <v>0.35</v>
      </c>
      <c r="H23" s="69">
        <v>0</v>
      </c>
      <c r="I23" s="69">
        <v>15815.130000000001</v>
      </c>
      <c r="J23" s="69">
        <v>0</v>
      </c>
      <c r="K23" s="69"/>
      <c r="L23" s="70">
        <f>H23+I23+J23+K23</f>
        <v>15815.130000000001</v>
      </c>
      <c r="M23" s="2"/>
      <c r="N23" s="22">
        <f>F23+E23+D23+C23</f>
        <v>95000</v>
      </c>
      <c r="O23" s="21">
        <f>N23*G23</f>
        <v>33250</v>
      </c>
    </row>
    <row r="24" spans="1:15" s="21" customFormat="1" ht="84" x14ac:dyDescent="0.35">
      <c r="A24" s="26" t="s">
        <v>16</v>
      </c>
      <c r="B24" s="14" t="s">
        <v>49</v>
      </c>
      <c r="C24" s="66">
        <v>25000</v>
      </c>
      <c r="D24" s="66">
        <v>70000</v>
      </c>
      <c r="E24" s="66">
        <v>40000</v>
      </c>
      <c r="F24" s="66">
        <v>0</v>
      </c>
      <c r="G24" s="51">
        <v>0.35</v>
      </c>
      <c r="H24" s="69">
        <v>9964.7651006711403</v>
      </c>
      <c r="I24" s="69">
        <v>49000</v>
      </c>
      <c r="J24" s="69">
        <v>30000</v>
      </c>
      <c r="K24" s="69"/>
      <c r="L24" s="70">
        <f>H24+I24+J24+K24</f>
        <v>88964.765100671138</v>
      </c>
      <c r="M24" s="2"/>
      <c r="N24" s="22">
        <f>F24+E24+D24+C24</f>
        <v>135000</v>
      </c>
      <c r="O24" s="21">
        <f>N24*G24</f>
        <v>47250</v>
      </c>
    </row>
    <row r="25" spans="1:15" s="21" customFormat="1" ht="42" x14ac:dyDescent="0.35">
      <c r="A25" s="26" t="s">
        <v>17</v>
      </c>
      <c r="B25" s="14" t="s">
        <v>50</v>
      </c>
      <c r="C25" s="66">
        <v>0</v>
      </c>
      <c r="D25" s="66">
        <v>30000</v>
      </c>
      <c r="E25" s="66">
        <v>20000</v>
      </c>
      <c r="F25" s="66">
        <v>0</v>
      </c>
      <c r="G25" s="51">
        <v>0.35</v>
      </c>
      <c r="H25" s="69">
        <v>0</v>
      </c>
      <c r="I25" s="69">
        <v>13917.31</v>
      </c>
      <c r="J25" s="69">
        <v>0</v>
      </c>
      <c r="K25" s="69"/>
      <c r="L25" s="70">
        <f>H25+I25+J25+K25</f>
        <v>13917.31</v>
      </c>
      <c r="M25" s="2"/>
      <c r="N25" s="22">
        <f>F25+E25+D25+C25</f>
        <v>50000</v>
      </c>
      <c r="O25" s="21">
        <f>N25*G25</f>
        <v>17500</v>
      </c>
    </row>
    <row r="26" spans="1:15" s="21" customFormat="1" ht="56" x14ac:dyDescent="0.35">
      <c r="A26" s="26" t="s">
        <v>75</v>
      </c>
      <c r="B26" s="14" t="s">
        <v>72</v>
      </c>
      <c r="C26" s="66">
        <v>0</v>
      </c>
      <c r="D26" s="66">
        <v>57000</v>
      </c>
      <c r="E26" s="66">
        <v>0</v>
      </c>
      <c r="F26" s="66">
        <v>0</v>
      </c>
      <c r="G26" s="51">
        <v>0.5</v>
      </c>
      <c r="H26" s="69">
        <v>0</v>
      </c>
      <c r="I26" s="69">
        <v>39900</v>
      </c>
      <c r="J26" s="69">
        <v>0</v>
      </c>
      <c r="K26" s="69"/>
      <c r="L26" s="70">
        <f>H26+I26+J26+K26</f>
        <v>39900</v>
      </c>
      <c r="M26" s="2"/>
      <c r="N26" s="22">
        <f>F26+E26+D26+C26</f>
        <v>57000</v>
      </c>
      <c r="O26" s="21">
        <f>N26*G26</f>
        <v>28500</v>
      </c>
    </row>
    <row r="27" spans="1:15" s="21" customFormat="1" x14ac:dyDescent="0.35">
      <c r="A27" s="25" t="s">
        <v>95</v>
      </c>
      <c r="B27" s="81">
        <f>C27+D27+E27</f>
        <v>337000</v>
      </c>
      <c r="C27" s="68">
        <f>SUM(C23:C26)</f>
        <v>25000</v>
      </c>
      <c r="D27" s="68">
        <f>SUM(D23:D26)</f>
        <v>207000</v>
      </c>
      <c r="E27" s="68">
        <f>SUM(E23:E26)</f>
        <v>105000</v>
      </c>
      <c r="F27" s="68"/>
      <c r="G27" s="57"/>
      <c r="H27" s="68">
        <f>SUM(H23:H26)</f>
        <v>9964.7651006711403</v>
      </c>
      <c r="I27" s="68">
        <f>SUM(I23:I26)</f>
        <v>118632.44</v>
      </c>
      <c r="J27" s="68">
        <f>SUM(J23:J26)</f>
        <v>30000</v>
      </c>
      <c r="K27" s="68">
        <f>SUM(K23:K26)</f>
        <v>0</v>
      </c>
      <c r="L27" s="71">
        <f>SUM(L23:L26)</f>
        <v>158597.20510067116</v>
      </c>
      <c r="M27" s="17"/>
    </row>
    <row r="28" spans="1:15" s="21" customFormat="1" ht="28.5" thickBot="1" x14ac:dyDescent="0.4">
      <c r="A28" s="30" t="s">
        <v>42</v>
      </c>
      <c r="B28" s="78">
        <f>C28+D28+E28</f>
        <v>959000</v>
      </c>
      <c r="C28" s="78">
        <f>C14+C21+C27</f>
        <v>262000</v>
      </c>
      <c r="D28" s="78">
        <f>D14+D21+D27</f>
        <v>407000</v>
      </c>
      <c r="E28" s="78">
        <f>E14+E21+E27</f>
        <v>290000</v>
      </c>
      <c r="F28" s="78"/>
      <c r="G28" s="65"/>
      <c r="H28" s="78">
        <f>H14+H21+H27</f>
        <v>175222.155605184</v>
      </c>
      <c r="I28" s="78">
        <f>I14+I21+I27</f>
        <v>232995.53</v>
      </c>
      <c r="J28" s="78">
        <f>J14+J21+J27</f>
        <v>151200</v>
      </c>
      <c r="K28" s="78">
        <f>K14+K21+K27</f>
        <v>0</v>
      </c>
      <c r="L28" s="80">
        <f>L14+L21+L27</f>
        <v>559417.68560518394</v>
      </c>
      <c r="M28" s="31"/>
    </row>
    <row r="29" spans="1:15" s="21" customFormat="1" ht="15" thickBot="1" x14ac:dyDescent="0.4">
      <c r="A29" s="165" t="s">
        <v>51</v>
      </c>
      <c r="B29" s="166"/>
      <c r="C29" s="166"/>
      <c r="D29" s="166"/>
      <c r="E29" s="166"/>
      <c r="F29" s="166"/>
      <c r="G29" s="166"/>
      <c r="H29" s="166"/>
      <c r="I29" s="166"/>
      <c r="J29" s="166"/>
      <c r="K29" s="166"/>
      <c r="L29" s="166"/>
      <c r="M29" s="167"/>
    </row>
    <row r="30" spans="1:15" s="21" customFormat="1" x14ac:dyDescent="0.35">
      <c r="A30" s="157" t="s">
        <v>62</v>
      </c>
      <c r="B30" s="158"/>
      <c r="C30" s="158"/>
      <c r="D30" s="158"/>
      <c r="E30" s="158"/>
      <c r="F30" s="158"/>
      <c r="G30" s="158"/>
      <c r="H30" s="158"/>
      <c r="I30" s="158"/>
      <c r="J30" s="158"/>
      <c r="K30" s="158"/>
      <c r="L30" s="158"/>
      <c r="M30" s="159"/>
    </row>
    <row r="31" spans="1:15" s="21" customFormat="1" ht="112" x14ac:dyDescent="0.35">
      <c r="A31" s="32" t="s">
        <v>18</v>
      </c>
      <c r="B31" s="33" t="s">
        <v>80</v>
      </c>
      <c r="C31" s="82">
        <v>0</v>
      </c>
      <c r="D31" s="82">
        <v>75000</v>
      </c>
      <c r="E31" s="82">
        <v>50000</v>
      </c>
      <c r="F31" s="82">
        <v>0</v>
      </c>
      <c r="G31" s="56">
        <v>0.5</v>
      </c>
      <c r="H31" s="69">
        <v>0</v>
      </c>
      <c r="I31" s="69">
        <v>27160.51</v>
      </c>
      <c r="J31" s="69">
        <v>51744.56</v>
      </c>
      <c r="K31" s="83"/>
      <c r="L31" s="84">
        <f>H31+I31+J31+K31</f>
        <v>78905.069999999992</v>
      </c>
      <c r="M31" s="147" t="s">
        <v>113</v>
      </c>
      <c r="N31" s="22">
        <f>F31+E31+D31+C31</f>
        <v>125000</v>
      </c>
      <c r="O31" s="21">
        <f>N31*G31</f>
        <v>62500</v>
      </c>
    </row>
    <row r="32" spans="1:15" s="21" customFormat="1" ht="112" x14ac:dyDescent="0.35">
      <c r="A32" s="34" t="s">
        <v>19</v>
      </c>
      <c r="B32" s="28" t="s">
        <v>52</v>
      </c>
      <c r="C32" s="66">
        <v>0</v>
      </c>
      <c r="D32" s="66">
        <v>75000</v>
      </c>
      <c r="E32" s="66">
        <v>50000</v>
      </c>
      <c r="F32" s="66">
        <v>0</v>
      </c>
      <c r="G32" s="51">
        <v>0.5</v>
      </c>
      <c r="H32" s="69">
        <v>0</v>
      </c>
      <c r="I32" s="69">
        <v>51059.83</v>
      </c>
      <c r="J32" s="69">
        <v>51000</v>
      </c>
      <c r="K32" s="69"/>
      <c r="L32" s="70">
        <f>H32+I32+J32+K32</f>
        <v>102059.83</v>
      </c>
      <c r="M32" s="2"/>
      <c r="N32" s="22">
        <f>F32+E32+D32+C32</f>
        <v>125000</v>
      </c>
      <c r="O32" s="21">
        <f>N32*G32</f>
        <v>62500</v>
      </c>
    </row>
    <row r="33" spans="1:22" s="21" customFormat="1" ht="56" x14ac:dyDescent="0.35">
      <c r="A33" s="34" t="s">
        <v>20</v>
      </c>
      <c r="B33" s="28" t="s">
        <v>53</v>
      </c>
      <c r="C33" s="66">
        <v>15000</v>
      </c>
      <c r="D33" s="66">
        <v>50000</v>
      </c>
      <c r="E33" s="66">
        <v>0</v>
      </c>
      <c r="F33" s="66">
        <v>0</v>
      </c>
      <c r="G33" s="51">
        <v>0.5</v>
      </c>
      <c r="H33" s="69">
        <v>9786.4932885906001</v>
      </c>
      <c r="I33" s="69">
        <v>35000</v>
      </c>
      <c r="J33" s="69">
        <v>0</v>
      </c>
      <c r="K33" s="69"/>
      <c r="L33" s="70">
        <f>H33+I33+J33+K33</f>
        <v>44786.493288590602</v>
      </c>
      <c r="M33" s="4"/>
      <c r="N33" s="22">
        <f>F33+E33+D33+C33</f>
        <v>65000</v>
      </c>
      <c r="O33" s="21">
        <f>N33*G33</f>
        <v>32500</v>
      </c>
    </row>
    <row r="34" spans="1:22" s="21" customFormat="1" ht="84" x14ac:dyDescent="0.35">
      <c r="A34" s="34" t="s">
        <v>96</v>
      </c>
      <c r="B34" s="28" t="s">
        <v>77</v>
      </c>
      <c r="C34" s="66">
        <v>0</v>
      </c>
      <c r="D34" s="66">
        <v>65000</v>
      </c>
      <c r="E34" s="66">
        <v>75000</v>
      </c>
      <c r="F34" s="66">
        <v>0</v>
      </c>
      <c r="G34" s="51">
        <v>1</v>
      </c>
      <c r="H34" s="69">
        <v>0</v>
      </c>
      <c r="I34" s="69">
        <v>33773.189999999995</v>
      </c>
      <c r="J34" s="69">
        <v>51850</v>
      </c>
      <c r="K34" s="69"/>
      <c r="L34" s="70">
        <f>H34+I34+J34+K34</f>
        <v>85623.19</v>
      </c>
      <c r="M34" s="4"/>
      <c r="N34" s="22">
        <f>F34+E34+D34+C34</f>
        <v>140000</v>
      </c>
      <c r="O34" s="21">
        <f>N34*G34</f>
        <v>140000</v>
      </c>
    </row>
    <row r="35" spans="1:22" s="21" customFormat="1" x14ac:dyDescent="0.35">
      <c r="A35" s="25" t="s">
        <v>97</v>
      </c>
      <c r="B35" s="79">
        <f>C35+D35+E35</f>
        <v>455000</v>
      </c>
      <c r="C35" s="68">
        <f>SUM(C31:C34)</f>
        <v>15000</v>
      </c>
      <c r="D35" s="68">
        <f>SUM(D31:D34)</f>
        <v>265000</v>
      </c>
      <c r="E35" s="68">
        <f>SUM(E31:E34)</f>
        <v>175000</v>
      </c>
      <c r="F35" s="68"/>
      <c r="G35" s="57"/>
      <c r="H35" s="68">
        <f>SUM(H31:H34)</f>
        <v>9786.4932885906001</v>
      </c>
      <c r="I35" s="68">
        <f>SUM(I31:I34)</f>
        <v>146993.53</v>
      </c>
      <c r="J35" s="68">
        <f>SUM(J31:J34)</f>
        <v>154594.56</v>
      </c>
      <c r="K35" s="68">
        <f>SUM(K31:K34)</f>
        <v>0</v>
      </c>
      <c r="L35" s="72">
        <f>SUM(L31:L34)</f>
        <v>311374.5832885906</v>
      </c>
      <c r="M35" s="17"/>
    </row>
    <row r="36" spans="1:22" s="21" customFormat="1" x14ac:dyDescent="0.35">
      <c r="A36" s="151" t="s">
        <v>61</v>
      </c>
      <c r="B36" s="152"/>
      <c r="C36" s="152"/>
      <c r="D36" s="152"/>
      <c r="E36" s="152"/>
      <c r="F36" s="152"/>
      <c r="G36" s="152"/>
      <c r="H36" s="152"/>
      <c r="I36" s="152"/>
      <c r="J36" s="152"/>
      <c r="K36" s="152"/>
      <c r="L36" s="152"/>
      <c r="M36" s="153"/>
    </row>
    <row r="37" spans="1:22" s="21" customFormat="1" ht="98" x14ac:dyDescent="0.35">
      <c r="A37" s="34" t="s">
        <v>21</v>
      </c>
      <c r="B37" s="28" t="s">
        <v>54</v>
      </c>
      <c r="C37" s="73">
        <v>0</v>
      </c>
      <c r="D37" s="73">
        <v>50000</v>
      </c>
      <c r="E37" s="73">
        <v>40000</v>
      </c>
      <c r="F37" s="73">
        <v>0</v>
      </c>
      <c r="G37" s="58">
        <v>1</v>
      </c>
      <c r="H37" s="75">
        <v>0</v>
      </c>
      <c r="I37" s="75">
        <v>35000</v>
      </c>
      <c r="J37" s="75">
        <v>35000</v>
      </c>
      <c r="K37" s="75"/>
      <c r="L37" s="76">
        <f>H37+I37+J37+K37</f>
        <v>70000</v>
      </c>
      <c r="M37" s="2"/>
      <c r="N37" s="22">
        <f>F37+E37+D37+C37</f>
        <v>90000</v>
      </c>
      <c r="O37" s="21">
        <f>N37*G37</f>
        <v>90000</v>
      </c>
    </row>
    <row r="38" spans="1:22" s="21" customFormat="1" ht="70" x14ac:dyDescent="0.35">
      <c r="A38" s="34" t="s">
        <v>22</v>
      </c>
      <c r="B38" s="28" t="s">
        <v>55</v>
      </c>
      <c r="C38" s="73">
        <v>0</v>
      </c>
      <c r="D38" s="73">
        <v>40000</v>
      </c>
      <c r="E38" s="73">
        <v>40000</v>
      </c>
      <c r="F38" s="73">
        <v>0</v>
      </c>
      <c r="G38" s="58">
        <v>0.3</v>
      </c>
      <c r="H38" s="75">
        <v>0</v>
      </c>
      <c r="I38" s="75">
        <v>28000</v>
      </c>
      <c r="J38" s="75">
        <v>40000</v>
      </c>
      <c r="K38" s="75"/>
      <c r="L38" s="76">
        <f>H38+I38+J38+K38</f>
        <v>68000</v>
      </c>
      <c r="M38" s="2"/>
      <c r="N38" s="22">
        <f>F38+E38+D38+C38</f>
        <v>80000</v>
      </c>
      <c r="O38" s="21">
        <f>N38*G38</f>
        <v>24000</v>
      </c>
    </row>
    <row r="39" spans="1:22" s="21" customFormat="1" ht="42" x14ac:dyDescent="0.35">
      <c r="A39" s="34" t="s">
        <v>23</v>
      </c>
      <c r="B39" s="28" t="s">
        <v>56</v>
      </c>
      <c r="C39" s="73">
        <v>0</v>
      </c>
      <c r="D39" s="73">
        <v>50000</v>
      </c>
      <c r="E39" s="73">
        <v>10000</v>
      </c>
      <c r="F39" s="73">
        <v>0</v>
      </c>
      <c r="G39" s="58">
        <v>0.6</v>
      </c>
      <c r="H39" s="75">
        <v>0</v>
      </c>
      <c r="I39" s="75">
        <v>10853</v>
      </c>
      <c r="J39" s="75">
        <v>0</v>
      </c>
      <c r="K39" s="75"/>
      <c r="L39" s="76">
        <f>H39+I39+J39+K39</f>
        <v>10853</v>
      </c>
      <c r="M39" s="2"/>
      <c r="N39" s="22">
        <f>F39+E39+D39+C39</f>
        <v>60000</v>
      </c>
      <c r="O39" s="21">
        <f>N39*G39</f>
        <v>36000</v>
      </c>
    </row>
    <row r="40" spans="1:22" s="21" customFormat="1" ht="42" x14ac:dyDescent="0.35">
      <c r="A40" s="34" t="s">
        <v>78</v>
      </c>
      <c r="B40" s="28" t="s">
        <v>57</v>
      </c>
      <c r="C40" s="73">
        <v>0</v>
      </c>
      <c r="D40" s="73">
        <v>40000</v>
      </c>
      <c r="E40" s="73">
        <v>60000</v>
      </c>
      <c r="F40" s="73">
        <v>0</v>
      </c>
      <c r="G40" s="51">
        <v>0.9</v>
      </c>
      <c r="H40" s="75">
        <v>0</v>
      </c>
      <c r="I40" s="75">
        <v>0</v>
      </c>
      <c r="J40" s="75">
        <v>12500</v>
      </c>
      <c r="K40" s="75"/>
      <c r="L40" s="76">
        <f>H40+I40+J40+K40</f>
        <v>12500</v>
      </c>
      <c r="M40" s="2"/>
      <c r="N40" s="22">
        <f>F40+E40+D40+C40</f>
        <v>100000</v>
      </c>
      <c r="O40" s="21">
        <f>N40*G40</f>
        <v>90000</v>
      </c>
    </row>
    <row r="41" spans="1:22" s="21" customFormat="1" x14ac:dyDescent="0.35">
      <c r="A41" s="25" t="s">
        <v>98</v>
      </c>
      <c r="B41" s="87">
        <f>C41+D41+E41</f>
        <v>330000</v>
      </c>
      <c r="C41" s="85">
        <f>SUM(C37:C40)</f>
        <v>0</v>
      </c>
      <c r="D41" s="85">
        <f>SUM(D37:D40)</f>
        <v>180000</v>
      </c>
      <c r="E41" s="85">
        <f>SUM(E37:E40)</f>
        <v>150000</v>
      </c>
      <c r="F41" s="85"/>
      <c r="G41" s="57"/>
      <c r="H41" s="85">
        <f>SUM(H37:H40)</f>
        <v>0</v>
      </c>
      <c r="I41" s="85">
        <f>SUM(I37:I40)</f>
        <v>73853</v>
      </c>
      <c r="J41" s="85">
        <f>SUM(J37:J40)</f>
        <v>87500</v>
      </c>
      <c r="K41" s="85">
        <f>SUM(K37:K40)</f>
        <v>0</v>
      </c>
      <c r="L41" s="88">
        <f>SUM(L37:L40)</f>
        <v>161353</v>
      </c>
      <c r="M41" s="2"/>
    </row>
    <row r="42" spans="1:22" s="21" customFormat="1" ht="28.5" thickBot="1" x14ac:dyDescent="0.4">
      <c r="A42" s="30" t="s">
        <v>43</v>
      </c>
      <c r="B42" s="86">
        <f>C42+D42+E42</f>
        <v>785000</v>
      </c>
      <c r="C42" s="86">
        <f>C35+C41</f>
        <v>15000</v>
      </c>
      <c r="D42" s="86">
        <f>D35+D41</f>
        <v>445000</v>
      </c>
      <c r="E42" s="86">
        <f>E35+E41</f>
        <v>325000</v>
      </c>
      <c r="F42" s="86"/>
      <c r="G42" s="59"/>
      <c r="H42" s="86">
        <f>H35+H41</f>
        <v>9786.4932885906001</v>
      </c>
      <c r="I42" s="86">
        <f>I35+I41</f>
        <v>220846.53</v>
      </c>
      <c r="J42" s="86">
        <f>J35+J41</f>
        <v>242094.56</v>
      </c>
      <c r="K42" s="86">
        <v>0</v>
      </c>
      <c r="L42" s="89">
        <f>L35+L41</f>
        <v>472727.5832885906</v>
      </c>
      <c r="M42" s="35"/>
    </row>
    <row r="43" spans="1:22" s="21" customFormat="1" ht="15" thickBot="1" x14ac:dyDescent="0.4">
      <c r="A43" s="154" t="s">
        <v>65</v>
      </c>
      <c r="B43" s="155"/>
      <c r="C43" s="155"/>
      <c r="D43" s="155"/>
      <c r="E43" s="155"/>
      <c r="F43" s="155"/>
      <c r="G43" s="155"/>
      <c r="H43" s="155"/>
      <c r="I43" s="155"/>
      <c r="J43" s="155"/>
      <c r="K43" s="155"/>
      <c r="L43" s="155"/>
      <c r="M43" s="156"/>
    </row>
    <row r="44" spans="1:22" s="21" customFormat="1" x14ac:dyDescent="0.35">
      <c r="A44" s="157" t="s">
        <v>66</v>
      </c>
      <c r="B44" s="158"/>
      <c r="C44" s="158"/>
      <c r="D44" s="158"/>
      <c r="E44" s="158"/>
      <c r="F44" s="158"/>
      <c r="G44" s="158"/>
      <c r="H44" s="158"/>
      <c r="I44" s="158"/>
      <c r="J44" s="158"/>
      <c r="K44" s="158"/>
      <c r="L44" s="158"/>
      <c r="M44" s="159"/>
    </row>
    <row r="45" spans="1:22" s="37" customFormat="1" ht="42" x14ac:dyDescent="0.35">
      <c r="A45" s="15" t="s">
        <v>24</v>
      </c>
      <c r="B45" s="1" t="s">
        <v>100</v>
      </c>
      <c r="C45" s="66">
        <v>0</v>
      </c>
      <c r="D45" s="66">
        <v>0</v>
      </c>
      <c r="E45" s="66">
        <v>0</v>
      </c>
      <c r="F45" s="66">
        <v>770000</v>
      </c>
      <c r="G45" s="60">
        <v>0.3</v>
      </c>
      <c r="H45" s="69">
        <v>0</v>
      </c>
      <c r="I45" s="69">
        <v>0</v>
      </c>
      <c r="J45" s="69"/>
      <c r="K45" s="69">
        <v>295948.53999999998</v>
      </c>
      <c r="L45" s="70">
        <f>H45+I45+J45+K45</f>
        <v>295948.53999999998</v>
      </c>
      <c r="M45" s="2"/>
      <c r="N45" s="22">
        <f>F45+E45+D45+C45</f>
        <v>770000</v>
      </c>
      <c r="O45" s="21">
        <f>N45*G45</f>
        <v>231000</v>
      </c>
      <c r="P45" s="36"/>
      <c r="Q45" s="36"/>
      <c r="R45" s="36"/>
      <c r="S45" s="36"/>
      <c r="T45" s="36"/>
      <c r="U45" s="36"/>
      <c r="V45" s="36"/>
    </row>
    <row r="46" spans="1:22" s="21" customFormat="1" x14ac:dyDescent="0.35">
      <c r="A46" s="151" t="s">
        <v>67</v>
      </c>
      <c r="B46" s="152"/>
      <c r="C46" s="152"/>
      <c r="D46" s="152"/>
      <c r="E46" s="152"/>
      <c r="F46" s="152"/>
      <c r="G46" s="152"/>
      <c r="H46" s="152"/>
      <c r="I46" s="152"/>
      <c r="J46" s="152"/>
      <c r="K46" s="152"/>
      <c r="L46" s="152"/>
      <c r="M46" s="153"/>
    </row>
    <row r="47" spans="1:22" s="21" customFormat="1" x14ac:dyDescent="0.35">
      <c r="A47" s="13" t="s">
        <v>25</v>
      </c>
      <c r="B47" s="16" t="s">
        <v>114</v>
      </c>
      <c r="C47" s="94">
        <v>0</v>
      </c>
      <c r="D47" s="94">
        <v>0</v>
      </c>
      <c r="E47" s="94">
        <v>0</v>
      </c>
      <c r="F47" s="94">
        <v>15000</v>
      </c>
      <c r="G47" s="60">
        <v>0.15</v>
      </c>
      <c r="H47" s="69">
        <v>0</v>
      </c>
      <c r="I47" s="83">
        <v>0</v>
      </c>
      <c r="J47" s="69"/>
      <c r="K47" s="94">
        <v>5765.23</v>
      </c>
      <c r="L47" s="70">
        <f>H47+I47+J47+K47</f>
        <v>5765.23</v>
      </c>
      <c r="M47" s="38"/>
      <c r="N47" s="22">
        <f>F47+E47+D47+C47</f>
        <v>15000</v>
      </c>
      <c r="O47" s="21">
        <f>N47*G47</f>
        <v>2250</v>
      </c>
    </row>
    <row r="48" spans="1:22" s="21" customFormat="1" x14ac:dyDescent="0.35">
      <c r="A48" s="151" t="s">
        <v>87</v>
      </c>
      <c r="B48" s="152"/>
      <c r="C48" s="152"/>
      <c r="D48" s="152"/>
      <c r="E48" s="152"/>
      <c r="F48" s="152"/>
      <c r="G48" s="152"/>
      <c r="H48" s="152"/>
      <c r="I48" s="152"/>
      <c r="J48" s="152"/>
      <c r="K48" s="152"/>
      <c r="L48" s="152"/>
      <c r="M48" s="153"/>
    </row>
    <row r="49" spans="1:16" s="21" customFormat="1" x14ac:dyDescent="0.35">
      <c r="A49" s="13" t="s">
        <v>86</v>
      </c>
      <c r="B49" s="16" t="s">
        <v>115</v>
      </c>
      <c r="C49" s="94">
        <v>0</v>
      </c>
      <c r="D49" s="94">
        <v>0</v>
      </c>
      <c r="E49" s="94">
        <v>0</v>
      </c>
      <c r="F49" s="94">
        <v>5000</v>
      </c>
      <c r="G49" s="60">
        <v>0.15</v>
      </c>
      <c r="H49" s="69">
        <v>0</v>
      </c>
      <c r="I49" s="69">
        <v>0</v>
      </c>
      <c r="J49" s="69">
        <v>0</v>
      </c>
      <c r="K49" s="94">
        <v>1921.74</v>
      </c>
      <c r="L49" s="70">
        <f>H49+I49+J49+K49</f>
        <v>1921.74</v>
      </c>
      <c r="M49" s="38"/>
      <c r="N49" s="22">
        <f>F49+E49+D49+C49</f>
        <v>5000</v>
      </c>
      <c r="O49" s="21">
        <f>N49*G49</f>
        <v>750</v>
      </c>
    </row>
    <row r="50" spans="1:16" s="39" customFormat="1" x14ac:dyDescent="0.35">
      <c r="A50" s="25" t="s">
        <v>88</v>
      </c>
      <c r="B50" s="81">
        <f>C50+D50+E50</f>
        <v>0</v>
      </c>
      <c r="C50" s="68">
        <f>SUM(C45:C47)</f>
        <v>0</v>
      </c>
      <c r="D50" s="68">
        <f>SUM(D45:D49)</f>
        <v>0</v>
      </c>
      <c r="E50" s="68">
        <f>SUM(E45:E47)</f>
        <v>0</v>
      </c>
      <c r="F50" s="68">
        <f>F45+F47+F49</f>
        <v>790000</v>
      </c>
      <c r="G50" s="29"/>
      <c r="H50" s="68">
        <f>H45+H47+H49</f>
        <v>0</v>
      </c>
      <c r="I50" s="68">
        <f>I45+I47+I49</f>
        <v>0</v>
      </c>
      <c r="J50" s="68">
        <f>J45+J47+J49</f>
        <v>0</v>
      </c>
      <c r="K50" s="68">
        <f>K45+K47+K49</f>
        <v>303635.50999999995</v>
      </c>
      <c r="L50" s="148">
        <f>L45+L47+L49</f>
        <v>303635.50999999995</v>
      </c>
      <c r="M50" s="17"/>
    </row>
    <row r="51" spans="1:16" s="21" customFormat="1" ht="56" x14ac:dyDescent="0.35">
      <c r="A51" s="34" t="s">
        <v>26</v>
      </c>
      <c r="B51" s="28" t="s">
        <v>116</v>
      </c>
      <c r="C51" s="69">
        <v>81000</v>
      </c>
      <c r="D51" s="69">
        <v>126000</v>
      </c>
      <c r="E51" s="95">
        <v>40000</v>
      </c>
      <c r="F51" s="95">
        <v>0</v>
      </c>
      <c r="G51" s="53">
        <v>0</v>
      </c>
      <c r="H51" s="69">
        <v>23383.236548000001</v>
      </c>
      <c r="I51" s="69">
        <v>56912.460000000006</v>
      </c>
      <c r="J51" s="69">
        <v>48118.29</v>
      </c>
      <c r="K51" s="96"/>
      <c r="L51" s="70">
        <f>H51+I51+J51+K51</f>
        <v>128413.98654800002</v>
      </c>
      <c r="M51" s="2"/>
      <c r="N51" s="22">
        <f>F51+E51+D51+C51</f>
        <v>247000</v>
      </c>
      <c r="O51" s="21">
        <f>N51*G51</f>
        <v>0</v>
      </c>
    </row>
    <row r="52" spans="1:16" s="21" customFormat="1" ht="56" x14ac:dyDescent="0.35">
      <c r="A52" s="34" t="s">
        <v>27</v>
      </c>
      <c r="B52" s="1" t="s">
        <v>101</v>
      </c>
      <c r="C52" s="69">
        <v>59617</v>
      </c>
      <c r="D52" s="69">
        <v>80000</v>
      </c>
      <c r="E52" s="69">
        <v>135000</v>
      </c>
      <c r="F52" s="69">
        <v>50000</v>
      </c>
      <c r="G52" s="53">
        <v>0</v>
      </c>
      <c r="H52" s="69">
        <v>7448.5365419798536</v>
      </c>
      <c r="I52" s="69">
        <v>43080.05</v>
      </c>
      <c r="J52" s="69">
        <v>46991.02</v>
      </c>
      <c r="K52" s="69">
        <v>0</v>
      </c>
      <c r="L52" s="70">
        <f>H52+I52+J52+K52</f>
        <v>97519.606541979854</v>
      </c>
      <c r="M52" s="2"/>
      <c r="N52" s="22">
        <f>F52+E52+D52+C52</f>
        <v>324617</v>
      </c>
      <c r="O52" s="21">
        <f>N52*G52</f>
        <v>0</v>
      </c>
    </row>
    <row r="53" spans="1:16" s="21" customFormat="1" ht="28" x14ac:dyDescent="0.35">
      <c r="A53" s="34" t="s">
        <v>28</v>
      </c>
      <c r="B53" s="28" t="s">
        <v>117</v>
      </c>
      <c r="C53" s="94">
        <v>23000</v>
      </c>
      <c r="D53" s="94">
        <v>43000</v>
      </c>
      <c r="E53" s="94">
        <v>43000</v>
      </c>
      <c r="F53" s="94">
        <v>0</v>
      </c>
      <c r="G53" s="53">
        <v>0.15</v>
      </c>
      <c r="H53" s="69">
        <v>16771.953704949676</v>
      </c>
      <c r="I53" s="69">
        <v>0</v>
      </c>
      <c r="J53" s="69">
        <v>0</v>
      </c>
      <c r="K53" s="94"/>
      <c r="L53" s="70">
        <f>H53+I53+J53+K53</f>
        <v>16771.953704949676</v>
      </c>
      <c r="M53" s="2"/>
      <c r="N53" s="22">
        <f>F53+E53+D53+C53</f>
        <v>109000</v>
      </c>
      <c r="O53" s="21">
        <f>N53*G53</f>
        <v>16350</v>
      </c>
    </row>
    <row r="54" spans="1:16" s="21" customFormat="1" x14ac:dyDescent="0.35">
      <c r="A54" s="160" t="s">
        <v>91</v>
      </c>
      <c r="B54" s="161"/>
      <c r="C54" s="90">
        <v>0</v>
      </c>
      <c r="D54" s="90">
        <v>48000</v>
      </c>
      <c r="E54" s="90">
        <v>0</v>
      </c>
      <c r="F54" s="90">
        <v>0</v>
      </c>
      <c r="G54" s="64">
        <v>0.2</v>
      </c>
      <c r="H54" s="90"/>
      <c r="I54" s="90">
        <v>14165.39</v>
      </c>
      <c r="J54" s="90">
        <v>0</v>
      </c>
      <c r="K54" s="90">
        <v>0</v>
      </c>
      <c r="L54" s="70">
        <f>H54+I54+J54+K54</f>
        <v>14165.39</v>
      </c>
      <c r="M54" s="40"/>
      <c r="N54" s="22">
        <f>F54+E54+D54+C54</f>
        <v>48000</v>
      </c>
      <c r="O54" s="21">
        <f>N54*G54</f>
        <v>9600</v>
      </c>
    </row>
    <row r="55" spans="1:16" s="21" customFormat="1" ht="42" x14ac:dyDescent="0.35">
      <c r="A55" s="41" t="s">
        <v>73</v>
      </c>
      <c r="B55" s="91">
        <f>SUM(C55:F55)</f>
        <v>3262617</v>
      </c>
      <c r="C55" s="91">
        <f>SUM(C28+C42+C50+C51+C52+C53)</f>
        <v>440617</v>
      </c>
      <c r="D55" s="91">
        <f>SUM(D28+D42+D50+D51+D52+D53+D54)</f>
        <v>1149000</v>
      </c>
      <c r="E55" s="91">
        <f>SUM(E28+E42+E50+E51+E52+E53)</f>
        <v>833000</v>
      </c>
      <c r="F55" s="91">
        <f>SUM(F28+F42+F50+F51+F52+F53)</f>
        <v>840000</v>
      </c>
      <c r="G55" s="61"/>
      <c r="H55" s="91">
        <f>SUM(H28+H42+H50+H51+H52+H53)</f>
        <v>232612.37568870414</v>
      </c>
      <c r="I55" s="91">
        <f>SUM(I28+I42+I50+I51+I52+I53+I54)</f>
        <v>567999.96000000008</v>
      </c>
      <c r="J55" s="91">
        <f>SUM(J28+J42+J50+J51+J52+J53+J54)</f>
        <v>488403.87</v>
      </c>
      <c r="K55" s="149">
        <f>SUM(K28+K42+K50+K51+K52+K53+K54)</f>
        <v>303635.50999999995</v>
      </c>
      <c r="L55" s="71">
        <f>SUM(L28+L42+L50+L51+L52+L53+L54)</f>
        <v>1592651.715688704</v>
      </c>
      <c r="M55" s="42" t="s">
        <v>99</v>
      </c>
      <c r="O55" s="21">
        <f>SUM(O9:O54)</f>
        <v>1382350</v>
      </c>
      <c r="P55" s="43"/>
    </row>
    <row r="56" spans="1:16" s="21" customFormat="1" ht="28" x14ac:dyDescent="0.35">
      <c r="A56" s="41" t="s">
        <v>29</v>
      </c>
      <c r="B56" s="91">
        <f>SUM(C56:F56)</f>
        <v>228383.19000000003</v>
      </c>
      <c r="C56" s="91">
        <f>C55*0.07</f>
        <v>30843.190000000002</v>
      </c>
      <c r="D56" s="91">
        <f>D55*0.07</f>
        <v>80430.000000000015</v>
      </c>
      <c r="E56" s="91">
        <f>E55*0.07</f>
        <v>58310.000000000007</v>
      </c>
      <c r="F56" s="91">
        <f>F55*0.07</f>
        <v>58800.000000000007</v>
      </c>
      <c r="G56" s="62"/>
      <c r="H56" s="91">
        <v>16282.866298209292</v>
      </c>
      <c r="I56" s="91">
        <v>39526.657099999997</v>
      </c>
      <c r="J56" s="91">
        <v>34188.270900000003</v>
      </c>
      <c r="K56" s="91">
        <v>21254.486399999998</v>
      </c>
      <c r="L56" s="71">
        <f>H56+I56+J56+K56</f>
        <v>111252.28069820929</v>
      </c>
      <c r="M56" s="42" t="s">
        <v>99</v>
      </c>
    </row>
    <row r="57" spans="1:16" s="21" customFormat="1" ht="42.5" thickBot="1" x14ac:dyDescent="0.4">
      <c r="A57" s="44" t="s">
        <v>74</v>
      </c>
      <c r="B57" s="92">
        <f>SUM(C57:F57)</f>
        <v>3491000.19</v>
      </c>
      <c r="C57" s="92">
        <f>C55+C56</f>
        <v>471460.19</v>
      </c>
      <c r="D57" s="92">
        <f>D55+D56</f>
        <v>1229430</v>
      </c>
      <c r="E57" s="92">
        <f>E55+E56</f>
        <v>891310</v>
      </c>
      <c r="F57" s="92">
        <f>F55+F56</f>
        <v>898800</v>
      </c>
      <c r="G57" s="63"/>
      <c r="H57" s="92">
        <f>H55+H56</f>
        <v>248895.24198691343</v>
      </c>
      <c r="I57" s="92">
        <f>I55+I56</f>
        <v>607526.61710000003</v>
      </c>
      <c r="J57" s="92">
        <f>J55+J56</f>
        <v>522592.1409</v>
      </c>
      <c r="K57" s="92">
        <f>K55+K56</f>
        <v>324889.99639999995</v>
      </c>
      <c r="L57" s="93">
        <f>L55+L56</f>
        <v>1703903.9963869133</v>
      </c>
      <c r="M57" s="45"/>
    </row>
    <row r="58" spans="1:16" x14ac:dyDescent="0.35">
      <c r="L58" s="150">
        <f>L57/(F57+E57+D57+C57)</f>
        <v>0.48808476185929778</v>
      </c>
    </row>
    <row r="59" spans="1:16" x14ac:dyDescent="0.35">
      <c r="L59" s="46"/>
    </row>
    <row r="60" spans="1:16" x14ac:dyDescent="0.35">
      <c r="L60" s="47"/>
    </row>
  </sheetData>
  <mergeCells count="12">
    <mergeCell ref="A8:M8"/>
    <mergeCell ref="A29:M29"/>
    <mergeCell ref="A9:M9"/>
    <mergeCell ref="A22:M22"/>
    <mergeCell ref="A30:M30"/>
    <mergeCell ref="A36:M36"/>
    <mergeCell ref="A15:M15"/>
    <mergeCell ref="A43:M43"/>
    <mergeCell ref="A44:M44"/>
    <mergeCell ref="A54:B54"/>
    <mergeCell ref="A46:M46"/>
    <mergeCell ref="A48:M48"/>
  </mergeCells>
  <phoneticPr fontId="2" type="noConversion"/>
  <pageMargins left="0.7" right="0.7" top="0.75" bottom="0.75" header="0.3" footer="0.3"/>
  <pageSetup paperSize="9" scale="14" fitToHeight="10" orientation="landscape" r:id="rId1"/>
  <rowBreaks count="1" manualBreakCount="1">
    <brk id="55"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4"/>
  <sheetViews>
    <sheetView tabSelected="1" topLeftCell="E1" zoomScale="90" zoomScaleNormal="90" workbookViewId="0">
      <selection activeCell="R22" sqref="R22"/>
    </sheetView>
  </sheetViews>
  <sheetFormatPr defaultColWidth="10.7265625" defaultRowHeight="14" x14ac:dyDescent="0.35"/>
  <cols>
    <col min="1" max="1" width="15.453125" style="98" customWidth="1"/>
    <col min="2" max="21" width="9.26953125" style="98" customWidth="1"/>
    <col min="22" max="16384" width="10.7265625" style="98"/>
  </cols>
  <sheetData>
    <row r="1" spans="1:21" ht="20" x14ac:dyDescent="0.35">
      <c r="A1" s="48" t="s">
        <v>6</v>
      </c>
      <c r="B1" s="97"/>
      <c r="C1" s="97"/>
      <c r="D1" s="97"/>
      <c r="E1" s="97"/>
      <c r="F1" s="97"/>
      <c r="G1" s="97"/>
      <c r="H1" s="97"/>
    </row>
    <row r="2" spans="1:21" x14ac:dyDescent="0.35">
      <c r="A2" s="99"/>
      <c r="B2" s="99"/>
      <c r="C2" s="99"/>
      <c r="D2" s="99"/>
      <c r="E2" s="99"/>
      <c r="F2" s="99"/>
      <c r="G2" s="99"/>
      <c r="H2" s="99"/>
    </row>
    <row r="3" spans="1:21" x14ac:dyDescent="0.35">
      <c r="A3" s="146" t="s">
        <v>31</v>
      </c>
      <c r="B3" s="99"/>
      <c r="C3" s="99"/>
      <c r="D3" s="99"/>
      <c r="E3" s="99"/>
      <c r="F3" s="99"/>
      <c r="G3" s="99"/>
      <c r="H3" s="99"/>
    </row>
    <row r="4" spans="1:21" x14ac:dyDescent="0.35">
      <c r="A4" s="146"/>
      <c r="B4" s="99"/>
      <c r="C4" s="99"/>
      <c r="D4" s="99"/>
      <c r="E4" s="99"/>
      <c r="F4" s="99"/>
      <c r="G4" s="99"/>
      <c r="H4" s="99"/>
    </row>
    <row r="5" spans="1:21" ht="15" x14ac:dyDescent="0.35">
      <c r="A5" s="49" t="s">
        <v>30</v>
      </c>
      <c r="B5" s="99"/>
      <c r="C5" s="99"/>
      <c r="D5" s="99"/>
      <c r="E5" s="99"/>
      <c r="F5" s="99"/>
      <c r="G5" s="99"/>
      <c r="H5" s="99"/>
    </row>
    <row r="6" spans="1:21" ht="14.5" thickBot="1" x14ac:dyDescent="0.4"/>
    <row r="7" spans="1:21" ht="23" x14ac:dyDescent="0.35">
      <c r="A7" s="172" t="s">
        <v>0</v>
      </c>
      <c r="B7" s="168" t="s">
        <v>59</v>
      </c>
      <c r="C7" s="168"/>
      <c r="D7" s="168"/>
      <c r="E7" s="168"/>
      <c r="F7" s="168"/>
      <c r="G7" s="168"/>
      <c r="H7" s="168" t="s">
        <v>58</v>
      </c>
      <c r="I7" s="168"/>
      <c r="J7" s="168" t="s">
        <v>89</v>
      </c>
      <c r="K7" s="168"/>
      <c r="L7" s="168" t="s">
        <v>102</v>
      </c>
      <c r="M7" s="168"/>
      <c r="N7" s="100" t="s">
        <v>4</v>
      </c>
      <c r="O7" s="100" t="s">
        <v>5</v>
      </c>
      <c r="P7" s="168" t="s">
        <v>32</v>
      </c>
      <c r="Q7" s="170" t="s">
        <v>107</v>
      </c>
      <c r="R7" s="170"/>
      <c r="S7" s="170"/>
      <c r="T7" s="170"/>
      <c r="U7" s="171"/>
    </row>
    <row r="8" spans="1:21" ht="35" thickBot="1" x14ac:dyDescent="0.4">
      <c r="A8" s="173"/>
      <c r="B8" s="101" t="s">
        <v>108</v>
      </c>
      <c r="C8" s="102" t="s">
        <v>109</v>
      </c>
      <c r="D8" s="101" t="s">
        <v>110</v>
      </c>
      <c r="E8" s="102" t="s">
        <v>111</v>
      </c>
      <c r="F8" s="101" t="s">
        <v>112</v>
      </c>
      <c r="G8" s="102" t="s">
        <v>118</v>
      </c>
      <c r="H8" s="101" t="s">
        <v>2</v>
      </c>
      <c r="I8" s="101" t="s">
        <v>3</v>
      </c>
      <c r="J8" s="101" t="s">
        <v>2</v>
      </c>
      <c r="K8" s="101" t="s">
        <v>3</v>
      </c>
      <c r="L8" s="101" t="s">
        <v>2</v>
      </c>
      <c r="M8" s="101" t="s">
        <v>3</v>
      </c>
      <c r="N8" s="101" t="s">
        <v>2</v>
      </c>
      <c r="O8" s="101" t="s">
        <v>3</v>
      </c>
      <c r="P8" s="169"/>
      <c r="Q8" s="103" t="s">
        <v>59</v>
      </c>
      <c r="R8" s="104" t="s">
        <v>58</v>
      </c>
      <c r="S8" s="103" t="s">
        <v>60</v>
      </c>
      <c r="T8" s="103" t="s">
        <v>102</v>
      </c>
      <c r="U8" s="105" t="s">
        <v>1</v>
      </c>
    </row>
    <row r="9" spans="1:21" ht="23" x14ac:dyDescent="0.35">
      <c r="A9" s="106" t="s">
        <v>33</v>
      </c>
      <c r="B9" s="107">
        <v>112700</v>
      </c>
      <c r="C9" s="108">
        <v>121800</v>
      </c>
      <c r="D9" s="107">
        <v>48300</v>
      </c>
      <c r="E9" s="108">
        <f>174000-C9</f>
        <v>52200</v>
      </c>
      <c r="F9" s="107">
        <f t="shared" ref="F9:G15" si="0">B9+D9</f>
        <v>161000</v>
      </c>
      <c r="G9" s="108">
        <f>C9+E9</f>
        <v>174000</v>
      </c>
      <c r="H9" s="143">
        <v>60000</v>
      </c>
      <c r="I9" s="143">
        <v>18000</v>
      </c>
      <c r="J9" s="109">
        <v>58547</v>
      </c>
      <c r="K9" s="109">
        <v>25079</v>
      </c>
      <c r="L9" s="109">
        <v>539000</v>
      </c>
      <c r="M9" s="109">
        <v>231000</v>
      </c>
      <c r="N9" s="109">
        <f>B9+H9+J9+L9</f>
        <v>770247</v>
      </c>
      <c r="O9" s="109">
        <f>D9+I9+K9+M9</f>
        <v>322379</v>
      </c>
      <c r="P9" s="109">
        <f>N9+O9</f>
        <v>1092626</v>
      </c>
      <c r="Q9" s="109">
        <f>'Budget par resultats'!I51</f>
        <v>56912.460000000006</v>
      </c>
      <c r="R9" s="109">
        <v>56528.67</v>
      </c>
      <c r="S9" s="109">
        <v>23383.236548000001</v>
      </c>
      <c r="T9" s="109">
        <v>252075.74</v>
      </c>
      <c r="U9" s="110">
        <f t="shared" ref="U9:U16" si="1">Q9+R9+S9+T9</f>
        <v>388900.10654800001</v>
      </c>
    </row>
    <row r="10" spans="1:21" ht="34.5" x14ac:dyDescent="0.35">
      <c r="A10" s="111" t="s">
        <v>34</v>
      </c>
      <c r="B10" s="112">
        <v>21000</v>
      </c>
      <c r="C10" s="113">
        <v>51100</v>
      </c>
      <c r="D10" s="112">
        <v>9000</v>
      </c>
      <c r="E10" s="113">
        <f>73000-C10</f>
        <v>21900</v>
      </c>
      <c r="F10" s="112">
        <f t="shared" si="0"/>
        <v>30000</v>
      </c>
      <c r="G10" s="113">
        <f t="shared" si="0"/>
        <v>73000</v>
      </c>
      <c r="H10" s="117">
        <v>20000</v>
      </c>
      <c r="I10" s="117">
        <v>15000</v>
      </c>
      <c r="J10" s="114">
        <v>22355</v>
      </c>
      <c r="K10" s="114">
        <v>9581</v>
      </c>
      <c r="L10" s="114">
        <v>7000</v>
      </c>
      <c r="M10" s="114">
        <v>3000</v>
      </c>
      <c r="N10" s="114">
        <f>B10+H10+J10+L10</f>
        <v>70355</v>
      </c>
      <c r="O10" s="114">
        <f>D10+I10+K10+M10</f>
        <v>36581</v>
      </c>
      <c r="P10" s="114">
        <f t="shared" ref="P10:P15" si="2">N10+O10</f>
        <v>106936</v>
      </c>
      <c r="Q10" s="114">
        <v>14440.58</v>
      </c>
      <c r="R10" s="114">
        <v>14204.77</v>
      </c>
      <c r="S10" s="114">
        <v>0</v>
      </c>
      <c r="T10" s="114">
        <v>4065.7399999999993</v>
      </c>
      <c r="U10" s="115">
        <f t="shared" si="1"/>
        <v>32711.089999999997</v>
      </c>
    </row>
    <row r="11" spans="1:21" ht="68.25" customHeight="1" x14ac:dyDescent="0.35">
      <c r="A11" s="111" t="s">
        <v>35</v>
      </c>
      <c r="B11" s="112">
        <v>24500</v>
      </c>
      <c r="C11" s="113">
        <v>24500</v>
      </c>
      <c r="D11" s="112">
        <v>10500</v>
      </c>
      <c r="E11" s="113">
        <f>35000-C11</f>
        <v>10500</v>
      </c>
      <c r="F11" s="112">
        <f t="shared" si="0"/>
        <v>35000</v>
      </c>
      <c r="G11" s="116">
        <f t="shared" si="0"/>
        <v>35000</v>
      </c>
      <c r="H11" s="117">
        <v>20000</v>
      </c>
      <c r="I11" s="117">
        <v>12500</v>
      </c>
      <c r="J11" s="114">
        <v>22708</v>
      </c>
      <c r="K11" s="114">
        <v>9732</v>
      </c>
      <c r="L11" s="114">
        <v>28000</v>
      </c>
      <c r="M11" s="114">
        <v>12000</v>
      </c>
      <c r="N11" s="114">
        <f>B11+H11+J11+L11</f>
        <v>95208</v>
      </c>
      <c r="O11" s="114">
        <f>D11+I11+K11+M11</f>
        <v>44732</v>
      </c>
      <c r="P11" s="114">
        <f t="shared" si="2"/>
        <v>139940</v>
      </c>
      <c r="Q11" s="114">
        <v>3333.43</v>
      </c>
      <c r="R11" s="114">
        <v>-50265.04</v>
      </c>
      <c r="S11" s="114">
        <v>17719.862068965518</v>
      </c>
      <c r="T11" s="114">
        <v>22247.61</v>
      </c>
      <c r="U11" s="115">
        <f t="shared" si="1"/>
        <v>-6964.1379310344819</v>
      </c>
    </row>
    <row r="12" spans="1:21" ht="23" x14ac:dyDescent="0.35">
      <c r="A12" s="111" t="s">
        <v>36</v>
      </c>
      <c r="B12" s="112">
        <v>17500</v>
      </c>
      <c r="C12" s="113">
        <f>49000-19500</f>
        <v>29500</v>
      </c>
      <c r="D12" s="112">
        <v>7500</v>
      </c>
      <c r="E12" s="113">
        <f>70000-C12</f>
        <v>40500</v>
      </c>
      <c r="F12" s="112">
        <f t="shared" si="0"/>
        <v>25000</v>
      </c>
      <c r="G12" s="113">
        <f t="shared" si="0"/>
        <v>70000</v>
      </c>
      <c r="H12" s="117">
        <v>37000</v>
      </c>
      <c r="I12" s="117">
        <v>21310</v>
      </c>
      <c r="J12" s="114">
        <v>66500</v>
      </c>
      <c r="K12" s="114">
        <v>28500</v>
      </c>
      <c r="L12" s="114">
        <v>0</v>
      </c>
      <c r="M12" s="114">
        <v>0</v>
      </c>
      <c r="N12" s="114">
        <f>B12+H12+J12+L12</f>
        <v>121000</v>
      </c>
      <c r="O12" s="114">
        <f>D12+I12+K12+M12</f>
        <v>57310</v>
      </c>
      <c r="P12" s="114">
        <f t="shared" si="2"/>
        <v>178310</v>
      </c>
      <c r="Q12" s="114">
        <v>7031</v>
      </c>
      <c r="R12" s="114">
        <v>254437.27</v>
      </c>
      <c r="S12" s="114">
        <v>51474.678893774588</v>
      </c>
      <c r="T12" s="114">
        <v>0</v>
      </c>
      <c r="U12" s="115">
        <f t="shared" si="1"/>
        <v>312942.94889377459</v>
      </c>
    </row>
    <row r="13" spans="1:21" ht="23" x14ac:dyDescent="0.35">
      <c r="A13" s="111" t="s">
        <v>37</v>
      </c>
      <c r="B13" s="112">
        <v>98350</v>
      </c>
      <c r="C13" s="113">
        <f>74550+9750</f>
        <v>84300</v>
      </c>
      <c r="D13" s="112">
        <v>44250</v>
      </c>
      <c r="E13" s="113">
        <f>106500-C13</f>
        <v>22200</v>
      </c>
      <c r="F13" s="112">
        <f t="shared" si="0"/>
        <v>142600</v>
      </c>
      <c r="G13" s="113">
        <f t="shared" si="0"/>
        <v>106500</v>
      </c>
      <c r="H13" s="117">
        <v>50000</v>
      </c>
      <c r="I13" s="117">
        <v>20000</v>
      </c>
      <c r="J13" s="114">
        <v>46200</v>
      </c>
      <c r="K13" s="114">
        <v>19800</v>
      </c>
      <c r="L13" s="114">
        <v>14000</v>
      </c>
      <c r="M13" s="114">
        <v>6000</v>
      </c>
      <c r="N13" s="114">
        <f>B13+H13+J13+L13</f>
        <v>208550</v>
      </c>
      <c r="O13" s="114">
        <f>D13+I13+K13+M13</f>
        <v>90050</v>
      </c>
      <c r="P13" s="114">
        <f>N13+O13</f>
        <v>298600</v>
      </c>
      <c r="Q13" s="114">
        <v>23111.88</v>
      </c>
      <c r="R13" s="114">
        <v>90400.06</v>
      </c>
      <c r="S13" s="114">
        <v>16771.953704949676</v>
      </c>
      <c r="T13" s="114">
        <v>13725.43</v>
      </c>
      <c r="U13" s="115">
        <f t="shared" si="1"/>
        <v>144009.32370494967</v>
      </c>
    </row>
    <row r="14" spans="1:21" ht="34.5" x14ac:dyDescent="0.35">
      <c r="A14" s="111" t="s">
        <v>38</v>
      </c>
      <c r="B14" s="112">
        <v>462350</v>
      </c>
      <c r="C14" s="113">
        <f>448350+9750</f>
        <v>458100</v>
      </c>
      <c r="D14" s="112">
        <v>203050</v>
      </c>
      <c r="E14" s="113">
        <f>640500-C14</f>
        <v>182400</v>
      </c>
      <c r="F14" s="112">
        <f t="shared" si="0"/>
        <v>665400</v>
      </c>
      <c r="G14" s="113">
        <f t="shared" si="0"/>
        <v>640500</v>
      </c>
      <c r="H14" s="117">
        <v>400000</v>
      </c>
      <c r="I14" s="117">
        <v>120000</v>
      </c>
      <c r="J14" s="114">
        <v>50400</v>
      </c>
      <c r="K14" s="114">
        <v>21600</v>
      </c>
      <c r="L14" s="114">
        <v>0</v>
      </c>
      <c r="M14" s="114">
        <v>0</v>
      </c>
      <c r="N14" s="114">
        <f>B14+H14+J14</f>
        <v>912750</v>
      </c>
      <c r="O14" s="114">
        <f>D14+I14+K14</f>
        <v>344650</v>
      </c>
      <c r="P14" s="114">
        <f t="shared" si="2"/>
        <v>1257400</v>
      </c>
      <c r="Q14" s="114">
        <v>420090.56</v>
      </c>
      <c r="R14" s="114">
        <v>44008.14</v>
      </c>
      <c r="S14" s="114">
        <v>119839.97</v>
      </c>
      <c r="T14" s="114">
        <v>0</v>
      </c>
      <c r="U14" s="115">
        <f t="shared" si="1"/>
        <v>583938.67000000004</v>
      </c>
    </row>
    <row r="15" spans="1:21" ht="35" thickBot="1" x14ac:dyDescent="0.4">
      <c r="A15" s="118" t="s">
        <v>39</v>
      </c>
      <c r="B15" s="119">
        <v>63000</v>
      </c>
      <c r="C15" s="120">
        <f>35000-4900</f>
        <v>30100</v>
      </c>
      <c r="D15" s="119">
        <v>27000</v>
      </c>
      <c r="E15" s="120">
        <f>50000-C15</f>
        <v>19900</v>
      </c>
      <c r="F15" s="119">
        <f t="shared" si="0"/>
        <v>90000</v>
      </c>
      <c r="G15" s="120">
        <f t="shared" si="0"/>
        <v>50000</v>
      </c>
      <c r="H15" s="144">
        <v>20000</v>
      </c>
      <c r="I15" s="144">
        <v>19190</v>
      </c>
      <c r="J15" s="121">
        <v>41730</v>
      </c>
      <c r="K15" s="121">
        <v>17885</v>
      </c>
      <c r="L15" s="121">
        <v>0</v>
      </c>
      <c r="M15" s="121">
        <v>0</v>
      </c>
      <c r="N15" s="121">
        <f>B15+H15+J15</f>
        <v>124730</v>
      </c>
      <c r="O15" s="121">
        <f>D15+I15+K15</f>
        <v>64075</v>
      </c>
      <c r="P15" s="121">
        <f t="shared" si="2"/>
        <v>188805</v>
      </c>
      <c r="Q15" s="121">
        <v>43080.05</v>
      </c>
      <c r="R15" s="121">
        <v>79090</v>
      </c>
      <c r="S15" s="121">
        <v>3422.6744730143364</v>
      </c>
      <c r="T15" s="121">
        <v>11521</v>
      </c>
      <c r="U15" s="122">
        <f t="shared" si="1"/>
        <v>137113.72447301436</v>
      </c>
    </row>
    <row r="16" spans="1:21" ht="14.5" thickBot="1" x14ac:dyDescent="0.4">
      <c r="A16" s="123" t="s">
        <v>40</v>
      </c>
      <c r="B16" s="124">
        <f t="shared" ref="B16:G16" si="3">SUM(B9:B15)</f>
        <v>799400</v>
      </c>
      <c r="C16" s="125">
        <f t="shared" si="3"/>
        <v>799400</v>
      </c>
      <c r="D16" s="124">
        <f t="shared" si="3"/>
        <v>349600</v>
      </c>
      <c r="E16" s="125">
        <f t="shared" si="3"/>
        <v>349600</v>
      </c>
      <c r="F16" s="124">
        <f t="shared" si="3"/>
        <v>1149000</v>
      </c>
      <c r="G16" s="125">
        <f t="shared" si="3"/>
        <v>1149000</v>
      </c>
      <c r="H16" s="126">
        <f t="shared" ref="H16:O16" si="4">SUM(H9:H15)</f>
        <v>607000</v>
      </c>
      <c r="I16" s="126">
        <f t="shared" si="4"/>
        <v>226000</v>
      </c>
      <c r="J16" s="126">
        <f t="shared" si="4"/>
        <v>308440</v>
      </c>
      <c r="K16" s="126">
        <f t="shared" si="4"/>
        <v>132177</v>
      </c>
      <c r="L16" s="126">
        <f t="shared" si="4"/>
        <v>588000</v>
      </c>
      <c r="M16" s="126">
        <f t="shared" si="4"/>
        <v>252000</v>
      </c>
      <c r="N16" s="126">
        <f t="shared" si="4"/>
        <v>2302840</v>
      </c>
      <c r="O16" s="126">
        <f t="shared" si="4"/>
        <v>959777</v>
      </c>
      <c r="P16" s="126">
        <f>SUM(P9:P15)</f>
        <v>3262617</v>
      </c>
      <c r="Q16" s="126">
        <f>SUM(Q9:Q15)</f>
        <v>567999.96000000008</v>
      </c>
      <c r="R16" s="126">
        <f>SUM(R9:R15)</f>
        <v>488403.87</v>
      </c>
      <c r="S16" s="126">
        <f>SUM(S9:S15)</f>
        <v>232612.37568870411</v>
      </c>
      <c r="T16" s="126">
        <f>SUM(T9:T15)</f>
        <v>303635.51999999996</v>
      </c>
      <c r="U16" s="127">
        <f t="shared" si="1"/>
        <v>1592651.7256887043</v>
      </c>
    </row>
    <row r="17" spans="1:23" x14ac:dyDescent="0.35">
      <c r="A17" s="106" t="s">
        <v>41</v>
      </c>
      <c r="B17" s="109">
        <f>B16*7%</f>
        <v>55958.000000000007</v>
      </c>
      <c r="C17" s="128">
        <f>C16*0.07</f>
        <v>55958.000000000007</v>
      </c>
      <c r="D17" s="107">
        <f>D16*0.07</f>
        <v>24472.000000000004</v>
      </c>
      <c r="E17" s="128">
        <f>E16*0.07</f>
        <v>24472.000000000004</v>
      </c>
      <c r="F17" s="109">
        <f>F16*0.07</f>
        <v>80430.000000000015</v>
      </c>
      <c r="G17" s="128">
        <f>G16*0.07</f>
        <v>80430.000000000015</v>
      </c>
      <c r="H17" s="143">
        <f t="shared" ref="H17:P17" si="5">SUM(H16*0.07)</f>
        <v>42490.000000000007</v>
      </c>
      <c r="I17" s="143">
        <f t="shared" si="5"/>
        <v>15820.000000000002</v>
      </c>
      <c r="J17" s="143">
        <f t="shared" si="5"/>
        <v>21590.800000000003</v>
      </c>
      <c r="K17" s="143">
        <f t="shared" si="5"/>
        <v>9252.3900000000012</v>
      </c>
      <c r="L17" s="143">
        <f t="shared" si="5"/>
        <v>41160.000000000007</v>
      </c>
      <c r="M17" s="143">
        <f t="shared" si="5"/>
        <v>17640</v>
      </c>
      <c r="N17" s="143">
        <f t="shared" si="5"/>
        <v>161198.80000000002</v>
      </c>
      <c r="O17" s="143">
        <f t="shared" si="5"/>
        <v>67184.39</v>
      </c>
      <c r="P17" s="143">
        <f t="shared" si="5"/>
        <v>228383.19000000003</v>
      </c>
      <c r="Q17" s="143">
        <v>39526.657099999997</v>
      </c>
      <c r="R17" s="143">
        <v>34188.270900000003</v>
      </c>
      <c r="S17" s="143">
        <v>16282.866298209299</v>
      </c>
      <c r="T17" s="143">
        <v>21254.486400000002</v>
      </c>
      <c r="U17" s="145">
        <f>Q17+R17+S17+T17</f>
        <v>111252.2806982093</v>
      </c>
    </row>
    <row r="18" spans="1:23" ht="14.5" thickBot="1" x14ac:dyDescent="0.4">
      <c r="A18" s="129" t="s">
        <v>1</v>
      </c>
      <c r="B18" s="130">
        <f t="shared" ref="B18:G18" si="6">B16+B17</f>
        <v>855358</v>
      </c>
      <c r="C18" s="131">
        <f t="shared" si="6"/>
        <v>855358</v>
      </c>
      <c r="D18" s="132">
        <f t="shared" si="6"/>
        <v>374072</v>
      </c>
      <c r="E18" s="131">
        <f t="shared" si="6"/>
        <v>374072</v>
      </c>
      <c r="F18" s="130">
        <f t="shared" si="6"/>
        <v>1229430</v>
      </c>
      <c r="G18" s="131">
        <f t="shared" si="6"/>
        <v>1229430</v>
      </c>
      <c r="H18" s="133">
        <f t="shared" ref="H18:O18" si="7">SUM(H16:H17)</f>
        <v>649490</v>
      </c>
      <c r="I18" s="133">
        <f t="shared" si="7"/>
        <v>241820</v>
      </c>
      <c r="J18" s="133">
        <f t="shared" si="7"/>
        <v>330030.8</v>
      </c>
      <c r="K18" s="133">
        <f t="shared" si="7"/>
        <v>141429.39000000001</v>
      </c>
      <c r="L18" s="133">
        <f t="shared" si="7"/>
        <v>629160</v>
      </c>
      <c r="M18" s="133">
        <f t="shared" si="7"/>
        <v>269640</v>
      </c>
      <c r="N18" s="133">
        <f t="shared" si="7"/>
        <v>2464038.7999999998</v>
      </c>
      <c r="O18" s="133">
        <f t="shared" si="7"/>
        <v>1026961.39</v>
      </c>
      <c r="P18" s="133">
        <f>SUM(P16:P17)</f>
        <v>3491000.19</v>
      </c>
      <c r="Q18" s="133">
        <f>Q16+Q17</f>
        <v>607526.61710000003</v>
      </c>
      <c r="R18" s="133">
        <f>R16+R17</f>
        <v>522592.1409</v>
      </c>
      <c r="S18" s="133">
        <f>S16+S17</f>
        <v>248895.2419869134</v>
      </c>
      <c r="T18" s="133">
        <f>T16+T17</f>
        <v>324890.00639999995</v>
      </c>
      <c r="U18" s="134">
        <f>U16+U17</f>
        <v>1703904.0063869136</v>
      </c>
      <c r="W18" s="135"/>
    </row>
    <row r="19" spans="1:23" x14ac:dyDescent="0.35">
      <c r="B19" s="136"/>
      <c r="C19" s="136"/>
      <c r="Q19" s="136"/>
    </row>
    <row r="20" spans="1:23" x14ac:dyDescent="0.35">
      <c r="B20" s="137"/>
      <c r="C20" s="137"/>
      <c r="H20" s="137"/>
      <c r="J20" s="137"/>
      <c r="L20" s="137"/>
      <c r="P20" s="138"/>
      <c r="Q20" s="139"/>
      <c r="R20" s="140"/>
      <c r="S20" s="139"/>
      <c r="T20" s="139">
        <f>U18/P18</f>
        <v>0.48808476472380646</v>
      </c>
      <c r="U20" s="140"/>
    </row>
    <row r="21" spans="1:23" x14ac:dyDescent="0.35">
      <c r="B21" s="137"/>
      <c r="C21" s="137"/>
      <c r="H21" s="137"/>
      <c r="J21" s="137"/>
      <c r="L21" s="137"/>
      <c r="P21" s="174"/>
      <c r="Q21" s="175"/>
      <c r="R21" s="137"/>
      <c r="S21" s="137"/>
      <c r="T21" s="137"/>
      <c r="U21" s="139"/>
    </row>
    <row r="22" spans="1:23" x14ac:dyDescent="0.35">
      <c r="P22" s="138"/>
      <c r="Q22" s="140"/>
      <c r="R22" s="140"/>
      <c r="S22" s="140"/>
      <c r="T22" s="140"/>
    </row>
    <row r="23" spans="1:23" x14ac:dyDescent="0.35">
      <c r="Q23" s="141"/>
    </row>
    <row r="24" spans="1:23" x14ac:dyDescent="0.35">
      <c r="Q24" s="142"/>
    </row>
  </sheetData>
  <mergeCells count="7">
    <mergeCell ref="L7:M7"/>
    <mergeCell ref="P7:P8"/>
    <mergeCell ref="Q7:U7"/>
    <mergeCell ref="A7:A8"/>
    <mergeCell ref="B7:G7"/>
    <mergeCell ref="H7:I7"/>
    <mergeCell ref="J7:K7"/>
  </mergeCells>
  <pageMargins left="0.7" right="0.7" top="0.75" bottom="0.75" header="0.3" footer="0.3"/>
  <pageSetup scale="92" fitToHeight="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par resultats</vt:lpstr>
      <vt:lpstr>Budget par categorie</vt:lpstr>
      <vt:lpstr>'Budget par resultats'!Print_Area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2019-12-12T15:59:00Z</cp:lastPrinted>
  <dcterms:created xsi:type="dcterms:W3CDTF">2017-11-15T21:17:43Z</dcterms:created>
  <dcterms:modified xsi:type="dcterms:W3CDTF">2020-11-16T12:59:15Z</dcterms:modified>
</cp:coreProperties>
</file>