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ppoline.uwimbabazi\Desktop\PBF Secretariat\PBF secretariat\Prodocs\Deuxieme tranche\Projet centre\"/>
    </mc:Choice>
  </mc:AlternateContent>
  <xr:revisionPtr revIDLastSave="0" documentId="13_ncr:1_{156D7C7D-D3AF-44F3-96E2-15F38C64030C}" xr6:coauthVersionLast="44" xr6:coauthVersionMax="45" xr10:uidLastSave="{00000000-0000-0000-0000-000000000000}"/>
  <bookViews>
    <workbookView xWindow="-110" yWindow="-110" windowWidth="19420" windowHeight="10420" activeTab="2" xr2:uid="{00000000-000D-0000-FFFF-FFFF00000000}"/>
  </bookViews>
  <sheets>
    <sheet name="Annex D" sheetId="1" r:id="rId1"/>
    <sheet name="Tableau 2" sheetId="2" r:id="rId2"/>
    <sheet name="Annex D modification juin 2020"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 i="3" l="1"/>
  <c r="E36" i="3" s="1"/>
  <c r="E31" i="3"/>
  <c r="E19" i="3"/>
  <c r="C29" i="3"/>
  <c r="C26" i="3"/>
  <c r="C25" i="3"/>
  <c r="C24" i="3"/>
  <c r="C22" i="3"/>
  <c r="C18" i="3"/>
  <c r="C17" i="3"/>
  <c r="C15" i="3"/>
  <c r="C14" i="3"/>
  <c r="C13" i="3"/>
  <c r="C11" i="3"/>
  <c r="C10" i="3"/>
  <c r="C28" i="3"/>
  <c r="E28" i="3"/>
  <c r="C30" i="3"/>
  <c r="E29" i="3"/>
  <c r="D29" i="3"/>
  <c r="E26" i="3"/>
  <c r="E25" i="3"/>
  <c r="E24" i="3"/>
  <c r="E22" i="3"/>
  <c r="E17" i="3"/>
  <c r="E11" i="3"/>
  <c r="E13" i="3"/>
  <c r="E14" i="3"/>
  <c r="E15" i="3"/>
  <c r="E10" i="3"/>
  <c r="D34" i="3"/>
  <c r="C34" i="3" s="1"/>
  <c r="C33" i="3"/>
  <c r="C32" i="3"/>
  <c r="G31" i="3"/>
  <c r="D28" i="3"/>
  <c r="G24" i="3"/>
  <c r="D24" i="3"/>
  <c r="G19" i="3"/>
  <c r="D19" i="3"/>
  <c r="C19" i="3" s="1"/>
  <c r="E37" i="3" l="1"/>
  <c r="G35" i="3"/>
  <c r="G36" i="3" s="1"/>
  <c r="G37" i="3" s="1"/>
  <c r="D31" i="3"/>
  <c r="C13" i="2"/>
  <c r="C31" i="3" l="1"/>
  <c r="D35" i="3"/>
  <c r="E8" i="2"/>
  <c r="D8" i="2"/>
  <c r="C35" i="3" l="1"/>
  <c r="D36" i="3"/>
  <c r="C36" i="3" s="1"/>
  <c r="D24" i="1"/>
  <c r="D28" i="1"/>
  <c r="D29" i="1"/>
  <c r="D33" i="1"/>
  <c r="C33" i="1" s="1"/>
  <c r="D37" i="3" l="1"/>
  <c r="C37" i="3" s="1"/>
  <c r="C25" i="1"/>
  <c r="D19" i="1"/>
  <c r="F19" i="1"/>
  <c r="C10" i="1"/>
  <c r="C15" i="1"/>
  <c r="E12" i="2" l="1"/>
  <c r="E13" i="2"/>
  <c r="D13" i="2"/>
  <c r="D12" i="2"/>
  <c r="E11" i="2"/>
  <c r="D11" i="2"/>
  <c r="E10" i="2"/>
  <c r="D10" i="2"/>
  <c r="E9" i="2"/>
  <c r="D9" i="2"/>
  <c r="F8" i="2"/>
  <c r="G8" i="2" l="1"/>
  <c r="H8" i="2" s="1"/>
  <c r="G9" i="2"/>
  <c r="G10" i="2"/>
  <c r="G11" i="2"/>
  <c r="G12" i="2"/>
  <c r="G13" i="2"/>
  <c r="F9" i="2"/>
  <c r="F10" i="2"/>
  <c r="F11" i="2"/>
  <c r="F12" i="2"/>
  <c r="F13" i="2"/>
  <c r="E7" i="2"/>
  <c r="E14" i="2" s="1"/>
  <c r="D7" i="2"/>
  <c r="D14" i="2" s="1"/>
  <c r="C14" i="2"/>
  <c r="C31" i="1"/>
  <c r="C32" i="1"/>
  <c r="C23" i="1"/>
  <c r="C27" i="1"/>
  <c r="C28" i="1"/>
  <c r="C29" i="1"/>
  <c r="C22" i="1"/>
  <c r="C11" i="1"/>
  <c r="C14" i="1"/>
  <c r="C17" i="1"/>
  <c r="C18" i="1"/>
  <c r="H13" i="2" l="1"/>
  <c r="H11" i="2"/>
  <c r="H10" i="2"/>
  <c r="F7" i="2"/>
  <c r="B14" i="2"/>
  <c r="H9" i="2"/>
  <c r="H12" i="2"/>
  <c r="G7" i="2"/>
  <c r="G14" i="2" s="1"/>
  <c r="H7" i="2" l="1"/>
  <c r="H14" i="2" s="1"/>
  <c r="F14" i="2"/>
  <c r="F24" i="1" l="1"/>
  <c r="F30" i="1" s="1"/>
  <c r="C19" i="1" l="1"/>
  <c r="D30" i="1"/>
  <c r="C24" i="1"/>
  <c r="F34" i="1"/>
  <c r="F35" i="1" s="1"/>
  <c r="C30" i="1" l="1"/>
  <c r="D34" i="1"/>
  <c r="D35" i="1" s="1"/>
  <c r="C35" i="1" s="1"/>
  <c r="F36" i="1"/>
  <c r="D36" i="1" l="1"/>
  <c r="C36" i="1" s="1"/>
  <c r="C34" i="1"/>
  <c r="E15" i="2"/>
  <c r="E16" i="2" s="1"/>
  <c r="D15" i="2"/>
  <c r="D16" i="2" s="1"/>
  <c r="B15" i="2" l="1"/>
  <c r="F15" i="2" s="1"/>
  <c r="F16" i="2" s="1"/>
  <c r="C15" i="2"/>
  <c r="C16" i="2" s="1"/>
  <c r="B16" i="2" l="1"/>
  <c r="G15" i="2"/>
  <c r="G16" i="2" s="1"/>
  <c r="H15" i="2" l="1"/>
  <c r="H1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KOMURA Yohei</author>
  </authors>
  <commentList>
    <comment ref="D17" authorId="0" shapeId="0" xr:uid="{00000000-0006-0000-0000-000001000000}">
      <text>
        <r>
          <rPr>
            <b/>
            <sz val="9"/>
            <color rgb="FF000000"/>
            <rFont val="Tahoma"/>
            <family val="2"/>
          </rPr>
          <t>KOMURA Yohei:</t>
        </r>
        <r>
          <rPr>
            <sz val="9"/>
            <color rgb="FF000000"/>
            <rFont val="Tahoma"/>
            <family val="2"/>
          </rPr>
          <t xml:space="preserve">
</t>
        </r>
        <r>
          <rPr>
            <sz val="9"/>
            <color rgb="FF000000"/>
            <rFont val="Tahoma"/>
            <family val="2"/>
          </rPr>
          <t>After having consultations with representatives and DTM specislosit, 400,000 USD is needed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KOMURA Yohei</author>
  </authors>
  <commentList>
    <comment ref="D17" authorId="0" shapeId="0" xr:uid="{4D8DB849-A3B3-4EB6-80CA-55E806E6D917}">
      <text>
        <r>
          <rPr>
            <b/>
            <sz val="9"/>
            <color rgb="FF000000"/>
            <rFont val="Tahoma"/>
            <family val="2"/>
          </rPr>
          <t>KOMURA Yohei:</t>
        </r>
        <r>
          <rPr>
            <sz val="9"/>
            <color rgb="FF000000"/>
            <rFont val="Tahoma"/>
            <family val="2"/>
          </rPr>
          <t xml:space="preserve">
</t>
        </r>
        <r>
          <rPr>
            <sz val="9"/>
            <color rgb="FF000000"/>
            <rFont val="Tahoma"/>
            <family val="2"/>
          </rPr>
          <t>After having consultations with representatives and DTM specislosit, 400,000 USD is needed</t>
        </r>
      </text>
    </comment>
  </commentList>
</comments>
</file>

<file path=xl/sharedStrings.xml><?xml version="1.0" encoding="utf-8"?>
<sst xmlns="http://schemas.openxmlformats.org/spreadsheetml/2006/main" count="149" uniqueCount="85">
  <si>
    <t xml:space="preserve"> </t>
  </si>
  <si>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</si>
  <si>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</si>
  <si>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</si>
  <si>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</si>
  <si>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</si>
  <si>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</si>
  <si>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</si>
  <si>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</si>
  <si>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</si>
  <si>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</si>
  <si>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</si>
  <si>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</si>
  <si>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</si>
  <si>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</si>
  <si>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</si>
  <si>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</si>
  <si>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</si>
  <si>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</si>
  <si>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</si>
  <si>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</si>
  <si>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</si>
  <si>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</si>
  <si>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</si>
  <si>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</si>
  <si>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</si>
  <si>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</si>
  <si>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</si>
  <si>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</si>
  <si>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</si>
  <si>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</si>
  <si>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</si>
  <si>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</si>
  <si>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</si>
  <si>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Niveau de depense/ engagement actuel en USD (a remplir au moment des rapports de projet)</t>
  </si>
  <si>
    <t>Resultat 1: Les mécanismes communautaires de prise de décision sont renforcés et ouverts à la participation des jeunes hommes et femmes qui participent activement et de manière constructive aux processus décisionnels locaux.</t>
  </si>
  <si>
    <t xml:space="preserve">Produit 1.1: </t>
  </si>
  <si>
    <t xml:space="preserve">Activite 1.1.1: </t>
  </si>
  <si>
    <t xml:space="preserve">Activite 1.1.2:  </t>
  </si>
  <si>
    <t xml:space="preserve">Produit 1.2: </t>
  </si>
  <si>
    <t xml:space="preserve">Activite 1.2.1: </t>
  </si>
  <si>
    <t xml:space="preserve">Produit 2.1: </t>
  </si>
  <si>
    <t xml:space="preserve">Activite 2.1.1: </t>
  </si>
  <si>
    <t xml:space="preserve">Produit 2.2: </t>
  </si>
  <si>
    <t xml:space="preserve">Activite 2.2.1: </t>
  </si>
  <si>
    <t xml:space="preserve">Mise en place des activités identifiées à travers les processus de planification communautaire participative en lien avec les projets existants. </t>
  </si>
  <si>
    <t xml:space="preserve">Produit 2.3: </t>
  </si>
  <si>
    <t xml:space="preserve">Activite 2.3.1: </t>
  </si>
  <si>
    <t xml:space="preserve">Activite 2.3.2: </t>
  </si>
  <si>
    <t>OIM
(non inclus les frais personnel, généraux de fonctionnement et indirects)</t>
  </si>
  <si>
    <t>PAM
(non inclus les frais personnel, généraux de fonctionnement et indirects)</t>
  </si>
  <si>
    <t xml:space="preserve">Activite 1.2.2: </t>
  </si>
  <si>
    <t>OIM</t>
  </si>
  <si>
    <t>PAM</t>
  </si>
  <si>
    <t>Total</t>
  </si>
  <si>
    <t>Organization de ceremonie d'ouverture du projet et un atelier de restitution des activités realisés par le projet dans 3 provinces</t>
  </si>
  <si>
    <t xml:space="preserve">Cartographier les structures de concertation (société civile et associations de jeunes et des femmes), les systèmes traditionnels de médiation de conflit existants - formels et informels - dans les provinces de Borkou, Bahr el Gazal et Batha.  </t>
  </si>
  <si>
    <t>Activité 2.2.2 :</t>
  </si>
  <si>
    <t>Activité 2.2.3 :</t>
  </si>
  <si>
    <t>Project Manager sera recruté par l'OIM (Chef de file) ainsi qu'un senior assistant et 4 community mobilizers.  Le PAM recrutera 4 staffs (2 Senior Assistant et 2 Livelihood officers)</t>
  </si>
  <si>
    <t xml:space="preserve">Activite 1.2.3: </t>
  </si>
  <si>
    <t xml:space="preserve">Produit 1.3: </t>
  </si>
  <si>
    <t xml:space="preserve">Activite 1.3.1: </t>
  </si>
  <si>
    <t xml:space="preserve">Activite 1.3.2: </t>
  </si>
  <si>
    <t>Cartographie des mécanismes de gestions de conflits et des structures de jeunes</t>
  </si>
  <si>
    <t>Une analyse des causes de conflits et motivation liées à la migration des jeunes vers le Nord sera réalisée dans les 3 provinces permettant d’avoir des propositions de solutions pour une migration sure et ordonnée.</t>
  </si>
  <si>
    <t xml:space="preserve"> Les cadres de concertation et de dialogue sont redynamisés et renforcés et les jeunes (hommes et femmes) sont davantage impliqués dans les mécanismes de prises décisions communautaires (i.e. structures formelles et informelles faisant de la prévention et de la résolution des conflits).</t>
  </si>
  <si>
    <t>Créer et redynamiser des cadres de consultation avec la jeunesse dans les 3 provinces</t>
  </si>
  <si>
    <t xml:space="preserve">Renforcer les capacites des membres des structures communaitaires et de jeunes dans les domaines de la prévention et résolution des conflits afin d'etablir les mecanismes d'engagment et de dialogue. </t>
  </si>
  <si>
    <t xml:space="preserve">Faciliter l’implication des jeunes (hommes et femmes 15-35 ans) dans les instances de prise de decision communautaires. </t>
  </si>
  <si>
    <t>Les donnees socioeconomiques des jeunes dans les 3 provinces sont disponibles.</t>
  </si>
  <si>
    <t xml:space="preserve">Organiser des profils communaitaires sur les besoins et ambitions socioeconomiques des jeunes dans les provinces Borkou, Barh El Gazel et Batha. </t>
  </si>
  <si>
    <t xml:space="preserve">Réalise une étude de type KAP dans les provinces de Borkou, Bahr el Gazal et Batha, pour servir de donnees baseline et endline dans le domaine socioeconomique.  </t>
  </si>
  <si>
    <t xml:space="preserve">Resultat 2: Les jeunes sont engagés dans la vie socioéconomique locale de leurs communautes et sont davantage sensibilises aux risques associés à la migration irrégulière vers le nord. </t>
  </si>
  <si>
    <t>Les capacités des jeunes sont renforcées pour favoriser leur engagement dans la vie socioéconomique de leurs communautés locales</t>
  </si>
  <si>
    <t xml:space="preserve">Organiser 3 ateliers regroupant les jeunes afin d'echanger sur les problematiques liees leur situation socioeconomique. </t>
  </si>
  <si>
    <t>Les appuis sont donnes aux groupements et associations des jeunes et individuellement.</t>
  </si>
  <si>
    <t xml:space="preserve">Organiser des sessions de formation individuelles ou en groupe en partenariat avec les centres de formation. </t>
  </si>
  <si>
    <t xml:space="preserve">Eablir un programme d'echange entre des professionnels et les jeunes. </t>
  </si>
  <si>
    <t xml:space="preserve">Les jeunes des trois provinces de zone d’intervention sont davantage sensibilisés aux risques entourant la migration irrégulière vers le nord. </t>
  </si>
  <si>
    <t xml:space="preserve">Réaliser la campagne de sensibilisation en collaboration avec les acteurs cles (medias, communautaires, troupe theatralee, troupes musicales, communicateurs traditionnels, leaders religieux, aupres des parents d'eleves, structures de femmes). </t>
  </si>
  <si>
    <t>Renforcer l’engagement des jeunes dans le maintien de la cohésion sociale et la promotion du respect des droits humains et des migrants.</t>
  </si>
  <si>
    <t>OIM
(non inclus les frais personnel, généraux de fonctionnement et indirects) - modification juin 2020</t>
  </si>
  <si>
    <t>Activité 2.3.3</t>
  </si>
  <si>
    <t>Diffusion de messages sur les phénomènes de la COVID-19, les risques liés à la transmission de cette maladie et les mesures de protection contre la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</si>
</sst>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 _€_-;\-* #,##0.00\ _€_-;_-* &quot;-&quot;??\ _€_-;_-@_-"/>
    <numFmt numFmtId="165" formatCode="_(* #,##0_);_(* \(#,##0\);_(* &quot;-&quot;??_);_(@_)"/>
  </numFmts>
  <fonts count="2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4"/>
      <color theme="1"/>
      <name val="Calibri"/>
      <family val="2"/>
      <scheme val="minor"/>
    </font>
    <font>
      <b/>
      <sz val="14"/>
      <color theme="1"/>
      <name val="Calibri"/>
      <family val="2"/>
    </font>
    <font>
      <sz val="14"/>
      <color theme="1"/>
      <name val="Times New Roman"/>
      <family val="1"/>
    </font>
    <font>
      <sz val="14"/>
      <color theme="1"/>
      <name val="Calibri"/>
      <family val="2"/>
    </font>
    <font>
      <b/>
      <sz val="14"/>
      <color theme="1"/>
      <name val="Times New Roman"/>
      <family val="1"/>
    </font>
    <font>
      <b/>
      <sz val="11"/>
      <color theme="1"/>
      <name val="Calibri"/>
      <family val="2"/>
      <scheme val="minor"/>
    </font>
    <font>
      <sz val="11"/>
      <color rgb="FFFF0000"/>
      <name val="Calibri"/>
      <family val="2"/>
      <scheme val="minor"/>
    </font>
    <font>
      <sz val="11"/>
      <name val="Calibri"/>
      <family val="2"/>
      <scheme val="minor"/>
    </font>
    <font>
      <sz val="12"/>
      <name val="Times New Roman"/>
      <family val="1"/>
    </font>
    <font>
      <b/>
      <sz val="12"/>
      <name val="Times New Roman"/>
      <family val="1"/>
    </font>
    <font>
      <b/>
      <sz val="9"/>
      <color rgb="FF000000"/>
      <name val="Tahoma"/>
      <family val="2"/>
    </font>
    <font>
      <sz val="9"/>
      <color rgb="FF000000"/>
      <name val="Tahoma"/>
      <family val="2"/>
    </font>
    <font>
      <sz val="12"/>
      <color rgb="FFFF0000"/>
      <name val="Times New Roman"/>
      <family val="1"/>
    </font>
    <font>
      <sz val="14"/>
      <name val="Calibri"/>
      <family val="2"/>
    </font>
    <font>
      <sz val="14"/>
      <name val="Times New Roman"/>
      <family val="1"/>
    </font>
  </fonts>
  <fills count="10">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D60093"/>
        <bgColor indexed="64"/>
      </patternFill>
    </fill>
    <fill>
      <patternFill patternType="solid">
        <fgColor rgb="FFFF66CC"/>
        <bgColor indexed="64"/>
      </patternFill>
    </fill>
    <fill>
      <patternFill patternType="solid">
        <fgColor rgb="FFCC99FF"/>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indexed="64"/>
      </right>
      <top/>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122">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0" borderId="0" xfId="0" applyFont="1"/>
    <xf numFmtId="0" fontId="5" fillId="0" borderId="0" xfId="0" applyFont="1"/>
    <xf numFmtId="0" fontId="1" fillId="0" borderId="2" xfId="0" applyFont="1" applyBorder="1" applyAlignment="1">
      <alignment vertical="center" wrapText="1"/>
    </xf>
    <xf numFmtId="0" fontId="2" fillId="0" borderId="1"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165" fontId="1" fillId="0" borderId="4" xfId="1" applyNumberFormat="1" applyFont="1" applyBorder="1" applyAlignment="1">
      <alignment vertical="center" wrapText="1"/>
    </xf>
    <xf numFmtId="165" fontId="2" fillId="0" borderId="6" xfId="0" applyNumberFormat="1" applyFont="1" applyBorder="1" applyAlignment="1">
      <alignment vertical="center" wrapText="1"/>
    </xf>
    <xf numFmtId="165" fontId="2" fillId="0" borderId="6" xfId="1" applyNumberFormat="1" applyFont="1" applyBorder="1" applyAlignment="1">
      <alignment vertical="center" wrapText="1"/>
    </xf>
    <xf numFmtId="165" fontId="1" fillId="0" borderId="4" xfId="0" applyNumberFormat="1" applyFont="1" applyBorder="1" applyAlignment="1">
      <alignment vertical="center" wrapText="1"/>
    </xf>
    <xf numFmtId="165" fontId="0" fillId="0" borderId="0" xfId="1" applyNumberFormat="1" applyFont="1"/>
    <xf numFmtId="165" fontId="0" fillId="0" borderId="0" xfId="0" applyNumberFormat="1"/>
    <xf numFmtId="165" fontId="2" fillId="0" borderId="4" xfId="0" applyNumberFormat="1" applyFont="1" applyBorder="1" applyAlignment="1">
      <alignment vertical="center" wrapText="1"/>
    </xf>
    <xf numFmtId="0" fontId="1" fillId="0" borderId="14" xfId="0" applyFont="1" applyBorder="1" applyAlignment="1">
      <alignment vertical="center" wrapText="1"/>
    </xf>
    <xf numFmtId="9" fontId="1" fillId="0" borderId="4" xfId="0" applyNumberFormat="1" applyFont="1" applyBorder="1" applyAlignment="1">
      <alignment vertical="center" wrapText="1"/>
    </xf>
    <xf numFmtId="165" fontId="1" fillId="0" borderId="1" xfId="1" applyNumberFormat="1" applyFont="1" applyBorder="1" applyAlignment="1">
      <alignment vertical="center" wrapText="1"/>
    </xf>
    <xf numFmtId="0" fontId="1" fillId="5" borderId="3" xfId="0" applyFont="1" applyFill="1" applyBorder="1" applyAlignment="1">
      <alignment vertical="center" wrapText="1"/>
    </xf>
    <xf numFmtId="0" fontId="1" fillId="5" borderId="4" xfId="0" applyFont="1" applyFill="1" applyBorder="1" applyAlignment="1">
      <alignment vertical="center" wrapText="1"/>
    </xf>
    <xf numFmtId="165" fontId="1" fillId="5" borderId="4" xfId="0" applyNumberFormat="1" applyFont="1" applyFill="1" applyBorder="1" applyAlignment="1">
      <alignment vertical="center" wrapText="1"/>
    </xf>
    <xf numFmtId="165" fontId="1" fillId="5" borderId="4" xfId="1" applyNumberFormat="1" applyFont="1" applyFill="1" applyBorder="1" applyAlignment="1">
      <alignment vertical="center" wrapText="1"/>
    </xf>
    <xf numFmtId="9" fontId="1" fillId="5" borderId="4" xfId="0" applyNumberFormat="1" applyFont="1" applyFill="1" applyBorder="1" applyAlignment="1">
      <alignment vertical="center" wrapText="1"/>
    </xf>
    <xf numFmtId="0" fontId="1" fillId="6" borderId="4" xfId="0" applyFont="1" applyFill="1" applyBorder="1" applyAlignment="1">
      <alignment vertical="center" wrapText="1"/>
    </xf>
    <xf numFmtId="165" fontId="1" fillId="6" borderId="4" xfId="1" applyNumberFormat="1" applyFont="1" applyFill="1" applyBorder="1" applyAlignment="1">
      <alignment vertical="center" wrapText="1"/>
    </xf>
    <xf numFmtId="165" fontId="1" fillId="6" borderId="1" xfId="1" applyNumberFormat="1" applyFont="1" applyFill="1" applyBorder="1" applyAlignment="1">
      <alignment vertical="center" wrapText="1"/>
    </xf>
    <xf numFmtId="165" fontId="2" fillId="6" borderId="6" xfId="1" applyNumberFormat="1" applyFont="1" applyFill="1" applyBorder="1" applyAlignment="1">
      <alignment vertical="center" wrapText="1"/>
    </xf>
    <xf numFmtId="0" fontId="1" fillId="6" borderId="2" xfId="0" applyFont="1" applyFill="1" applyBorder="1" applyAlignment="1">
      <alignment horizontal="center" vertical="center" wrapText="1"/>
    </xf>
    <xf numFmtId="0" fontId="7" fillId="0" borderId="0" xfId="0" applyFont="1"/>
    <xf numFmtId="0" fontId="8" fillId="2" borderId="1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9" fillId="0" borderId="8" xfId="0" applyFont="1" applyBorder="1" applyAlignment="1">
      <alignment vertical="center" wrapText="1"/>
    </xf>
    <xf numFmtId="0" fontId="11" fillId="4" borderId="8" xfId="0" applyFont="1" applyFill="1" applyBorder="1" applyAlignment="1">
      <alignment vertical="center" wrapText="1"/>
    </xf>
    <xf numFmtId="165" fontId="7" fillId="0" borderId="0" xfId="0" applyNumberFormat="1" applyFont="1"/>
    <xf numFmtId="165" fontId="7" fillId="0" borderId="0" xfId="1" applyNumberFormat="1" applyFont="1"/>
    <xf numFmtId="165" fontId="2" fillId="6" borderId="1" xfId="1" applyNumberFormat="1" applyFont="1" applyFill="1" applyBorder="1" applyAlignment="1">
      <alignment vertical="center" wrapText="1"/>
    </xf>
    <xf numFmtId="0" fontId="4" fillId="5" borderId="0" xfId="0" applyFont="1" applyFill="1"/>
    <xf numFmtId="0" fontId="3" fillId="5" borderId="0" xfId="0" applyFont="1" applyFill="1"/>
    <xf numFmtId="0" fontId="0" fillId="5" borderId="0" xfId="0" applyFill="1"/>
    <xf numFmtId="0" fontId="1" fillId="5" borderId="2" xfId="0" applyFont="1" applyFill="1" applyBorder="1" applyAlignment="1">
      <alignment horizontal="center" vertical="center" wrapText="1"/>
    </xf>
    <xf numFmtId="165" fontId="2" fillId="5" borderId="6" xfId="1" applyNumberFormat="1" applyFont="1" applyFill="1" applyBorder="1" applyAlignment="1">
      <alignment vertical="center" wrapText="1"/>
    </xf>
    <xf numFmtId="165" fontId="1" fillId="5" borderId="1" xfId="1" applyNumberFormat="1" applyFont="1" applyFill="1" applyBorder="1" applyAlignment="1">
      <alignment vertical="center" wrapText="1"/>
    </xf>
    <xf numFmtId="0" fontId="8" fillId="4" borderId="10" xfId="0" applyFont="1" applyFill="1" applyBorder="1" applyAlignment="1">
      <alignment horizontal="center" vertical="center" wrapText="1"/>
    </xf>
    <xf numFmtId="165" fontId="2" fillId="0" borderId="4" xfId="1" applyNumberFormat="1" applyFont="1" applyBorder="1" applyAlignment="1">
      <alignment vertical="center" wrapText="1"/>
    </xf>
    <xf numFmtId="0" fontId="14" fillId="0" borderId="0" xfId="0" applyFont="1"/>
    <xf numFmtId="0" fontId="15" fillId="0" borderId="1" xfId="0" applyFont="1" applyBorder="1" applyAlignment="1">
      <alignment vertical="center" wrapText="1"/>
    </xf>
    <xf numFmtId="165" fontId="15" fillId="0" borderId="1" xfId="1" applyNumberFormat="1" applyFont="1" applyBorder="1" applyAlignment="1">
      <alignment vertical="center" wrapText="1"/>
    </xf>
    <xf numFmtId="165" fontId="16" fillId="5" borderId="1" xfId="1" applyNumberFormat="1" applyFont="1" applyFill="1" applyBorder="1" applyAlignment="1">
      <alignment vertical="center" wrapText="1"/>
    </xf>
    <xf numFmtId="0" fontId="16" fillId="0" borderId="1" xfId="0" applyFont="1" applyBorder="1" applyAlignment="1">
      <alignment vertical="center" wrapText="1"/>
    </xf>
    <xf numFmtId="0" fontId="12" fillId="0" borderId="0" xfId="0" applyFont="1"/>
    <xf numFmtId="165" fontId="15" fillId="6" borderId="1" xfId="1" applyNumberFormat="1" applyFont="1" applyFill="1" applyBorder="1" applyAlignment="1">
      <alignment vertical="center" wrapText="1"/>
    </xf>
    <xf numFmtId="164" fontId="0" fillId="0" borderId="0" xfId="0" applyNumberFormat="1"/>
    <xf numFmtId="165" fontId="13" fillId="0" borderId="0" xfId="0" applyNumberFormat="1" applyFont="1"/>
    <xf numFmtId="9" fontId="1" fillId="0" borderId="4" xfId="2" applyNumberFormat="1" applyFont="1" applyBorder="1" applyAlignment="1">
      <alignment vertical="center" wrapText="1"/>
    </xf>
    <xf numFmtId="37" fontId="10" fillId="0" borderId="10" xfId="1" applyNumberFormat="1" applyFont="1" applyBorder="1" applyAlignment="1">
      <alignment horizontal="right" vertical="center" wrapText="1"/>
    </xf>
    <xf numFmtId="37" fontId="10" fillId="0" borderId="8" xfId="1" applyNumberFormat="1" applyFont="1" applyBorder="1" applyAlignment="1">
      <alignment horizontal="right" vertical="center" wrapText="1"/>
    </xf>
    <xf numFmtId="37" fontId="10" fillId="4" borderId="10" xfId="1" applyNumberFormat="1" applyFont="1" applyFill="1" applyBorder="1" applyAlignment="1">
      <alignment horizontal="right" vertical="center" wrapText="1"/>
    </xf>
    <xf numFmtId="37" fontId="10" fillId="4" borderId="8" xfId="1" applyNumberFormat="1" applyFont="1" applyFill="1" applyBorder="1" applyAlignment="1">
      <alignment horizontal="right" vertical="center" wrapText="1"/>
    </xf>
    <xf numFmtId="37" fontId="8" fillId="4" borderId="10" xfId="1" applyNumberFormat="1" applyFont="1" applyFill="1" applyBorder="1" applyAlignment="1">
      <alignment horizontal="right" vertical="center" wrapText="1"/>
    </xf>
    <xf numFmtId="37" fontId="8" fillId="4" borderId="8" xfId="1" applyNumberFormat="1" applyFont="1" applyFill="1" applyBorder="1" applyAlignment="1">
      <alignment horizontal="righ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165" fontId="2" fillId="0" borderId="6" xfId="1" applyNumberFormat="1" applyFont="1" applyFill="1" applyBorder="1" applyAlignment="1">
      <alignment vertical="center" wrapText="1"/>
    </xf>
    <xf numFmtId="0" fontId="1" fillId="9" borderId="2" xfId="0" applyFont="1" applyFill="1" applyBorder="1" applyAlignment="1">
      <alignment horizontal="center" vertical="center" wrapText="1"/>
    </xf>
    <xf numFmtId="0" fontId="1" fillId="9" borderId="4" xfId="0" applyFont="1" applyFill="1" applyBorder="1" applyAlignment="1">
      <alignment vertical="center" wrapText="1"/>
    </xf>
    <xf numFmtId="165" fontId="15" fillId="9" borderId="1" xfId="1" applyNumberFormat="1" applyFont="1" applyFill="1" applyBorder="1" applyAlignment="1">
      <alignment vertical="center" wrapText="1"/>
    </xf>
    <xf numFmtId="165" fontId="1" fillId="9" borderId="1" xfId="1" applyNumberFormat="1" applyFont="1" applyFill="1" applyBorder="1" applyAlignment="1">
      <alignment vertical="center" wrapText="1"/>
    </xf>
    <xf numFmtId="165" fontId="2" fillId="9" borderId="1" xfId="1" applyNumberFormat="1" applyFont="1" applyFill="1" applyBorder="1" applyAlignment="1">
      <alignment vertical="center" wrapText="1"/>
    </xf>
    <xf numFmtId="165" fontId="1" fillId="9" borderId="2" xfId="0" applyNumberFormat="1" applyFont="1" applyFill="1" applyBorder="1" applyAlignment="1">
      <alignment horizontal="center" vertical="center" wrapText="1"/>
    </xf>
    <xf numFmtId="0" fontId="1" fillId="0" borderId="4" xfId="0" applyFont="1" applyFill="1" applyBorder="1" applyAlignment="1">
      <alignment vertical="center" wrapText="1"/>
    </xf>
    <xf numFmtId="165" fontId="1" fillId="0" borderId="4" xfId="1" applyNumberFormat="1" applyFont="1" applyFill="1" applyBorder="1" applyAlignment="1">
      <alignment vertical="center" wrapText="1"/>
    </xf>
    <xf numFmtId="165" fontId="2" fillId="9" borderId="4" xfId="1" applyNumberFormat="1" applyFont="1" applyFill="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165" fontId="19" fillId="0" borderId="4" xfId="0" applyNumberFormat="1" applyFont="1" applyBorder="1" applyAlignment="1">
      <alignment vertical="center" wrapText="1"/>
    </xf>
    <xf numFmtId="165" fontId="19" fillId="5" borderId="4" xfId="1" applyNumberFormat="1" applyFont="1" applyFill="1" applyBorder="1" applyAlignment="1">
      <alignment vertical="center" wrapText="1"/>
    </xf>
    <xf numFmtId="165" fontId="19" fillId="0" borderId="4" xfId="1" applyNumberFormat="1" applyFont="1" applyBorder="1" applyAlignment="1">
      <alignment vertical="center" wrapText="1"/>
    </xf>
    <xf numFmtId="0" fontId="13" fillId="0" borderId="0" xfId="0" applyFont="1"/>
    <xf numFmtId="0" fontId="19" fillId="5" borderId="4" xfId="0" applyFont="1" applyFill="1" applyBorder="1" applyAlignment="1">
      <alignment vertical="center" wrapText="1"/>
    </xf>
    <xf numFmtId="165" fontId="19" fillId="5" borderId="4" xfId="0" applyNumberFormat="1" applyFont="1" applyFill="1" applyBorder="1" applyAlignment="1">
      <alignment vertical="center" wrapText="1"/>
    </xf>
    <xf numFmtId="9" fontId="15" fillId="0" borderId="4" xfId="0" applyNumberFormat="1" applyFont="1" applyBorder="1" applyAlignment="1">
      <alignment vertical="center" wrapText="1"/>
    </xf>
    <xf numFmtId="0" fontId="15" fillId="5" borderId="3" xfId="0" applyFont="1" applyFill="1" applyBorder="1" applyAlignment="1">
      <alignment vertical="center" wrapText="1"/>
    </xf>
    <xf numFmtId="0" fontId="15" fillId="5" borderId="4" xfId="0" applyFont="1" applyFill="1" applyBorder="1" applyAlignment="1">
      <alignment vertical="center" wrapText="1"/>
    </xf>
    <xf numFmtId="165" fontId="15" fillId="5" borderId="4" xfId="1" applyNumberFormat="1" applyFont="1" applyFill="1" applyBorder="1" applyAlignment="1">
      <alignment vertical="center" wrapText="1"/>
    </xf>
    <xf numFmtId="9" fontId="15" fillId="5" borderId="4" xfId="0" applyNumberFormat="1" applyFont="1" applyFill="1" applyBorder="1" applyAlignment="1">
      <alignment vertical="center" wrapText="1"/>
    </xf>
    <xf numFmtId="0" fontId="4" fillId="0" borderId="0" xfId="0" applyFont="1" applyFill="1"/>
    <xf numFmtId="0" fontId="3" fillId="0" borderId="0" xfId="0" applyFont="1" applyFill="1"/>
    <xf numFmtId="0" fontId="0" fillId="0" borderId="0" xfId="0" applyFill="1"/>
    <xf numFmtId="0" fontId="1" fillId="0" borderId="2" xfId="0" applyFont="1" applyFill="1" applyBorder="1" applyAlignment="1">
      <alignment horizontal="center" vertical="center" wrapText="1"/>
    </xf>
    <xf numFmtId="165" fontId="15" fillId="0" borderId="4" xfId="1" applyNumberFormat="1" applyFont="1" applyFill="1" applyBorder="1" applyAlignment="1">
      <alignment vertical="center" wrapText="1"/>
    </xf>
    <xf numFmtId="165" fontId="19" fillId="0" borderId="4" xfId="1" applyNumberFormat="1" applyFont="1" applyFill="1" applyBorder="1" applyAlignment="1">
      <alignment vertical="center" wrapText="1"/>
    </xf>
    <xf numFmtId="165" fontId="2" fillId="0" borderId="4" xfId="1" applyNumberFormat="1" applyFont="1" applyFill="1" applyBorder="1" applyAlignment="1">
      <alignment vertical="center" wrapText="1"/>
    </xf>
    <xf numFmtId="165" fontId="15" fillId="0" borderId="1" xfId="1" applyNumberFormat="1" applyFont="1" applyFill="1" applyBorder="1" applyAlignment="1">
      <alignment vertical="center" wrapText="1"/>
    </xf>
    <xf numFmtId="165" fontId="1" fillId="0" borderId="1" xfId="1" applyNumberFormat="1" applyFont="1" applyFill="1" applyBorder="1" applyAlignment="1">
      <alignment vertical="center" wrapText="1"/>
    </xf>
    <xf numFmtId="165" fontId="2" fillId="0" borderId="1" xfId="1" applyNumberFormat="1" applyFont="1" applyFill="1" applyBorder="1" applyAlignment="1">
      <alignment vertical="center" wrapText="1"/>
    </xf>
    <xf numFmtId="165" fontId="0" fillId="0" borderId="0" xfId="0" applyNumberFormat="1" applyFill="1"/>
    <xf numFmtId="165" fontId="13" fillId="0" borderId="0" xfId="0" applyNumberFormat="1" applyFont="1" applyFill="1"/>
    <xf numFmtId="165" fontId="2" fillId="9" borderId="6" xfId="1" applyNumberFormat="1" applyFont="1" applyFill="1" applyBorder="1" applyAlignment="1">
      <alignment vertical="center" wrapText="1"/>
    </xf>
    <xf numFmtId="37" fontId="20" fillId="6" borderId="10" xfId="1" applyNumberFormat="1" applyFont="1" applyFill="1" applyBorder="1" applyAlignment="1">
      <alignment horizontal="right" vertical="center" wrapText="1"/>
    </xf>
    <xf numFmtId="0" fontId="21" fillId="0" borderId="13" xfId="0" applyFont="1" applyBorder="1" applyAlignment="1">
      <alignment vertical="center" wrapText="1"/>
    </xf>
    <xf numFmtId="0" fontId="2" fillId="0" borderId="1"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 fillId="0" borderId="1" xfId="0" applyFont="1" applyBorder="1" applyAlignment="1">
      <alignment horizontal="lef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165" fontId="19" fillId="6" borderId="2" xfId="0" applyNumberFormat="1"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CC99FF"/>
      <color rgb="FFCC66FF"/>
      <color rgb="FFFF66CC"/>
      <color rgb="FFD60093"/>
      <color rgb="FFFF66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view="pageBreakPreview" topLeftCell="C15" zoomScaleNormal="100" zoomScaleSheetLayoutView="100" workbookViewId="0">
      <selection activeCell="D106" sqref="D106"/>
    </sheetView>
  </sheetViews>
  <sheetFormatPr defaultColWidth="8.81640625" defaultRowHeight="14.5" x14ac:dyDescent="0.35"/>
  <cols>
    <col min="1" max="1" width="28.1796875" customWidth="1"/>
    <col min="2" max="4" width="24.453125" customWidth="1"/>
    <col min="5" max="5" width="24.453125" style="44" customWidth="1"/>
    <col min="6" max="6" width="25.453125" customWidth="1"/>
    <col min="7" max="8" width="22.453125" customWidth="1"/>
    <col min="9" max="9" width="20.81640625" customWidth="1"/>
    <col min="10" max="10" width="22.453125" customWidth="1"/>
    <col min="11" max="13" width="28.453125" customWidth="1"/>
    <col min="14" max="14" width="34.1796875" customWidth="1"/>
  </cols>
  <sheetData>
    <row r="1" spans="1:9" ht="21" x14ac:dyDescent="0.5">
      <c r="A1" s="8" t="s">
        <v>7</v>
      </c>
      <c r="B1" s="7"/>
      <c r="C1" s="7"/>
      <c r="D1" s="7"/>
      <c r="E1" s="42"/>
    </row>
    <row r="2" spans="1:9" ht="15.5" x14ac:dyDescent="0.35">
      <c r="A2" s="6"/>
      <c r="B2" s="6"/>
      <c r="C2" s="6"/>
      <c r="D2" s="6"/>
      <c r="E2" s="43"/>
    </row>
    <row r="3" spans="1:9" ht="15.5" x14ac:dyDescent="0.35">
      <c r="A3" s="6" t="s">
        <v>8</v>
      </c>
      <c r="B3" s="6"/>
      <c r="C3" s="6"/>
      <c r="D3" s="6"/>
      <c r="E3" s="43"/>
    </row>
    <row r="5" spans="1:9" ht="15.5" x14ac:dyDescent="0.35">
      <c r="A5" s="6" t="s">
        <v>9</v>
      </c>
    </row>
    <row r="6" spans="1:9" ht="15" thickBot="1" x14ac:dyDescent="0.4"/>
    <row r="7" spans="1:9" ht="97.5" customHeight="1" thickBot="1" x14ac:dyDescent="0.4">
      <c r="A7" s="1" t="s">
        <v>10</v>
      </c>
      <c r="B7" s="2" t="s">
        <v>11</v>
      </c>
      <c r="C7" s="13" t="s">
        <v>54</v>
      </c>
      <c r="D7" s="33" t="s">
        <v>49</v>
      </c>
      <c r="E7" s="45"/>
      <c r="F7" s="13" t="s">
        <v>50</v>
      </c>
      <c r="G7" s="2" t="s">
        <v>12</v>
      </c>
      <c r="H7" s="9" t="s">
        <v>34</v>
      </c>
      <c r="I7" s="2" t="s">
        <v>13</v>
      </c>
    </row>
    <row r="8" spans="1:9" ht="38.25" customHeight="1" thickBot="1" x14ac:dyDescent="0.4">
      <c r="A8" s="111" t="s">
        <v>35</v>
      </c>
      <c r="B8" s="112"/>
      <c r="C8" s="112"/>
      <c r="D8" s="112"/>
      <c r="E8" s="112"/>
      <c r="F8" s="112"/>
      <c r="G8" s="112"/>
      <c r="H8" s="112"/>
      <c r="I8" s="113"/>
    </row>
    <row r="9" spans="1:9" ht="62.5" thickBot="1" x14ac:dyDescent="0.4">
      <c r="A9" s="3" t="s">
        <v>36</v>
      </c>
      <c r="B9" s="4" t="s">
        <v>64</v>
      </c>
      <c r="C9" s="4"/>
      <c r="D9" s="25"/>
      <c r="E9" s="25"/>
      <c r="F9" s="4"/>
      <c r="G9" s="4"/>
      <c r="H9" s="4"/>
      <c r="I9" s="4"/>
    </row>
    <row r="10" spans="1:9" ht="198.75" customHeight="1" thickBot="1" x14ac:dyDescent="0.4">
      <c r="A10" s="5" t="s">
        <v>37</v>
      </c>
      <c r="B10" s="4" t="s">
        <v>56</v>
      </c>
      <c r="C10" s="17">
        <f>D10+F10</f>
        <v>24000</v>
      </c>
      <c r="D10" s="30">
        <v>8000</v>
      </c>
      <c r="E10" s="27"/>
      <c r="F10" s="14">
        <v>16000</v>
      </c>
      <c r="G10" s="4"/>
      <c r="H10" s="4"/>
      <c r="I10" s="4"/>
    </row>
    <row r="11" spans="1:9" ht="140" thickBot="1" x14ac:dyDescent="0.4">
      <c r="A11" s="5" t="s">
        <v>38</v>
      </c>
      <c r="B11" s="4" t="s">
        <v>65</v>
      </c>
      <c r="C11" s="17">
        <f t="shared" ref="C11:C19" si="0">D11+F11</f>
        <v>30000</v>
      </c>
      <c r="D11" s="30">
        <v>30000</v>
      </c>
      <c r="E11" s="27"/>
      <c r="F11" s="14"/>
      <c r="G11" s="22">
        <v>0.3</v>
      </c>
      <c r="H11" s="4"/>
      <c r="I11" s="4"/>
    </row>
    <row r="12" spans="1:9" ht="186.5" thickBot="1" x14ac:dyDescent="0.4">
      <c r="A12" s="3" t="s">
        <v>39</v>
      </c>
      <c r="B12" s="4" t="s">
        <v>66</v>
      </c>
      <c r="C12" s="17"/>
      <c r="D12" s="30"/>
      <c r="E12" s="27"/>
      <c r="F12" s="14"/>
      <c r="G12" s="22"/>
      <c r="H12" s="4"/>
      <c r="I12" s="4"/>
    </row>
    <row r="13" spans="1:9" ht="62.5" thickBot="1" x14ac:dyDescent="0.4">
      <c r="A13" s="5" t="s">
        <v>40</v>
      </c>
      <c r="B13" s="4" t="s">
        <v>67</v>
      </c>
      <c r="C13" s="17">
        <v>40000</v>
      </c>
      <c r="D13" s="30">
        <v>15000</v>
      </c>
      <c r="E13" s="27"/>
      <c r="F13" s="14">
        <v>25000</v>
      </c>
      <c r="G13" s="22">
        <v>0.3</v>
      </c>
      <c r="H13" s="4"/>
      <c r="I13" s="4"/>
    </row>
    <row r="14" spans="1:9" ht="140" thickBot="1" x14ac:dyDescent="0.4">
      <c r="A14" s="5" t="s">
        <v>51</v>
      </c>
      <c r="B14" s="4" t="s">
        <v>68</v>
      </c>
      <c r="C14" s="17">
        <f t="shared" si="0"/>
        <v>92000</v>
      </c>
      <c r="D14" s="30">
        <v>46000</v>
      </c>
      <c r="E14" s="27"/>
      <c r="F14" s="14">
        <v>46000</v>
      </c>
      <c r="G14" s="22">
        <v>0.3</v>
      </c>
      <c r="H14" s="4"/>
      <c r="I14" s="4"/>
    </row>
    <row r="15" spans="1:9" ht="144.75" customHeight="1" thickBot="1" x14ac:dyDescent="0.4">
      <c r="A15" s="5" t="s">
        <v>60</v>
      </c>
      <c r="B15" s="4" t="s">
        <v>69</v>
      </c>
      <c r="C15" s="17">
        <f>D15+F15</f>
        <v>30000</v>
      </c>
      <c r="D15" s="30">
        <v>10000</v>
      </c>
      <c r="E15" s="27"/>
      <c r="F15" s="14">
        <v>20000</v>
      </c>
      <c r="G15" s="22">
        <v>0.3</v>
      </c>
      <c r="H15" s="4"/>
      <c r="I15" s="4"/>
    </row>
    <row r="16" spans="1:9" ht="191.25" customHeight="1" thickBot="1" x14ac:dyDescent="0.4">
      <c r="A16" s="3" t="s">
        <v>61</v>
      </c>
      <c r="B16" s="4" t="s">
        <v>70</v>
      </c>
      <c r="C16" s="17"/>
      <c r="D16" s="25"/>
      <c r="E16" s="25"/>
      <c r="F16" s="4"/>
      <c r="G16" s="4"/>
      <c r="H16" s="4"/>
      <c r="I16" s="4"/>
    </row>
    <row r="17" spans="1:9" ht="109" thickBot="1" x14ac:dyDescent="0.4">
      <c r="A17" s="5" t="s">
        <v>62</v>
      </c>
      <c r="B17" s="4" t="s">
        <v>71</v>
      </c>
      <c r="C17" s="17">
        <f t="shared" si="0"/>
        <v>400000</v>
      </c>
      <c r="D17" s="30">
        <v>400000</v>
      </c>
      <c r="E17" s="27"/>
      <c r="F17" s="14">
        <v>0</v>
      </c>
      <c r="G17" s="22">
        <v>0.3</v>
      </c>
      <c r="H17" s="4"/>
      <c r="I17" s="4"/>
    </row>
    <row r="18" spans="1:9" ht="204.75" customHeight="1" thickBot="1" x14ac:dyDescent="0.4">
      <c r="A18" s="5" t="s">
        <v>63</v>
      </c>
      <c r="B18" s="4" t="s">
        <v>72</v>
      </c>
      <c r="C18" s="17">
        <f t="shared" si="0"/>
        <v>40000</v>
      </c>
      <c r="D18" s="27">
        <v>0</v>
      </c>
      <c r="E18" s="27"/>
      <c r="F18" s="14">
        <v>40000</v>
      </c>
      <c r="G18" s="22">
        <v>0.3</v>
      </c>
      <c r="H18" s="4"/>
      <c r="I18" s="4"/>
    </row>
    <row r="19" spans="1:9" ht="15.75" customHeight="1" thickBot="1" x14ac:dyDescent="0.4">
      <c r="A19" s="109" t="s">
        <v>31</v>
      </c>
      <c r="B19" s="110"/>
      <c r="C19" s="20">
        <f t="shared" si="0"/>
        <v>656000</v>
      </c>
      <c r="D19" s="32">
        <f>SUM(D9:D18)</f>
        <v>509000</v>
      </c>
      <c r="E19" s="46"/>
      <c r="F19" s="16">
        <f>SUM(F9:F18)</f>
        <v>147000</v>
      </c>
      <c r="G19" s="15"/>
      <c r="H19" s="11"/>
      <c r="I19" s="12"/>
    </row>
    <row r="20" spans="1:9" ht="15.5" thickBot="1" x14ac:dyDescent="0.4">
      <c r="A20" s="111" t="s">
        <v>73</v>
      </c>
      <c r="B20" s="112"/>
      <c r="C20" s="112"/>
      <c r="D20" s="112"/>
      <c r="E20" s="112"/>
      <c r="F20" s="112"/>
      <c r="G20" s="112"/>
      <c r="H20" s="112"/>
      <c r="I20" s="113"/>
    </row>
    <row r="21" spans="1:9" ht="122.25" customHeight="1" thickBot="1" x14ac:dyDescent="0.4">
      <c r="A21" s="3" t="s">
        <v>41</v>
      </c>
      <c r="B21" s="4" t="s">
        <v>74</v>
      </c>
      <c r="C21" s="4"/>
      <c r="D21" s="29"/>
      <c r="E21" s="25"/>
      <c r="F21" s="4"/>
      <c r="G21" s="4"/>
      <c r="H21" s="4"/>
      <c r="I21" s="4"/>
    </row>
    <row r="22" spans="1:9" ht="177.75" customHeight="1" thickBot="1" x14ac:dyDescent="0.4">
      <c r="A22" s="5" t="s">
        <v>42</v>
      </c>
      <c r="B22" s="4" t="s">
        <v>75</v>
      </c>
      <c r="C22" s="17">
        <f>D22+F22</f>
        <v>210000</v>
      </c>
      <c r="D22" s="30">
        <v>70000</v>
      </c>
      <c r="E22" s="27"/>
      <c r="F22" s="14">
        <v>140000</v>
      </c>
      <c r="G22" s="59">
        <v>0.3</v>
      </c>
      <c r="H22" s="17"/>
      <c r="I22" s="4"/>
    </row>
    <row r="23" spans="1:9" ht="95.25" customHeight="1" thickBot="1" x14ac:dyDescent="0.4">
      <c r="A23" s="3" t="s">
        <v>43</v>
      </c>
      <c r="B23" s="4" t="s">
        <v>76</v>
      </c>
      <c r="C23" s="17">
        <f t="shared" ref="C23:C32" si="1">D23+F23</f>
        <v>0</v>
      </c>
      <c r="D23" s="30"/>
      <c r="E23" s="27"/>
      <c r="F23" s="14"/>
      <c r="G23" s="4"/>
      <c r="H23" s="4"/>
      <c r="I23" s="4"/>
    </row>
    <row r="24" spans="1:9" ht="123" customHeight="1" thickBot="1" x14ac:dyDescent="0.4">
      <c r="A24" s="5" t="s">
        <v>44</v>
      </c>
      <c r="B24" s="4" t="s">
        <v>45</v>
      </c>
      <c r="C24" s="17">
        <f t="shared" si="1"/>
        <v>944785</v>
      </c>
      <c r="D24" s="30">
        <f>100000+160000-35215</f>
        <v>224785</v>
      </c>
      <c r="E24" s="27"/>
      <c r="F24" s="14">
        <f>400000+320000</f>
        <v>720000</v>
      </c>
      <c r="G24" s="22">
        <v>0.3</v>
      </c>
      <c r="H24" s="4"/>
      <c r="I24" s="4"/>
    </row>
    <row r="25" spans="1:9" ht="123" customHeight="1" thickBot="1" x14ac:dyDescent="0.4">
      <c r="A25" s="5" t="s">
        <v>57</v>
      </c>
      <c r="B25" s="4" t="s">
        <v>77</v>
      </c>
      <c r="C25" s="17">
        <f>D25+F25</f>
        <v>383000</v>
      </c>
      <c r="D25" s="30">
        <v>128000</v>
      </c>
      <c r="E25" s="27"/>
      <c r="F25" s="14">
        <v>255000</v>
      </c>
      <c r="G25" s="22">
        <v>0.3</v>
      </c>
      <c r="H25" s="4"/>
      <c r="I25" s="4"/>
    </row>
    <row r="26" spans="1:9" ht="123" customHeight="1" thickBot="1" x14ac:dyDescent="0.4">
      <c r="A26" s="5" t="s">
        <v>58</v>
      </c>
      <c r="B26" s="4" t="s">
        <v>78</v>
      </c>
      <c r="C26" s="17">
        <v>6000</v>
      </c>
      <c r="D26" s="30">
        <v>2000</v>
      </c>
      <c r="E26" s="27"/>
      <c r="F26" s="14">
        <v>4000</v>
      </c>
      <c r="G26" s="22">
        <v>0.3</v>
      </c>
      <c r="H26" s="4"/>
      <c r="I26" s="4"/>
    </row>
    <row r="27" spans="1:9" ht="121" customHeight="1" thickBot="1" x14ac:dyDescent="0.4">
      <c r="A27" s="3" t="s">
        <v>46</v>
      </c>
      <c r="B27" s="4" t="s">
        <v>79</v>
      </c>
      <c r="C27" s="17">
        <f t="shared" si="1"/>
        <v>0</v>
      </c>
      <c r="D27" s="30"/>
      <c r="E27" s="27"/>
      <c r="F27" s="14"/>
      <c r="G27" s="4"/>
      <c r="H27" s="4"/>
      <c r="I27" s="4"/>
    </row>
    <row r="28" spans="1:9" ht="81" customHeight="1" thickBot="1" x14ac:dyDescent="0.4">
      <c r="A28" s="24" t="s">
        <v>47</v>
      </c>
      <c r="B28" s="25" t="s">
        <v>80</v>
      </c>
      <c r="C28" s="26">
        <f t="shared" si="1"/>
        <v>180000</v>
      </c>
      <c r="D28" s="30">
        <f>130000-20000</f>
        <v>110000</v>
      </c>
      <c r="E28" s="27"/>
      <c r="F28" s="27">
        <v>70000</v>
      </c>
      <c r="G28" s="28">
        <v>0.3</v>
      </c>
      <c r="H28" s="25"/>
      <c r="I28" s="25"/>
    </row>
    <row r="29" spans="1:9" ht="190.5" customHeight="1" thickBot="1" x14ac:dyDescent="0.4">
      <c r="A29" s="5" t="s">
        <v>48</v>
      </c>
      <c r="B29" s="4" t="s">
        <v>81</v>
      </c>
      <c r="C29" s="17">
        <f t="shared" si="1"/>
        <v>120000</v>
      </c>
      <c r="D29" s="30">
        <f>140000-20000</f>
        <v>120000</v>
      </c>
      <c r="E29" s="27"/>
      <c r="F29" s="14">
        <v>0</v>
      </c>
      <c r="G29" s="22">
        <v>0.3</v>
      </c>
      <c r="H29" s="4"/>
      <c r="I29" s="4"/>
    </row>
    <row r="30" spans="1:9" ht="15.75" customHeight="1" thickBot="1" x14ac:dyDescent="0.4">
      <c r="A30" s="109" t="s">
        <v>32</v>
      </c>
      <c r="B30" s="110"/>
      <c r="C30" s="17">
        <f t="shared" si="1"/>
        <v>1843785</v>
      </c>
      <c r="D30" s="49">
        <f>SUM(D21:D29)</f>
        <v>654785</v>
      </c>
      <c r="E30" s="27"/>
      <c r="F30" s="14">
        <f>SUM(F21:F29)</f>
        <v>1189000</v>
      </c>
      <c r="G30" s="11"/>
      <c r="H30" s="11"/>
      <c r="I30" s="12"/>
    </row>
    <row r="31" spans="1:9" s="50" customFormat="1" ht="70.5" customHeight="1" thickBot="1" x14ac:dyDescent="0.4">
      <c r="A31" s="51" t="s">
        <v>14</v>
      </c>
      <c r="B31" s="51" t="s">
        <v>59</v>
      </c>
      <c r="C31" s="52">
        <f t="shared" si="1"/>
        <v>449999</v>
      </c>
      <c r="D31" s="56">
        <v>300833</v>
      </c>
      <c r="E31" s="53"/>
      <c r="F31" s="52">
        <v>149166</v>
      </c>
      <c r="G31" s="54"/>
      <c r="H31" s="54"/>
      <c r="I31" s="54"/>
    </row>
    <row r="32" spans="1:9" ht="102" customHeight="1" thickBot="1" x14ac:dyDescent="0.4">
      <c r="A32" s="1" t="s">
        <v>15</v>
      </c>
      <c r="B32" s="1" t="s">
        <v>55</v>
      </c>
      <c r="C32" s="23">
        <f t="shared" si="1"/>
        <v>20000</v>
      </c>
      <c r="D32" s="31">
        <v>7000</v>
      </c>
      <c r="E32" s="47"/>
      <c r="F32" s="23">
        <v>13000</v>
      </c>
      <c r="G32" s="10"/>
      <c r="H32" s="10"/>
      <c r="I32" s="10"/>
    </row>
    <row r="33" spans="1:9" ht="36" customHeight="1" thickBot="1" x14ac:dyDescent="0.4">
      <c r="A33" s="5" t="s">
        <v>16</v>
      </c>
      <c r="B33" s="4" t="s">
        <v>0</v>
      </c>
      <c r="C33" s="23">
        <f>D33+F33</f>
        <v>240214.5</v>
      </c>
      <c r="D33" s="31">
        <f>45000+75214.5</f>
        <v>120214.5</v>
      </c>
      <c r="E33" s="47"/>
      <c r="F33" s="23">
        <v>120000</v>
      </c>
      <c r="G33" s="21"/>
      <c r="H33" s="21"/>
      <c r="I33" s="21"/>
    </row>
    <row r="34" spans="1:9" ht="15.75" customHeight="1" thickBot="1" x14ac:dyDescent="0.4">
      <c r="A34" s="108" t="s">
        <v>33</v>
      </c>
      <c r="B34" s="108"/>
      <c r="C34" s="23">
        <f>D34+F34</f>
        <v>3209998.5</v>
      </c>
      <c r="D34" s="41">
        <f>D19+D30+D31+D32+D33</f>
        <v>1591832.5</v>
      </c>
      <c r="E34" s="47"/>
      <c r="F34" s="23">
        <f>F19+F30+F31+F32+F33</f>
        <v>1618166</v>
      </c>
      <c r="G34" s="10"/>
      <c r="H34" s="10"/>
      <c r="I34" s="10"/>
    </row>
    <row r="35" spans="1:9" ht="16" thickBot="1" x14ac:dyDescent="0.4">
      <c r="A35" s="114" t="s">
        <v>17</v>
      </c>
      <c r="B35" s="114"/>
      <c r="C35" s="23">
        <f>D35+F35</f>
        <v>224699.89500000002</v>
      </c>
      <c r="D35" s="31">
        <f>D34*7%</f>
        <v>111428.27500000001</v>
      </c>
      <c r="E35" s="47"/>
      <c r="F35" s="23">
        <f>F34*7%</f>
        <v>113271.62000000001</v>
      </c>
      <c r="G35" s="10"/>
      <c r="H35" s="10"/>
      <c r="I35" s="10"/>
    </row>
    <row r="36" spans="1:9" ht="15.75" customHeight="1" thickBot="1" x14ac:dyDescent="0.4">
      <c r="A36" s="108" t="s">
        <v>18</v>
      </c>
      <c r="B36" s="108"/>
      <c r="C36" s="23">
        <f>D36+F36+1</f>
        <v>3434699.395</v>
      </c>
      <c r="D36" s="41">
        <f>D34+D35</f>
        <v>1703260.7749999999</v>
      </c>
      <c r="E36" s="47"/>
      <c r="F36" s="23">
        <f>F34+F35</f>
        <v>1731437.62</v>
      </c>
      <c r="G36" s="10"/>
      <c r="H36" s="10"/>
      <c r="I36" s="10"/>
    </row>
    <row r="37" spans="1:9" x14ac:dyDescent="0.35">
      <c r="C37" s="19"/>
    </row>
    <row r="38" spans="1:9" ht="30" customHeight="1" x14ac:dyDescent="0.35">
      <c r="D38" s="19"/>
    </row>
    <row r="39" spans="1:9" ht="30" customHeight="1" x14ac:dyDescent="0.35">
      <c r="D39" s="58"/>
    </row>
    <row r="40" spans="1:9" ht="30" customHeight="1" x14ac:dyDescent="0.35"/>
    <row r="41" spans="1:9" ht="30" customHeight="1" x14ac:dyDescent="0.35">
      <c r="D41" s="19"/>
      <c r="H41" s="19"/>
    </row>
    <row r="42" spans="1:9" ht="30" customHeight="1" x14ac:dyDescent="0.35">
      <c r="G42" s="19"/>
    </row>
    <row r="43" spans="1:9" ht="30" customHeight="1" x14ac:dyDescent="0.35">
      <c r="H43" s="19"/>
      <c r="I43" s="57"/>
    </row>
    <row r="44" spans="1:9" ht="30" customHeight="1" thickBot="1" x14ac:dyDescent="0.4"/>
    <row r="45" spans="1:9" ht="30" customHeight="1" thickBot="1" x14ac:dyDescent="0.4">
      <c r="I45" s="68"/>
    </row>
  </sheetData>
  <mergeCells count="7">
    <mergeCell ref="A36:B36"/>
    <mergeCell ref="A19:B19"/>
    <mergeCell ref="A30:B30"/>
    <mergeCell ref="A8:I8"/>
    <mergeCell ref="A20:I20"/>
    <mergeCell ref="A35:B35"/>
    <mergeCell ref="A34:B34"/>
  </mergeCells>
  <pageMargins left="0.7" right="0.7" top="0.75" bottom="0.75" header="0.3" footer="0.3"/>
  <pageSetup scale="56" fitToHeight="10" orientation="landscape" r:id="rId1"/>
  <rowBreaks count="1" manualBreakCount="1">
    <brk id="3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3"/>
  <sheetViews>
    <sheetView zoomScale="47" zoomScaleNormal="80" workbookViewId="0">
      <selection activeCell="A7" sqref="A7"/>
    </sheetView>
  </sheetViews>
  <sheetFormatPr defaultColWidth="8.81640625" defaultRowHeight="18.5" x14ac:dyDescent="0.45"/>
  <cols>
    <col min="1" max="1" width="26.1796875" style="34" customWidth="1"/>
    <col min="2" max="8" width="16.36328125" style="34" customWidth="1"/>
  </cols>
  <sheetData>
    <row r="1" spans="1:8" x14ac:dyDescent="0.45">
      <c r="A1" s="7" t="s">
        <v>19</v>
      </c>
      <c r="B1" s="7"/>
      <c r="C1" s="7"/>
      <c r="D1" s="7"/>
    </row>
    <row r="2" spans="1:8" x14ac:dyDescent="0.45">
      <c r="A2" s="7"/>
      <c r="B2" s="7"/>
      <c r="C2" s="7"/>
      <c r="D2" s="7"/>
    </row>
    <row r="3" spans="1:8" x14ac:dyDescent="0.45">
      <c r="A3" s="7" t="s">
        <v>20</v>
      </c>
      <c r="B3" s="7"/>
      <c r="C3" s="7"/>
      <c r="D3" s="7"/>
    </row>
    <row r="4" spans="1:8" ht="19" thickBot="1" x14ac:dyDescent="0.5"/>
    <row r="5" spans="1:8" ht="37.5" thickBot="1" x14ac:dyDescent="0.4">
      <c r="A5" s="115" t="s">
        <v>1</v>
      </c>
      <c r="B5" s="117" t="s">
        <v>52</v>
      </c>
      <c r="C5" s="118"/>
      <c r="D5" s="119" t="s">
        <v>53</v>
      </c>
      <c r="E5" s="120"/>
      <c r="F5" s="35" t="s">
        <v>5</v>
      </c>
      <c r="G5" s="35" t="s">
        <v>6</v>
      </c>
      <c r="H5" s="115" t="s">
        <v>21</v>
      </c>
    </row>
    <row r="6" spans="1:8" ht="37.5" thickBot="1" x14ac:dyDescent="0.4">
      <c r="A6" s="116"/>
      <c r="B6" s="48" t="s">
        <v>3</v>
      </c>
      <c r="C6" s="48" t="s">
        <v>4</v>
      </c>
      <c r="D6" s="36" t="s">
        <v>3</v>
      </c>
      <c r="E6" s="36" t="s">
        <v>4</v>
      </c>
      <c r="F6" s="36"/>
      <c r="G6" s="36"/>
      <c r="H6" s="116"/>
    </row>
    <row r="7" spans="1:8" ht="39" customHeight="1" thickBot="1" x14ac:dyDescent="0.4">
      <c r="A7" s="107" t="s">
        <v>22</v>
      </c>
      <c r="B7" s="106">
        <v>149520</v>
      </c>
      <c r="C7" s="106">
        <v>64080</v>
      </c>
      <c r="D7" s="60">
        <f>'Annex D'!F31*70%</f>
        <v>104416.2</v>
      </c>
      <c r="E7" s="60">
        <f>'Annex D'!F31*30%</f>
        <v>44749.799999999996</v>
      </c>
      <c r="F7" s="60">
        <f t="shared" ref="F7:G13" si="0">B7+D7</f>
        <v>253936.2</v>
      </c>
      <c r="G7" s="60">
        <f t="shared" si="0"/>
        <v>108829.79999999999</v>
      </c>
      <c r="H7" s="61">
        <f>SUM(F7:G7)</f>
        <v>362766</v>
      </c>
    </row>
    <row r="8" spans="1:8" ht="36.5" thickBot="1" x14ac:dyDescent="0.4">
      <c r="A8" s="37" t="s">
        <v>23</v>
      </c>
      <c r="B8" s="106">
        <v>65099.999999999993</v>
      </c>
      <c r="C8" s="106">
        <v>27900</v>
      </c>
      <c r="D8" s="60">
        <f>(1210214*70%)-7696-14700</f>
        <v>824753.79999999993</v>
      </c>
      <c r="E8" s="60">
        <f>1210214*30%-6300</f>
        <v>356764.2</v>
      </c>
      <c r="F8" s="60">
        <f t="shared" si="0"/>
        <v>889853.79999999993</v>
      </c>
      <c r="G8" s="60">
        <f t="shared" si="0"/>
        <v>384664.2</v>
      </c>
      <c r="H8" s="61">
        <f t="shared" ref="H8:H13" si="1">SUM(F8:G8)</f>
        <v>1274518</v>
      </c>
    </row>
    <row r="9" spans="1:8" ht="72.5" thickBot="1" x14ac:dyDescent="0.4">
      <c r="A9" s="37" t="s">
        <v>24</v>
      </c>
      <c r="B9" s="106">
        <v>45767.399999999994</v>
      </c>
      <c r="C9" s="106">
        <v>19614.599999999999</v>
      </c>
      <c r="D9" s="60">
        <f>100000*70%</f>
        <v>70000</v>
      </c>
      <c r="E9" s="60">
        <f>100000*30%</f>
        <v>30000</v>
      </c>
      <c r="F9" s="60">
        <f t="shared" si="0"/>
        <v>115767.4</v>
      </c>
      <c r="G9" s="60">
        <f t="shared" si="0"/>
        <v>49614.6</v>
      </c>
      <c r="H9" s="61">
        <f t="shared" si="1"/>
        <v>165382</v>
      </c>
    </row>
    <row r="10" spans="1:8" ht="51.75" customHeight="1" thickBot="1" x14ac:dyDescent="0.4">
      <c r="A10" s="37" t="s">
        <v>25</v>
      </c>
      <c r="B10" s="106">
        <v>0</v>
      </c>
      <c r="C10" s="106">
        <v>0</v>
      </c>
      <c r="D10" s="60">
        <f>27711*70%</f>
        <v>19397.699999999997</v>
      </c>
      <c r="E10" s="60">
        <f>27711*30%</f>
        <v>8313.2999999999993</v>
      </c>
      <c r="F10" s="60">
        <f t="shared" si="0"/>
        <v>19397.699999999997</v>
      </c>
      <c r="G10" s="60">
        <f t="shared" si="0"/>
        <v>8313.2999999999993</v>
      </c>
      <c r="H10" s="61">
        <f t="shared" si="1"/>
        <v>27710.999999999996</v>
      </c>
    </row>
    <row r="11" spans="1:8" ht="19" thickBot="1" x14ac:dyDescent="0.4">
      <c r="A11" s="37" t="s">
        <v>26</v>
      </c>
      <c r="B11" s="106">
        <v>16800</v>
      </c>
      <c r="C11" s="106">
        <v>7200</v>
      </c>
      <c r="D11" s="60">
        <f>56000*70%</f>
        <v>39200</v>
      </c>
      <c r="E11" s="60">
        <f>56000*30%</f>
        <v>16800</v>
      </c>
      <c r="F11" s="60">
        <f t="shared" si="0"/>
        <v>56000</v>
      </c>
      <c r="G11" s="60">
        <f t="shared" si="0"/>
        <v>24000</v>
      </c>
      <c r="H11" s="61">
        <f t="shared" si="1"/>
        <v>80000</v>
      </c>
    </row>
    <row r="12" spans="1:8" ht="77.25" customHeight="1" thickBot="1" x14ac:dyDescent="0.4">
      <c r="A12" s="37" t="s">
        <v>27</v>
      </c>
      <c r="B12" s="106">
        <v>0</v>
      </c>
      <c r="C12" s="106">
        <v>0</v>
      </c>
      <c r="D12" s="60">
        <f>72048*70%</f>
        <v>50433.599999999999</v>
      </c>
      <c r="E12" s="60">
        <f>72048*30%</f>
        <v>21614.399999999998</v>
      </c>
      <c r="F12" s="60">
        <f t="shared" si="0"/>
        <v>50433.599999999999</v>
      </c>
      <c r="G12" s="60">
        <f t="shared" si="0"/>
        <v>21614.399999999998</v>
      </c>
      <c r="H12" s="61">
        <f t="shared" si="1"/>
        <v>72048</v>
      </c>
    </row>
    <row r="13" spans="1:8" ht="87" customHeight="1" thickBot="1" x14ac:dyDescent="0.4">
      <c r="A13" s="37" t="s">
        <v>28</v>
      </c>
      <c r="B13" s="106">
        <v>835695.62999999989</v>
      </c>
      <c r="C13" s="106">
        <f>358155.27+2000</f>
        <v>360155.27</v>
      </c>
      <c r="D13" s="60">
        <f>31723*70%</f>
        <v>22206.1</v>
      </c>
      <c r="E13" s="60">
        <f>31723*30%</f>
        <v>9516.9</v>
      </c>
      <c r="F13" s="60">
        <f t="shared" si="0"/>
        <v>857901.72999999986</v>
      </c>
      <c r="G13" s="60">
        <f t="shared" si="0"/>
        <v>369672.17000000004</v>
      </c>
      <c r="H13" s="61">
        <f t="shared" si="1"/>
        <v>1227573.8999999999</v>
      </c>
    </row>
    <row r="14" spans="1:8" ht="39" customHeight="1" thickBot="1" x14ac:dyDescent="0.4">
      <c r="A14" s="38" t="s">
        <v>29</v>
      </c>
      <c r="B14" s="62">
        <f>SUM(B7:B13)</f>
        <v>1112883.0299999998</v>
      </c>
      <c r="C14" s="62">
        <f>SUM(C7:C13)</f>
        <v>478949.87</v>
      </c>
      <c r="D14" s="62">
        <f>SUM(D7:D13)</f>
        <v>1130407.3999999999</v>
      </c>
      <c r="E14" s="62">
        <f t="shared" ref="E14" si="2">SUM(E7:E13)</f>
        <v>487758.60000000003</v>
      </c>
      <c r="F14" s="62">
        <f>SUM(F7:F13)</f>
        <v>2243290.4299999997</v>
      </c>
      <c r="G14" s="62">
        <f>SUM(G7:G13)</f>
        <v>966708.47000000009</v>
      </c>
      <c r="H14" s="63">
        <f>SUM(H7:H13)</f>
        <v>3209998.9</v>
      </c>
    </row>
    <row r="15" spans="1:8" ht="50.25" customHeight="1" thickBot="1" x14ac:dyDescent="0.4">
      <c r="A15" s="37" t="s">
        <v>30</v>
      </c>
      <c r="B15" s="106">
        <f>'Annex D'!D35*70%</f>
        <v>77999.792499999996</v>
      </c>
      <c r="C15" s="106">
        <f>'Annex D'!D35*30%</f>
        <v>33428.482499999998</v>
      </c>
      <c r="D15" s="60">
        <f>'Annex D'!F35*70%</f>
        <v>79290.134000000005</v>
      </c>
      <c r="E15" s="60">
        <f>'Annex D'!F35*30%</f>
        <v>33981.486000000004</v>
      </c>
      <c r="F15" s="60">
        <f>B15+D15</f>
        <v>157289.9265</v>
      </c>
      <c r="G15" s="60">
        <f>C15+E15</f>
        <v>67409.968500000003</v>
      </c>
      <c r="H15" s="61">
        <f>SUM(F15:G15)</f>
        <v>224699.89500000002</v>
      </c>
    </row>
    <row r="16" spans="1:8" s="55" customFormat="1" ht="19" thickBot="1" x14ac:dyDescent="0.4">
      <c r="A16" s="38" t="s">
        <v>2</v>
      </c>
      <c r="B16" s="64">
        <f>SUM(B14:B15)</f>
        <v>1190882.8224999998</v>
      </c>
      <c r="C16" s="64">
        <f>SUM(C14:C15)</f>
        <v>512378.35249999998</v>
      </c>
      <c r="D16" s="64">
        <f>SUM(D14:D15)</f>
        <v>1209697.534</v>
      </c>
      <c r="E16" s="64">
        <f t="shared" ref="E16:H16" si="3">SUM(E14:E15)</f>
        <v>521740.08600000001</v>
      </c>
      <c r="F16" s="64">
        <f>SUM(F14:F15)</f>
        <v>2400580.3564999998</v>
      </c>
      <c r="G16" s="64">
        <f t="shared" si="3"/>
        <v>1034118.4385</v>
      </c>
      <c r="H16" s="65">
        <f t="shared" si="3"/>
        <v>3434698.7949999999</v>
      </c>
    </row>
    <row r="17" spans="2:8" x14ac:dyDescent="0.45">
      <c r="B17" s="39"/>
      <c r="F17" s="39"/>
    </row>
    <row r="18" spans="2:8" x14ac:dyDescent="0.45">
      <c r="B18" s="40"/>
      <c r="G18" s="18"/>
    </row>
    <row r="19" spans="2:8" x14ac:dyDescent="0.45">
      <c r="B19" s="40"/>
      <c r="D19" s="39"/>
      <c r="G19" s="18"/>
    </row>
    <row r="20" spans="2:8" x14ac:dyDescent="0.45">
      <c r="B20" s="39"/>
      <c r="C20" s="39"/>
      <c r="G20" s="18"/>
    </row>
    <row r="21" spans="2:8" x14ac:dyDescent="0.45">
      <c r="C21" s="39"/>
    </row>
    <row r="22" spans="2:8" ht="19" thickBot="1" x14ac:dyDescent="0.5">
      <c r="C22" s="39"/>
      <c r="D22" s="39"/>
    </row>
    <row r="23" spans="2:8" ht="19" thickBot="1" x14ac:dyDescent="0.5">
      <c r="C23" s="39"/>
      <c r="D23" s="39"/>
      <c r="H23" s="69"/>
    </row>
  </sheetData>
  <mergeCells count="4">
    <mergeCell ref="H5:H6"/>
    <mergeCell ref="A5:A6"/>
    <mergeCell ref="B5:C5"/>
    <mergeCell ref="D5:E5"/>
  </mergeCells>
  <pageMargins left="0.7" right="0.7" top="0.75" bottom="0.75" header="0.3" footer="0.3"/>
  <pageSetup scale="8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D8877-618A-4A61-A01B-4E87D10FB200}">
  <sheetPr>
    <pageSetUpPr fitToPage="1"/>
  </sheetPr>
  <dimension ref="A1:J46"/>
  <sheetViews>
    <sheetView tabSelected="1" view="pageBreakPreview" topLeftCell="A29" zoomScale="57" zoomScaleNormal="100" zoomScaleSheetLayoutView="40" workbookViewId="0">
      <selection activeCell="E30" sqref="E30"/>
    </sheetView>
  </sheetViews>
  <sheetFormatPr defaultColWidth="8.81640625" defaultRowHeight="14.5" x14ac:dyDescent="0.35"/>
  <cols>
    <col min="1" max="1" width="28.1796875" customWidth="1"/>
    <col min="2" max="3" width="24.453125" customWidth="1"/>
    <col min="4" max="4" width="24.453125" style="95" customWidth="1"/>
    <col min="5" max="5" width="24.453125" customWidth="1"/>
    <col min="6" max="6" width="24.453125" style="44" customWidth="1"/>
    <col min="7" max="7" width="25.453125" customWidth="1"/>
    <col min="8" max="9" width="22.453125" customWidth="1"/>
    <col min="10" max="10" width="20.81640625" customWidth="1"/>
    <col min="11" max="11" width="22.453125" customWidth="1"/>
    <col min="12" max="14" width="28.453125" customWidth="1"/>
    <col min="15" max="15" width="34.1796875" customWidth="1"/>
  </cols>
  <sheetData>
    <row r="1" spans="1:10" ht="21" x14ac:dyDescent="0.5">
      <c r="A1" s="8" t="s">
        <v>7</v>
      </c>
      <c r="B1" s="7"/>
      <c r="C1" s="7"/>
      <c r="D1" s="93"/>
      <c r="E1" s="7"/>
      <c r="F1" s="42"/>
    </row>
    <row r="2" spans="1:10" ht="15.5" x14ac:dyDescent="0.35">
      <c r="A2" s="6"/>
      <c r="B2" s="6"/>
      <c r="C2" s="6"/>
      <c r="D2" s="94"/>
      <c r="E2" s="6"/>
      <c r="F2" s="43"/>
    </row>
    <row r="3" spans="1:10" ht="15.5" x14ac:dyDescent="0.35">
      <c r="A3" s="6" t="s">
        <v>8</v>
      </c>
      <c r="B3" s="6"/>
      <c r="C3" s="6"/>
      <c r="D3" s="94"/>
      <c r="E3" s="6"/>
      <c r="F3" s="43"/>
    </row>
    <row r="5" spans="1:10" ht="15.5" x14ac:dyDescent="0.35">
      <c r="A5" s="6" t="s">
        <v>9</v>
      </c>
    </row>
    <row r="6" spans="1:10" ht="15" thickBot="1" x14ac:dyDescent="0.4"/>
    <row r="7" spans="1:10" ht="97.5" customHeight="1" thickBot="1" x14ac:dyDescent="0.4">
      <c r="A7" s="1" t="s">
        <v>10</v>
      </c>
      <c r="B7" s="9" t="s">
        <v>11</v>
      </c>
      <c r="C7" s="13" t="s">
        <v>54</v>
      </c>
      <c r="D7" s="96" t="s">
        <v>49</v>
      </c>
      <c r="E7" s="71" t="s">
        <v>82</v>
      </c>
      <c r="F7" s="45"/>
      <c r="G7" s="13" t="s">
        <v>50</v>
      </c>
      <c r="H7" s="9" t="s">
        <v>12</v>
      </c>
      <c r="I7" s="9" t="s">
        <v>34</v>
      </c>
      <c r="J7" s="9" t="s">
        <v>13</v>
      </c>
    </row>
    <row r="8" spans="1:10" ht="38.25" customHeight="1" thickBot="1" x14ac:dyDescent="0.4">
      <c r="A8" s="111" t="s">
        <v>35</v>
      </c>
      <c r="B8" s="112"/>
      <c r="C8" s="112"/>
      <c r="D8" s="112"/>
      <c r="E8" s="112"/>
      <c r="F8" s="112"/>
      <c r="G8" s="112"/>
      <c r="H8" s="112"/>
      <c r="I8" s="112"/>
      <c r="J8" s="113"/>
    </row>
    <row r="9" spans="1:10" ht="87" customHeight="1" thickBot="1" x14ac:dyDescent="0.4">
      <c r="A9" s="3" t="s">
        <v>36</v>
      </c>
      <c r="B9" s="4" t="s">
        <v>64</v>
      </c>
      <c r="C9" s="4"/>
      <c r="D9" s="77"/>
      <c r="E9" s="76"/>
      <c r="F9" s="25"/>
      <c r="G9" s="4"/>
      <c r="H9" s="4"/>
      <c r="I9" s="4"/>
      <c r="J9" s="4"/>
    </row>
    <row r="10" spans="1:10" ht="198.75" customHeight="1" thickBot="1" x14ac:dyDescent="0.4">
      <c r="A10" s="5" t="s">
        <v>37</v>
      </c>
      <c r="B10" s="4" t="s">
        <v>56</v>
      </c>
      <c r="C10" s="17">
        <f>E10+G10</f>
        <v>24000</v>
      </c>
      <c r="D10" s="78">
        <v>8000</v>
      </c>
      <c r="E10" s="76">
        <f>D10</f>
        <v>8000</v>
      </c>
      <c r="F10" s="27"/>
      <c r="G10" s="14">
        <v>16000</v>
      </c>
      <c r="H10" s="4"/>
      <c r="I10" s="4"/>
      <c r="J10" s="4"/>
    </row>
    <row r="11" spans="1:10" ht="197.4" customHeight="1" thickBot="1" x14ac:dyDescent="0.4">
      <c r="A11" s="5" t="s">
        <v>38</v>
      </c>
      <c r="B11" s="4" t="s">
        <v>65</v>
      </c>
      <c r="C11" s="17">
        <f>E11+G11</f>
        <v>30000</v>
      </c>
      <c r="D11" s="78">
        <v>30000</v>
      </c>
      <c r="E11" s="76">
        <f t="shared" ref="E11:E17" si="0">D11</f>
        <v>30000</v>
      </c>
      <c r="F11" s="27"/>
      <c r="G11" s="14"/>
      <c r="H11" s="22">
        <v>0.3</v>
      </c>
      <c r="I11" s="4"/>
      <c r="J11" s="4"/>
    </row>
    <row r="12" spans="1:10" ht="259.75" customHeight="1" thickBot="1" x14ac:dyDescent="0.4">
      <c r="A12" s="3" t="s">
        <v>39</v>
      </c>
      <c r="B12" s="4" t="s">
        <v>66</v>
      </c>
      <c r="C12" s="17"/>
      <c r="D12" s="78"/>
      <c r="E12" s="76"/>
      <c r="F12" s="27"/>
      <c r="G12" s="14"/>
      <c r="H12" s="22"/>
      <c r="I12" s="4"/>
      <c r="J12" s="4"/>
    </row>
    <row r="13" spans="1:10" ht="92.4" customHeight="1" thickBot="1" x14ac:dyDescent="0.4">
      <c r="A13" s="5" t="s">
        <v>40</v>
      </c>
      <c r="B13" s="4" t="s">
        <v>67</v>
      </c>
      <c r="C13" s="17">
        <f>E13+G13</f>
        <v>40000</v>
      </c>
      <c r="D13" s="78">
        <v>15000</v>
      </c>
      <c r="E13" s="76">
        <f t="shared" si="0"/>
        <v>15000</v>
      </c>
      <c r="F13" s="27"/>
      <c r="G13" s="14">
        <v>25000</v>
      </c>
      <c r="H13" s="22">
        <v>0.3</v>
      </c>
      <c r="I13" s="4"/>
      <c r="J13" s="4"/>
    </row>
    <row r="14" spans="1:10" ht="221.4" customHeight="1" thickBot="1" x14ac:dyDescent="0.4">
      <c r="A14" s="5" t="s">
        <v>51</v>
      </c>
      <c r="B14" s="4" t="s">
        <v>68</v>
      </c>
      <c r="C14" s="17">
        <f>E14+G14</f>
        <v>92000</v>
      </c>
      <c r="D14" s="78">
        <v>46000</v>
      </c>
      <c r="E14" s="76">
        <f t="shared" si="0"/>
        <v>46000</v>
      </c>
      <c r="F14" s="27"/>
      <c r="G14" s="14">
        <v>46000</v>
      </c>
      <c r="H14" s="22">
        <v>0.3</v>
      </c>
      <c r="I14" s="4"/>
      <c r="J14" s="4"/>
    </row>
    <row r="15" spans="1:10" ht="144.75" customHeight="1" thickBot="1" x14ac:dyDescent="0.4">
      <c r="A15" s="5" t="s">
        <v>60</v>
      </c>
      <c r="B15" s="4" t="s">
        <v>69</v>
      </c>
      <c r="C15" s="17">
        <f>E15+G15</f>
        <v>30000</v>
      </c>
      <c r="D15" s="78">
        <v>10000</v>
      </c>
      <c r="E15" s="76">
        <f t="shared" si="0"/>
        <v>10000</v>
      </c>
      <c r="F15" s="27"/>
      <c r="G15" s="14">
        <v>20000</v>
      </c>
      <c r="H15" s="22">
        <v>0.3</v>
      </c>
      <c r="I15" s="4"/>
      <c r="J15" s="4"/>
    </row>
    <row r="16" spans="1:10" ht="100.25" customHeight="1" thickBot="1" x14ac:dyDescent="0.4">
      <c r="A16" s="3" t="s">
        <v>61</v>
      </c>
      <c r="B16" s="4" t="s">
        <v>70</v>
      </c>
      <c r="C16" s="17"/>
      <c r="D16" s="77"/>
      <c r="E16" s="72"/>
      <c r="F16" s="25"/>
      <c r="G16" s="4"/>
      <c r="H16" s="4"/>
      <c r="I16" s="4"/>
      <c r="J16" s="4"/>
    </row>
    <row r="17" spans="1:10" ht="139.25" customHeight="1" thickBot="1" x14ac:dyDescent="0.4">
      <c r="A17" s="5" t="s">
        <v>62</v>
      </c>
      <c r="B17" s="4" t="s">
        <v>71</v>
      </c>
      <c r="C17" s="17">
        <f>E17+G17</f>
        <v>400000</v>
      </c>
      <c r="D17" s="78">
        <v>400000</v>
      </c>
      <c r="E17" s="76">
        <f t="shared" si="0"/>
        <v>400000</v>
      </c>
      <c r="F17" s="27"/>
      <c r="G17" s="14">
        <v>0</v>
      </c>
      <c r="H17" s="22">
        <v>0.3</v>
      </c>
      <c r="I17" s="4"/>
      <c r="J17" s="4"/>
    </row>
    <row r="18" spans="1:10" ht="148.25" customHeight="1" thickBot="1" x14ac:dyDescent="0.4">
      <c r="A18" s="5" t="s">
        <v>63</v>
      </c>
      <c r="B18" s="4" t="s">
        <v>72</v>
      </c>
      <c r="C18" s="17">
        <f>E18+G18</f>
        <v>40000</v>
      </c>
      <c r="D18" s="78">
        <v>0</v>
      </c>
      <c r="E18" s="76"/>
      <c r="F18" s="27"/>
      <c r="G18" s="14">
        <v>40000</v>
      </c>
      <c r="H18" s="22">
        <v>0.3</v>
      </c>
      <c r="I18" s="4"/>
      <c r="J18" s="4"/>
    </row>
    <row r="19" spans="1:10" ht="15.75" customHeight="1" thickBot="1" x14ac:dyDescent="0.4">
      <c r="A19" s="109" t="s">
        <v>31</v>
      </c>
      <c r="B19" s="110"/>
      <c r="C19" s="20">
        <f t="shared" ref="C19" si="1">D19+G19</f>
        <v>656000</v>
      </c>
      <c r="D19" s="70">
        <f>SUM(D9:D18)</f>
        <v>509000</v>
      </c>
      <c r="E19" s="105">
        <f>SUM(E9:E18)</f>
        <v>509000</v>
      </c>
      <c r="F19" s="46"/>
      <c r="G19" s="16">
        <f>SUM(G9:G18)</f>
        <v>147000</v>
      </c>
      <c r="H19" s="15"/>
      <c r="I19" s="66"/>
      <c r="J19" s="67"/>
    </row>
    <row r="20" spans="1:10" ht="15.5" thickBot="1" x14ac:dyDescent="0.4">
      <c r="A20" s="111" t="s">
        <v>73</v>
      </c>
      <c r="B20" s="112"/>
      <c r="C20" s="112"/>
      <c r="D20" s="112"/>
      <c r="E20" s="112"/>
      <c r="F20" s="112"/>
      <c r="G20" s="112"/>
      <c r="H20" s="112"/>
      <c r="I20" s="112"/>
      <c r="J20" s="113"/>
    </row>
    <row r="21" spans="1:10" ht="122.25" customHeight="1" thickBot="1" x14ac:dyDescent="0.4">
      <c r="A21" s="3" t="s">
        <v>41</v>
      </c>
      <c r="B21" s="4" t="s">
        <v>74</v>
      </c>
      <c r="C21" s="4"/>
      <c r="D21" s="77"/>
      <c r="E21" s="72"/>
      <c r="F21" s="25"/>
      <c r="G21" s="4"/>
      <c r="H21" s="4"/>
      <c r="I21" s="4"/>
      <c r="J21" s="4"/>
    </row>
    <row r="22" spans="1:10" ht="177.75" customHeight="1" thickBot="1" x14ac:dyDescent="0.4">
      <c r="A22" s="5" t="s">
        <v>42</v>
      </c>
      <c r="B22" s="4" t="s">
        <v>75</v>
      </c>
      <c r="C22" s="17">
        <f>E22+G22</f>
        <v>210000</v>
      </c>
      <c r="D22" s="78">
        <v>70000</v>
      </c>
      <c r="E22" s="76">
        <f t="shared" ref="E22:E26" si="2">D22</f>
        <v>70000</v>
      </c>
      <c r="F22" s="27"/>
      <c r="G22" s="14">
        <v>140000</v>
      </c>
      <c r="H22" s="59">
        <v>0.3</v>
      </c>
      <c r="I22" s="17"/>
      <c r="J22" s="4"/>
    </row>
    <row r="23" spans="1:10" ht="102" customHeight="1" thickBot="1" x14ac:dyDescent="0.4">
      <c r="A23" s="3" t="s">
        <v>43</v>
      </c>
      <c r="B23" s="4" t="s">
        <v>76</v>
      </c>
      <c r="C23" s="17"/>
      <c r="D23" s="78"/>
      <c r="E23" s="76"/>
      <c r="F23" s="27"/>
      <c r="G23" s="14"/>
      <c r="H23" s="4"/>
      <c r="I23" s="4"/>
      <c r="J23" s="4"/>
    </row>
    <row r="24" spans="1:10" ht="123" customHeight="1" thickBot="1" x14ac:dyDescent="0.4">
      <c r="A24" s="5" t="s">
        <v>44</v>
      </c>
      <c r="B24" s="4" t="s">
        <v>45</v>
      </c>
      <c r="C24" s="17">
        <f>E24+G24</f>
        <v>944785</v>
      </c>
      <c r="D24" s="78">
        <f>100000+160000-35215</f>
        <v>224785</v>
      </c>
      <c r="E24" s="76">
        <f t="shared" si="2"/>
        <v>224785</v>
      </c>
      <c r="F24" s="27"/>
      <c r="G24" s="14">
        <f>400000+320000</f>
        <v>720000</v>
      </c>
      <c r="H24" s="22">
        <v>0.3</v>
      </c>
      <c r="I24" s="4"/>
      <c r="J24" s="4"/>
    </row>
    <row r="25" spans="1:10" ht="123" customHeight="1" thickBot="1" x14ac:dyDescent="0.4">
      <c r="A25" s="5" t="s">
        <v>57</v>
      </c>
      <c r="B25" s="4" t="s">
        <v>77</v>
      </c>
      <c r="C25" s="17">
        <f>E25+G25</f>
        <v>383000</v>
      </c>
      <c r="D25" s="78">
        <v>128000</v>
      </c>
      <c r="E25" s="76">
        <f t="shared" si="2"/>
        <v>128000</v>
      </c>
      <c r="F25" s="27"/>
      <c r="G25" s="14">
        <v>255000</v>
      </c>
      <c r="H25" s="22">
        <v>0.3</v>
      </c>
      <c r="I25" s="4"/>
      <c r="J25" s="4"/>
    </row>
    <row r="26" spans="1:10" ht="123" customHeight="1" thickBot="1" x14ac:dyDescent="0.4">
      <c r="A26" s="5" t="s">
        <v>58</v>
      </c>
      <c r="B26" s="4" t="s">
        <v>78</v>
      </c>
      <c r="C26" s="17">
        <f>E26+G26</f>
        <v>6000</v>
      </c>
      <c r="D26" s="78">
        <v>2000</v>
      </c>
      <c r="E26" s="76">
        <f t="shared" si="2"/>
        <v>2000</v>
      </c>
      <c r="F26" s="27"/>
      <c r="G26" s="14">
        <v>4000</v>
      </c>
      <c r="H26" s="22">
        <v>0.3</v>
      </c>
      <c r="I26" s="4"/>
      <c r="J26" s="4"/>
    </row>
    <row r="27" spans="1:10" ht="121" customHeight="1" thickBot="1" x14ac:dyDescent="0.4">
      <c r="A27" s="3" t="s">
        <v>46</v>
      </c>
      <c r="B27" s="4" t="s">
        <v>79</v>
      </c>
      <c r="C27" s="17"/>
      <c r="D27" s="78"/>
      <c r="E27" s="76"/>
      <c r="F27" s="27"/>
      <c r="G27" s="14"/>
      <c r="H27" s="4"/>
      <c r="I27" s="4"/>
      <c r="J27" s="4"/>
    </row>
    <row r="28" spans="1:10" s="85" customFormat="1" ht="194.4" customHeight="1" thickBot="1" x14ac:dyDescent="0.4">
      <c r="A28" s="89" t="s">
        <v>47</v>
      </c>
      <c r="B28" s="90" t="s">
        <v>80</v>
      </c>
      <c r="C28" s="87">
        <f>E28+G28</f>
        <v>163409</v>
      </c>
      <c r="D28" s="97">
        <f>130000-20000</f>
        <v>110000</v>
      </c>
      <c r="E28" s="121">
        <f>D28-E30</f>
        <v>93409</v>
      </c>
      <c r="F28" s="83"/>
      <c r="G28" s="91">
        <v>70000</v>
      </c>
      <c r="H28" s="92">
        <v>0.3</v>
      </c>
      <c r="I28" s="86"/>
      <c r="J28" s="86"/>
    </row>
    <row r="29" spans="1:10" ht="194.4" customHeight="1" thickBot="1" x14ac:dyDescent="0.4">
      <c r="A29" s="24" t="s">
        <v>48</v>
      </c>
      <c r="B29" s="4" t="s">
        <v>81</v>
      </c>
      <c r="C29" s="17">
        <f>E29+G29</f>
        <v>120000</v>
      </c>
      <c r="D29" s="78">
        <f>140000-20000</f>
        <v>120000</v>
      </c>
      <c r="E29" s="76">
        <f>D29</f>
        <v>120000</v>
      </c>
      <c r="F29" s="27"/>
      <c r="G29" s="14">
        <v>0</v>
      </c>
      <c r="H29" s="22">
        <v>0.3</v>
      </c>
      <c r="I29" s="25"/>
      <c r="J29" s="25"/>
    </row>
    <row r="30" spans="1:10" s="85" customFormat="1" ht="190.5" customHeight="1" thickBot="1" x14ac:dyDescent="0.4">
      <c r="A30" s="80" t="s">
        <v>83</v>
      </c>
      <c r="B30" s="81" t="s">
        <v>84</v>
      </c>
      <c r="C30" s="82">
        <f>E30+G30</f>
        <v>16591</v>
      </c>
      <c r="D30" s="98"/>
      <c r="E30" s="121">
        <v>16591</v>
      </c>
      <c r="F30" s="83"/>
      <c r="G30" s="84">
        <v>0</v>
      </c>
      <c r="H30" s="88">
        <v>0.3</v>
      </c>
      <c r="I30" s="81"/>
      <c r="J30" s="81"/>
    </row>
    <row r="31" spans="1:10" ht="15.75" customHeight="1" thickBot="1" x14ac:dyDescent="0.4">
      <c r="A31" s="109" t="s">
        <v>32</v>
      </c>
      <c r="B31" s="110"/>
      <c r="C31" s="20">
        <f t="shared" ref="C31:C33" si="3">D31+G31</f>
        <v>1843785</v>
      </c>
      <c r="D31" s="99">
        <f>SUM(D21:D30)</f>
        <v>654785</v>
      </c>
      <c r="E31" s="79">
        <f>SUM(E21:E30)</f>
        <v>654785</v>
      </c>
      <c r="F31" s="27"/>
      <c r="G31" s="14">
        <f>SUM(G21:G30)</f>
        <v>1189000</v>
      </c>
      <c r="H31" s="66"/>
      <c r="I31" s="66"/>
      <c r="J31" s="67"/>
    </row>
    <row r="32" spans="1:10" s="50" customFormat="1" ht="155.4" customHeight="1" thickBot="1" x14ac:dyDescent="0.4">
      <c r="A32" s="51" t="s">
        <v>14</v>
      </c>
      <c r="B32" s="51" t="s">
        <v>59</v>
      </c>
      <c r="C32" s="52">
        <f t="shared" si="3"/>
        <v>449999</v>
      </c>
      <c r="D32" s="100">
        <v>300833</v>
      </c>
      <c r="E32" s="73">
        <v>300833</v>
      </c>
      <c r="F32" s="53"/>
      <c r="G32" s="52">
        <v>149166</v>
      </c>
      <c r="H32" s="54"/>
      <c r="I32" s="54"/>
      <c r="J32" s="54"/>
    </row>
    <row r="33" spans="1:10" ht="149.4" customHeight="1" thickBot="1" x14ac:dyDescent="0.4">
      <c r="A33" s="1" t="s">
        <v>15</v>
      </c>
      <c r="B33" s="1" t="s">
        <v>55</v>
      </c>
      <c r="C33" s="23">
        <f t="shared" si="3"/>
        <v>20000</v>
      </c>
      <c r="D33" s="101">
        <v>7000</v>
      </c>
      <c r="E33" s="74">
        <v>7000</v>
      </c>
      <c r="F33" s="47"/>
      <c r="G33" s="23">
        <v>13000</v>
      </c>
      <c r="H33" s="10"/>
      <c r="I33" s="10"/>
      <c r="J33" s="10"/>
    </row>
    <row r="34" spans="1:10" ht="36" customHeight="1" thickBot="1" x14ac:dyDescent="0.4">
      <c r="A34" s="5" t="s">
        <v>16</v>
      </c>
      <c r="B34" s="4" t="s">
        <v>0</v>
      </c>
      <c r="C34" s="23">
        <f>D34+G34</f>
        <v>240214.5</v>
      </c>
      <c r="D34" s="101">
        <f>45000+75214.5</f>
        <v>120214.5</v>
      </c>
      <c r="E34" s="74">
        <v>120215</v>
      </c>
      <c r="F34" s="47"/>
      <c r="G34" s="23">
        <v>120000</v>
      </c>
      <c r="H34" s="21"/>
      <c r="I34" s="21"/>
      <c r="J34" s="21"/>
    </row>
    <row r="35" spans="1:10" ht="15.75" customHeight="1" thickBot="1" x14ac:dyDescent="0.4">
      <c r="A35" s="108" t="s">
        <v>33</v>
      </c>
      <c r="B35" s="108"/>
      <c r="C35" s="23">
        <f>D35+G35</f>
        <v>3209998.5</v>
      </c>
      <c r="D35" s="102">
        <f>D19+D31+D32+D33+D34</f>
        <v>1591832.5</v>
      </c>
      <c r="E35" s="75">
        <f>E19+E31+E32+E33+E34</f>
        <v>1591833</v>
      </c>
      <c r="F35" s="47"/>
      <c r="G35" s="23">
        <f>G19+G31+G32+G33+G34</f>
        <v>1618166</v>
      </c>
      <c r="H35" s="10"/>
      <c r="I35" s="10"/>
      <c r="J35" s="10"/>
    </row>
    <row r="36" spans="1:10" ht="16" thickBot="1" x14ac:dyDescent="0.4">
      <c r="A36" s="114" t="s">
        <v>17</v>
      </c>
      <c r="B36" s="114"/>
      <c r="C36" s="23">
        <f>D36+G36</f>
        <v>224699.89500000002</v>
      </c>
      <c r="D36" s="101">
        <f>D35*7%</f>
        <v>111428.27500000001</v>
      </c>
      <c r="E36" s="74">
        <f>E35*7%</f>
        <v>111428.31000000001</v>
      </c>
      <c r="F36" s="47"/>
      <c r="G36" s="23">
        <f>G35*7%</f>
        <v>113271.62000000001</v>
      </c>
      <c r="H36" s="10"/>
      <c r="I36" s="10"/>
      <c r="J36" s="10"/>
    </row>
    <row r="37" spans="1:10" ht="15.75" customHeight="1" thickBot="1" x14ac:dyDescent="0.4">
      <c r="A37" s="108" t="s">
        <v>18</v>
      </c>
      <c r="B37" s="108"/>
      <c r="C37" s="23">
        <f>D37+G37+1</f>
        <v>3434699.395</v>
      </c>
      <c r="D37" s="102">
        <f>D35+D36</f>
        <v>1703260.7749999999</v>
      </c>
      <c r="E37" s="75">
        <f>E35+E36</f>
        <v>1703261.31</v>
      </c>
      <c r="F37" s="47"/>
      <c r="G37" s="23">
        <f>G35+G36</f>
        <v>1731437.62</v>
      </c>
      <c r="H37" s="10"/>
      <c r="I37" s="10"/>
      <c r="J37" s="10"/>
    </row>
    <row r="38" spans="1:10" x14ac:dyDescent="0.35">
      <c r="C38" s="19"/>
    </row>
    <row r="39" spans="1:10" ht="30" customHeight="1" x14ac:dyDescent="0.35">
      <c r="D39" s="103"/>
      <c r="E39" s="19"/>
    </row>
    <row r="40" spans="1:10" ht="30" customHeight="1" x14ac:dyDescent="0.35">
      <c r="D40" s="104"/>
      <c r="E40" s="58"/>
    </row>
    <row r="41" spans="1:10" ht="30" customHeight="1" x14ac:dyDescent="0.35"/>
    <row r="42" spans="1:10" ht="30" customHeight="1" x14ac:dyDescent="0.35">
      <c r="D42" s="103"/>
      <c r="E42" s="19"/>
      <c r="I42" s="19"/>
    </row>
    <row r="43" spans="1:10" ht="30" customHeight="1" x14ac:dyDescent="0.35">
      <c r="H43" s="19"/>
    </row>
    <row r="44" spans="1:10" ht="30" customHeight="1" x14ac:dyDescent="0.35">
      <c r="I44" s="19"/>
      <c r="J44" s="57"/>
    </row>
    <row r="45" spans="1:10" ht="30" customHeight="1" x14ac:dyDescent="0.35"/>
    <row r="46" spans="1:10" ht="30" customHeight="1" x14ac:dyDescent="0.35"/>
  </sheetData>
  <mergeCells count="7">
    <mergeCell ref="A37:B37"/>
    <mergeCell ref="A8:J8"/>
    <mergeCell ref="A19:B19"/>
    <mergeCell ref="A20:J20"/>
    <mergeCell ref="A31:B31"/>
    <mergeCell ref="A35:B35"/>
    <mergeCell ref="A36:B36"/>
  </mergeCells>
  <pageMargins left="0.7" right="0.7" top="0.75" bottom="0.75" header="0.3" footer="0.3"/>
  <pageSetup scale="50" fitToHeight="10" orientation="landscape" r:id="rId1"/>
  <rowBreaks count="1" manualBreakCount="1">
    <brk id="40"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93E03149480640BC3944AFC859B81A" ma:contentTypeVersion="11" ma:contentTypeDescription="Create a new document." ma:contentTypeScope="" ma:versionID="5f8c422bad94317c8354eb8e2c11112c">
  <xsd:schema xmlns:xsd="http://www.w3.org/2001/XMLSchema" xmlns:xs="http://www.w3.org/2001/XMLSchema" xmlns:p="http://schemas.microsoft.com/office/2006/metadata/properties" xmlns:ns3="1680d58e-fa35-4dfd-a581-4103ce56409c" xmlns:ns4="7439a2ac-e9a0-4cdd-946d-c8ca9f6ae99c" targetNamespace="http://schemas.microsoft.com/office/2006/metadata/properties" ma:root="true" ma:fieldsID="9081195b1f42b576f50e8142a35b8c8a" ns3:_="" ns4:_="">
    <xsd:import namespace="1680d58e-fa35-4dfd-a581-4103ce56409c"/>
    <xsd:import namespace="7439a2ac-e9a0-4cdd-946d-c8ca9f6ae9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80d58e-fa35-4dfd-a581-4103ce5640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39a2ac-e9a0-4cdd-946d-c8ca9f6ae9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21E90-E918-4F4B-ABA7-FB40F9D7547B}">
  <ds:schemaRefs>
    <ds:schemaRef ds:uri="http://purl.org/dc/terms/"/>
    <ds:schemaRef ds:uri="http://schemas.openxmlformats.org/package/2006/metadata/core-properties"/>
    <ds:schemaRef ds:uri="http://schemas.microsoft.com/office/2006/documentManagement/types"/>
    <ds:schemaRef ds:uri="7439a2ac-e9a0-4cdd-946d-c8ca9f6ae99c"/>
    <ds:schemaRef ds:uri="http://purl.org/dc/elements/1.1/"/>
    <ds:schemaRef ds:uri="http://schemas.microsoft.com/office/2006/metadata/properties"/>
    <ds:schemaRef ds:uri="http://purl.org/dc/dcmitype/"/>
    <ds:schemaRef ds:uri="http://schemas.microsoft.com/office/infopath/2007/PartnerControls"/>
    <ds:schemaRef ds:uri="1680d58e-fa35-4dfd-a581-4103ce56409c"/>
    <ds:schemaRef ds:uri="http://www.w3.org/XML/1998/namespace"/>
  </ds:schemaRefs>
</ds:datastoreItem>
</file>

<file path=customXml/itemProps2.xml><?xml version="1.0" encoding="utf-8"?>
<ds:datastoreItem xmlns:ds="http://schemas.openxmlformats.org/officeDocument/2006/customXml" ds:itemID="{5B7CCB5C-94A7-4492-9E8D-E04EE51DF7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80d58e-fa35-4dfd-a581-4103ce56409c"/>
    <ds:schemaRef ds:uri="7439a2ac-e9a0-4cdd-946d-c8ca9f6ae9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2B3EA5-6FDF-4C81-93F6-D1AF5D2B14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Annex D</vt:lpstr>
      <vt:lpstr>Tableau 2</vt:lpstr>
      <vt:lpstr>Annex D modification juin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2019-09-26T13:03:27Z</cp:lastPrinted>
  <dcterms:created xsi:type="dcterms:W3CDTF">2017-11-15T21:17:43Z</dcterms:created>
  <dcterms:modified xsi:type="dcterms:W3CDTF">2020-07-06T12:42:14Z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0x0101003C93E03149480640BC3944AFC859B81A</vt:lpwstr>
  </property>
  <property fmtid="{D5CDD505-2E9C-101B-9397-08002B2CF9AE}" pid="3" name="MSIP_Label_2059aa38-f392-4105-be92-628035578272_Enabled">
    <vt:lpwstr>true</vt:lpwstr>
  </property>
  <property fmtid="{D5CDD505-2E9C-101B-9397-08002B2CF9AE}" pid="4" name="MSIP_Label_2059aa38-f392-4105-be92-628035578272_SetDate">
    <vt:lpwstr>2020-06-26T08:55:45Z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fa38f800-4f63-43cd-a791-00007bbb52db</vt:lpwstr>
  </property>
  <property fmtid="{D5CDD505-2E9C-101B-9397-08002B2CF9AE}" pid="9" name="MSIP_Label_2059aa38-f392-4105-be92-628035578272_ContentBits">
    <vt:lpwstr>0</vt:lpwstr>
  </property>
</Properties>
</file>