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2"/>
  </bookViews>
  <sheets>
    <sheet name="Sheet2" sheetId="1" r:id="rId1"/>
    <sheet name="Sheet3" sheetId="2" r:id="rId2"/>
    <sheet name="Sheet1" sheetId="3" r:id="rId3"/>
  </sheets>
  <definedNames/>
  <calcPr fullCalcOnLoad="1"/>
</workbook>
</file>

<file path=xl/sharedStrings.xml><?xml version="1.0" encoding="utf-8"?>
<sst xmlns="http://schemas.openxmlformats.org/spreadsheetml/2006/main" count="131" uniqueCount="119">
  <si>
    <t>Outcome/ Output number</t>
  </si>
  <si>
    <t>Outcome/ output/ activity formulation:</t>
  </si>
  <si>
    <t>Output 1.1:</t>
  </si>
  <si>
    <t>Activity 1.1.1:</t>
  </si>
  <si>
    <t>Output 1.2:</t>
  </si>
  <si>
    <t>Activity 1.2.1:</t>
  </si>
  <si>
    <t>Activity 1.2.2:</t>
  </si>
  <si>
    <t>Output 3.1:</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</si>
  <si>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</si>
  <si>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</si>
  <si>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</si>
  <si>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</si>
  <si>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</si>
  <si>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</si>
  <si>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</si>
  <si>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</si>
  <si>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</si>
  <si>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</si>
  <si>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</si>
  <si>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</si>
  <si>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</si>
  <si>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</si>
  <si>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</si>
  <si>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</si>
  <si>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</si>
  <si>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</si>
  <si>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</si>
  <si>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</si>
  <si>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</si>
  <si>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</si>
  <si>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</si>
  <si>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</si>
  <si>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</si>
  <si>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Appuyer la mise en place et le fonctionnement (une fois par trimestre) des cadres de concertation à Nyunzu, Kabalo et Kalemie</t>
  </si>
  <si>
    <t>Activity 1.1.5</t>
  </si>
  <si>
    <t>Appuyer la redynamisation et le fonctionnement (une fois par semestre) du cadre provincial de paix (cadre de concertation provinciale)</t>
  </si>
  <si>
    <t>Activity 1.1.6</t>
  </si>
  <si>
    <t>Achat vehicule</t>
  </si>
  <si>
    <t xml:space="preserve">Salaires du (i) Coordonateur, de (i)  l'Asssistant Administratif et Financier et du (iii)chauffeur </t>
  </si>
  <si>
    <t xml:space="preserve">Percent of budget for each output reserved for direct action on gender eqaulity (if any):/ </t>
  </si>
  <si>
    <t>TOTAL $ PROJECT PERSONNEL AND OPERATIONAL COST(UNFPA) :</t>
  </si>
  <si>
    <t>Amount Recipient  UNESCO</t>
  </si>
  <si>
    <t>Amount Recipient  UNFPA</t>
  </si>
  <si>
    <t>Activity 1.1.3</t>
  </si>
  <si>
    <r>
      <t xml:space="preserve">Budget by recipient organization in USD - </t>
    </r>
    <r>
      <rPr>
        <sz val="10"/>
        <color indexed="10"/>
        <rFont val="Times New Roman"/>
        <family val="1"/>
      </rPr>
      <t xml:space="preserve">Please add a new column for each recipient organization/ Budget par organisation bénéficiaire en USD - </t>
    </r>
  </si>
  <si>
    <r>
      <rPr>
        <b/>
        <u val="single"/>
        <sz val="10"/>
        <color indexed="8"/>
        <rFont val="Times New Roman"/>
        <family val="1"/>
      </rPr>
      <t>OUTCOME 1 (UNFPA)</t>
    </r>
    <r>
      <rPr>
        <b/>
        <sz val="10"/>
        <color indexed="8"/>
        <rFont val="Times New Roman"/>
        <family val="1"/>
      </rPr>
      <t>: 200 jeunes garçons et filles (y compris les ex miliciens) issus des deux communautés utilisent leurs connaissances et leurs compétences pour participer à la consolidation de la paix et à la cohésion sociale à travers les comités locaux de paix « BARAZA »</t>
    </r>
  </si>
  <si>
    <t>Output 1.3:</t>
  </si>
  <si>
    <t>Output 1.3</t>
  </si>
  <si>
    <t>Activity 1.3.1</t>
  </si>
  <si>
    <t>Une masse critique des jeunes (filles et garçons) membres des clubs de paix et de solidarité capables de développer et mettre en œuvre un programme d’éducation à la paix et de la cohésion pacifique est disponible.</t>
  </si>
  <si>
    <t>Output 2.1</t>
  </si>
  <si>
    <t>Organiser des Ateliers de formation des jeunes sur la conception et d'animation des programmes communautaires d'éducation à la paix et à la cohabitation pacifique dans les territoires de Nyunzu, Kabalo et Kalemie</t>
  </si>
  <si>
    <t>Réaliser une évaluation rapide des outils et mécanismes endogènes de prévention de conflit et cohabitation pacifique existants dans les deux communautés</t>
  </si>
  <si>
    <t>Activity 2.1.1</t>
  </si>
  <si>
    <t>Activity 2.1.2</t>
  </si>
  <si>
    <t>Activity 2.1.3</t>
  </si>
  <si>
    <t>Output 2.2</t>
  </si>
  <si>
    <t xml:space="preserve">Réaliser une évaluation rapide des capacités techniques et opérationnelles des radios communautaires des territoires ciblés par le projet
</t>
  </si>
  <si>
    <t>Activity 2.2.1</t>
  </si>
  <si>
    <t>Activity 2.2.2</t>
  </si>
  <si>
    <t>Activity 2.2.3</t>
  </si>
  <si>
    <t>Un programme communautaire d’Education à la Paix ciblant les jeunes et animé par eux est fonctionnel</t>
  </si>
  <si>
    <t>Output 2.3</t>
  </si>
  <si>
    <t xml:space="preserve">Appuyer l’organisation des causeries éducatives et les discussions sur la paix dans les clubs de solidarités (jeunes) </t>
  </si>
  <si>
    <t xml:space="preserve">Appuyer les activités ludiques et d’intérêt public du programme d’éducation à la paix  </t>
  </si>
  <si>
    <t xml:space="preserve">Appuyer la réalisation des émissions radios sur la paix et la cohabitation pacifique destinées aux jeunes et animés par les jeunes </t>
  </si>
  <si>
    <t>Activity 2.3.1</t>
  </si>
  <si>
    <t>Activity 2.3.2</t>
  </si>
  <si>
    <t>Activity 2.3.3</t>
  </si>
  <si>
    <t>Organiser des session d’alphabétisation fonctionnelle dans les territoires de Nyunzu, Kabalo et Kalemie</t>
  </si>
  <si>
    <t>Activity 3.1.1</t>
  </si>
  <si>
    <t>Activity 3.1.2</t>
  </si>
  <si>
    <t xml:space="preserve">Adapter les modules d’alphabétisation fonctionnelle au niveau des femmes membres des comités locaux de paix.
</t>
  </si>
  <si>
    <t>Activity 4.1.1</t>
  </si>
  <si>
    <t>Output 4.1</t>
  </si>
  <si>
    <t>Activity 4.1.2</t>
  </si>
  <si>
    <t>Activity 4.1.3</t>
  </si>
  <si>
    <t xml:space="preserve">Réaliser une évaluation rapide des opportunités économiques locales (agriculture, petit commerce et restauration rapide) ainsi que des possibilités de leur exploitation  </t>
  </si>
  <si>
    <t>Output 4.2</t>
  </si>
  <si>
    <r>
      <t>Activité 4.2.1</t>
    </r>
    <r>
      <rPr>
        <sz val="10"/>
        <color indexed="8"/>
        <rFont val="Times New Roman"/>
        <family val="1"/>
      </rPr>
      <t xml:space="preserve">: Doter 600 femmes membres des clubs DIMITRA en outils, équipements et intrants nécessaires pour la production des biens et des services adaptés au contexte économique local  </t>
    </r>
  </si>
  <si>
    <r>
      <t>Activité 4.2.2</t>
    </r>
    <r>
      <rPr>
        <sz val="10"/>
        <color indexed="8"/>
        <rFont val="Times New Roman"/>
        <family val="1"/>
      </rPr>
      <t xml:space="preserve">: Apporter un accompagnement technique aux 600 femmes dans la réalisation des leurs activités « collectives » génératrices des revenus </t>
    </r>
  </si>
  <si>
    <t>Activity 4.2.1</t>
  </si>
  <si>
    <t>Activity 4.2.2</t>
  </si>
  <si>
    <t>TOTAL FOR OUTCOME 1 (UNFPA)</t>
  </si>
  <si>
    <t>OUTCOME 2 (UNESCO) : 200 jeunes garçons et filles issus des deux communautés transformés en Agents de Promotion de la Paix et cohabitation pacifique à travers la mise en œuvre d’un programme d’éducation à la paix et à la cohabitation pacifique au sein des leurs communautés</t>
  </si>
  <si>
    <t xml:space="preserve">TOTAL FOR OUTCOME 2 (UNESCO) </t>
  </si>
  <si>
    <t>TOTAL FOR OUTCOME 4 (FAO)</t>
  </si>
  <si>
    <t>Amount Recipient  FAO</t>
  </si>
  <si>
    <t>Mission de terrain et mecanismes de suivi et de redevabilité</t>
  </si>
  <si>
    <t>OUTPUT 4 (FAO): 600 femmes (twas et bantoues) membres des clubs DIMITRA reçoivent un appui économique et social en vue de renforcer la résilience.</t>
  </si>
  <si>
    <t xml:space="preserve">Les leaders communautaires (twas et bantous) membres des comités locaux de paix reconnaissent l’importance de la contribution des jeunes filles et des jeunes garçons (twas et bantous) dans la consolidation de la paix et la cohabitation pacifique et acceptent qu’ils siègent au même titre qu’eux dans les comités locaux de paix.  </t>
  </si>
  <si>
    <t>200 jeunes garçons et filles (y compris les ex miliciens) issus des deux communautés (twa et bantoue)  possèdent des connaissances et des compétences nécessaires pour participer activement aux comités locaux de paix.</t>
  </si>
  <si>
    <t xml:space="preserve">Produire des modules formation ainsi qu’une trousse à outils sur la participation politique, leadership, plaidoyer de jeunes, lobbying, démocratie, communication non violente, bonne gouvernance, développement durable, démocratie et citoyenneté, etc.  
</t>
  </si>
  <si>
    <t xml:space="preserve">Former un groupe des jeunes filles et garçons (y compris les ex miliciens) issus des deux communautés comme formateurs sur la participation politique, le leadership, la médiation communautaire, le plaidoyer et lobbying, etc.  </t>
  </si>
  <si>
    <t xml:space="preserve">Réaliser un plaidoyer auprès des leaders twa et bantous membres des comités locaux de paix en faveur de la participation des jeunes filles et des jeunes garçons (y compris les ex miliciens) issus des deux communautés. </t>
  </si>
  <si>
    <t>Organiser des ateliers de formation des jeunes filles et garçons (twa et bantous) sur  la participation politique, le leadership, la médiation communautaire, le plaidoyer et lobbying, etc. dans les territoires de Nyunzu, Kabalo et Kalemie</t>
  </si>
  <si>
    <t>200 leaders des jeunes issues des deux communautés (twa et bantoue)  participent effectivement dans les comités locaux de paix.</t>
  </si>
  <si>
    <t xml:space="preserve">200 jeunes garçons et filles (y compris les ex miliciens) issus des deux communautés (twa et bantous)  participent activement aux comités locaux de paix </t>
  </si>
  <si>
    <t>Appuyer le fonctionnement des clubs de paix et de solidarité des jeunes ainsi que des BARAZA</t>
  </si>
  <si>
    <t>Former un groupe des jeunes filles et garçons membres des clubs de solidarité et de paix comme formateurs sur la conception et l'animation des programmes communautaires d'éducation à la paix et à la cohabitation pacifique</t>
  </si>
  <si>
    <t xml:space="preserve">Les capacités techniques et opérationnelles des radios communautaires des zones ciblées par le projet sont renforcées pour accompagner l’éducation à la paix et à la cohabitation pacifique </t>
  </si>
  <si>
    <t>Former les animateurs des radios communautaires répertoriés sur  l’accompagnement des programmes communautaires d'éducation à la paix et à la cohabitation pacifique</t>
  </si>
  <si>
    <t>Doter les radios communautaires répertoriées en matériels et équipements pour l’organisation des émissions en rapport avec l'éducation à la paix et à la cohabitation pacifique</t>
  </si>
  <si>
    <r>
      <rPr>
        <b/>
        <u val="single"/>
        <sz val="10"/>
        <color indexed="8"/>
        <rFont val="Times New Roman"/>
        <family val="1"/>
      </rPr>
      <t>OUTCOME 3 (UNFPA)</t>
    </r>
    <r>
      <rPr>
        <b/>
        <sz val="10"/>
        <color indexed="8"/>
        <rFont val="Times New Roman"/>
        <family val="1"/>
      </rPr>
      <t xml:space="preserve">: 50 femmes (twas et bantoues) membres des comités locaux de paix (BARAZA) contribuent davantage à la consolidation de la paix et à la cohésion sociale à travers une participation de qualité aux comités locaux de paix « BARAZA » </t>
    </r>
  </si>
  <si>
    <t>50 femmes (twas et bantoues) membres des comités locaux de paix possèdent des compétences et de connaissances nécessaires pour participer activement aux comités locaux de paix « BARAZA » et influencer les décisions.</t>
  </si>
  <si>
    <t>TOTAL FOR OUTCOME 3 (UNFPA)</t>
  </si>
  <si>
    <t>600 femmes (twas et bantoues) membres des clubs DIMITRA apprennent des techniques de production des biens et services qui offrent des débouchés au niveau local</t>
  </si>
  <si>
    <t xml:space="preserve">Former un groupe de femmes membres des clubs DIMITRA comme formatrices (facilitatrices communautaires) </t>
  </si>
  <si>
    <t xml:space="preserve">Organiser des sessions de formation sur les différentes techniques de production des biens et services en rapport avec les opportunités économiques locales identifiées </t>
  </si>
  <si>
    <t>600 femmes (twas et bantoues) membres des clubs DIMITRA reçoivent un appui et place des activités « communes » et « génératrices ».</t>
  </si>
  <si>
    <t>On going</t>
  </si>
  <si>
    <t xml:space="preserve">On going </t>
  </si>
  <si>
    <t>on going</t>
  </si>
  <si>
    <t>ongoing</t>
  </si>
  <si>
    <t xml:space="preserve">ongoing </t>
  </si>
  <si>
    <t>PBF project budget and level of expenditure (June 2020)</t>
  </si>
  <si>
    <t>Table 1 - PBF Project budget and level of expenditure (June 2020) by Outcome, output and activity</t>
  </si>
  <si>
    <t>Percentage of expenditure/ commitments (June 2020)</t>
  </si>
  <si>
    <t>Level of expenditure/ commitments in USD (June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</si>
</sst>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00%"/>
    <numFmt numFmtId="182" formatCode="0.0000%"/>
    <numFmt numFmtId="183" formatCode="0.0"/>
    <numFmt numFmtId="184" formatCode="#,##0.000"/>
  </numFmts>
  <fonts count="66">
    <font>
      <sz val="11"/>
      <color theme="1"/>
      <name val="Calibri"/>
      <family val="2"/>
    </font>
    <font>
      <sz val="11"/>
      <color indexed="8"/>
      <name val="Calibri"/>
      <family val="2"/>
    </font>
    <font>
      <sz val="10"/>
      <color indexed="10"/>
      <name val="Times New Roman"/>
      <family val="1"/>
    </font>
    <font>
      <b/>
      <sz val="10"/>
      <color indexed="8"/>
      <name val="Times New Roman"/>
      <family val="1"/>
    </font>
    <font>
      <b/>
      <u val="single"/>
      <sz val="10"/>
      <color indexed="8"/>
      <name val="Times New Roman"/>
      <family val="1"/>
    </font>
    <font>
      <sz val="10"/>
      <color indexed="8"/>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0"/>
      <color indexed="8"/>
      <name val="Calibri"/>
      <family val="2"/>
    </font>
    <font>
      <sz val="10"/>
      <color indexed="8"/>
      <name val="Calibri"/>
      <family val="2"/>
    </font>
    <font>
      <u val="single"/>
      <sz val="10"/>
      <color indexed="8"/>
      <name val="Times New Roman"/>
      <family val="1"/>
    </font>
    <font>
      <b/>
      <sz val="14"/>
      <color indexed="10"/>
      <name val="Calibri"/>
      <family val="2"/>
    </font>
    <font>
      <b/>
      <sz val="10"/>
      <name val="Calibri"/>
      <family val="2"/>
    </font>
    <font>
      <sz val="11"/>
      <name val="Calibri"/>
      <family val="2"/>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Calibri"/>
      <family val="2"/>
    </font>
    <font>
      <sz val="10"/>
      <color theme="1"/>
      <name val="Calibri"/>
      <family val="2"/>
    </font>
    <font>
      <sz val="10"/>
      <color theme="1"/>
      <name val="Times New Roman"/>
      <family val="1"/>
    </font>
    <font>
      <b/>
      <sz val="10"/>
      <color theme="1"/>
      <name val="Times New Roman"/>
      <family val="1"/>
    </font>
    <font>
      <sz val="10"/>
      <color rgb="FF000000"/>
      <name val="Times New Roman"/>
      <family val="1"/>
    </font>
    <font>
      <u val="single"/>
      <sz val="10"/>
      <color rgb="FF000000"/>
      <name val="Times New Roman"/>
      <family val="1"/>
    </font>
    <font>
      <b/>
      <sz val="14"/>
      <color rgb="FFFF0000"/>
      <name val="Calibri"/>
      <family val="2"/>
    </font>
    <font>
      <sz val="10"/>
      <color rgb="FFFF0000"/>
      <name val="Times New Roman"/>
      <family val="1"/>
    </font>
    <font>
      <b/>
      <sz val="10"/>
      <color rgb="FF000000"/>
      <name val="Times New Roman"/>
      <family val="1"/>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rgb="FFB3B3B3"/>
        <bgColor indexed="64"/>
      </patternFill>
    </fill>
    <fill>
      <patternFill patternType="solid">
        <fgColor rgb="FFFFFF0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6">
    <xf numFmtId="0" fontId="0"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4" fontId="56"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xf>
    <xf numFmtId="4" fontId="57" fillId="0" borderId="10" xfId="0" applyNumberFormat="1" applyFont="1" applyBorder="1" applyAlignment="1">
      <alignment horizontal="right" vertical="center" wrapText="1"/>
    </xf>
    <xf numFmtId="0" fontId="57" fillId="0" borderId="10" xfId="0" applyFont="1" applyBorder="1" applyAlignment="1">
      <alignment horizontal="right" vertical="center" wrapText="1"/>
    </xf>
    <xf numFmtId="0" fontId="56" fillId="34" borderId="10" xfId="0" applyFont="1" applyFill="1" applyBorder="1" applyAlignment="1">
      <alignment vertical="center" wrapText="1"/>
    </xf>
    <xf numFmtId="0" fontId="57" fillId="34" borderId="10" xfId="0" applyFont="1" applyFill="1" applyBorder="1" applyAlignment="1">
      <alignment horizontal="right" vertical="center" wrapText="1"/>
    </xf>
    <xf numFmtId="4" fontId="57" fillId="34" borderId="10" xfId="0" applyNumberFormat="1" applyFont="1" applyFill="1" applyBorder="1" applyAlignment="1">
      <alignment horizontal="right" vertical="center" wrapText="1"/>
    </xf>
    <xf numFmtId="0" fontId="58" fillId="0" borderId="10" xfId="0" applyFont="1" applyBorder="1" applyAlignment="1">
      <alignment vertical="center" wrapText="1"/>
    </xf>
    <xf numFmtId="0" fontId="59" fillId="0" borderId="10" xfId="0" applyFont="1" applyBorder="1" applyAlignment="1">
      <alignment vertical="center" wrapText="1"/>
    </xf>
    <xf numFmtId="0" fontId="58" fillId="0" borderId="10" xfId="0" applyFont="1" applyBorder="1" applyAlignment="1">
      <alignment horizontal="left" vertical="center" wrapText="1"/>
    </xf>
    <xf numFmtId="0" fontId="58" fillId="35" borderId="10" xfId="0" applyFont="1" applyFill="1" applyBorder="1" applyAlignment="1">
      <alignment vertical="center" wrapText="1"/>
    </xf>
    <xf numFmtId="0" fontId="60" fillId="35" borderId="10" xfId="0" applyFont="1" applyFill="1" applyBorder="1" applyAlignment="1">
      <alignment horizontal="justify" vertical="center" wrapText="1"/>
    </xf>
    <xf numFmtId="0" fontId="0" fillId="35" borderId="10" xfId="0" applyFill="1" applyBorder="1" applyAlignment="1">
      <alignment/>
    </xf>
    <xf numFmtId="0" fontId="61" fillId="35" borderId="10" xfId="0" applyFont="1" applyFill="1" applyBorder="1" applyAlignment="1">
      <alignment vertical="center" wrapText="1"/>
    </xf>
    <xf numFmtId="0" fontId="60" fillId="35" borderId="10" xfId="0" applyFont="1" applyFill="1" applyBorder="1" applyAlignment="1">
      <alignment vertical="center" wrapText="1"/>
    </xf>
    <xf numFmtId="0" fontId="61" fillId="35" borderId="10" xfId="0" applyFont="1" applyFill="1" applyBorder="1" applyAlignment="1">
      <alignment horizontal="justify" vertical="center" wrapText="1"/>
    </xf>
    <xf numFmtId="0" fontId="0" fillId="35" borderId="0" xfId="0" applyFill="1" applyBorder="1" applyAlignment="1">
      <alignment/>
    </xf>
    <xf numFmtId="4" fontId="57" fillId="0" borderId="10" xfId="0" applyNumberFormat="1" applyFont="1" applyBorder="1" applyAlignment="1">
      <alignment vertical="center" wrapText="1"/>
    </xf>
    <xf numFmtId="0" fontId="57" fillId="0" borderId="10" xfId="0" applyFont="1" applyBorder="1" applyAlignment="1">
      <alignment vertical="center"/>
    </xf>
    <xf numFmtId="4" fontId="57" fillId="0" borderId="0" xfId="0" applyNumberFormat="1" applyFont="1" applyAlignment="1">
      <alignment/>
    </xf>
    <xf numFmtId="4" fontId="62" fillId="0" borderId="0" xfId="0" applyNumberFormat="1" applyFont="1" applyAlignment="1">
      <alignment/>
    </xf>
    <xf numFmtId="0" fontId="57" fillId="0" borderId="10" xfId="0" applyFont="1" applyBorder="1" applyAlignment="1">
      <alignment horizontal="right" vertical="center"/>
    </xf>
    <xf numFmtId="2" fontId="57" fillId="0" borderId="10" xfId="0" applyNumberFormat="1" applyFont="1" applyBorder="1" applyAlignment="1">
      <alignment/>
    </xf>
    <xf numFmtId="2" fontId="57" fillId="0" borderId="10" xfId="0" applyNumberFormat="1" applyFont="1" applyBorder="1" applyAlignment="1">
      <alignment vertical="center"/>
    </xf>
    <xf numFmtId="2" fontId="57" fillId="34" borderId="10" xfId="0" applyNumberFormat="1" applyFont="1" applyFill="1" applyBorder="1" applyAlignment="1">
      <alignment horizontal="right" vertical="center" wrapText="1"/>
    </xf>
    <xf numFmtId="174" fontId="57" fillId="0" borderId="10" xfId="0" applyNumberFormat="1" applyFont="1" applyBorder="1" applyAlignment="1">
      <alignment horizontal="right" vertical="center"/>
    </xf>
    <xf numFmtId="2" fontId="57" fillId="36" borderId="10" xfId="0" applyNumberFormat="1" applyFont="1" applyFill="1" applyBorder="1" applyAlignment="1">
      <alignment horizontal="right" vertical="center" wrapText="1"/>
    </xf>
    <xf numFmtId="2" fontId="56" fillId="34" borderId="10" xfId="0" applyNumberFormat="1" applyFont="1" applyFill="1" applyBorder="1" applyAlignment="1">
      <alignment horizontal="right" vertical="center" wrapText="1"/>
    </xf>
    <xf numFmtId="4" fontId="58" fillId="0" borderId="10" xfId="0" applyNumberFormat="1" applyFont="1" applyBorder="1" applyAlignment="1">
      <alignment vertical="center" wrapText="1"/>
    </xf>
    <xf numFmtId="4" fontId="58" fillId="35" borderId="10" xfId="0" applyNumberFormat="1" applyFont="1" applyFill="1" applyBorder="1" applyAlignment="1">
      <alignment vertical="center" wrapText="1"/>
    </xf>
    <xf numFmtId="0" fontId="33" fillId="37" borderId="10" xfId="0" applyFont="1" applyFill="1" applyBorder="1" applyAlignment="1">
      <alignment horizontal="center" vertical="center" wrapText="1"/>
    </xf>
    <xf numFmtId="4" fontId="58"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7" fillId="0" borderId="0" xfId="0" applyFont="1" applyAlignment="1">
      <alignment/>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35" borderId="10" xfId="0" applyFont="1" applyFill="1" applyBorder="1" applyAlignment="1">
      <alignment vertical="center" wrapText="1"/>
    </xf>
    <xf numFmtId="4" fontId="6" fillId="0" borderId="10" xfId="0" applyNumberFormat="1" applyFont="1" applyBorder="1" applyAlignment="1">
      <alignment vertical="center" wrapText="1"/>
    </xf>
    <xf numFmtId="0" fontId="8" fillId="0" borderId="10" xfId="0" applyFont="1" applyFill="1" applyBorder="1" applyAlignment="1">
      <alignment vertical="center" wrapText="1"/>
    </xf>
    <xf numFmtId="0" fontId="34" fillId="0" borderId="0" xfId="0" applyFont="1" applyAlignment="1">
      <alignment/>
    </xf>
    <xf numFmtId="0" fontId="34" fillId="0" borderId="10" xfId="0" applyFont="1" applyFill="1" applyBorder="1" applyAlignment="1">
      <alignment/>
    </xf>
    <xf numFmtId="0" fontId="34" fillId="0" borderId="10" xfId="0" applyFont="1" applyBorder="1" applyAlignment="1">
      <alignment/>
    </xf>
    <xf numFmtId="179" fontId="58" fillId="0" borderId="10" xfId="59" applyNumberFormat="1" applyFont="1" applyFill="1" applyBorder="1" applyAlignment="1">
      <alignment vertical="center" wrapText="1"/>
    </xf>
    <xf numFmtId="179" fontId="6" fillId="0" borderId="10" xfId="59" applyNumberFormat="1" applyFont="1" applyFill="1" applyBorder="1" applyAlignment="1">
      <alignment vertical="center" wrapText="1"/>
    </xf>
    <xf numFmtId="4" fontId="59" fillId="38" borderId="10" xfId="0" applyNumberFormat="1" applyFont="1" applyFill="1" applyBorder="1" applyAlignment="1">
      <alignment vertical="center" wrapText="1"/>
    </xf>
    <xf numFmtId="179" fontId="59" fillId="38" borderId="10" xfId="59" applyNumberFormat="1" applyFont="1" applyFill="1" applyBorder="1" applyAlignment="1">
      <alignment vertical="center" wrapText="1"/>
    </xf>
    <xf numFmtId="179" fontId="58" fillId="35" borderId="10" xfId="59" applyNumberFormat="1" applyFont="1" applyFill="1" applyBorder="1" applyAlignment="1">
      <alignment vertical="center" wrapText="1"/>
    </xf>
    <xf numFmtId="4" fontId="59" fillId="14" borderId="10" xfId="0" applyNumberFormat="1" applyFont="1" applyFill="1" applyBorder="1" applyAlignment="1">
      <alignment vertical="center" wrapText="1"/>
    </xf>
    <xf numFmtId="179" fontId="59" fillId="14" borderId="10" xfId="59" applyNumberFormat="1" applyFont="1" applyFill="1" applyBorder="1" applyAlignment="1">
      <alignment vertical="center" wrapText="1"/>
    </xf>
    <xf numFmtId="179" fontId="63" fillId="0" borderId="10" xfId="59" applyNumberFormat="1" applyFont="1" applyFill="1" applyBorder="1" applyAlignment="1">
      <alignment vertical="center" wrapText="1"/>
    </xf>
    <xf numFmtId="3" fontId="8" fillId="5" borderId="10" xfId="0" applyNumberFormat="1" applyFont="1" applyFill="1" applyBorder="1" applyAlignment="1">
      <alignment vertical="center" wrapText="1"/>
    </xf>
    <xf numFmtId="0" fontId="58" fillId="0" borderId="10" xfId="0" applyFont="1" applyBorder="1" applyAlignment="1">
      <alignment horizontal="center" vertical="center" wrapText="1"/>
    </xf>
    <xf numFmtId="3" fontId="52" fillId="0" borderId="10" xfId="0" applyNumberFormat="1" applyFont="1" applyBorder="1" applyAlignment="1">
      <alignment/>
    </xf>
    <xf numFmtId="179" fontId="59" fillId="0" borderId="10" xfId="59" applyNumberFormat="1" applyFont="1" applyBorder="1" applyAlignment="1">
      <alignment vertical="center" wrapText="1"/>
    </xf>
    <xf numFmtId="183" fontId="58" fillId="0" borderId="10" xfId="0" applyNumberFormat="1" applyFont="1" applyBorder="1" applyAlignment="1">
      <alignment vertical="center" wrapText="1"/>
    </xf>
    <xf numFmtId="0" fontId="34" fillId="39" borderId="10" xfId="0" applyFont="1" applyFill="1" applyBorder="1" applyAlignment="1">
      <alignment/>
    </xf>
    <xf numFmtId="179" fontId="58" fillId="0" borderId="10" xfId="59" applyNumberFormat="1" applyFont="1" applyBorder="1" applyAlignment="1">
      <alignment vertical="center" wrapText="1"/>
    </xf>
    <xf numFmtId="4" fontId="59" fillId="19" borderId="10" xfId="0" applyNumberFormat="1" applyFont="1" applyFill="1" applyBorder="1" applyAlignment="1">
      <alignment vertical="center" wrapText="1"/>
    </xf>
    <xf numFmtId="9" fontId="59" fillId="19" borderId="10" xfId="59" applyFont="1" applyFill="1" applyBorder="1" applyAlignment="1">
      <alignment vertical="center" wrapText="1"/>
    </xf>
    <xf numFmtId="4" fontId="6" fillId="15" borderId="10" xfId="0" applyNumberFormat="1" applyFont="1" applyFill="1" applyBorder="1" applyAlignment="1">
      <alignment vertical="center" wrapText="1"/>
    </xf>
    <xf numFmtId="179" fontId="59" fillId="15" borderId="10" xfId="59" applyNumberFormat="1" applyFont="1" applyFill="1" applyBorder="1" applyAlignment="1">
      <alignment vertical="center" wrapText="1"/>
    </xf>
    <xf numFmtId="179" fontId="59" fillId="5" borderId="10" xfId="59" applyNumberFormat="1" applyFont="1" applyFill="1" applyBorder="1" applyAlignment="1">
      <alignment vertical="center" wrapText="1"/>
    </xf>
    <xf numFmtId="184" fontId="58" fillId="0" borderId="10" xfId="0" applyNumberFormat="1" applyFont="1" applyBorder="1" applyAlignment="1">
      <alignment vertical="center" wrapText="1"/>
    </xf>
    <xf numFmtId="0" fontId="59" fillId="0" borderId="10" xfId="0" applyFont="1" applyBorder="1" applyAlignment="1">
      <alignment horizontal="center" vertical="center" wrapText="1"/>
    </xf>
    <xf numFmtId="0" fontId="59" fillId="38" borderId="10" xfId="0" applyFont="1" applyFill="1" applyBorder="1" applyAlignment="1">
      <alignment horizontal="center" vertical="center" wrapText="1"/>
    </xf>
    <xf numFmtId="0" fontId="59" fillId="1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9" fillId="5" borderId="10" xfId="0" applyFont="1" applyFill="1" applyBorder="1" applyAlignment="1">
      <alignment horizontal="center" vertical="center" wrapText="1"/>
    </xf>
    <xf numFmtId="0" fontId="59" fillId="15" borderId="10" xfId="0" applyFont="1" applyFill="1" applyBorder="1" applyAlignment="1">
      <alignment horizontal="center" vertical="center" wrapText="1"/>
    </xf>
    <xf numFmtId="0" fontId="59" fillId="19" borderId="10" xfId="0" applyFont="1" applyFill="1" applyBorder="1" applyAlignment="1">
      <alignment horizontal="center" vertical="center" wrapText="1"/>
    </xf>
    <xf numFmtId="0" fontId="59" fillId="12" borderId="10" xfId="0" applyFont="1" applyFill="1" applyBorder="1" applyAlignment="1">
      <alignment vertical="center" wrapText="1"/>
    </xf>
    <xf numFmtId="0" fontId="59" fillId="0" borderId="10" xfId="0" applyFont="1" applyBorder="1" applyAlignment="1">
      <alignment horizontal="left" vertical="center" wrapText="1"/>
    </xf>
    <xf numFmtId="0" fontId="59" fillId="13" borderId="10" xfId="0" applyFont="1" applyFill="1" applyBorder="1" applyAlignment="1">
      <alignment vertical="center" wrapText="1"/>
    </xf>
    <xf numFmtId="0" fontId="64" fillId="0" borderId="10" xfId="0" applyFont="1" applyBorder="1" applyAlignment="1">
      <alignment horizontal="left" vertical="center" wrapText="1"/>
    </xf>
    <xf numFmtId="0" fontId="3" fillId="38" borderId="10" xfId="0" applyFont="1" applyFill="1" applyBorder="1" applyAlignment="1">
      <alignment vertical="center" wrapText="1"/>
    </xf>
    <xf numFmtId="0" fontId="59" fillId="38" borderId="10" xfId="0" applyFont="1" applyFill="1" applyBorder="1" applyAlignment="1">
      <alignment vertical="center" wrapText="1"/>
    </xf>
    <xf numFmtId="0" fontId="59" fillId="0" borderId="10" xfId="0" applyFont="1" applyFill="1" applyBorder="1" applyAlignment="1">
      <alignment horizontal="left" vertical="center" wrapText="1"/>
    </xf>
    <xf numFmtId="0" fontId="56" fillId="37" borderId="10" xfId="0" applyFont="1" applyFill="1" applyBorder="1" applyAlignment="1">
      <alignment horizontal="center" vertical="center" wrapText="1"/>
    </xf>
    <xf numFmtId="4" fontId="33" fillId="37" borderId="10" xfId="0" applyNumberFormat="1" applyFont="1" applyFill="1" applyBorder="1" applyAlignment="1">
      <alignment horizontal="center" vertical="center" wrapText="1"/>
    </xf>
    <xf numFmtId="0" fontId="33" fillId="37" borderId="10" xfId="0" applyFont="1" applyFill="1" applyBorder="1" applyAlignment="1">
      <alignment horizontal="center" vertical="center" wrapText="1"/>
    </xf>
    <xf numFmtId="3" fontId="58" fillId="9" borderId="10" xfId="0" applyNumberFormat="1" applyFont="1" applyFill="1" applyBorder="1" applyAlignment="1">
      <alignment vertical="center" wrapText="1"/>
    </xf>
    <xf numFmtId="3" fontId="8" fillId="9" borderId="10" xfId="0" applyNumberFormat="1" applyFont="1" applyFill="1" applyBorder="1" applyAlignment="1">
      <alignment vertical="center" wrapText="1"/>
    </xf>
    <xf numFmtId="3" fontId="58" fillId="9" borderId="10" xfId="0" applyNumberFormat="1" applyFont="1" applyFill="1" applyBorder="1" applyAlignment="1">
      <alignment horizontal="center" vertical="center" wrapText="1"/>
    </xf>
    <xf numFmtId="3" fontId="6" fillId="9" borderId="10" xfId="0" applyNumberFormat="1" applyFont="1" applyFill="1" applyBorder="1" applyAlignment="1">
      <alignment vertical="center" wrapText="1"/>
    </xf>
    <xf numFmtId="4" fontId="59" fillId="9" borderId="10" xfId="0" applyNumberFormat="1" applyFont="1" applyFill="1" applyBorder="1" applyAlignment="1">
      <alignment vertical="center" wrapText="1"/>
    </xf>
    <xf numFmtId="4" fontId="6" fillId="9" borderId="10" xfId="0" applyNumberFormat="1" applyFont="1" applyFill="1" applyBorder="1" applyAlignment="1">
      <alignment vertical="center" wrapText="1"/>
    </xf>
    <xf numFmtId="3" fontId="0" fillId="9" borderId="0" xfId="0" applyNumberFormat="1" applyFill="1" applyAlignment="1">
      <alignment/>
    </xf>
    <xf numFmtId="179" fontId="58" fillId="9" borderId="10" xfId="59" applyNumberFormat="1" applyFont="1" applyFill="1" applyBorder="1" applyAlignment="1">
      <alignment vertical="center" wrapText="1"/>
    </xf>
    <xf numFmtId="179" fontId="8" fillId="9" borderId="10" xfId="59" applyNumberFormat="1" applyFont="1" applyFill="1" applyBorder="1" applyAlignment="1">
      <alignment vertical="center" wrapText="1"/>
    </xf>
    <xf numFmtId="179" fontId="59" fillId="9" borderId="10" xfId="59" applyNumberFormat="1" applyFont="1" applyFill="1" applyBorder="1" applyAlignment="1">
      <alignment vertical="center" wrapText="1"/>
    </xf>
    <xf numFmtId="180" fontId="6" fillId="9" borderId="10" xfId="0" applyNumberFormat="1" applyFont="1" applyFill="1" applyBorder="1" applyAlignment="1">
      <alignment vertical="center" wrapText="1"/>
    </xf>
    <xf numFmtId="179" fontId="65" fillId="9" borderId="10" xfId="59" applyNumberFormat="1" applyFont="1" applyFill="1" applyBorder="1" applyAlignment="1">
      <alignment vertical="center" wrapText="1"/>
    </xf>
    <xf numFmtId="180" fontId="0" fillId="9" borderId="0" xfId="0" applyNumberFormat="1" applyFill="1" applyAlignment="1">
      <alignment/>
    </xf>
    <xf numFmtId="3" fontId="63" fillId="9" borderId="10" xfId="0" applyNumberFormat="1" applyFont="1" applyFill="1" applyBorder="1" applyAlignment="1">
      <alignment horizontal="center" vertical="center" wrapText="1"/>
    </xf>
    <xf numFmtId="180" fontId="63" fillId="9"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8" fillId="0" borderId="10"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9">
      <selection activeCell="K15" sqref="K15"/>
    </sheetView>
  </sheetViews>
  <sheetFormatPr defaultColWidth="8.7109375" defaultRowHeight="15"/>
  <cols>
    <col min="1" max="1" width="24.28125" style="0" customWidth="1"/>
    <col min="2" max="2" width="17.421875" style="0" customWidth="1"/>
    <col min="3" max="3" width="17.7109375" style="0" customWidth="1"/>
    <col min="4" max="4" width="19.421875" style="0" customWidth="1"/>
    <col min="5" max="5" width="17.28125" style="0" customWidth="1"/>
    <col min="6" max="6" width="15.7109375" style="0" customWidth="1"/>
    <col min="7" max="7" width="15.00390625" style="0" customWidth="1"/>
    <col min="8" max="9" width="12.7109375" style="0" customWidth="1"/>
    <col min="10" max="10" width="17.00390625" style="0" customWidth="1"/>
    <col min="11" max="11" width="16.28125" style="0" bestFit="1" customWidth="1"/>
    <col min="12" max="12" width="23.7109375" style="0" customWidth="1"/>
    <col min="13" max="14" width="8.7109375" style="0" customWidth="1"/>
    <col min="15" max="15" width="9.421875" style="0" bestFit="1" customWidth="1"/>
  </cols>
  <sheetData>
    <row r="1" spans="1:11" ht="15">
      <c r="A1" s="3" t="s">
        <v>32</v>
      </c>
      <c r="B1" s="3"/>
      <c r="C1" s="3"/>
      <c r="D1" s="3"/>
      <c r="E1" s="4"/>
      <c r="F1" s="4"/>
      <c r="G1" s="4"/>
      <c r="H1" s="4"/>
      <c r="I1" s="4"/>
      <c r="J1" s="4"/>
      <c r="K1" s="4"/>
    </row>
    <row r="2" spans="1:11" ht="15">
      <c r="A2" s="3"/>
      <c r="B2" s="3"/>
      <c r="C2" s="3"/>
      <c r="D2" s="3"/>
      <c r="E2" s="4"/>
      <c r="F2" s="4"/>
      <c r="G2" s="4"/>
      <c r="H2" s="4"/>
      <c r="I2" s="4"/>
      <c r="J2" s="4"/>
      <c r="K2" s="4"/>
    </row>
    <row r="3" spans="1:11" ht="15">
      <c r="A3" s="3" t="s">
        <v>28</v>
      </c>
      <c r="B3" s="3"/>
      <c r="C3" s="3"/>
      <c r="D3" s="3"/>
      <c r="E3" s="4"/>
      <c r="F3" s="4"/>
      <c r="G3" s="4"/>
      <c r="H3" s="4"/>
      <c r="I3" s="4"/>
      <c r="J3" s="4"/>
      <c r="K3" s="4"/>
    </row>
    <row r="4" spans="1:11" ht="60.75" customHeight="1">
      <c r="A4" s="86" t="s">
        <v>12</v>
      </c>
      <c r="B4" s="87" t="s">
        <v>42</v>
      </c>
      <c r="C4" s="87"/>
      <c r="D4" s="88" t="s">
        <v>41</v>
      </c>
      <c r="E4" s="88"/>
      <c r="F4" s="88" t="s">
        <v>87</v>
      </c>
      <c r="G4" s="88"/>
      <c r="H4" s="37" t="s">
        <v>25</v>
      </c>
      <c r="I4" s="37" t="s">
        <v>27</v>
      </c>
      <c r="J4" s="86" t="s">
        <v>26</v>
      </c>
      <c r="K4" s="4"/>
    </row>
    <row r="5" spans="1:11" ht="31.5" customHeight="1">
      <c r="A5" s="86"/>
      <c r="B5" s="5" t="s">
        <v>14</v>
      </c>
      <c r="C5" s="5" t="s">
        <v>15</v>
      </c>
      <c r="D5" s="6" t="s">
        <v>14</v>
      </c>
      <c r="E5" s="6" t="s">
        <v>15</v>
      </c>
      <c r="F5" s="6" t="s">
        <v>14</v>
      </c>
      <c r="G5" s="6" t="s">
        <v>15</v>
      </c>
      <c r="H5" s="6"/>
      <c r="I5" s="6"/>
      <c r="J5" s="86"/>
      <c r="K5" s="4"/>
    </row>
    <row r="6" spans="1:11" ht="15">
      <c r="A6" s="7" t="s">
        <v>16</v>
      </c>
      <c r="B6" s="8">
        <v>49000</v>
      </c>
      <c r="C6" s="8">
        <v>21000</v>
      </c>
      <c r="D6" s="9">
        <v>28000</v>
      </c>
      <c r="E6" s="9">
        <v>12000</v>
      </c>
      <c r="F6" s="10">
        <v>26530</v>
      </c>
      <c r="G6" s="10">
        <v>11370</v>
      </c>
      <c r="H6" s="9">
        <f>B6+D6+F6</f>
        <v>103530</v>
      </c>
      <c r="I6" s="9">
        <f>C6+E6+G6</f>
        <v>44370</v>
      </c>
      <c r="J6" s="9">
        <f>H6+I6</f>
        <v>147900</v>
      </c>
      <c r="K6" s="4"/>
    </row>
    <row r="7" spans="1:11" ht="36.75" customHeight="1">
      <c r="A7" s="7" t="s">
        <v>17</v>
      </c>
      <c r="B7" s="8">
        <v>48000</v>
      </c>
      <c r="C7" s="8">
        <v>22000</v>
      </c>
      <c r="D7" s="9">
        <v>11550</v>
      </c>
      <c r="E7" s="9">
        <v>5153</v>
      </c>
      <c r="F7" s="10">
        <v>34370</v>
      </c>
      <c r="G7" s="10">
        <v>14730</v>
      </c>
      <c r="H7" s="9">
        <f aca="true" t="shared" si="0" ref="H7:I12">B7+D7+F7</f>
        <v>93920</v>
      </c>
      <c r="I7" s="9">
        <f t="shared" si="0"/>
        <v>41883</v>
      </c>
      <c r="J7" s="9">
        <f aca="true" t="shared" si="1" ref="J7:J12">H7+I7</f>
        <v>135803</v>
      </c>
      <c r="K7" s="4"/>
    </row>
    <row r="8" spans="1:11" ht="48" customHeight="1">
      <c r="A8" s="7" t="s">
        <v>18</v>
      </c>
      <c r="B8" s="8">
        <v>63380</v>
      </c>
      <c r="C8" s="8">
        <v>27020</v>
      </c>
      <c r="D8" s="9">
        <v>0</v>
      </c>
      <c r="E8" s="9">
        <v>0</v>
      </c>
      <c r="F8" s="10">
        <v>4235</v>
      </c>
      <c r="G8" s="10">
        <v>1815</v>
      </c>
      <c r="H8" s="9">
        <f t="shared" si="0"/>
        <v>67615</v>
      </c>
      <c r="I8" s="9">
        <f t="shared" si="0"/>
        <v>28835</v>
      </c>
      <c r="J8" s="9">
        <f t="shared" si="1"/>
        <v>96450</v>
      </c>
      <c r="K8" s="4"/>
    </row>
    <row r="9" spans="1:11" ht="15">
      <c r="A9" s="7" t="s">
        <v>19</v>
      </c>
      <c r="B9" s="8">
        <v>21000</v>
      </c>
      <c r="C9" s="8">
        <v>9000</v>
      </c>
      <c r="D9" s="9">
        <v>50000</v>
      </c>
      <c r="E9" s="9">
        <v>30000</v>
      </c>
      <c r="F9" s="10">
        <v>24500</v>
      </c>
      <c r="G9" s="10">
        <v>10500</v>
      </c>
      <c r="H9" s="9">
        <f t="shared" si="0"/>
        <v>95500</v>
      </c>
      <c r="I9" s="9">
        <f t="shared" si="0"/>
        <v>49500</v>
      </c>
      <c r="J9" s="9">
        <f t="shared" si="1"/>
        <v>145000</v>
      </c>
      <c r="K9" s="4"/>
    </row>
    <row r="10" spans="1:11" ht="15">
      <c r="A10" s="7" t="s">
        <v>20</v>
      </c>
      <c r="B10" s="8">
        <v>17500</v>
      </c>
      <c r="C10" s="8">
        <v>7500</v>
      </c>
      <c r="D10" s="9">
        <v>15000</v>
      </c>
      <c r="E10" s="9">
        <v>15000</v>
      </c>
      <c r="F10" s="10">
        <v>25900</v>
      </c>
      <c r="G10" s="10">
        <v>11100</v>
      </c>
      <c r="H10" s="9">
        <f t="shared" si="0"/>
        <v>58400</v>
      </c>
      <c r="I10" s="9">
        <f t="shared" si="0"/>
        <v>33600</v>
      </c>
      <c r="J10" s="9">
        <f t="shared" si="1"/>
        <v>92000</v>
      </c>
      <c r="K10" s="4"/>
    </row>
    <row r="11" spans="1:11" ht="33.75" customHeight="1">
      <c r="A11" s="7" t="s">
        <v>21</v>
      </c>
      <c r="B11" s="8">
        <v>208313.48</v>
      </c>
      <c r="C11" s="8">
        <v>87991.49</v>
      </c>
      <c r="D11" s="9">
        <v>88024.59</v>
      </c>
      <c r="E11" s="9">
        <v>20378.97</v>
      </c>
      <c r="F11" s="10">
        <v>50338</v>
      </c>
      <c r="G11" s="10">
        <v>21573</v>
      </c>
      <c r="H11" s="9">
        <f t="shared" si="0"/>
        <v>346676.07</v>
      </c>
      <c r="I11" s="9">
        <f t="shared" si="0"/>
        <v>129943.46</v>
      </c>
      <c r="J11" s="9">
        <f t="shared" si="1"/>
        <v>476619.53</v>
      </c>
      <c r="K11" s="26"/>
    </row>
    <row r="12" spans="1:11" ht="51.75" customHeight="1">
      <c r="A12" s="7" t="s">
        <v>22</v>
      </c>
      <c r="B12" s="30">
        <v>16025.994048</v>
      </c>
      <c r="C12" s="25">
        <v>6744.78</v>
      </c>
      <c r="D12" s="24">
        <v>36111.9</v>
      </c>
      <c r="E12" s="24">
        <v>15476.52</v>
      </c>
      <c r="F12" s="10">
        <v>95803</v>
      </c>
      <c r="G12" s="10">
        <v>41058</v>
      </c>
      <c r="H12" s="9">
        <f t="shared" si="0"/>
        <v>147940.894048</v>
      </c>
      <c r="I12" s="9">
        <f t="shared" si="0"/>
        <v>63279.3</v>
      </c>
      <c r="J12" s="9">
        <f t="shared" si="1"/>
        <v>211220.19404799998</v>
      </c>
      <c r="K12" s="4"/>
    </row>
    <row r="13" spans="1:11" ht="15">
      <c r="A13" s="11" t="s">
        <v>23</v>
      </c>
      <c r="B13" s="31">
        <f aca="true" t="shared" si="2" ref="B13:G13">B6+B7+B8+B9+B10+B11+B12</f>
        <v>423219.474048</v>
      </c>
      <c r="C13" s="12">
        <f t="shared" si="2"/>
        <v>181256.27</v>
      </c>
      <c r="D13" s="13">
        <f t="shared" si="2"/>
        <v>228686.49</v>
      </c>
      <c r="E13" s="13">
        <f t="shared" si="2"/>
        <v>98008.49</v>
      </c>
      <c r="F13" s="13">
        <f t="shared" si="2"/>
        <v>261676</v>
      </c>
      <c r="G13" s="13">
        <f t="shared" si="2"/>
        <v>112146</v>
      </c>
      <c r="H13" s="12">
        <f>SUM(H6:H12)</f>
        <v>913581.964048</v>
      </c>
      <c r="I13" s="12">
        <f>SUM(I6:I12)</f>
        <v>391410.76</v>
      </c>
      <c r="J13" s="9">
        <f>SUM(J6:J12)</f>
        <v>1304992.724048</v>
      </c>
      <c r="K13" s="4"/>
    </row>
    <row r="14" spans="1:11" ht="36" customHeight="1">
      <c r="A14" s="7" t="s">
        <v>24</v>
      </c>
      <c r="B14" s="32">
        <f aca="true" t="shared" si="3" ref="B14:G14">7*B13/100</f>
        <v>29625.36318336</v>
      </c>
      <c r="C14" s="28">
        <f t="shared" si="3"/>
        <v>12687.9389</v>
      </c>
      <c r="D14" s="9">
        <f t="shared" si="3"/>
        <v>16008.0543</v>
      </c>
      <c r="E14" s="9">
        <f t="shared" si="3"/>
        <v>6860.594300000001</v>
      </c>
      <c r="F14" s="10">
        <f t="shared" si="3"/>
        <v>18317.32</v>
      </c>
      <c r="G14" s="10">
        <f t="shared" si="3"/>
        <v>7850.22</v>
      </c>
      <c r="H14" s="9">
        <f>B14+D14+F14</f>
        <v>63950.73748336</v>
      </c>
      <c r="I14" s="9">
        <f>C14+E14+G14</f>
        <v>27398.7532</v>
      </c>
      <c r="J14" s="9">
        <f>B14+C14+D14+E14+F14+G14</f>
        <v>91349.49068336</v>
      </c>
      <c r="K14" s="4"/>
    </row>
    <row r="15" spans="1:12" ht="18.75">
      <c r="A15" s="11" t="s">
        <v>13</v>
      </c>
      <c r="B15" s="29">
        <f>B14+B13</f>
        <v>452844.83723136</v>
      </c>
      <c r="C15" s="29">
        <f>C14+C13</f>
        <v>193944.2089</v>
      </c>
      <c r="D15" s="31">
        <f>D13+D14</f>
        <v>244694.54429999998</v>
      </c>
      <c r="E15" s="31">
        <f>E13+E14</f>
        <v>104869.0843</v>
      </c>
      <c r="F15" s="31">
        <f>F13+F14</f>
        <v>279993.32</v>
      </c>
      <c r="G15" s="31">
        <f>G13+G14</f>
        <v>119996.22</v>
      </c>
      <c r="H15" s="33"/>
      <c r="I15" s="33"/>
      <c r="J15" s="34">
        <f>B15+C15+D15+E15+F15+G15</f>
        <v>1396342.2147313599</v>
      </c>
      <c r="K15" s="27"/>
      <c r="L15" s="27"/>
    </row>
    <row r="16" spans="1:11" ht="15">
      <c r="A16" s="11" t="s">
        <v>13</v>
      </c>
      <c r="B16" s="12"/>
      <c r="C16" s="31">
        <f>C15+B15</f>
        <v>646789.04613136</v>
      </c>
      <c r="D16" s="12"/>
      <c r="E16" s="13">
        <f>D15+E15</f>
        <v>349563.6286</v>
      </c>
      <c r="F16" s="12"/>
      <c r="G16" s="12">
        <f>G15+F15</f>
        <v>399989.54000000004</v>
      </c>
      <c r="H16" s="12"/>
      <c r="I16" s="12"/>
      <c r="J16" s="12"/>
      <c r="K16" s="4"/>
    </row>
  </sheetData>
  <sheetProtection/>
  <mergeCells count="5">
    <mergeCell ref="A4:A5"/>
    <mergeCell ref="B4:C4"/>
    <mergeCell ref="D4:E4"/>
    <mergeCell ref="F4:G4"/>
    <mergeCell ref="J4:J5"/>
  </mergeCells>
  <printOptions/>
  <pageMargins left="0.7" right="0.7" top="0.75" bottom="0.75" header="0.3" footer="0.3"/>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
      <selection activeCell="C11" sqref="C11:I18"/>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73"/>
  <sheetViews>
    <sheetView tabSelected="1" zoomScale="110" zoomScaleNormal="110" zoomScaleSheetLayoutView="100" zoomScalePageLayoutView="0" workbookViewId="0" topLeftCell="A1">
      <selection activeCell="D7" sqref="D7"/>
    </sheetView>
  </sheetViews>
  <sheetFormatPr defaultColWidth="8.7109375" defaultRowHeight="15"/>
  <cols>
    <col min="1" max="1" width="13.7109375" style="0" customWidth="1"/>
    <col min="2" max="2" width="61.00390625" style="0" customWidth="1"/>
    <col min="3" max="3" width="19.7109375" style="0" customWidth="1"/>
    <col min="4" max="4" width="13.421875" style="0" customWidth="1"/>
    <col min="5" max="5" width="13.421875" style="95" customWidth="1"/>
    <col min="6" max="6" width="13.421875" style="101" customWidth="1"/>
    <col min="7" max="7" width="13.7109375" style="48" customWidth="1"/>
  </cols>
  <sheetData>
    <row r="1" spans="1:7" ht="15.75">
      <c r="A1" s="1" t="s">
        <v>115</v>
      </c>
      <c r="B1" s="1"/>
      <c r="C1" s="2"/>
      <c r="D1" s="2"/>
      <c r="E1" s="42"/>
      <c r="F1" s="42"/>
      <c r="G1" s="42"/>
    </row>
    <row r="2" spans="1:7" ht="15.75" hidden="1">
      <c r="A2" s="1"/>
      <c r="B2" s="1"/>
      <c r="C2" s="2"/>
      <c r="D2" s="2"/>
      <c r="E2" s="42"/>
      <c r="F2" s="42"/>
      <c r="G2" s="42"/>
    </row>
    <row r="3" spans="1:7" ht="15.75" hidden="1">
      <c r="A3" s="1"/>
      <c r="B3" s="1"/>
      <c r="C3" s="2"/>
      <c r="D3" s="2"/>
      <c r="E3" s="42"/>
      <c r="F3" s="42"/>
      <c r="G3" s="42"/>
    </row>
    <row r="4" spans="1:7" ht="15.75">
      <c r="A4" s="2"/>
      <c r="B4" s="2"/>
      <c r="C4" s="2"/>
      <c r="D4" s="2"/>
      <c r="E4" s="42"/>
      <c r="F4" s="42"/>
      <c r="G4" s="42"/>
    </row>
    <row r="5" spans="1:7" ht="15.75">
      <c r="A5" s="1" t="s">
        <v>116</v>
      </c>
      <c r="B5" s="2"/>
      <c r="C5" s="2"/>
      <c r="D5" s="2"/>
      <c r="E5" s="42"/>
      <c r="F5" s="42"/>
      <c r="G5" s="42"/>
    </row>
    <row r="6" spans="1:7" ht="15.75">
      <c r="A6" s="2"/>
      <c r="B6" s="2"/>
      <c r="C6" s="2"/>
      <c r="D6" s="2"/>
      <c r="E6" s="42"/>
      <c r="F6" s="42"/>
      <c r="G6" s="42"/>
    </row>
    <row r="7" spans="1:7" ht="138.75" customHeight="1">
      <c r="A7" s="105" t="s">
        <v>0</v>
      </c>
      <c r="B7" s="105" t="s">
        <v>1</v>
      </c>
      <c r="C7" s="60" t="s">
        <v>44</v>
      </c>
      <c r="D7" s="60" t="s">
        <v>39</v>
      </c>
      <c r="E7" s="102" t="s">
        <v>118</v>
      </c>
      <c r="F7" s="103" t="s">
        <v>117</v>
      </c>
      <c r="G7" s="104" t="s">
        <v>11</v>
      </c>
    </row>
    <row r="8" spans="1:7" ht="49.5" customHeight="1">
      <c r="A8" s="83" t="s">
        <v>45</v>
      </c>
      <c r="B8" s="84"/>
      <c r="C8" s="84"/>
      <c r="D8" s="84"/>
      <c r="E8" s="84"/>
      <c r="F8" s="84"/>
      <c r="G8" s="84"/>
    </row>
    <row r="9" spans="1:7" ht="51.75" customHeight="1">
      <c r="A9" s="39" t="s">
        <v>2</v>
      </c>
      <c r="B9" s="85" t="s">
        <v>90</v>
      </c>
      <c r="C9" s="85"/>
      <c r="D9" s="85"/>
      <c r="E9" s="85"/>
      <c r="F9" s="85"/>
      <c r="G9" s="85"/>
    </row>
    <row r="10" spans="1:7" ht="38.25">
      <c r="A10" s="40" t="s">
        <v>3</v>
      </c>
      <c r="B10" s="40" t="s">
        <v>94</v>
      </c>
      <c r="C10" s="38">
        <v>10000</v>
      </c>
      <c r="D10" s="51">
        <f>10000/C10</f>
        <v>1</v>
      </c>
      <c r="E10" s="89">
        <v>7000</v>
      </c>
      <c r="F10" s="96">
        <f>E10/C10</f>
        <v>0.7</v>
      </c>
      <c r="G10" s="44"/>
    </row>
    <row r="11" spans="1:7" ht="36.75" customHeight="1">
      <c r="A11" s="39" t="s">
        <v>4</v>
      </c>
      <c r="B11" s="85" t="s">
        <v>91</v>
      </c>
      <c r="C11" s="85"/>
      <c r="D11" s="85"/>
      <c r="E11" s="85"/>
      <c r="F11" s="85"/>
      <c r="G11" s="85"/>
    </row>
    <row r="12" spans="1:7" ht="60" customHeight="1">
      <c r="A12" s="40" t="s">
        <v>5</v>
      </c>
      <c r="B12" s="40" t="s">
        <v>92</v>
      </c>
      <c r="C12" s="38">
        <v>20000</v>
      </c>
      <c r="D12" s="51">
        <f>12500/C12</f>
        <v>0.625</v>
      </c>
      <c r="E12" s="89">
        <f>12500+7500</f>
        <v>20000</v>
      </c>
      <c r="F12" s="96">
        <f>E12/C12</f>
        <v>1</v>
      </c>
      <c r="G12" s="44"/>
    </row>
    <row r="13" spans="1:7" ht="51">
      <c r="A13" s="40" t="s">
        <v>6</v>
      </c>
      <c r="B13" s="40" t="s">
        <v>93</v>
      </c>
      <c r="C13" s="38">
        <v>30000</v>
      </c>
      <c r="D13" s="51">
        <f>15000/C13</f>
        <v>0.5</v>
      </c>
      <c r="E13" s="89">
        <f>15000+2500</f>
        <v>17500</v>
      </c>
      <c r="F13" s="96">
        <f>E13/C13</f>
        <v>0.5833333333333334</v>
      </c>
      <c r="G13" s="44"/>
    </row>
    <row r="14" spans="1:7" ht="51">
      <c r="A14" s="40" t="s">
        <v>43</v>
      </c>
      <c r="B14" s="40" t="s">
        <v>95</v>
      </c>
      <c r="C14" s="38">
        <v>70000</v>
      </c>
      <c r="D14" s="51">
        <f>35000/C14</f>
        <v>0.5</v>
      </c>
      <c r="E14" s="89">
        <f>60000+4425</f>
        <v>64425</v>
      </c>
      <c r="F14" s="96">
        <f>E14/C14</f>
        <v>0.9203571428571429</v>
      </c>
      <c r="G14" s="44"/>
    </row>
    <row r="15" spans="1:7" ht="25.5" customHeight="1">
      <c r="A15" s="39" t="s">
        <v>47</v>
      </c>
      <c r="B15" s="85" t="s">
        <v>96</v>
      </c>
      <c r="C15" s="85"/>
      <c r="D15" s="85"/>
      <c r="E15" s="85"/>
      <c r="F15" s="85"/>
      <c r="G15" s="85"/>
    </row>
    <row r="16" spans="1:7" ht="25.5">
      <c r="A16" s="40" t="s">
        <v>34</v>
      </c>
      <c r="B16" s="40" t="s">
        <v>33</v>
      </c>
      <c r="C16" s="38">
        <v>30000</v>
      </c>
      <c r="D16" s="52">
        <f>10000/C16</f>
        <v>0.3333333333333333</v>
      </c>
      <c r="E16" s="89">
        <v>11869</v>
      </c>
      <c r="F16" s="96">
        <f>E16/C16</f>
        <v>0.39563333333333334</v>
      </c>
      <c r="G16" s="44" t="s">
        <v>110</v>
      </c>
    </row>
    <row r="17" spans="1:7" ht="25.5">
      <c r="A17" s="40" t="s">
        <v>36</v>
      </c>
      <c r="B17" s="40" t="s">
        <v>35</v>
      </c>
      <c r="C17" s="38">
        <v>50000</v>
      </c>
      <c r="D17" s="52">
        <f>15000/C17</f>
        <v>0.3</v>
      </c>
      <c r="E17" s="89">
        <v>18009</v>
      </c>
      <c r="F17" s="96">
        <f>E17/C17</f>
        <v>0.36018</v>
      </c>
      <c r="G17" s="44" t="s">
        <v>110</v>
      </c>
    </row>
    <row r="18" spans="1:7" ht="37.5" customHeight="1">
      <c r="A18" s="39" t="s">
        <v>46</v>
      </c>
      <c r="B18" s="85" t="s">
        <v>97</v>
      </c>
      <c r="C18" s="85"/>
      <c r="D18" s="85"/>
      <c r="E18" s="85"/>
      <c r="F18" s="85"/>
      <c r="G18" s="85"/>
    </row>
    <row r="19" spans="1:7" ht="31.5" customHeight="1">
      <c r="A19" s="40" t="s">
        <v>48</v>
      </c>
      <c r="B19" s="40" t="s">
        <v>98</v>
      </c>
      <c r="C19" s="38">
        <v>135000</v>
      </c>
      <c r="D19" s="51">
        <f>50000/C19</f>
        <v>0.37037037037037035</v>
      </c>
      <c r="E19" s="89">
        <v>65000</v>
      </c>
      <c r="F19" s="96">
        <f>E19/C19</f>
        <v>0.48148148148148145</v>
      </c>
      <c r="G19" s="41" t="s">
        <v>110</v>
      </c>
    </row>
    <row r="20" spans="1:7" ht="31.5" customHeight="1">
      <c r="A20" s="73" t="s">
        <v>83</v>
      </c>
      <c r="B20" s="73"/>
      <c r="C20" s="53">
        <f>+SUM(C10:C19)</f>
        <v>345000</v>
      </c>
      <c r="D20" s="54">
        <f>(50000+15000+10000+35000+15000+12500+10000)/C20</f>
        <v>0.427536231884058</v>
      </c>
      <c r="E20" s="90">
        <f>E19+E17+E16+E14+E13+E12+E10</f>
        <v>203803</v>
      </c>
      <c r="F20" s="97">
        <f>+E20/C20</f>
        <v>0.5907333333333333</v>
      </c>
      <c r="G20" s="49"/>
    </row>
    <row r="21" spans="1:7" ht="48" customHeight="1">
      <c r="A21" s="79" t="s">
        <v>84</v>
      </c>
      <c r="B21" s="79"/>
      <c r="C21" s="79"/>
      <c r="D21" s="79"/>
      <c r="E21" s="79"/>
      <c r="F21" s="79"/>
      <c r="G21" s="79"/>
    </row>
    <row r="22" spans="1:7" ht="48" customHeight="1">
      <c r="A22" s="15" t="s">
        <v>50</v>
      </c>
      <c r="B22" s="80" t="s">
        <v>49</v>
      </c>
      <c r="C22" s="80"/>
      <c r="D22" s="80"/>
      <c r="E22" s="80"/>
      <c r="F22" s="80"/>
      <c r="G22" s="80"/>
    </row>
    <row r="23" spans="1:7" ht="48" customHeight="1">
      <c r="A23" s="14" t="s">
        <v>53</v>
      </c>
      <c r="B23" s="16" t="s">
        <v>52</v>
      </c>
      <c r="C23" s="35">
        <v>12000</v>
      </c>
      <c r="D23" s="35">
        <v>0</v>
      </c>
      <c r="E23" s="91">
        <v>64318.31</v>
      </c>
      <c r="F23" s="96">
        <f>E23/C23</f>
        <v>5.359859166666666</v>
      </c>
      <c r="G23" s="43"/>
    </row>
    <row r="24" spans="1:7" ht="48" customHeight="1">
      <c r="A24" s="14" t="s">
        <v>54</v>
      </c>
      <c r="B24" s="14" t="s">
        <v>99</v>
      </c>
      <c r="C24" s="35">
        <v>30000</v>
      </c>
      <c r="D24" s="65">
        <f>15000/C24</f>
        <v>0.5</v>
      </c>
      <c r="E24" s="91">
        <v>42345</v>
      </c>
      <c r="F24" s="96">
        <f>E24/C24</f>
        <v>1.4115</v>
      </c>
      <c r="G24" s="43"/>
    </row>
    <row r="25" spans="1:7" ht="48" customHeight="1">
      <c r="A25" s="14" t="s">
        <v>55</v>
      </c>
      <c r="B25" s="14" t="s">
        <v>51</v>
      </c>
      <c r="C25" s="35">
        <v>75000</v>
      </c>
      <c r="D25" s="71">
        <f>40000/C25</f>
        <v>0.5333333333333333</v>
      </c>
      <c r="E25" s="91">
        <v>59376</v>
      </c>
      <c r="F25" s="96">
        <f>E25/C25</f>
        <v>0.79168</v>
      </c>
      <c r="G25" s="43"/>
    </row>
    <row r="26" spans="1:7" ht="33" customHeight="1">
      <c r="A26" s="15" t="s">
        <v>56</v>
      </c>
      <c r="B26" s="80" t="s">
        <v>100</v>
      </c>
      <c r="C26" s="80"/>
      <c r="D26" s="80"/>
      <c r="E26" s="80"/>
      <c r="F26" s="80"/>
      <c r="G26" s="80"/>
    </row>
    <row r="27" spans="1:7" ht="48" customHeight="1">
      <c r="A27" s="14" t="s">
        <v>58</v>
      </c>
      <c r="B27" s="14" t="s">
        <v>57</v>
      </c>
      <c r="C27" s="35">
        <v>10000</v>
      </c>
      <c r="D27" s="35">
        <v>0</v>
      </c>
      <c r="E27" s="91">
        <v>18402</v>
      </c>
      <c r="F27" s="96">
        <f>E27/C27</f>
        <v>1.8402</v>
      </c>
      <c r="G27" s="43"/>
    </row>
    <row r="28" spans="1:7" ht="48" customHeight="1">
      <c r="A28" s="14" t="s">
        <v>59</v>
      </c>
      <c r="B28" s="14" t="s">
        <v>101</v>
      </c>
      <c r="C28" s="35">
        <v>20000</v>
      </c>
      <c r="D28" s="35">
        <v>0</v>
      </c>
      <c r="E28" s="91">
        <v>0</v>
      </c>
      <c r="F28" s="96">
        <f>E28/C28</f>
        <v>0</v>
      </c>
      <c r="G28" s="43" t="s">
        <v>112</v>
      </c>
    </row>
    <row r="29" spans="1:7" ht="48" customHeight="1">
      <c r="A29" s="14" t="s">
        <v>60</v>
      </c>
      <c r="B29" s="14" t="s">
        <v>102</v>
      </c>
      <c r="C29" s="35">
        <v>30000</v>
      </c>
      <c r="D29" s="35">
        <v>0</v>
      </c>
      <c r="E29" s="91">
        <v>0</v>
      </c>
      <c r="F29" s="96">
        <f>E29/C29</f>
        <v>0</v>
      </c>
      <c r="G29" s="43" t="s">
        <v>112</v>
      </c>
    </row>
    <row r="30" spans="1:7" ht="19.5" customHeight="1">
      <c r="A30" s="15" t="s">
        <v>62</v>
      </c>
      <c r="B30" s="80" t="s">
        <v>61</v>
      </c>
      <c r="C30" s="80"/>
      <c r="D30" s="80"/>
      <c r="E30" s="80"/>
      <c r="F30" s="80"/>
      <c r="G30" s="80"/>
    </row>
    <row r="31" spans="1:7" s="23" customFormat="1" ht="48" customHeight="1">
      <c r="A31" s="17" t="s">
        <v>66</v>
      </c>
      <c r="B31" s="18" t="s">
        <v>65</v>
      </c>
      <c r="C31" s="36">
        <v>15000</v>
      </c>
      <c r="D31" s="55">
        <f>7500/C31</f>
        <v>0.5</v>
      </c>
      <c r="E31" s="91">
        <v>37856.43</v>
      </c>
      <c r="F31" s="96">
        <f>E31/C31</f>
        <v>2.523762</v>
      </c>
      <c r="G31" s="45"/>
    </row>
    <row r="32" spans="1:7" s="23" customFormat="1" ht="48" customHeight="1">
      <c r="A32" s="17" t="s">
        <v>67</v>
      </c>
      <c r="B32" s="18" t="s">
        <v>64</v>
      </c>
      <c r="C32" s="36">
        <v>63000</v>
      </c>
      <c r="D32" s="55">
        <f>31500/C32</f>
        <v>0.5</v>
      </c>
      <c r="E32" s="91">
        <v>0</v>
      </c>
      <c r="F32" s="96">
        <f>E32/C32</f>
        <v>0</v>
      </c>
      <c r="G32" s="45" t="s">
        <v>112</v>
      </c>
    </row>
    <row r="33" spans="1:7" s="23" customFormat="1" ht="48" customHeight="1">
      <c r="A33" s="17" t="s">
        <v>68</v>
      </c>
      <c r="B33" s="18" t="s">
        <v>63</v>
      </c>
      <c r="C33" s="36">
        <v>20000</v>
      </c>
      <c r="D33" s="55">
        <f>10000/C33</f>
        <v>0.5</v>
      </c>
      <c r="E33" s="91">
        <v>0</v>
      </c>
      <c r="F33" s="96">
        <f>E33/C33</f>
        <v>0</v>
      </c>
      <c r="G33" s="45" t="s">
        <v>112</v>
      </c>
    </row>
    <row r="34" spans="1:7" s="23" customFormat="1" ht="48" customHeight="1">
      <c r="A34" s="74" t="s">
        <v>85</v>
      </c>
      <c r="B34" s="74"/>
      <c r="C34" s="56">
        <f>SUM(C23:C33)</f>
        <v>275000</v>
      </c>
      <c r="D34" s="57">
        <f>SUM(15000+40000+7500+31500+10000)/C34</f>
        <v>0.3781818181818182</v>
      </c>
      <c r="E34" s="90">
        <f>E33+E32+E31+E29+E28+E27+E25+E24+E23</f>
        <v>222297.74</v>
      </c>
      <c r="F34" s="97">
        <f>+E34/C34</f>
        <v>0.8083554181818181</v>
      </c>
      <c r="G34" s="19"/>
    </row>
    <row r="35" spans="1:7" ht="37.5" customHeight="1">
      <c r="A35" s="84" t="s">
        <v>103</v>
      </c>
      <c r="B35" s="84"/>
      <c r="C35" s="84"/>
      <c r="D35" s="84"/>
      <c r="E35" s="84"/>
      <c r="F35" s="84"/>
      <c r="G35" s="84"/>
    </row>
    <row r="36" spans="1:7" ht="38.25" customHeight="1">
      <c r="A36" s="39" t="s">
        <v>7</v>
      </c>
      <c r="B36" s="85" t="s">
        <v>104</v>
      </c>
      <c r="C36" s="85"/>
      <c r="D36" s="85"/>
      <c r="E36" s="85"/>
      <c r="F36" s="85"/>
      <c r="G36" s="85"/>
    </row>
    <row r="37" spans="1:7" ht="24.75" customHeight="1">
      <c r="A37" s="40" t="s">
        <v>70</v>
      </c>
      <c r="B37" s="40" t="s">
        <v>72</v>
      </c>
      <c r="C37" s="38">
        <v>10000</v>
      </c>
      <c r="D37" s="52">
        <f>10000/C37</f>
        <v>1</v>
      </c>
      <c r="E37" s="89">
        <v>8000</v>
      </c>
      <c r="F37" s="96">
        <f>E37/C37</f>
        <v>0.8</v>
      </c>
      <c r="G37" s="44" t="s">
        <v>111</v>
      </c>
    </row>
    <row r="38" spans="1:7" ht="24" customHeight="1">
      <c r="A38" s="40" t="s">
        <v>71</v>
      </c>
      <c r="B38" s="40" t="s">
        <v>69</v>
      </c>
      <c r="C38" s="38">
        <v>30000</v>
      </c>
      <c r="D38" s="52">
        <f>30000/C38</f>
        <v>1</v>
      </c>
      <c r="E38" s="89">
        <v>25000</v>
      </c>
      <c r="F38" s="96">
        <f>E38/C38</f>
        <v>0.8333333333333334</v>
      </c>
      <c r="G38" s="44" t="s">
        <v>111</v>
      </c>
    </row>
    <row r="39" spans="1:7" ht="24" customHeight="1">
      <c r="A39" s="73" t="s">
        <v>105</v>
      </c>
      <c r="B39" s="73"/>
      <c r="C39" s="53">
        <f>+C37+C38</f>
        <v>40000</v>
      </c>
      <c r="D39" s="54">
        <f>40000/C39</f>
        <v>1</v>
      </c>
      <c r="E39" s="90">
        <f>E38+E37</f>
        <v>33000</v>
      </c>
      <c r="F39" s="97">
        <f>+E39/C39</f>
        <v>0.825</v>
      </c>
      <c r="G39" s="50"/>
    </row>
    <row r="40" spans="1:7" ht="15" customHeight="1">
      <c r="A40" s="81" t="s">
        <v>89</v>
      </c>
      <c r="B40" s="81"/>
      <c r="C40" s="81"/>
      <c r="D40" s="81"/>
      <c r="E40" s="81"/>
      <c r="F40" s="81"/>
      <c r="G40" s="81"/>
    </row>
    <row r="41" spans="1:7" ht="33.75" customHeight="1">
      <c r="A41" s="15" t="s">
        <v>74</v>
      </c>
      <c r="B41" s="82" t="s">
        <v>106</v>
      </c>
      <c r="C41" s="80"/>
      <c r="D41" s="80"/>
      <c r="E41" s="80"/>
      <c r="F41" s="80"/>
      <c r="G41" s="80"/>
    </row>
    <row r="42" spans="1:7" ht="38.25">
      <c r="A42" s="14" t="s">
        <v>73</v>
      </c>
      <c r="B42" s="21" t="s">
        <v>77</v>
      </c>
      <c r="C42" s="35">
        <v>10000</v>
      </c>
      <c r="D42" s="65">
        <f>10000/C42</f>
        <v>1</v>
      </c>
      <c r="E42" s="89">
        <v>12285</v>
      </c>
      <c r="F42" s="96">
        <f>E42/C42</f>
        <v>1.2285</v>
      </c>
      <c r="G42" s="43"/>
    </row>
    <row r="43" spans="1:7" ht="25.5">
      <c r="A43" s="14" t="s">
        <v>75</v>
      </c>
      <c r="B43" s="21" t="s">
        <v>107</v>
      </c>
      <c r="C43" s="35">
        <v>10000</v>
      </c>
      <c r="D43" s="65">
        <f>10000/C43</f>
        <v>1</v>
      </c>
      <c r="E43" s="89">
        <v>22000</v>
      </c>
      <c r="F43" s="96">
        <f>E43/C43</f>
        <v>2.2</v>
      </c>
      <c r="G43" s="43"/>
    </row>
    <row r="44" spans="1:7" ht="38.25">
      <c r="A44" s="14" t="s">
        <v>76</v>
      </c>
      <c r="B44" s="21" t="s">
        <v>108</v>
      </c>
      <c r="C44" s="35">
        <v>35000</v>
      </c>
      <c r="D44" s="65">
        <f>35000/C44</f>
        <v>1</v>
      </c>
      <c r="E44" s="89">
        <v>49000</v>
      </c>
      <c r="F44" s="96">
        <f>E44/C44</f>
        <v>1.4</v>
      </c>
      <c r="G44" s="43" t="s">
        <v>113</v>
      </c>
    </row>
    <row r="45" spans="1:7" ht="15">
      <c r="A45" s="15" t="s">
        <v>78</v>
      </c>
      <c r="B45" s="82" t="s">
        <v>109</v>
      </c>
      <c r="C45" s="80"/>
      <c r="D45" s="80"/>
      <c r="E45" s="80"/>
      <c r="F45" s="80"/>
      <c r="G45" s="80"/>
    </row>
    <row r="46" spans="1:7" ht="38.25">
      <c r="A46" s="14" t="s">
        <v>81</v>
      </c>
      <c r="B46" s="22" t="s">
        <v>79</v>
      </c>
      <c r="C46" s="35">
        <v>240000</v>
      </c>
      <c r="D46" s="65">
        <f>240000/C46</f>
        <v>1</v>
      </c>
      <c r="E46" s="89">
        <v>185000</v>
      </c>
      <c r="F46" s="96">
        <f>E46/C46</f>
        <v>0.7708333333333334</v>
      </c>
      <c r="G46" s="46" t="s">
        <v>113</v>
      </c>
    </row>
    <row r="47" spans="1:7" ht="25.5">
      <c r="A47" s="14" t="s">
        <v>82</v>
      </c>
      <c r="B47" s="20" t="s">
        <v>80</v>
      </c>
      <c r="C47" s="35">
        <v>30000</v>
      </c>
      <c r="D47" s="65">
        <f>30000/C47</f>
        <v>1</v>
      </c>
      <c r="E47" s="89">
        <v>35000</v>
      </c>
      <c r="F47" s="96">
        <f>E47/C47</f>
        <v>1.1666666666666667</v>
      </c>
      <c r="G47" s="46" t="s">
        <v>114</v>
      </c>
    </row>
    <row r="48" spans="1:7" ht="14.25" customHeight="1">
      <c r="A48" s="78" t="s">
        <v>86</v>
      </c>
      <c r="B48" s="78"/>
      <c r="C48" s="66">
        <f>SUM(C42:C47)</f>
        <v>325000</v>
      </c>
      <c r="D48" s="67">
        <f>+(30000+240000)/C48</f>
        <v>0.8307692307692308</v>
      </c>
      <c r="E48" s="93">
        <f>SUM(E42:E47)</f>
        <v>303285</v>
      </c>
      <c r="F48" s="97">
        <f>+E48/C48</f>
        <v>0.9331846153846154</v>
      </c>
      <c r="G48" s="50"/>
    </row>
    <row r="49" spans="1:7" ht="63.75">
      <c r="A49" s="40" t="s">
        <v>29</v>
      </c>
      <c r="B49" s="39" t="s">
        <v>38</v>
      </c>
      <c r="C49" s="41">
        <v>150000</v>
      </c>
      <c r="D49" s="58">
        <v>0</v>
      </c>
      <c r="E49" s="92">
        <f>63459+44933</f>
        <v>108392</v>
      </c>
      <c r="F49" s="96">
        <f>E49/C49</f>
        <v>0.7226133333333333</v>
      </c>
      <c r="G49" s="47"/>
    </row>
    <row r="50" spans="1:7" ht="99.75" customHeight="1">
      <c r="A50" s="40" t="s">
        <v>30</v>
      </c>
      <c r="B50" s="39" t="s">
        <v>37</v>
      </c>
      <c r="C50" s="41">
        <v>60000</v>
      </c>
      <c r="D50" s="58">
        <v>0</v>
      </c>
      <c r="E50" s="92">
        <f>45192+5000</f>
        <v>50192</v>
      </c>
      <c r="F50" s="96">
        <f>E50/C50</f>
        <v>0.8365333333333334</v>
      </c>
      <c r="G50" s="47"/>
    </row>
    <row r="51" spans="1:7" ht="25.5">
      <c r="A51" s="40" t="s">
        <v>31</v>
      </c>
      <c r="B51" s="40" t="s">
        <v>88</v>
      </c>
      <c r="C51" s="41">
        <v>110000</v>
      </c>
      <c r="D51" s="58">
        <v>0</v>
      </c>
      <c r="E51" s="92">
        <f>62271+0</f>
        <v>62271</v>
      </c>
      <c r="F51" s="96">
        <f>E51/C51</f>
        <v>0.5661</v>
      </c>
      <c r="G51" s="44"/>
    </row>
    <row r="52" spans="1:7" ht="14.25" customHeight="1">
      <c r="A52" s="77" t="s">
        <v>40</v>
      </c>
      <c r="B52" s="77"/>
      <c r="C52" s="68">
        <f>+C51+C50+C49</f>
        <v>320000</v>
      </c>
      <c r="D52" s="69">
        <v>0</v>
      </c>
      <c r="E52" s="94">
        <f>+E51+E50+E49</f>
        <v>220855</v>
      </c>
      <c r="F52" s="98">
        <f>+E52/C52</f>
        <v>0.690171875</v>
      </c>
      <c r="G52" s="64"/>
    </row>
    <row r="53" spans="1:7" ht="14.25" customHeight="1">
      <c r="A53" s="76" t="s">
        <v>8</v>
      </c>
      <c r="B53" s="76"/>
      <c r="C53" s="59">
        <f>C48+C39+C34+C20+C52</f>
        <v>1305000</v>
      </c>
      <c r="D53" s="70">
        <v>0</v>
      </c>
      <c r="E53" s="90">
        <f>E48+E39+E34+E20+E52</f>
        <v>983240.74</v>
      </c>
      <c r="F53" s="97">
        <f>+E53/C53</f>
        <v>0.7534411800766283</v>
      </c>
      <c r="G53" s="64"/>
    </row>
    <row r="54" spans="1:7" ht="15" customHeight="1">
      <c r="A54" s="75" t="s">
        <v>9</v>
      </c>
      <c r="B54" s="75"/>
      <c r="C54" s="63">
        <v>0</v>
      </c>
      <c r="D54" s="63">
        <v>0</v>
      </c>
      <c r="E54" s="90">
        <f>7*646789/100</f>
        <v>45275.23</v>
      </c>
      <c r="F54" s="99">
        <v>0</v>
      </c>
      <c r="G54" s="64"/>
    </row>
    <row r="55" spans="1:7" ht="15" customHeight="1">
      <c r="A55" s="72" t="s">
        <v>10</v>
      </c>
      <c r="B55" s="72"/>
      <c r="C55" s="61">
        <f>+C53+C54</f>
        <v>1305000</v>
      </c>
      <c r="D55" s="62">
        <f>616500/C55</f>
        <v>0.4724137931034483</v>
      </c>
      <c r="E55" s="90">
        <f>E54+E53</f>
        <v>1028515.97</v>
      </c>
      <c r="F55" s="100">
        <f>+E55/C55</f>
        <v>0.7881348429118774</v>
      </c>
      <c r="G55" s="64"/>
    </row>
    <row r="56" spans="5:6" ht="15">
      <c r="E56" s="48"/>
      <c r="F56"/>
    </row>
    <row r="57" spans="5:6" ht="15">
      <c r="E57" s="48"/>
      <c r="F57"/>
    </row>
    <row r="58" spans="5:6" ht="15">
      <c r="E58" s="48"/>
      <c r="F58"/>
    </row>
    <row r="59" spans="5:6" ht="15">
      <c r="E59" s="48"/>
      <c r="F59"/>
    </row>
    <row r="60" spans="5:6" ht="15">
      <c r="E60" s="48"/>
      <c r="F60"/>
    </row>
    <row r="61" spans="5:6" ht="25.5" customHeight="1">
      <c r="E61" s="48"/>
      <c r="F61"/>
    </row>
    <row r="62" spans="5:6" ht="15">
      <c r="E62" s="48"/>
      <c r="F62"/>
    </row>
    <row r="63" spans="5:6" ht="15">
      <c r="E63" s="48"/>
      <c r="F63"/>
    </row>
    <row r="64" spans="5:6" ht="15">
      <c r="E64" s="48"/>
      <c r="F64"/>
    </row>
    <row r="65" spans="5:6" ht="15">
      <c r="E65" s="48"/>
      <c r="F65"/>
    </row>
    <row r="66" spans="5:6" ht="15">
      <c r="E66" s="48"/>
      <c r="F66"/>
    </row>
    <row r="67" spans="5:6" ht="15">
      <c r="E67" s="48"/>
      <c r="F67"/>
    </row>
    <row r="68" spans="5:6" ht="15">
      <c r="E68" s="48"/>
      <c r="F68"/>
    </row>
    <row r="69" spans="5:6" ht="15">
      <c r="E69" s="48"/>
      <c r="F69"/>
    </row>
    <row r="70" spans="5:6" ht="15">
      <c r="E70" s="48"/>
      <c r="F70"/>
    </row>
    <row r="71" spans="5:6" ht="15">
      <c r="E71" s="48"/>
      <c r="F71"/>
    </row>
    <row r="72" spans="5:6" ht="15">
      <c r="E72" s="48"/>
      <c r="F72"/>
    </row>
    <row r="73" spans="5:6" ht="15">
      <c r="E73" s="48"/>
      <c r="F73"/>
    </row>
  </sheetData>
  <sheetProtection/>
  <mergeCells count="22">
    <mergeCell ref="B15:G15"/>
    <mergeCell ref="B45:G45"/>
    <mergeCell ref="B26:G26"/>
    <mergeCell ref="B30:G30"/>
    <mergeCell ref="A40:G40"/>
    <mergeCell ref="B41:G41"/>
    <mergeCell ref="A8:G8"/>
    <mergeCell ref="B9:G9"/>
    <mergeCell ref="B18:G18"/>
    <mergeCell ref="B11:G11"/>
    <mergeCell ref="A35:G35"/>
    <mergeCell ref="B36:G36"/>
    <mergeCell ref="A55:B55"/>
    <mergeCell ref="A20:B20"/>
    <mergeCell ref="A34:B34"/>
    <mergeCell ref="A39:B39"/>
    <mergeCell ref="A54:B54"/>
    <mergeCell ref="A53:B53"/>
    <mergeCell ref="A52:B52"/>
    <mergeCell ref="A48:B48"/>
    <mergeCell ref="A21:G21"/>
    <mergeCell ref="B22:G22"/>
  </mergeCells>
  <printOptions/>
  <pageMargins left="0.7" right="0.7" top="0.75" bottom="0.75" header="0.3" footer="0.3"/>
  <pageSetup fitToHeight="0" fitToWidth="1" horizontalDpi="600" verticalDpi="600" orientation="portrait" paperSize="9" scale="44" r:id="rId1"/>
  <rowBreaks count="2" manualBreakCount="2">
    <brk id="21" max="255" man="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Sophie Marie Guylene Aloe</cp:lastModifiedBy>
  <cp:lastPrinted>2020-06-18T08:52:08Z</cp:lastPrinted>
  <dcterms:created xsi:type="dcterms:W3CDTF">2017-11-15T21:17:43Z</dcterms:created>
  <dcterms:modified xsi:type="dcterms:W3CDTF">2020-07-07T13:18:34Z</dcterms:modified>
  <cp:category/>
  <cp:version/>
  <cp:contentType/>
  <cp:contentStatus/>
</cp:coreProperties>
</file>