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hie.aloe\Documents\PBF\8- Ongoing PBF Projects\4) PAJURR_UNDP+OHCHR+SFCG_Kasai Central_23Nov2018-30Nov2020\1- Progress Reports\3- November 2020\"/>
    </mc:Choice>
  </mc:AlternateContent>
  <xr:revisionPtr revIDLastSave="0" documentId="13_ncr:1_{585F0524-C4FB-4F97-9A36-A8479A12EC17}" xr6:coauthVersionLast="45" xr6:coauthVersionMax="45" xr10:uidLastSave="{00000000-0000-0000-0000-000000000000}"/>
  <bookViews>
    <workbookView xWindow="-120" yWindow="-120" windowWidth="20730" windowHeight="11160" xr2:uid="{7608F000-E3B2-4E13-8119-ECA6491DD337}"/>
  </bookViews>
  <sheets>
    <sheet name="RF PAJURR - A2 Nov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F91" i="1" l="1"/>
  <c r="G91" i="1" l="1"/>
  <c r="E91" i="1"/>
  <c r="C91" i="1"/>
  <c r="I90" i="1"/>
  <c r="J90" i="1"/>
  <c r="I89" i="1"/>
  <c r="J89" i="1"/>
  <c r="I88" i="1"/>
  <c r="J88" i="1"/>
  <c r="J86" i="1"/>
  <c r="I86" i="1"/>
  <c r="I85" i="1"/>
  <c r="J85" i="1"/>
  <c r="J82" i="1"/>
  <c r="L82" i="1" s="1"/>
  <c r="I82" i="1"/>
  <c r="J81" i="1"/>
  <c r="L81" i="1" s="1"/>
  <c r="I81" i="1"/>
  <c r="J80" i="1"/>
  <c r="L80" i="1" s="1"/>
  <c r="I80" i="1"/>
  <c r="J79" i="1"/>
  <c r="L79" i="1" s="1"/>
  <c r="I79" i="1"/>
  <c r="H78" i="1"/>
  <c r="G78" i="1"/>
  <c r="F78" i="1"/>
  <c r="E78" i="1"/>
  <c r="D78" i="1"/>
  <c r="C78" i="1"/>
  <c r="I77" i="1"/>
  <c r="D71" i="1"/>
  <c r="J76" i="1"/>
  <c r="L76" i="1" s="1"/>
  <c r="I76" i="1"/>
  <c r="J75" i="1"/>
  <c r="L75" i="1" s="1"/>
  <c r="I75" i="1"/>
  <c r="J74" i="1"/>
  <c r="L74" i="1" s="1"/>
  <c r="I74" i="1"/>
  <c r="J73" i="1"/>
  <c r="L73" i="1" s="1"/>
  <c r="I73" i="1"/>
  <c r="J72" i="1"/>
  <c r="L72" i="1" s="1"/>
  <c r="I72" i="1"/>
  <c r="H71" i="1"/>
  <c r="G71" i="1"/>
  <c r="F71" i="1"/>
  <c r="E71" i="1"/>
  <c r="C71" i="1"/>
  <c r="I70" i="1"/>
  <c r="D65" i="1"/>
  <c r="J69" i="1"/>
  <c r="L69" i="1" s="1"/>
  <c r="I69" i="1"/>
  <c r="J68" i="1"/>
  <c r="L68" i="1" s="1"/>
  <c r="I68" i="1"/>
  <c r="J67" i="1"/>
  <c r="L67" i="1" s="1"/>
  <c r="I67" i="1"/>
  <c r="J66" i="1"/>
  <c r="L66" i="1" s="1"/>
  <c r="I66" i="1"/>
  <c r="H65" i="1"/>
  <c r="G65" i="1"/>
  <c r="F65" i="1"/>
  <c r="E65" i="1"/>
  <c r="C65" i="1"/>
  <c r="J64" i="1"/>
  <c r="L64" i="1" s="1"/>
  <c r="I64" i="1"/>
  <c r="J63" i="1"/>
  <c r="L63" i="1" s="1"/>
  <c r="I63" i="1"/>
  <c r="H62" i="1"/>
  <c r="G62" i="1"/>
  <c r="F62" i="1"/>
  <c r="E62" i="1"/>
  <c r="D62" i="1"/>
  <c r="C62" i="1"/>
  <c r="J59" i="1"/>
  <c r="L59" i="1" s="1"/>
  <c r="I59" i="1"/>
  <c r="J58" i="1"/>
  <c r="L58" i="1" s="1"/>
  <c r="I58" i="1"/>
  <c r="J57" i="1"/>
  <c r="L57" i="1" s="1"/>
  <c r="I57" i="1"/>
  <c r="I56" i="1"/>
  <c r="J56" i="1"/>
  <c r="L56" i="1" s="1"/>
  <c r="H55" i="1"/>
  <c r="G55" i="1"/>
  <c r="F55" i="1"/>
  <c r="E55" i="1"/>
  <c r="C55" i="1"/>
  <c r="J54" i="1"/>
  <c r="L54" i="1" s="1"/>
  <c r="I54" i="1"/>
  <c r="J53" i="1"/>
  <c r="L53" i="1" s="1"/>
  <c r="I53" i="1"/>
  <c r="J52" i="1"/>
  <c r="L52" i="1" s="1"/>
  <c r="I52" i="1"/>
  <c r="J51" i="1"/>
  <c r="L51" i="1" s="1"/>
  <c r="I51" i="1"/>
  <c r="J50" i="1"/>
  <c r="L50" i="1" s="1"/>
  <c r="I50" i="1"/>
  <c r="G49" i="1"/>
  <c r="F49" i="1"/>
  <c r="E49" i="1"/>
  <c r="D49" i="1"/>
  <c r="C49" i="1"/>
  <c r="J48" i="1"/>
  <c r="L48" i="1" s="1"/>
  <c r="I48" i="1"/>
  <c r="J47" i="1"/>
  <c r="L47" i="1" s="1"/>
  <c r="I47" i="1"/>
  <c r="J46" i="1"/>
  <c r="L46" i="1" s="1"/>
  <c r="I46" i="1"/>
  <c r="J45" i="1"/>
  <c r="L45" i="1" s="1"/>
  <c r="I45" i="1"/>
  <c r="J44" i="1"/>
  <c r="L44" i="1" s="1"/>
  <c r="I44" i="1"/>
  <c r="J43" i="1"/>
  <c r="L43" i="1" s="1"/>
  <c r="I43" i="1"/>
  <c r="J42" i="1"/>
  <c r="L42" i="1" s="1"/>
  <c r="I42" i="1"/>
  <c r="J41" i="1"/>
  <c r="L41" i="1" s="1"/>
  <c r="I41" i="1"/>
  <c r="H40" i="1"/>
  <c r="G40" i="1"/>
  <c r="F40" i="1"/>
  <c r="E40" i="1"/>
  <c r="D40" i="1"/>
  <c r="C40" i="1"/>
  <c r="J39" i="1"/>
  <c r="L39" i="1" s="1"/>
  <c r="I39" i="1"/>
  <c r="J38" i="1"/>
  <c r="L38" i="1" s="1"/>
  <c r="I38" i="1"/>
  <c r="J37" i="1"/>
  <c r="L37" i="1" s="1"/>
  <c r="I37" i="1"/>
  <c r="H36" i="1"/>
  <c r="G36" i="1"/>
  <c r="F36" i="1"/>
  <c r="E36" i="1"/>
  <c r="D36" i="1"/>
  <c r="C36" i="1"/>
  <c r="J35" i="1"/>
  <c r="L35" i="1" s="1"/>
  <c r="I35" i="1"/>
  <c r="J34" i="1"/>
  <c r="L34" i="1" s="1"/>
  <c r="I34" i="1"/>
  <c r="J33" i="1"/>
  <c r="L33" i="1" s="1"/>
  <c r="I33" i="1"/>
  <c r="J32" i="1"/>
  <c r="L32" i="1" s="1"/>
  <c r="I32" i="1"/>
  <c r="H31" i="1"/>
  <c r="G31" i="1"/>
  <c r="F31" i="1"/>
  <c r="E31" i="1"/>
  <c r="D31" i="1"/>
  <c r="C31" i="1"/>
  <c r="J28" i="1"/>
  <c r="L28" i="1" s="1"/>
  <c r="I28" i="1"/>
  <c r="J27" i="1"/>
  <c r="L27" i="1" s="1"/>
  <c r="I27" i="1"/>
  <c r="J26" i="1"/>
  <c r="L26" i="1" s="1"/>
  <c r="I26" i="1"/>
  <c r="J25" i="1"/>
  <c r="L25" i="1" s="1"/>
  <c r="I25" i="1"/>
  <c r="H24" i="1"/>
  <c r="G24" i="1"/>
  <c r="F24" i="1"/>
  <c r="E24" i="1"/>
  <c r="D24" i="1"/>
  <c r="C24" i="1"/>
  <c r="J23" i="1"/>
  <c r="L23" i="1" s="1"/>
  <c r="I23" i="1"/>
  <c r="J22" i="1"/>
  <c r="L22" i="1" s="1"/>
  <c r="I22" i="1"/>
  <c r="J21" i="1"/>
  <c r="L21" i="1" s="1"/>
  <c r="I21" i="1"/>
  <c r="I20" i="1"/>
  <c r="J20" i="1"/>
  <c r="L20" i="1" s="1"/>
  <c r="H19" i="1"/>
  <c r="G19" i="1"/>
  <c r="F19" i="1"/>
  <c r="E19" i="1"/>
  <c r="C19" i="1"/>
  <c r="I18" i="1"/>
  <c r="J18" i="1"/>
  <c r="L18" i="1" s="1"/>
  <c r="J17" i="1"/>
  <c r="L17" i="1" s="1"/>
  <c r="I17" i="1"/>
  <c r="J16" i="1"/>
  <c r="L16" i="1" s="1"/>
  <c r="I16" i="1"/>
  <c r="I15" i="1"/>
  <c r="H14" i="1"/>
  <c r="G14" i="1"/>
  <c r="F14" i="1"/>
  <c r="E14" i="1"/>
  <c r="C14" i="1"/>
  <c r="J13" i="1"/>
  <c r="L13" i="1" s="1"/>
  <c r="I13" i="1"/>
  <c r="I12" i="1"/>
  <c r="J12" i="1"/>
  <c r="L12" i="1" s="1"/>
  <c r="J11" i="1"/>
  <c r="L11" i="1" s="1"/>
  <c r="I11" i="1"/>
  <c r="J10" i="1"/>
  <c r="L10" i="1" s="1"/>
  <c r="I10" i="1"/>
  <c r="I9" i="1"/>
  <c r="J9" i="1"/>
  <c r="L9" i="1" s="1"/>
  <c r="H8" i="1"/>
  <c r="G8" i="1"/>
  <c r="F8" i="1"/>
  <c r="E8" i="1"/>
  <c r="C8" i="1"/>
  <c r="L55" i="1" l="1"/>
  <c r="L24" i="1"/>
  <c r="L62" i="1"/>
  <c r="K65" i="1"/>
  <c r="K24" i="1"/>
  <c r="L8" i="1"/>
  <c r="L36" i="1"/>
  <c r="L31" i="1"/>
  <c r="L49" i="1"/>
  <c r="L40" i="1"/>
  <c r="L19" i="1"/>
  <c r="J24" i="1"/>
  <c r="I62" i="1"/>
  <c r="K31" i="1"/>
  <c r="K49" i="1"/>
  <c r="I91" i="1"/>
  <c r="K19" i="1"/>
  <c r="J8" i="1"/>
  <c r="H29" i="1"/>
  <c r="J55" i="1"/>
  <c r="I55" i="1"/>
  <c r="K55" i="1"/>
  <c r="I65" i="1"/>
  <c r="I78" i="1"/>
  <c r="K78" i="1"/>
  <c r="K8" i="1"/>
  <c r="D14" i="1"/>
  <c r="J36" i="1"/>
  <c r="J49" i="1"/>
  <c r="J78" i="1"/>
  <c r="L78" i="1"/>
  <c r="K14" i="1"/>
  <c r="I24" i="1"/>
  <c r="J31" i="1"/>
  <c r="I36" i="1"/>
  <c r="K36" i="1"/>
  <c r="I40" i="1"/>
  <c r="K40" i="1"/>
  <c r="H60" i="1"/>
  <c r="I71" i="1"/>
  <c r="K71" i="1"/>
  <c r="C83" i="1"/>
  <c r="G83" i="1"/>
  <c r="G60" i="1"/>
  <c r="J87" i="1"/>
  <c r="J91" i="1" s="1"/>
  <c r="I14" i="1"/>
  <c r="I19" i="1"/>
  <c r="E29" i="1"/>
  <c r="J40" i="1"/>
  <c r="D55" i="1"/>
  <c r="D60" i="1" s="1"/>
  <c r="J70" i="1"/>
  <c r="H83" i="1"/>
  <c r="J15" i="1"/>
  <c r="L15" i="1" s="1"/>
  <c r="L14" i="1" s="1"/>
  <c r="F29" i="1"/>
  <c r="I31" i="1"/>
  <c r="I49" i="1"/>
  <c r="E60" i="1"/>
  <c r="J62" i="1"/>
  <c r="E83" i="1"/>
  <c r="C60" i="1"/>
  <c r="I8" i="1"/>
  <c r="J19" i="1"/>
  <c r="C29" i="1"/>
  <c r="G29" i="1"/>
  <c r="F60" i="1"/>
  <c r="F83" i="1"/>
  <c r="F84" i="1" s="1"/>
  <c r="F92" i="1" s="1"/>
  <c r="F93" i="1" s="1"/>
  <c r="F94" i="1" s="1"/>
  <c r="D91" i="1"/>
  <c r="D83" i="1"/>
  <c r="D19" i="1"/>
  <c r="J77" i="1"/>
  <c r="E84" i="1" l="1"/>
  <c r="E92" i="1" s="1"/>
  <c r="I83" i="1"/>
  <c r="K29" i="1"/>
  <c r="J71" i="1"/>
  <c r="L77" i="1"/>
  <c r="L71" i="1" s="1"/>
  <c r="J65" i="1"/>
  <c r="L70" i="1"/>
  <c r="L65" i="1" s="1"/>
  <c r="D29" i="1"/>
  <c r="D84" i="1" s="1"/>
  <c r="D92" i="1" s="1"/>
  <c r="J60" i="1"/>
  <c r="I60" i="1"/>
  <c r="C84" i="1"/>
  <c r="C92" i="1" s="1"/>
  <c r="H84" i="1"/>
  <c r="G84" i="1"/>
  <c r="G92" i="1" s="1"/>
  <c r="K60" i="1"/>
  <c r="F95" i="1"/>
  <c r="L29" i="1"/>
  <c r="K83" i="1"/>
  <c r="I29" i="1"/>
  <c r="L60" i="1"/>
  <c r="J14" i="1"/>
  <c r="J29" i="1" s="1"/>
  <c r="E93" i="1"/>
  <c r="E94" i="1" s="1"/>
  <c r="G93" i="1"/>
  <c r="G94" i="1" s="1"/>
  <c r="I84" i="1" l="1"/>
  <c r="I92" i="1" s="1"/>
  <c r="I93" i="1" s="1"/>
  <c r="I94" i="1" s="1"/>
  <c r="C93" i="1"/>
  <c r="C94" i="1" s="1"/>
  <c r="J83" i="1"/>
  <c r="J84" i="1" s="1"/>
  <c r="J92" i="1" s="1"/>
  <c r="L83" i="1"/>
  <c r="L84" i="1" s="1"/>
  <c r="H95" i="1"/>
  <c r="K84" i="1"/>
  <c r="J93" i="1"/>
  <c r="J94" i="1" l="1"/>
  <c r="J95" i="1" s="1"/>
  <c r="D94" i="1"/>
  <c r="D95" i="1" s="1"/>
</calcChain>
</file>

<file path=xl/sharedStrings.xml><?xml version="1.0" encoding="utf-8"?>
<sst xmlns="http://schemas.openxmlformats.org/spreadsheetml/2006/main" count="193" uniqueCount="191">
  <si>
    <t>Table 1 - PBF project budget by Outcome, output and activity</t>
  </si>
  <si>
    <t>Outcome/ Output number</t>
  </si>
  <si>
    <t>Outcome/ output/ activity formulation:</t>
  </si>
  <si>
    <t xml:space="preserve">Budget by recipient organization (not including staff, general operating costs and indirect fee) - </t>
  </si>
  <si>
    <t>Any remarks (e.g. on types of inputs provided or budget justification, for example if high TA or travel costs)</t>
  </si>
  <si>
    <t xml:space="preserve">OUTCOME 1: La Justice est restaurée dans sa fonction de pacificatrice sociale à travers une lutte contre l’impunité efficace et le renforcement des capacités de la chaine pénale. </t>
  </si>
  <si>
    <t>Output 1.1:</t>
  </si>
  <si>
    <t xml:space="preserve">Les capacités techniques et opérationnelles de la police sont renforcées en vue d’assurer la protection des populations et la diminution des conflits. </t>
  </si>
  <si>
    <t>Activity 1.1.1</t>
  </si>
  <si>
    <t xml:space="preserve">Appuyer la formation initiale et continue des effectifs de la PNC dans une dimension de respect des droits humains (Formations en Maintien et Rétablissement de l’Ordre Public, Gestes Techniques de Protection et d’Intervention, Règlement Général, Ethique et Déontologie, Police Judiciaire, Droits Humains, Violences Sexuelles et Basées sur le Genre) ; </t>
  </si>
  <si>
    <t>Activity 1.1.2</t>
  </si>
  <si>
    <t xml:space="preserve">Appuyer la sensibilisation et la population à la doctrine de police de proximité ; </t>
  </si>
  <si>
    <t>Activity 1.1.3</t>
  </si>
  <si>
    <t>Réactivation et mise en place de nouveaux organes de concertation entre la police et la population (Comités Locaux de Sécurité sur des formations adaptées) ;</t>
  </si>
  <si>
    <t>Activity 1.1.4</t>
  </si>
  <si>
    <t>Appui logistique des commissariats et sous-commissariat </t>
  </si>
  <si>
    <t>Activity 1.1.5</t>
  </si>
  <si>
    <t xml:space="preserve">Appuyer l’inspection et contrôle interne et externe des commissariats et amigos par les services centraux de la PNC. </t>
  </si>
  <si>
    <t>Output 1.2:</t>
  </si>
  <si>
    <t>L’offre de justice pénale est améliorée ce qui contribue à lutter efficacement contre l’impunité des auteurs de crimes internationaux et/ou graves.</t>
  </si>
  <si>
    <t xml:space="preserve">Activity 1.2.1 </t>
  </si>
  <si>
    <t xml:space="preserve">Renforcer les compétences techniques des magistrats et des avocats en matière pénale et particulièrement sur la procédure pénale, la détention préventive et la poursuite des crimes internationaux et/ou graves ; </t>
  </si>
  <si>
    <t>Activity 1.2.2</t>
  </si>
  <si>
    <t>Renforcer les capacités des officiers de PJ, PTS et DPS </t>
  </si>
  <si>
    <t>Activity 1.2.3</t>
  </si>
  <si>
    <t>Renforcer les capacités institutionnelles et organisationnelles des juridictions civiles et militaires (Cour d’Appel, Tribunal de Grande Instance, Cour Militaire, Auditorat Militaire Supérieur, Tribunal Militaire de Garnison) et des offices sur le management des services judiciaires (planification, budgétisation, statistique, gestion documentaire) </t>
  </si>
  <si>
    <t>Activity 1.2.4</t>
  </si>
  <si>
    <t>Appuyer le fonctionnement des acteurs de la chaine pénale par l’appui technique et logistique des missions d’enquêtes, des audiences foraines et des chambres du conseil.</t>
  </si>
  <si>
    <t>Output 1.3:</t>
  </si>
  <si>
    <t>Les victimes de crimes internationaux et/ou graves et les personnes les plus vulnérables bénéficient d’une assistance judiciaire et juridique de qualité et sont informées sur leurs droits.</t>
  </si>
  <si>
    <t>Activity 1.3.1</t>
  </si>
  <si>
    <t xml:space="preserve">Mettre en place un dispositif de sensibilisation et d'information des justiciables sur les droits humains et les moyens de les faire valoir devant la justice (cliniques juridiques mobiles et Bureaux de Consultations Gratuites) particulièrement pour les personnes en détention préventive et pour les victimes des crimes graves </t>
  </si>
  <si>
    <t>Activity 1.3.2</t>
  </si>
  <si>
    <t>Appuyer l’assistance judiciaire et l’accompagnement juridique des groupes vulnérables notamment les personnes en détention préventive et les victimes de crimes graves ;</t>
  </si>
  <si>
    <t>Activity 1.3.3</t>
  </si>
  <si>
    <t xml:space="preserve">Appuyer le coaching et renforcement des capacités des Organisations de la société civile pour la documentation des crimes graves </t>
  </si>
  <si>
    <t>Activity 1.3.4</t>
  </si>
  <si>
    <t>Journées portes ouvertes des institutions judiciaires civiles et militaires pour créer un lien entre les institutions et les justiciables</t>
  </si>
  <si>
    <t>Output 1.4:</t>
  </si>
  <si>
    <t>La redevabilité des acteurs de la chaine pénale est renforcée et contribue à accroitre la légitimité et la confiance de la population dans les institutions</t>
  </si>
  <si>
    <t>Activity 1.4.1:</t>
  </si>
  <si>
    <t>Appuyer le désengorgement des prisons et des amigos(cachots) à travers les inspections mensuelles de ces milieux carcéraux</t>
  </si>
  <si>
    <t>Activity 1.4.2:</t>
  </si>
  <si>
    <t>Appuyer les visites semestrielles d’inspection et de contrôle (interne et externe) des Cours, Tribunaux et Parquets civils et militaires </t>
  </si>
  <si>
    <t>Activity 1.4.3:</t>
  </si>
  <si>
    <t xml:space="preserve">Appuyer les missions de suivi de la mise en œuvre des recommandations formulées à l’occasion des visites d’inspection </t>
  </si>
  <si>
    <t>Activity 1.4.4:</t>
  </si>
  <si>
    <t>Appuyer les justiciables et les OSCs dans la saisine de la chambre provinciale de discipline afin de poursuivre les magistrats auteurs des fautes</t>
  </si>
  <si>
    <t>TOTAL $ FOR OUTCOME 1:</t>
  </si>
  <si>
    <t xml:space="preserve">OUTCOME 2: Les communautés affectées par le conflit interagissent pacifiquement et partagent une compréhension commune du conflit . </t>
  </si>
  <si>
    <t>Output 2.1:</t>
  </si>
  <si>
    <t>Les individus et les communautés affectées par le conflit disposent d’informations crédibles sur la destinée de leurs membres disparus– droit à la vérité.</t>
  </si>
  <si>
    <t>Activity 2.1.1:</t>
  </si>
  <si>
    <t>Consulter les acteurs et analyser les perceptions et besoins de justice des communautés affectées par le conflit (communautés, institutions, leaders religieux et traditionnels, OSC)</t>
  </si>
  <si>
    <t>Activity 2.1.2:</t>
  </si>
  <si>
    <t xml:space="preserve">Soutenir le processus d’établissement d’une Commission Provinciale Vérité &amp; Réconciliation </t>
  </si>
  <si>
    <t>Activity 2.1.3:</t>
  </si>
  <si>
    <t>Renforcer les capacités techniques et matérielles/logistiques des membres désignés de la Commission Provinciale à travers la fourniture de matériels et d’équipements, l’élaboration d’un plan de travail avec un calendrier déterminé, la formation des membres sur les standards internationaux en matière de justice transitionnelle et leur accompagnement</t>
  </si>
  <si>
    <t>Activity 2.1.4:</t>
  </si>
  <si>
    <t xml:space="preserve">Fournir un appui technique et logistique au processus d’établissement de la Commission Provinciale Vérité &amp; Réconciliation </t>
  </si>
  <si>
    <t>Output 2.2:</t>
  </si>
  <si>
    <t>Activity 2.2.1:</t>
  </si>
  <si>
    <t xml:space="preserve">Organiser des audiences publiques en faveur de la population </t>
  </si>
  <si>
    <t>Activity 2.2.2:</t>
  </si>
  <si>
    <t xml:space="preserve">Appuyer la mise en place d’équipes de réhabilitation psychosociale et réintégration sociale des victimes </t>
  </si>
  <si>
    <t>Activity 2.2.3:</t>
  </si>
  <si>
    <t>Appuyer la mise en place de symboles physiques de mémoire collective (ériger des monuments, placement de stèles) et de matériels de support des archives sur les sites des massacres</t>
  </si>
  <si>
    <t>Output 2.3:</t>
  </si>
  <si>
    <t>Activity 2.3.01</t>
  </si>
  <si>
    <t>Evaluation initiale et mapping des structures communautaires de transformation, prévention et médiation de conflit</t>
  </si>
  <si>
    <t>Activity 2.3.02</t>
  </si>
  <si>
    <t xml:space="preserve">Conflict Scan </t>
  </si>
  <si>
    <t>Activity 2.3.1:</t>
  </si>
  <si>
    <t xml:space="preserve">Formation des membres des 40 Comités Locaux de Paix et Développement (CLPD) ; </t>
  </si>
  <si>
    <t>Activity 2.3.2:</t>
  </si>
  <si>
    <t>Appui institutionnel et coaching continu des 40 CLPD </t>
  </si>
  <si>
    <t>Activity 2.3.3:</t>
  </si>
  <si>
    <t>Retraites provinciales des jeunes leaders à Kananga </t>
  </si>
  <si>
    <t>Activity 2.3.4:</t>
  </si>
  <si>
    <t>Création de réseaux de paix (Peace hotline) </t>
  </si>
  <si>
    <t>Activity 2.3.5:</t>
  </si>
  <si>
    <t>Appui à 20 initiatives communautaires de jeunes (Peace Youth Lead Initiatives)</t>
  </si>
  <si>
    <t xml:space="preserve">Activité 2.3.6 </t>
  </si>
  <si>
    <t xml:space="preserve">Création et encadrement de Comités de Parents et d'élèves </t>
  </si>
  <si>
    <t>Output 2.4:</t>
  </si>
  <si>
    <t>Activity 2.4.1:</t>
  </si>
  <si>
    <t>Formation des médias partenaires sur le journalisme sensible aux conflits </t>
  </si>
  <si>
    <t>Activity 2.4.2:</t>
  </si>
  <si>
    <t xml:space="preserve">Dotation en équipements/matériels de production aux radios partenaires </t>
  </si>
  <si>
    <t>Activity 2.4.3:</t>
  </si>
  <si>
    <t xml:space="preserve">Production et diffusion des 70 tables-rondes radiophoniques sur les thèmes de coexistence pacifique </t>
  </si>
  <si>
    <t>Activity 2.4.4:</t>
  </si>
  <si>
    <t xml:space="preserve">Production et diffusion de 12 spots radios/TV par an </t>
  </si>
  <si>
    <t>Activity 2.4.5:</t>
  </si>
  <si>
    <t>Mise en place des 30 clubs d’écoute au sein des communautés avec 12 membres chacun</t>
  </si>
  <si>
    <t>Output 2.5:</t>
  </si>
  <si>
    <t>Activity 2.5.1:</t>
  </si>
  <si>
    <t>Identifier, recenser et analyser les mécanismes alternatifs de résolution de conflit en vue de définir une stratégie de développement et de suivi des MARC</t>
  </si>
  <si>
    <t>Activity 2.5.2:</t>
  </si>
  <si>
    <t>Diffuser les meilleures pratiques en matière de règlement alternatif des conflits au sein des Comités Locaux de Paix et Développement (CLPD)</t>
  </si>
  <si>
    <t>Activity 2.5.3:</t>
  </si>
  <si>
    <t>Appuyer des rencontres entre les acteurs de la justice formelles et les animateurs des MARC</t>
  </si>
  <si>
    <t>Activity 2.5.4:</t>
  </si>
  <si>
    <t>Appuyer la mise en œuvre d’un mécanisme de suivi des activités des MARC</t>
  </si>
  <si>
    <t>TOTAL $ FOR OUTCOME 2:</t>
  </si>
  <si>
    <t>OUTCOME 3: Les échanges commerciaux entre les communautés sont redynamisés et contribuent à la réintégration socioéconomique des personnes affectées par le conflit</t>
  </si>
  <si>
    <t>Output 3.1:</t>
  </si>
  <si>
    <t>Les communautés locales (porteuse de droits) et les institutions et autorités locales (porteuses d’obligations) prennent conscience des droits économiques sociaux et culturels et des modalités pour les réaliser de manière démocratique</t>
  </si>
  <si>
    <t>Activity 3.1.1:</t>
  </si>
  <si>
    <t xml:space="preserve">Sensibilisation des autorités provinciales et locales (porteur d’obligations) et populations (détenteur de droits) sur la mise en place d’un écosystème favorable au développement de l’activité économique au niveau local, mais également sur les droits économiques et sociaux ainsi que sur les approches fondées sur les droits humains la redevabilité, non-discrimination, transparence, dignité humaine, appropriation et recours mis à la disposition des bénéficiaires ; 
</t>
  </si>
  <si>
    <t>need to be covered by other resources</t>
  </si>
  <si>
    <t>Activity 3.1.2:</t>
  </si>
  <si>
    <t xml:space="preserve">Sensibilisation des bénéficiaires sur le suivi de la mise en œuvre des politiques mises en œuvre et notamment l’audit social de la gestion des différentes initiatives (consultation dans l’identification des infrastructures d’intérêt commun à réhabiliter, consultation pour la réhabilitation des routes des dessertes agricoles pour l’accès aux marchés, la construction des infrastructures de stockage et d'écoulement des produits agricoles identifiés, la consultation et la participation dans la structuration des coopératives agricoles et l’accompagnement dans l'accès aux marchés aux fins d’appropriation ; et la mise à leur disposition d’une information complète et de qualité sur la création des micros entreprises agricoles et non agricoles locale). </t>
  </si>
  <si>
    <t>Output 3.2:</t>
  </si>
  <si>
    <t>L’accessibilité aux marchés et aux infrastructures de base est améliorée et permet la création d’emplois temporaires pour les personnes affectées par le conflit (déplacés, retournés, et victimes de violences…)</t>
  </si>
  <si>
    <t>Activity 3.2.1:</t>
  </si>
  <si>
    <t>Mobilisation communautaire et identification des infrastructures d’intérêt commun à réhabiliter </t>
  </si>
  <si>
    <t>Orienté vers la relance de l'économie locale en particulier l'agrobusiness</t>
  </si>
  <si>
    <t>Activity 3.2.2:</t>
  </si>
  <si>
    <t xml:space="preserve">Réhabilitation des routes des dessertes agricoles pour l’accès aux marchés par les communautés affectées et les parties prenantes au conflit </t>
  </si>
  <si>
    <t xml:space="preserve">Travaux HIMO pour la réfection de 400 km de routes par 800 personnes pendant 100 jours à un taux de 3 USD par personne et par jour. Cela inclus aussi les frais de suivi, de construction et d'achats de matériels et d'équipements. </t>
  </si>
  <si>
    <t>Activity 3.2.3:</t>
  </si>
  <si>
    <t>Réhabilitation/construction des infrastructures de stockage et d'écoulement des produits agricoles identifiés par les communautés affectées et les parties prenantes au conflit</t>
  </si>
  <si>
    <t>Construction de 300 mètres cubes de stockage pour un cout unitaire de 200 USD</t>
  </si>
  <si>
    <t>Activity 3.2.4:</t>
  </si>
  <si>
    <t>Structuration des coopératives agricoles et accompagnement dans l'accès aux marchés et mise à contribution des partenaires divers et appui à l'écosystème local et renforcement des capacités </t>
  </si>
  <si>
    <t>Appui technique, sensibilisation, dotations d'équipements et organisation d'ateliers</t>
  </si>
  <si>
    <t>Activity 3.2.5:</t>
  </si>
  <si>
    <t>Appui à la création des micros entreprises agricoles et non agricoles locale</t>
  </si>
  <si>
    <t>Accompagnement technique et microsubvention aux bénéficiaires</t>
  </si>
  <si>
    <t>Output 3.3:</t>
  </si>
  <si>
    <t>La productivité des agriculteurs/trices est améliorée par l’adoption des meilleures pratiques agricoles afin de réduire les tensions liées à la rareté des ressources</t>
  </si>
  <si>
    <t>Activity 3.3.1:</t>
  </si>
  <si>
    <t>Identification participative des chaines des valeurs porteuses dans les zones ciblées en faveur des personnes touchées par les conflits </t>
  </si>
  <si>
    <t>Ateliers et missions</t>
  </si>
  <si>
    <t>Activity 3.3.2:</t>
  </si>
  <si>
    <t xml:space="preserve">Diagnostic des filières sélectionnées et évaluation des solutions permettant l'écoulement aux marchés ; </t>
  </si>
  <si>
    <t xml:space="preserve">Etudes et ateliers </t>
  </si>
  <si>
    <t>Activity 3.3.3:</t>
  </si>
  <si>
    <t>Aménagement des terrains et gestion des bassins versants et des infrastructures de gestion de l'eau </t>
  </si>
  <si>
    <t xml:space="preserve">Travaux de génie civil et agroforestrie </t>
  </si>
  <si>
    <t>Activity 3.3.4:</t>
  </si>
  <si>
    <t>Accompagnement pour la diffusion des meilleures pratiques agricoles de cultures, de conservation et de transformation </t>
  </si>
  <si>
    <t xml:space="preserve">Sensibilisation, appui technique et travaux communautaires </t>
  </si>
  <si>
    <t>Activity 3.3.5:</t>
  </si>
  <si>
    <t>Dotation des matériels et intrants agricoles et dotation des outils de surveillance climatiques (Kit météorologiques) et pédologiques</t>
  </si>
  <si>
    <t xml:space="preserve">Achats </t>
  </si>
  <si>
    <t>Activity 3.3.6:</t>
  </si>
  <si>
    <t>Activités d’élevage au bénéfice des ménages, y inclus des jeunes au Kasaï Central</t>
  </si>
  <si>
    <t>Achats; formations; accompagnement technique</t>
  </si>
  <si>
    <t>Output 3.4:</t>
  </si>
  <si>
    <t>Les populations affectées par le conflit (en priorité les déplacés, les retournés et les victimes), en particulier les femmes et les jeunes, ont accès aux services financiers de proximité grâce à une meilleure structuration en groupe d’épargne (MUSO/AVEC)</t>
  </si>
  <si>
    <t>Activity 3.4.1:</t>
  </si>
  <si>
    <t>Sensibilisation communautaire pour la constitution des MUSO </t>
  </si>
  <si>
    <t>Activity 3.4.2:</t>
  </si>
  <si>
    <t>Structuration et Formation des animateurs endogènes sur les techniques et outils pour la mise en place et accompagnement de groupes d’épargne </t>
  </si>
  <si>
    <t>Ateliers, missions, appui technique</t>
  </si>
  <si>
    <t>Activity 3.4.3</t>
  </si>
  <si>
    <t>Appui aux radios communautaire et à la cohésion sociale  </t>
  </si>
  <si>
    <t xml:space="preserve">Accompagnement technique et microsubventions aux bénéficiaires </t>
  </si>
  <si>
    <t>Activity 3.4.4</t>
  </si>
  <si>
    <t xml:space="preserve">Structuration, formation/accompagnement des MUSO sur les thématiques de l’éducation financière, la gestion financière, la gestion de réunions, ainsi que sur des thèmes transversaux (leadership, prévention de conflits, nutrition, etc) </t>
  </si>
  <si>
    <t xml:space="preserve">Accompagnement technique ; Ateliers et formations </t>
  </si>
  <si>
    <t>TOTAL $ FOR OUTCOME 3:</t>
  </si>
  <si>
    <t>TOTAL FOR ACTIVITIES</t>
  </si>
  <si>
    <t>Project personnel / operational costs if not included in activities above</t>
  </si>
  <si>
    <t>Communication (0,5%)</t>
  </si>
  <si>
    <t>Suivi et Evaluation (7,5%)</t>
  </si>
  <si>
    <t>Coordination du programme: evaluation externe &amp; sondage de perception (37%)</t>
  </si>
  <si>
    <t>Suivi et Evaluation par chaque agence de mise en œuvre (21%)</t>
  </si>
  <si>
    <t>SS&amp;E et Coordination par le STAREC (42%)</t>
  </si>
  <si>
    <t>TOTAL FOR OPERATIONS</t>
  </si>
  <si>
    <t>SUB-TOTAL PROJECT BUDGET:</t>
  </si>
  <si>
    <t>Indirect support costs (7%):</t>
  </si>
  <si>
    <t>TOTAL PROJECT BUDGET:</t>
  </si>
  <si>
    <t>UNDP Budget</t>
  </si>
  <si>
    <t xml:space="preserve"> BCNUDH Budget</t>
  </si>
  <si>
    <t>SFCG Budget</t>
  </si>
  <si>
    <t>Total planned Budget</t>
  </si>
  <si>
    <t>Budget for each output reserved for direct action on gender eqaulity (if any):</t>
  </si>
  <si>
    <t>Annex D - PAJURR PBF Project Budget and Expenditures as of 15 Novembre 2020</t>
  </si>
  <si>
    <t>UNDP Expenses as of 15 Novembre 2020</t>
  </si>
  <si>
    <t xml:space="preserve"> BCNUDH Expenses as of 15 Novembre 2020</t>
  </si>
  <si>
    <t>SFCG Expenses as of 15 Novembre 2020</t>
  </si>
  <si>
    <t xml:space="preserve">Total Expenses as of 15 Novembre 2020 </t>
  </si>
  <si>
    <t>Executed budget for each output reserved for direct action on gender eqaulity (if any) as of Novembre 2020:</t>
  </si>
  <si>
    <t>Les préjudices subis par les communautés sont publiquement reconnus à travers la mise en place d’un mécanisme de réparation matérielle et/ou symbolique </t>
  </si>
  <si>
    <r>
      <t>Les structures locales de la prévention et transformation de conflit ont la capacité, la crédibilité et l’opportunité de s’engager dans la transformation du conflit et la médiation</t>
    </r>
    <r>
      <rPr>
        <b/>
        <sz val="14"/>
        <color theme="1"/>
        <rFont val="Times New Roman"/>
        <family val="1"/>
      </rPr>
      <t> </t>
    </r>
  </si>
  <si>
    <r>
      <t>L’accès à l’information relative à la transformation du conflit et à la médiation par les communautés au Kasaï Central est amélioré</t>
    </r>
    <r>
      <rPr>
        <b/>
        <sz val="14"/>
        <color theme="1"/>
        <rFont val="Times New Roman"/>
        <family val="1"/>
      </rPr>
      <t> </t>
    </r>
    <r>
      <rPr>
        <b/>
        <sz val="14"/>
        <color rgb="FF000000"/>
        <rFont val="Times New Roman"/>
        <family val="1"/>
      </rPr>
      <t>.</t>
    </r>
  </si>
  <si>
    <r>
      <t>Les mécanismes alternatifs de résolution des conflits et les institutions judiciaires travaillent en complémentarité en vue d’assurer la cohésion sociale et d’améliorer l’accès à la justice pour les groupes vulnérables</t>
    </r>
    <r>
      <rPr>
        <b/>
        <sz val="14"/>
        <color theme="1"/>
        <rFont val="Times New Roman"/>
        <family val="1"/>
      </rPr>
      <t> </t>
    </r>
  </si>
  <si>
    <t>DISBURSEMENT RATE (by Agency and total) as of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</si>
</sst>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409]* #,##0.00_ ;_-[$$-409]* \-#,##0.00\ ;_-[$$-409]* &quot;-&quot;??_ ;_-@_ "/>
    <numFmt numFmtId="165" formatCode="#,##0.00_ ;\-#,##0.00\ "/>
    <numFmt numFmtId="166" formatCode="_([$$-409]* #,##0.00_);_([$$-409]* \(#,##0.00\);_([$$-409]* &quot;-&quot;??_);_(@_)"/>
  </numFmts>
  <fonts count="10"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sz val="14"/>
      <color theme="1"/>
      <name val="Times New Roman"/>
      <family val="1"/>
    </font>
    <font>
      <i/>
      <sz val="14"/>
      <color theme="1"/>
      <name val="Times New Roman"/>
      <family val="1"/>
    </font>
    <font>
      <b/>
      <sz val="14"/>
      <color rgb="FF000000"/>
      <name val="Times New Roman"/>
      <family val="1"/>
    </font>
    <font>
      <sz val="14"/>
      <color rgb="FF000000"/>
      <name val="Times New Roman"/>
      <family val="1"/>
    </font>
    <font>
      <sz val="14"/>
      <name val="Times New Roman"/>
      <family val="1"/>
    </font>
    <font>
      <b/>
      <sz val="14"/>
      <color rgb="FF000000"/>
      <name val="Century Gothic"/>
      <family val="2"/>
    </font>
  </fonts>
  <fills count="13">
    <fill>
      <patternFill patternType="none"/>
    </fill>
    <fill>
      <patternFill patternType="gray125"/>
    </fill>
    <fill>
      <patternFill patternType="solid">
        <fgColor theme="8"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6" tint="0.39997558519241921"/>
        <bgColor indexed="64"/>
      </patternFill>
    </fill>
    <fill>
      <patternFill patternType="solid">
        <fgColor theme="5"/>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diagonal/>
    </border>
    <border>
      <left/>
      <right style="medium">
        <color indexed="64"/>
      </right>
      <top style="medium">
        <color theme="1"/>
      </top>
      <bottom/>
      <diagonal/>
    </border>
    <border>
      <left style="medium">
        <color indexed="64"/>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right/>
      <top style="medium">
        <color theme="1"/>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5">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164" fontId="0" fillId="0" borderId="0" xfId="0" applyNumberFormat="1"/>
    <xf numFmtId="165" fontId="0" fillId="0" borderId="0" xfId="0" applyNumberFormat="1"/>
    <xf numFmtId="166" fontId="0" fillId="0" borderId="0" xfId="0" applyNumberFormat="1"/>
    <xf numFmtId="9" fontId="0" fillId="0" borderId="0" xfId="1" applyFont="1"/>
    <xf numFmtId="43" fontId="0" fillId="0" borderId="0" xfId="2" applyFont="1"/>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2" borderId="12"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left" vertical="center" wrapText="1"/>
    </xf>
    <xf numFmtId="164" fontId="3" fillId="2" borderId="12" xfId="0" applyNumberFormat="1" applyFont="1" applyFill="1" applyBorder="1" applyAlignment="1">
      <alignment vertical="center" wrapText="1"/>
    </xf>
    <xf numFmtId="164" fontId="3" fillId="2" borderId="14" xfId="0" applyNumberFormat="1" applyFont="1" applyFill="1" applyBorder="1" applyAlignment="1">
      <alignment vertical="center" wrapText="1"/>
    </xf>
    <xf numFmtId="164" fontId="3" fillId="10" borderId="14" xfId="0" applyNumberFormat="1" applyFont="1" applyFill="1" applyBorder="1" applyAlignment="1">
      <alignment vertical="center" wrapText="1"/>
    </xf>
    <xf numFmtId="164" fontId="3" fillId="11" borderId="14" xfId="0" applyNumberFormat="1" applyFont="1" applyFill="1" applyBorder="1" applyAlignment="1">
      <alignment vertical="center" wrapText="1"/>
    </xf>
    <xf numFmtId="164" fontId="3" fillId="2" borderId="13" xfId="0" applyNumberFormat="1" applyFont="1" applyFill="1" applyBorder="1" applyAlignment="1">
      <alignment vertical="center" wrapText="1"/>
    </xf>
    <xf numFmtId="164" fontId="3" fillId="3" borderId="10" xfId="0" applyNumberFormat="1" applyFont="1" applyFill="1" applyBorder="1" applyAlignment="1">
      <alignment vertical="center" wrapText="1"/>
    </xf>
    <xf numFmtId="164" fontId="4" fillId="0" borderId="2" xfId="0" applyNumberFormat="1" applyFont="1" applyBorder="1" applyAlignment="1">
      <alignment horizontal="center" vertical="center" wrapText="1"/>
    </xf>
    <xf numFmtId="0" fontId="3" fillId="0" borderId="16" xfId="0" applyFont="1" applyBorder="1" applyAlignment="1">
      <alignment vertical="center" wrapText="1"/>
    </xf>
    <xf numFmtId="0" fontId="4" fillId="0" borderId="0" xfId="0" applyFont="1" applyFill="1" applyAlignment="1">
      <alignment vertical="center" wrapText="1"/>
    </xf>
    <xf numFmtId="0" fontId="5" fillId="0" borderId="17" xfId="0" applyFont="1" applyBorder="1" applyAlignment="1">
      <alignment horizontal="center" vertical="center" wrapText="1"/>
    </xf>
    <xf numFmtId="164" fontId="4" fillId="2" borderId="19" xfId="0" applyNumberFormat="1" applyFont="1" applyFill="1" applyBorder="1" applyAlignment="1">
      <alignment horizontal="justify" vertical="center" wrapText="1"/>
    </xf>
    <xf numFmtId="164" fontId="3" fillId="10" borderId="18" xfId="0" applyNumberFormat="1" applyFont="1" applyFill="1" applyBorder="1" applyAlignment="1">
      <alignment horizontal="justify" vertical="center" wrapText="1"/>
    </xf>
    <xf numFmtId="164" fontId="4" fillId="2" borderId="20" xfId="0" applyNumberFormat="1" applyFont="1" applyFill="1" applyBorder="1" applyAlignment="1">
      <alignment horizontal="justify" vertical="center" wrapText="1"/>
    </xf>
    <xf numFmtId="164" fontId="4" fillId="11" borderId="21" xfId="0" applyNumberFormat="1" applyFont="1" applyFill="1" applyBorder="1" applyAlignment="1">
      <alignment horizontal="justify" vertical="center" wrapText="1"/>
    </xf>
    <xf numFmtId="164" fontId="3" fillId="3" borderId="23" xfId="0" applyNumberFormat="1" applyFont="1" applyFill="1" applyBorder="1" applyAlignment="1">
      <alignment vertical="center" wrapText="1"/>
    </xf>
    <xf numFmtId="9" fontId="4" fillId="0" borderId="21" xfId="0" applyNumberFormat="1" applyFont="1" applyBorder="1" applyAlignment="1">
      <alignment horizontal="center" vertical="center" wrapText="1"/>
    </xf>
    <xf numFmtId="0" fontId="4" fillId="0" borderId="25" xfId="0" applyFont="1" applyBorder="1" applyAlignment="1">
      <alignment vertical="center" wrapText="1"/>
    </xf>
    <xf numFmtId="0" fontId="5" fillId="0" borderId="26" xfId="0" applyFont="1" applyBorder="1" applyAlignment="1">
      <alignment horizontal="center" vertical="center" wrapText="1"/>
    </xf>
    <xf numFmtId="0" fontId="4" fillId="0" borderId="27" xfId="0" applyFont="1" applyBorder="1" applyAlignment="1">
      <alignment horizontal="left" vertical="center" wrapText="1"/>
    </xf>
    <xf numFmtId="9" fontId="4" fillId="0" borderId="59" xfId="0" applyNumberFormat="1" applyFont="1" applyBorder="1" applyAlignment="1">
      <alignment horizontal="center" vertical="center" wrapText="1"/>
    </xf>
    <xf numFmtId="0" fontId="4" fillId="0" borderId="30" xfId="0" applyFont="1" applyBorder="1" applyAlignment="1">
      <alignment vertical="center" wrapText="1"/>
    </xf>
    <xf numFmtId="0" fontId="4" fillId="0" borderId="27" xfId="0" applyFont="1" applyBorder="1" applyAlignment="1">
      <alignment vertical="center" wrapText="1"/>
    </xf>
    <xf numFmtId="0" fontId="5" fillId="0" borderId="31" xfId="0" applyFont="1" applyBorder="1" applyAlignment="1">
      <alignment horizontal="center" vertical="center" wrapText="1"/>
    </xf>
    <xf numFmtId="0" fontId="4" fillId="0" borderId="32" xfId="0" applyFont="1" applyBorder="1" applyAlignment="1">
      <alignment vertical="center" wrapText="1"/>
    </xf>
    <xf numFmtId="164" fontId="4" fillId="2" borderId="34" xfId="0" applyNumberFormat="1" applyFont="1" applyFill="1" applyBorder="1" applyAlignment="1">
      <alignment horizontal="justify" vertical="center" wrapText="1"/>
    </xf>
    <xf numFmtId="0" fontId="6" fillId="4" borderId="13" xfId="0" applyFont="1" applyFill="1" applyBorder="1" applyAlignment="1">
      <alignment vertical="center" wrapText="1"/>
    </xf>
    <xf numFmtId="164" fontId="3" fillId="11" borderId="13" xfId="0" applyNumberFormat="1" applyFont="1" applyFill="1" applyBorder="1" applyAlignment="1">
      <alignment vertical="center" wrapText="1"/>
    </xf>
    <xf numFmtId="164" fontId="3" fillId="2" borderId="10" xfId="0" applyNumberFormat="1" applyFont="1" applyFill="1" applyBorder="1" applyAlignment="1">
      <alignment vertical="center" wrapText="1"/>
    </xf>
    <xf numFmtId="164" fontId="3" fillId="3" borderId="15" xfId="0" applyNumberFormat="1" applyFont="1" applyFill="1" applyBorder="1" applyAlignment="1">
      <alignment vertical="center" wrapText="1"/>
    </xf>
    <xf numFmtId="0" fontId="4" fillId="0" borderId="16" xfId="0" applyFont="1" applyBorder="1" applyAlignment="1">
      <alignment vertical="center" wrapText="1"/>
    </xf>
    <xf numFmtId="0" fontId="5" fillId="0" borderId="35" xfId="0" applyFont="1" applyBorder="1" applyAlignment="1">
      <alignment horizontal="center" vertical="center" wrapText="1"/>
    </xf>
    <xf numFmtId="0" fontId="4" fillId="0" borderId="4" xfId="0" applyFont="1" applyBorder="1" applyAlignment="1">
      <alignment vertical="center" wrapText="1"/>
    </xf>
    <xf numFmtId="164" fontId="4" fillId="2" borderId="19" xfId="0" applyNumberFormat="1" applyFont="1" applyFill="1" applyBorder="1" applyAlignment="1">
      <alignment vertical="center" wrapText="1"/>
    </xf>
    <xf numFmtId="164" fontId="4" fillId="11" borderId="18" xfId="0" applyNumberFormat="1" applyFont="1" applyFill="1" applyBorder="1" applyAlignment="1">
      <alignment vertical="center" wrapText="1"/>
    </xf>
    <xf numFmtId="0" fontId="5" fillId="0" borderId="28" xfId="0" applyFont="1" applyBorder="1" applyAlignment="1">
      <alignment horizontal="center" vertical="center" wrapText="1"/>
    </xf>
    <xf numFmtId="0" fontId="4" fillId="0" borderId="37" xfId="0" applyFont="1" applyBorder="1" applyAlignment="1">
      <alignment vertical="center" wrapText="1"/>
    </xf>
    <xf numFmtId="164" fontId="4" fillId="2" borderId="38" xfId="0" applyNumberFormat="1" applyFont="1" applyFill="1" applyBorder="1" applyAlignment="1">
      <alignment vertical="center" wrapText="1"/>
    </xf>
    <xf numFmtId="164" fontId="4" fillId="11" borderId="27" xfId="0" applyNumberFormat="1" applyFont="1" applyFill="1" applyBorder="1" applyAlignment="1">
      <alignment vertical="center" wrapText="1"/>
    </xf>
    <xf numFmtId="0" fontId="4" fillId="0" borderId="39" xfId="0" applyFont="1" applyBorder="1" applyAlignment="1">
      <alignment vertical="center" wrapText="1"/>
    </xf>
    <xf numFmtId="0" fontId="5" fillId="0" borderId="40" xfId="0" applyFont="1" applyBorder="1" applyAlignment="1">
      <alignment horizontal="center" vertical="center" wrapText="1"/>
    </xf>
    <xf numFmtId="0" fontId="4" fillId="0" borderId="9" xfId="0" applyFont="1" applyBorder="1" applyAlignment="1">
      <alignment vertical="center" wrapText="1"/>
    </xf>
    <xf numFmtId="164" fontId="4" fillId="2" borderId="42" xfId="0" applyNumberFormat="1" applyFont="1" applyFill="1" applyBorder="1" applyAlignment="1">
      <alignment vertical="center" wrapText="1"/>
    </xf>
    <xf numFmtId="164" fontId="4" fillId="11" borderId="43" xfId="0" applyNumberFormat="1" applyFont="1" applyFill="1" applyBorder="1" applyAlignment="1">
      <alignment vertical="center" wrapText="1"/>
    </xf>
    <xf numFmtId="0" fontId="4" fillId="0" borderId="45" xfId="0" applyFont="1" applyBorder="1" applyAlignment="1">
      <alignment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vertical="center" wrapText="1"/>
    </xf>
    <xf numFmtId="9" fontId="4" fillId="0" borderId="2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9" fontId="4" fillId="0" borderId="46" xfId="0" applyNumberFormat="1" applyFont="1" applyBorder="1" applyAlignment="1">
      <alignment horizontal="center" vertical="center" wrapText="1"/>
    </xf>
    <xf numFmtId="164" fontId="3" fillId="10" borderId="12" xfId="0" applyNumberFormat="1" applyFont="1" applyFill="1" applyBorder="1" applyAlignment="1">
      <alignment vertical="center" wrapText="1"/>
    </xf>
    <xf numFmtId="164" fontId="3" fillId="11" borderId="12" xfId="0" applyNumberFormat="1" applyFont="1" applyFill="1" applyBorder="1" applyAlignment="1">
      <alignment vertical="center" wrapText="1"/>
    </xf>
    <xf numFmtId="164" fontId="3" fillId="3" borderId="12" xfId="0" applyNumberFormat="1" applyFont="1" applyFill="1" applyBorder="1" applyAlignment="1">
      <alignment vertical="center" wrapText="1"/>
    </xf>
    <xf numFmtId="164" fontId="4" fillId="0" borderId="15" xfId="0" applyNumberFormat="1" applyFont="1" applyBorder="1" applyAlignment="1">
      <alignment horizontal="center" vertical="center" wrapText="1"/>
    </xf>
    <xf numFmtId="0" fontId="4" fillId="0" borderId="18" xfId="0" applyFont="1" applyBorder="1" applyAlignment="1">
      <alignment vertical="center" wrapText="1"/>
    </xf>
    <xf numFmtId="164" fontId="4" fillId="2" borderId="20" xfId="0" applyNumberFormat="1" applyFont="1" applyFill="1" applyBorder="1" applyAlignment="1">
      <alignment vertical="center" wrapText="1"/>
    </xf>
    <xf numFmtId="164" fontId="4" fillId="11" borderId="21" xfId="0" applyNumberFormat="1" applyFont="1" applyFill="1" applyBorder="1" applyAlignment="1">
      <alignment vertical="center" wrapText="1"/>
    </xf>
    <xf numFmtId="0" fontId="5" fillId="0" borderId="48" xfId="0" applyFont="1" applyBorder="1" applyAlignment="1">
      <alignment horizontal="center" vertical="center" wrapText="1"/>
    </xf>
    <xf numFmtId="0" fontId="4" fillId="0" borderId="43" xfId="0" applyFont="1" applyBorder="1" applyAlignment="1">
      <alignment vertical="center" wrapText="1"/>
    </xf>
    <xf numFmtId="164" fontId="4" fillId="2" borderId="33" xfId="0" applyNumberFormat="1" applyFont="1" applyFill="1" applyBorder="1" applyAlignment="1">
      <alignment vertical="center" wrapText="1"/>
    </xf>
    <xf numFmtId="164" fontId="4" fillId="11" borderId="0" xfId="0" applyNumberFormat="1" applyFont="1" applyFill="1" applyAlignment="1">
      <alignment vertical="center" wrapText="1"/>
    </xf>
    <xf numFmtId="164" fontId="3" fillId="5" borderId="14" xfId="0" applyNumberFormat="1" applyFont="1" applyFill="1" applyBorder="1" applyAlignment="1">
      <alignment vertical="center" wrapText="1"/>
    </xf>
    <xf numFmtId="164" fontId="3" fillId="5" borderId="16" xfId="0" applyNumberFormat="1" applyFont="1" applyFill="1" applyBorder="1" applyAlignment="1">
      <alignment vertical="center" wrapText="1"/>
    </xf>
    <xf numFmtId="9" fontId="3" fillId="0" borderId="16" xfId="1" applyFont="1" applyFill="1" applyBorder="1" applyAlignment="1">
      <alignment horizontal="center" vertical="center" wrapText="1"/>
    </xf>
    <xf numFmtId="0" fontId="7" fillId="0" borderId="49" xfId="0" applyFont="1" applyBorder="1" applyAlignment="1">
      <alignment vertical="center" wrapText="1"/>
    </xf>
    <xf numFmtId="164" fontId="4" fillId="10" borderId="19" xfId="0" applyNumberFormat="1" applyFont="1" applyFill="1" applyBorder="1" applyAlignment="1">
      <alignment vertical="center" wrapText="1"/>
    </xf>
    <xf numFmtId="164" fontId="4" fillId="10" borderId="38" xfId="0" applyNumberFormat="1" applyFont="1" applyFill="1" applyBorder="1" applyAlignment="1">
      <alignment vertical="center" wrapText="1"/>
    </xf>
    <xf numFmtId="9" fontId="4" fillId="0" borderId="52" xfId="0" applyNumberFormat="1" applyFont="1" applyBorder="1" applyAlignment="1">
      <alignment horizontal="center" vertical="center" wrapText="1"/>
    </xf>
    <xf numFmtId="0" fontId="4" fillId="0" borderId="53" xfId="0" applyFont="1" applyBorder="1" applyAlignment="1">
      <alignment vertical="center" wrapText="1"/>
    </xf>
    <xf numFmtId="9" fontId="4" fillId="0" borderId="26" xfId="0" applyNumberFormat="1" applyFont="1" applyBorder="1" applyAlignment="1">
      <alignment horizontal="center" vertical="center" wrapText="1"/>
    </xf>
    <xf numFmtId="164" fontId="4" fillId="10" borderId="42" xfId="0" applyNumberFormat="1" applyFont="1" applyFill="1" applyBorder="1" applyAlignment="1">
      <alignment vertical="center" wrapText="1"/>
    </xf>
    <xf numFmtId="164" fontId="4" fillId="2" borderId="34" xfId="0" applyNumberFormat="1" applyFont="1" applyFill="1" applyBorder="1" applyAlignment="1">
      <alignment vertical="center" wrapText="1"/>
    </xf>
    <xf numFmtId="164" fontId="4" fillId="0" borderId="0" xfId="0" applyNumberFormat="1" applyFont="1" applyAlignment="1">
      <alignment vertical="center" wrapText="1"/>
    </xf>
    <xf numFmtId="0" fontId="3" fillId="4" borderId="12" xfId="0" applyFont="1" applyFill="1" applyBorder="1" applyAlignment="1">
      <alignment horizontal="left" vertical="center" wrapText="1"/>
    </xf>
    <xf numFmtId="164" fontId="4" fillId="10" borderId="18" xfId="0" applyNumberFormat="1" applyFont="1" applyFill="1" applyBorder="1" applyAlignment="1">
      <alignment vertical="center" wrapText="1"/>
    </xf>
    <xf numFmtId="164" fontId="4" fillId="2" borderId="55" xfId="0" applyNumberFormat="1" applyFont="1" applyFill="1" applyBorder="1" applyAlignment="1">
      <alignment vertical="center" wrapText="1"/>
    </xf>
    <xf numFmtId="164" fontId="3" fillId="2" borderId="56"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164" fontId="3" fillId="10" borderId="1" xfId="0" applyNumberFormat="1" applyFont="1" applyFill="1" applyBorder="1" applyAlignment="1">
      <alignment vertical="center" wrapText="1"/>
    </xf>
    <xf numFmtId="164" fontId="3" fillId="11" borderId="1" xfId="0" applyNumberFormat="1" applyFont="1" applyFill="1" applyBorder="1" applyAlignment="1">
      <alignment vertical="center" wrapText="1"/>
    </xf>
    <xf numFmtId="164" fontId="3" fillId="3" borderId="39" xfId="0" applyNumberFormat="1" applyFont="1" applyFill="1" applyBorder="1" applyAlignment="1">
      <alignment vertical="center" wrapText="1"/>
    </xf>
    <xf numFmtId="0" fontId="7" fillId="0" borderId="43" xfId="0" applyFont="1" applyBorder="1" applyAlignment="1">
      <alignment vertical="center" wrapText="1"/>
    </xf>
    <xf numFmtId="164" fontId="4" fillId="10" borderId="49" xfId="0" applyNumberFormat="1" applyFont="1" applyFill="1" applyBorder="1" applyAlignment="1">
      <alignment vertical="center" wrapText="1"/>
    </xf>
    <xf numFmtId="9" fontId="4" fillId="0" borderId="41" xfId="0" applyNumberFormat="1" applyFont="1" applyBorder="1" applyAlignment="1">
      <alignment horizontal="center" vertical="center" wrapText="1"/>
    </xf>
    <xf numFmtId="0" fontId="4" fillId="0" borderId="60" xfId="0" applyFont="1" applyBorder="1" applyAlignment="1">
      <alignment vertical="center" wrapText="1"/>
    </xf>
    <xf numFmtId="0" fontId="5" fillId="0" borderId="42" xfId="0" applyFont="1" applyBorder="1" applyAlignment="1">
      <alignment horizontal="center" vertical="center" wrapText="1"/>
    </xf>
    <xf numFmtId="164" fontId="4" fillId="10" borderId="43" xfId="0" applyNumberFormat="1" applyFont="1" applyFill="1" applyBorder="1" applyAlignment="1">
      <alignment vertical="center" wrapText="1"/>
    </xf>
    <xf numFmtId="164" fontId="4" fillId="11" borderId="57" xfId="0" applyNumberFormat="1" applyFont="1" applyFill="1" applyBorder="1" applyAlignment="1">
      <alignment vertical="center" wrapText="1"/>
    </xf>
    <xf numFmtId="9" fontId="4" fillId="0" borderId="24" xfId="1" applyFont="1" applyBorder="1" applyAlignment="1">
      <alignment horizontal="center" vertical="center" wrapText="1"/>
    </xf>
    <xf numFmtId="164" fontId="3" fillId="5" borderId="13" xfId="0" applyNumberFormat="1" applyFont="1" applyFill="1" applyBorder="1" applyAlignment="1">
      <alignment vertical="center" wrapText="1"/>
    </xf>
    <xf numFmtId="164" fontId="3" fillId="5" borderId="10" xfId="0" applyNumberFormat="1" applyFont="1" applyFill="1" applyBorder="1" applyAlignment="1">
      <alignment vertical="center" wrapText="1"/>
    </xf>
    <xf numFmtId="164" fontId="4" fillId="2" borderId="38" xfId="1" applyNumberFormat="1" applyFont="1" applyFill="1" applyBorder="1" applyAlignment="1">
      <alignment vertical="center" wrapText="1"/>
    </xf>
    <xf numFmtId="0" fontId="4" fillId="0" borderId="38" xfId="0" applyFont="1" applyBorder="1" applyAlignment="1">
      <alignment vertical="center" wrapText="1"/>
    </xf>
    <xf numFmtId="164" fontId="3" fillId="5" borderId="12" xfId="0" applyNumberFormat="1" applyFont="1" applyFill="1" applyBorder="1" applyAlignment="1">
      <alignment vertical="center" wrapText="1"/>
    </xf>
    <xf numFmtId="164" fontId="3" fillId="6" borderId="12" xfId="0" applyNumberFormat="1" applyFont="1" applyFill="1" applyBorder="1" applyAlignment="1">
      <alignment vertical="center" wrapText="1"/>
    </xf>
    <xf numFmtId="164" fontId="3" fillId="0" borderId="10" xfId="0" applyNumberFormat="1" applyFont="1" applyFill="1" applyBorder="1" applyAlignment="1">
      <alignment vertical="center" wrapText="1"/>
    </xf>
    <xf numFmtId="0" fontId="3" fillId="0" borderId="24" xfId="0" applyFont="1" applyBorder="1" applyAlignment="1">
      <alignment horizontal="center" vertical="center" wrapText="1"/>
    </xf>
    <xf numFmtId="0" fontId="3" fillId="0" borderId="19" xfId="0" applyFont="1" applyBorder="1" applyAlignment="1">
      <alignment vertical="center" wrapText="1"/>
    </xf>
    <xf numFmtId="164" fontId="3" fillId="0" borderId="29" xfId="0" applyNumberFormat="1" applyFont="1" applyBorder="1" applyAlignment="1">
      <alignment horizontal="center" vertical="center" wrapText="1"/>
    </xf>
    <xf numFmtId="0" fontId="3" fillId="0" borderId="38" xfId="0" applyFont="1" applyBorder="1" applyAlignment="1">
      <alignment vertical="center" wrapText="1"/>
    </xf>
    <xf numFmtId="0" fontId="4" fillId="0" borderId="29" xfId="0" applyFont="1" applyBorder="1" applyAlignment="1">
      <alignment horizontal="center" vertical="center" wrapText="1"/>
    </xf>
    <xf numFmtId="164" fontId="4" fillId="10" borderId="27" xfId="0" applyNumberFormat="1" applyFont="1" applyFill="1" applyBorder="1" applyAlignment="1">
      <alignment vertical="center" wrapText="1"/>
    </xf>
    <xf numFmtId="164" fontId="3" fillId="6" borderId="14" xfId="0" applyNumberFormat="1" applyFont="1" applyFill="1" applyBorder="1" applyAlignment="1">
      <alignment vertical="center" wrapText="1"/>
    </xf>
    <xf numFmtId="164" fontId="3" fillId="10" borderId="13" xfId="0" applyNumberFormat="1" applyFont="1" applyFill="1" applyBorder="1" applyAlignment="1">
      <alignment vertical="center" wrapText="1"/>
    </xf>
    <xf numFmtId="164" fontId="3" fillId="11" borderId="2" xfId="0" applyNumberFormat="1" applyFont="1" applyFill="1" applyBorder="1" applyAlignment="1">
      <alignment vertical="center" wrapText="1"/>
    </xf>
    <xf numFmtId="164" fontId="3" fillId="6" borderId="10" xfId="0" applyNumberFormat="1" applyFont="1" applyFill="1" applyBorder="1" applyAlignment="1">
      <alignment vertical="center" wrapText="1"/>
    </xf>
    <xf numFmtId="0" fontId="3" fillId="0" borderId="29" xfId="0" applyFont="1" applyBorder="1" applyAlignment="1">
      <alignment horizontal="center" vertical="center" wrapText="1"/>
    </xf>
    <xf numFmtId="164" fontId="8" fillId="2" borderId="39" xfId="0" applyNumberFormat="1" applyFont="1" applyFill="1" applyBorder="1" applyAlignment="1">
      <alignment vertical="center" wrapText="1"/>
    </xf>
    <xf numFmtId="164" fontId="4" fillId="2" borderId="53" xfId="0" applyNumberFormat="1" applyFont="1" applyFill="1" applyBorder="1" applyAlignment="1">
      <alignment vertical="center" wrapText="1"/>
    </xf>
    <xf numFmtId="164" fontId="3" fillId="8" borderId="68" xfId="0" applyNumberFormat="1" applyFont="1" applyFill="1" applyBorder="1" applyAlignment="1">
      <alignment vertical="center" wrapText="1"/>
    </xf>
    <xf numFmtId="164" fontId="3" fillId="8" borderId="69" xfId="0" applyNumberFormat="1" applyFont="1" applyFill="1" applyBorder="1" applyAlignment="1">
      <alignment vertical="center" wrapText="1"/>
    </xf>
    <xf numFmtId="164" fontId="3" fillId="10" borderId="70" xfId="0" applyNumberFormat="1" applyFont="1" applyFill="1" applyBorder="1" applyAlignment="1">
      <alignment vertical="center" wrapText="1"/>
    </xf>
    <xf numFmtId="164" fontId="3" fillId="11" borderId="71" xfId="0" applyNumberFormat="1" applyFont="1" applyFill="1" applyBorder="1" applyAlignment="1">
      <alignment vertical="center" wrapText="1"/>
    </xf>
    <xf numFmtId="164" fontId="3" fillId="8" borderId="72" xfId="0" applyNumberFormat="1" applyFont="1" applyFill="1" applyBorder="1" applyAlignment="1">
      <alignment vertical="center" wrapText="1"/>
    </xf>
    <xf numFmtId="164" fontId="3" fillId="7" borderId="73" xfId="0" applyNumberFormat="1" applyFont="1" applyFill="1" applyBorder="1" applyAlignment="1">
      <alignment vertical="center" wrapText="1"/>
    </xf>
    <xf numFmtId="0" fontId="3" fillId="9" borderId="63" xfId="0" applyFont="1" applyFill="1" applyBorder="1" applyAlignment="1">
      <alignment vertical="center" wrapText="1"/>
    </xf>
    <xf numFmtId="9" fontId="3" fillId="9" borderId="63" xfId="1" applyFont="1" applyFill="1" applyBorder="1" applyAlignment="1">
      <alignment horizontal="center" vertical="center" wrapText="1"/>
    </xf>
    <xf numFmtId="9" fontId="3" fillId="9" borderId="62" xfId="1" applyFont="1" applyFill="1" applyBorder="1" applyAlignment="1">
      <alignment horizontal="center" vertical="center" wrapText="1"/>
    </xf>
    <xf numFmtId="0" fontId="3" fillId="9" borderId="65" xfId="0" applyFont="1" applyFill="1" applyBorder="1" applyAlignment="1">
      <alignment vertical="center" wrapText="1"/>
    </xf>
    <xf numFmtId="0" fontId="4" fillId="0" borderId="0" xfId="0" applyFont="1" applyFill="1" applyAlignment="1">
      <alignment horizontal="center" vertical="center" wrapText="1"/>
    </xf>
    <xf numFmtId="9" fontId="9" fillId="0" borderId="0" xfId="0" applyNumberFormat="1" applyFont="1" applyAlignment="1">
      <alignment horizontal="left"/>
    </xf>
    <xf numFmtId="164" fontId="4" fillId="12" borderId="17" xfId="0" applyNumberFormat="1" applyFont="1" applyFill="1" applyBorder="1" applyAlignment="1">
      <alignment vertical="center" wrapText="1"/>
    </xf>
    <xf numFmtId="164" fontId="4" fillId="12" borderId="54" xfId="0" applyNumberFormat="1" applyFont="1" applyFill="1" applyBorder="1" applyAlignment="1">
      <alignment vertical="center" wrapText="1"/>
    </xf>
    <xf numFmtId="164" fontId="4" fillId="12" borderId="19" xfId="0" applyNumberFormat="1" applyFont="1" applyFill="1" applyBorder="1" applyAlignment="1">
      <alignment vertical="center" wrapText="1"/>
    </xf>
    <xf numFmtId="164" fontId="4" fillId="12" borderId="33" xfId="0" applyNumberFormat="1" applyFont="1" applyFill="1" applyBorder="1" applyAlignment="1">
      <alignment vertical="center" wrapText="1"/>
    </xf>
    <xf numFmtId="164" fontId="4" fillId="12" borderId="38" xfId="0" applyNumberFormat="1" applyFont="1" applyFill="1" applyBorder="1" applyAlignment="1">
      <alignment vertical="center" wrapText="1"/>
    </xf>
    <xf numFmtId="164" fontId="4" fillId="12" borderId="42" xfId="0" applyNumberFormat="1" applyFont="1" applyFill="1" applyBorder="1" applyAlignment="1">
      <alignment vertical="center" wrapText="1"/>
    </xf>
    <xf numFmtId="164" fontId="4" fillId="12" borderId="38" xfId="1" applyNumberFormat="1" applyFont="1" applyFill="1" applyBorder="1" applyAlignment="1">
      <alignment vertical="center" wrapText="1"/>
    </xf>
    <xf numFmtId="0" fontId="3" fillId="12" borderId="16" xfId="0" applyFont="1" applyFill="1" applyBorder="1" applyAlignment="1">
      <alignment horizontal="center" vertical="center" wrapText="1"/>
    </xf>
    <xf numFmtId="0" fontId="5" fillId="0" borderId="74" xfId="0" applyFont="1" applyBorder="1" applyAlignment="1">
      <alignment horizontal="center" vertical="center" wrapText="1"/>
    </xf>
    <xf numFmtId="0" fontId="4" fillId="0" borderId="75" xfId="0" applyFont="1" applyBorder="1" applyAlignment="1">
      <alignment horizontal="left" vertical="center" wrapText="1"/>
    </xf>
    <xf numFmtId="164" fontId="4" fillId="12" borderId="20" xfId="0" applyNumberFormat="1" applyFont="1" applyFill="1" applyBorder="1" applyAlignment="1">
      <alignment horizontal="justify" vertical="center" wrapText="1"/>
    </xf>
    <xf numFmtId="164" fontId="3" fillId="10" borderId="75" xfId="0" applyNumberFormat="1" applyFont="1" applyFill="1" applyBorder="1" applyAlignment="1">
      <alignment horizontal="justify" vertical="center" wrapText="1"/>
    </xf>
    <xf numFmtId="164" fontId="4" fillId="11" borderId="76" xfId="0" applyNumberFormat="1" applyFont="1" applyFill="1" applyBorder="1" applyAlignment="1">
      <alignment horizontal="justify" vertical="center" wrapText="1"/>
    </xf>
    <xf numFmtId="164" fontId="3" fillId="3" borderId="4" xfId="0" applyNumberFormat="1" applyFont="1" applyFill="1" applyBorder="1" applyAlignment="1">
      <alignment vertical="center" wrapText="1"/>
    </xf>
    <xf numFmtId="9" fontId="4" fillId="0" borderId="76" xfId="0" applyNumberFormat="1" applyFont="1" applyBorder="1" applyAlignment="1">
      <alignment horizontal="center" vertical="center" wrapText="1"/>
    </xf>
    <xf numFmtId="0" fontId="4" fillId="0" borderId="77" xfId="0" applyFont="1" applyBorder="1" applyAlignment="1">
      <alignment vertical="center" wrapText="1"/>
    </xf>
    <xf numFmtId="0" fontId="4" fillId="0" borderId="0" xfId="0" applyFont="1" applyBorder="1" applyAlignment="1">
      <alignment vertical="center" wrapText="1"/>
    </xf>
    <xf numFmtId="164" fontId="4" fillId="12" borderId="34" xfId="0" applyNumberFormat="1" applyFont="1" applyFill="1" applyBorder="1" applyAlignment="1">
      <alignment vertical="center" wrapText="1"/>
    </xf>
    <xf numFmtId="164" fontId="3" fillId="10" borderId="78" xfId="0" applyNumberFormat="1" applyFont="1" applyFill="1" applyBorder="1" applyAlignment="1">
      <alignment horizontal="justify" vertical="center" wrapText="1"/>
    </xf>
    <xf numFmtId="164" fontId="4" fillId="11" borderId="79" xfId="0" applyNumberFormat="1" applyFont="1" applyFill="1" applyBorder="1" applyAlignment="1">
      <alignment horizontal="justify" vertical="center" wrapText="1"/>
    </xf>
    <xf numFmtId="164" fontId="3" fillId="3" borderId="80" xfId="0" applyNumberFormat="1" applyFont="1" applyFill="1" applyBorder="1" applyAlignment="1">
      <alignment vertical="center" wrapText="1"/>
    </xf>
    <xf numFmtId="9" fontId="4" fillId="0" borderId="81" xfId="0" applyNumberFormat="1" applyFont="1" applyBorder="1" applyAlignment="1">
      <alignment horizontal="center" vertical="center" wrapText="1"/>
    </xf>
    <xf numFmtId="164" fontId="4" fillId="12" borderId="12" xfId="0" applyNumberFormat="1" applyFont="1" applyFill="1" applyBorder="1" applyAlignment="1">
      <alignment vertical="center" wrapText="1"/>
    </xf>
    <xf numFmtId="164" fontId="4" fillId="2" borderId="14" xfId="0" applyNumberFormat="1" applyFont="1" applyFill="1" applyBorder="1" applyAlignment="1">
      <alignment vertical="center" wrapText="1"/>
    </xf>
    <xf numFmtId="9" fontId="4" fillId="0" borderId="48" xfId="0" applyNumberFormat="1" applyFont="1" applyBorder="1" applyAlignment="1">
      <alignment horizontal="center" vertical="center" wrapText="1"/>
    </xf>
    <xf numFmtId="164" fontId="8" fillId="12" borderId="33" xfId="0" applyNumberFormat="1" applyFont="1" applyFill="1" applyBorder="1" applyAlignment="1">
      <alignment vertical="center" wrapText="1"/>
    </xf>
    <xf numFmtId="164" fontId="4" fillId="12" borderId="20" xfId="0" applyNumberFormat="1" applyFont="1" applyFill="1" applyBorder="1" applyAlignment="1">
      <alignment vertical="center" wrapText="1"/>
    </xf>
    <xf numFmtId="164" fontId="4" fillId="10" borderId="20" xfId="0" applyNumberFormat="1" applyFont="1" applyFill="1" applyBorder="1" applyAlignment="1">
      <alignment vertical="center" wrapText="1"/>
    </xf>
    <xf numFmtId="9" fontId="4" fillId="0" borderId="20" xfId="0" applyNumberFormat="1" applyFont="1" applyBorder="1" applyAlignment="1">
      <alignment horizontal="center" vertical="center" wrapText="1"/>
    </xf>
    <xf numFmtId="9" fontId="4" fillId="0" borderId="55" xfId="0" applyNumberFormat="1" applyFont="1" applyBorder="1" applyAlignment="1">
      <alignment horizontal="center" vertical="center" wrapText="1"/>
    </xf>
    <xf numFmtId="164" fontId="8" fillId="12" borderId="19" xfId="0" applyNumberFormat="1" applyFont="1" applyFill="1" applyBorder="1" applyAlignment="1">
      <alignment vertical="center" wrapText="1"/>
    </xf>
    <xf numFmtId="164" fontId="8" fillId="12" borderId="38" xfId="0" applyNumberFormat="1" applyFont="1" applyFill="1" applyBorder="1" applyAlignment="1">
      <alignment vertical="center" wrapText="1"/>
    </xf>
    <xf numFmtId="9" fontId="3" fillId="9" borderId="63" xfId="0" applyNumberFormat="1" applyFont="1" applyFill="1" applyBorder="1" applyAlignment="1">
      <alignment horizontal="center" vertical="center" wrapText="1"/>
    </xf>
    <xf numFmtId="164" fontId="3" fillId="6" borderId="83" xfId="0" applyNumberFormat="1" applyFont="1" applyFill="1" applyBorder="1" applyAlignment="1">
      <alignment vertical="center" wrapText="1"/>
    </xf>
    <xf numFmtId="164" fontId="3" fillId="10" borderId="83" xfId="0" applyNumberFormat="1" applyFont="1" applyFill="1" applyBorder="1" applyAlignment="1">
      <alignment vertical="center" wrapText="1"/>
    </xf>
    <xf numFmtId="164" fontId="3" fillId="11" borderId="83" xfId="0" applyNumberFormat="1" applyFont="1" applyFill="1" applyBorder="1" applyAlignment="1">
      <alignment vertical="center" wrapText="1"/>
    </xf>
    <xf numFmtId="164" fontId="3" fillId="6" borderId="5" xfId="0" applyNumberFormat="1" applyFont="1" applyFill="1" applyBorder="1" applyAlignment="1">
      <alignment vertical="center" wrapText="1"/>
    </xf>
    <xf numFmtId="164" fontId="3" fillId="3" borderId="85" xfId="0" applyNumberFormat="1" applyFont="1" applyFill="1" applyBorder="1" applyAlignment="1">
      <alignment vertical="center" wrapText="1"/>
    </xf>
    <xf numFmtId="164" fontId="3" fillId="2" borderId="80" xfId="0" applyNumberFormat="1" applyFont="1" applyFill="1" applyBorder="1" applyAlignment="1">
      <alignment vertical="center" wrapText="1"/>
    </xf>
    <xf numFmtId="164" fontId="3" fillId="3" borderId="38" xfId="0" applyNumberFormat="1" applyFont="1" applyFill="1" applyBorder="1" applyAlignment="1">
      <alignment vertical="center" wrapText="1"/>
    </xf>
    <xf numFmtId="164" fontId="8" fillId="12" borderId="20" xfId="0" applyNumberFormat="1" applyFont="1" applyFill="1" applyBorder="1" applyAlignment="1">
      <alignment vertical="center" wrapText="1"/>
    </xf>
    <xf numFmtId="164" fontId="4" fillId="11" borderId="20" xfId="0" applyNumberFormat="1" applyFont="1" applyFill="1" applyBorder="1" applyAlignment="1">
      <alignment vertical="center" wrapText="1"/>
    </xf>
    <xf numFmtId="164" fontId="3" fillId="3" borderId="77" xfId="0" applyNumberFormat="1" applyFont="1" applyFill="1" applyBorder="1" applyAlignment="1">
      <alignment vertical="center" wrapText="1"/>
    </xf>
    <xf numFmtId="164" fontId="8" fillId="12" borderId="55" xfId="0" applyNumberFormat="1" applyFont="1" applyFill="1" applyBorder="1" applyAlignment="1">
      <alignment vertical="center" wrapText="1"/>
    </xf>
    <xf numFmtId="164" fontId="4" fillId="10" borderId="55" xfId="0" applyNumberFormat="1" applyFont="1" applyFill="1" applyBorder="1" applyAlignment="1">
      <alignment vertical="center" wrapText="1"/>
    </xf>
    <xf numFmtId="164" fontId="4" fillId="11" borderId="55" xfId="0" applyNumberFormat="1" applyFont="1" applyFill="1" applyBorder="1" applyAlignment="1">
      <alignment vertical="center" wrapText="1"/>
    </xf>
    <xf numFmtId="164" fontId="3" fillId="3" borderId="45" xfId="0" applyNumberFormat="1" applyFont="1" applyFill="1" applyBorder="1" applyAlignment="1">
      <alignment vertical="center" wrapText="1"/>
    </xf>
    <xf numFmtId="164" fontId="4" fillId="2" borderId="22"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4" fillId="2" borderId="28" xfId="0" applyNumberFormat="1" applyFont="1" applyFill="1" applyBorder="1" applyAlignment="1">
      <alignment vertical="center" wrapText="1"/>
    </xf>
    <xf numFmtId="164" fontId="4" fillId="3" borderId="23" xfId="0" applyNumberFormat="1" applyFont="1" applyFill="1" applyBorder="1" applyAlignment="1">
      <alignment vertical="center" wrapText="1"/>
    </xf>
    <xf numFmtId="164" fontId="4" fillId="2" borderId="23" xfId="0" applyNumberFormat="1" applyFont="1" applyFill="1" applyBorder="1" applyAlignment="1">
      <alignment vertical="center" wrapText="1"/>
    </xf>
    <xf numFmtId="164" fontId="4" fillId="3" borderId="36" xfId="0" applyNumberFormat="1" applyFont="1" applyFill="1" applyBorder="1" applyAlignment="1">
      <alignment vertical="center" wrapText="1"/>
    </xf>
    <xf numFmtId="164" fontId="4" fillId="2" borderId="37" xfId="0" applyNumberFormat="1" applyFont="1" applyFill="1" applyBorder="1" applyAlignment="1">
      <alignment vertical="center" wrapText="1"/>
    </xf>
    <xf numFmtId="164" fontId="4" fillId="2" borderId="9" xfId="0" applyNumberFormat="1" applyFont="1" applyFill="1" applyBorder="1" applyAlignment="1">
      <alignment vertical="center" wrapText="1"/>
    </xf>
    <xf numFmtId="164" fontId="4" fillId="3" borderId="44"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164" fontId="4" fillId="3" borderId="37" xfId="0" applyNumberFormat="1" applyFont="1" applyFill="1" applyBorder="1" applyAlignment="1">
      <alignment vertical="center" wrapText="1"/>
    </xf>
    <xf numFmtId="164" fontId="4" fillId="3" borderId="47" xfId="0" applyNumberFormat="1" applyFont="1" applyFill="1" applyBorder="1" applyAlignment="1">
      <alignment vertical="center" wrapText="1"/>
    </xf>
    <xf numFmtId="164" fontId="4" fillId="2" borderId="50" xfId="0" applyNumberFormat="1" applyFont="1" applyFill="1" applyBorder="1" applyAlignment="1">
      <alignment vertical="center" wrapText="1"/>
    </xf>
    <xf numFmtId="164" fontId="4" fillId="3" borderId="51" xfId="0" applyNumberFormat="1" applyFont="1" applyFill="1" applyBorder="1" applyAlignment="1">
      <alignment vertical="center" wrapText="1"/>
    </xf>
    <xf numFmtId="164" fontId="4" fillId="2" borderId="35" xfId="0" applyNumberFormat="1" applyFont="1" applyFill="1" applyBorder="1" applyAlignment="1">
      <alignment vertical="center" wrapText="1"/>
    </xf>
    <xf numFmtId="164" fontId="4" fillId="2" borderId="40" xfId="0" applyNumberFormat="1" applyFont="1" applyFill="1" applyBorder="1" applyAlignment="1">
      <alignment vertical="center" wrapText="1"/>
    </xf>
    <xf numFmtId="164" fontId="4" fillId="3" borderId="50" xfId="0" applyNumberFormat="1" applyFont="1" applyFill="1" applyBorder="1" applyAlignment="1">
      <alignment vertical="center" wrapText="1"/>
    </xf>
    <xf numFmtId="164" fontId="4" fillId="2" borderId="58" xfId="0" applyNumberFormat="1" applyFont="1" applyFill="1" applyBorder="1" applyAlignment="1">
      <alignment vertical="center" wrapText="1"/>
    </xf>
    <xf numFmtId="164" fontId="4" fillId="3" borderId="39" xfId="0" applyNumberFormat="1" applyFont="1" applyFill="1" applyBorder="1" applyAlignment="1">
      <alignment vertical="center" wrapText="1"/>
    </xf>
    <xf numFmtId="164" fontId="3" fillId="2" borderId="83" xfId="0" applyNumberFormat="1" applyFont="1" applyFill="1" applyBorder="1" applyAlignment="1">
      <alignment vertical="center" wrapText="1"/>
    </xf>
    <xf numFmtId="164" fontId="3" fillId="2" borderId="61" xfId="0" applyNumberFormat="1" applyFont="1" applyFill="1" applyBorder="1" applyAlignment="1">
      <alignment vertical="center" wrapText="1"/>
    </xf>
    <xf numFmtId="164" fontId="3" fillId="10" borderId="61" xfId="0" applyNumberFormat="1" applyFont="1" applyFill="1" applyBorder="1" applyAlignment="1">
      <alignment vertical="center" wrapText="1"/>
    </xf>
    <xf numFmtId="164" fontId="3" fillId="11" borderId="61" xfId="0" applyNumberFormat="1" applyFont="1" applyFill="1" applyBorder="1" applyAlignment="1">
      <alignment vertical="center" wrapText="1"/>
    </xf>
    <xf numFmtId="164" fontId="3" fillId="2" borderId="84" xfId="0" applyNumberFormat="1" applyFont="1" applyFill="1" applyBorder="1" applyAlignment="1">
      <alignment vertical="center" wrapText="1"/>
    </xf>
    <xf numFmtId="164" fontId="3" fillId="3" borderId="83" xfId="0" applyNumberFormat="1" applyFont="1" applyFill="1" applyBorder="1" applyAlignment="1">
      <alignment vertical="center" wrapText="1"/>
    </xf>
    <xf numFmtId="164" fontId="4" fillId="0" borderId="86" xfId="0" applyNumberFormat="1" applyFont="1" applyBorder="1" applyAlignment="1">
      <alignment horizontal="center" vertical="center" wrapText="1"/>
    </xf>
    <xf numFmtId="9" fontId="4" fillId="0" borderId="38" xfId="0" applyNumberFormat="1" applyFont="1" applyBorder="1" applyAlignment="1">
      <alignment horizontal="center" vertical="center" wrapText="1"/>
    </xf>
    <xf numFmtId="164" fontId="4" fillId="2" borderId="20"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164" fontId="4" fillId="2" borderId="55" xfId="0" applyNumberFormat="1" applyFont="1" applyFill="1" applyBorder="1" applyAlignment="1">
      <alignment horizontal="center" vertical="center" wrapText="1"/>
    </xf>
    <xf numFmtId="164" fontId="4" fillId="3" borderId="55" xfId="0" applyNumberFormat="1" applyFont="1" applyFill="1" applyBorder="1" applyAlignment="1">
      <alignment horizontal="center" vertical="center" wrapText="1"/>
    </xf>
    <xf numFmtId="0" fontId="3" fillId="4" borderId="83" xfId="0" applyFont="1" applyFill="1" applyBorder="1" applyAlignment="1">
      <alignment horizontal="center" vertical="center" wrapText="1"/>
    </xf>
    <xf numFmtId="0" fontId="6" fillId="4" borderId="84" xfId="0" applyFont="1" applyFill="1" applyBorder="1" applyAlignment="1">
      <alignment vertical="center" wrapText="1"/>
    </xf>
    <xf numFmtId="0" fontId="4" fillId="0" borderId="88" xfId="0" applyFont="1" applyBorder="1" applyAlignment="1">
      <alignment vertical="center" wrapText="1"/>
    </xf>
    <xf numFmtId="0" fontId="7" fillId="0" borderId="20" xfId="0" applyFont="1" applyBorder="1" applyAlignment="1">
      <alignment horizontal="left" vertical="center" wrapText="1"/>
    </xf>
    <xf numFmtId="164" fontId="3" fillId="3" borderId="20" xfId="0" applyNumberFormat="1" applyFont="1" applyFill="1" applyBorder="1" applyAlignment="1">
      <alignment vertical="center" wrapText="1"/>
    </xf>
    <xf numFmtId="0" fontId="4" fillId="0" borderId="55" xfId="0" applyFont="1" applyBorder="1" applyAlignment="1">
      <alignment horizontal="justify" vertical="center"/>
    </xf>
    <xf numFmtId="164" fontId="3" fillId="3" borderId="55" xfId="0" applyNumberFormat="1" applyFont="1" applyFill="1" applyBorder="1" applyAlignment="1">
      <alignment vertical="center" wrapText="1"/>
    </xf>
    <xf numFmtId="0" fontId="3" fillId="4" borderId="54" xfId="0" applyFont="1" applyFill="1" applyBorder="1" applyAlignment="1">
      <alignment horizontal="center" vertical="center" wrapText="1"/>
    </xf>
    <xf numFmtId="0" fontId="3" fillId="4" borderId="49" xfId="0" applyFont="1" applyFill="1" applyBorder="1" applyAlignment="1">
      <alignment vertical="center" wrapText="1"/>
    </xf>
    <xf numFmtId="164" fontId="3" fillId="2" borderId="54" xfId="1" applyNumberFormat="1" applyFont="1" applyFill="1" applyBorder="1" applyAlignment="1">
      <alignment vertical="center" wrapText="1"/>
    </xf>
    <xf numFmtId="164" fontId="3" fillId="10" borderId="54" xfId="1" applyNumberFormat="1" applyFont="1" applyFill="1" applyBorder="1" applyAlignment="1">
      <alignment vertical="center" wrapText="1"/>
    </xf>
    <xf numFmtId="164" fontId="3" fillId="11" borderId="54" xfId="1" applyNumberFormat="1" applyFont="1" applyFill="1" applyBorder="1" applyAlignment="1">
      <alignment vertical="center" wrapText="1"/>
    </xf>
    <xf numFmtId="164" fontId="3" fillId="3" borderId="58" xfId="1" applyNumberFormat="1" applyFont="1" applyFill="1" applyBorder="1" applyAlignment="1">
      <alignment vertical="center" wrapText="1"/>
    </xf>
    <xf numFmtId="164" fontId="4" fillId="0" borderId="33" xfId="0" applyNumberFormat="1" applyFont="1" applyBorder="1" applyAlignment="1">
      <alignment horizontal="center" vertical="center" wrapText="1"/>
    </xf>
    <xf numFmtId="164" fontId="4" fillId="10" borderId="38" xfId="1" applyNumberFormat="1" applyFont="1" applyFill="1" applyBorder="1" applyAlignment="1">
      <alignment vertical="center" wrapText="1"/>
    </xf>
    <xf numFmtId="164" fontId="4" fillId="11" borderId="38" xfId="1" applyNumberFormat="1" applyFont="1" applyFill="1" applyBorder="1" applyAlignment="1">
      <alignment vertical="center" wrapText="1"/>
    </xf>
    <xf numFmtId="164" fontId="4" fillId="3" borderId="38" xfId="1" applyNumberFormat="1" applyFont="1" applyFill="1" applyBorder="1" applyAlignment="1">
      <alignment vertical="center" wrapText="1"/>
    </xf>
    <xf numFmtId="164" fontId="4" fillId="3" borderId="38" xfId="0" applyNumberFormat="1" applyFont="1" applyFill="1" applyBorder="1" applyAlignment="1">
      <alignment vertical="center" wrapText="1"/>
    </xf>
    <xf numFmtId="0" fontId="4" fillId="0" borderId="20" xfId="0" applyFont="1" applyBorder="1" applyAlignment="1">
      <alignment vertical="center" wrapText="1"/>
    </xf>
    <xf numFmtId="164" fontId="4" fillId="2" borderId="20" xfId="1" applyNumberFormat="1" applyFont="1" applyFill="1" applyBorder="1" applyAlignment="1">
      <alignment vertical="center" wrapText="1"/>
    </xf>
    <xf numFmtId="164" fontId="4" fillId="12" borderId="20" xfId="1" applyNumberFormat="1" applyFont="1" applyFill="1" applyBorder="1" applyAlignment="1">
      <alignment vertical="center" wrapText="1"/>
    </xf>
    <xf numFmtId="164" fontId="4" fillId="10" borderId="20" xfId="1" applyNumberFormat="1" applyFont="1" applyFill="1" applyBorder="1" applyAlignment="1">
      <alignment vertical="center" wrapText="1"/>
    </xf>
    <xf numFmtId="164" fontId="4" fillId="11" borderId="20" xfId="1" applyNumberFormat="1" applyFont="1" applyFill="1" applyBorder="1" applyAlignment="1">
      <alignment vertical="center" wrapText="1"/>
    </xf>
    <xf numFmtId="164" fontId="4" fillId="3" borderId="20" xfId="1" applyNumberFormat="1" applyFont="1" applyFill="1" applyBorder="1" applyAlignment="1">
      <alignment vertical="center" wrapText="1"/>
    </xf>
    <xf numFmtId="164" fontId="4" fillId="3" borderId="20" xfId="0" applyNumberFormat="1" applyFont="1" applyFill="1" applyBorder="1" applyAlignment="1">
      <alignment vertical="center" wrapText="1"/>
    </xf>
    <xf numFmtId="0" fontId="4" fillId="0" borderId="55" xfId="0" applyFont="1" applyBorder="1" applyAlignment="1">
      <alignment vertical="center" wrapText="1"/>
    </xf>
    <xf numFmtId="164" fontId="4" fillId="2" borderId="55" xfId="1" applyNumberFormat="1" applyFont="1" applyFill="1" applyBorder="1" applyAlignment="1">
      <alignment vertical="center" wrapText="1"/>
    </xf>
    <xf numFmtId="164" fontId="4" fillId="12" borderId="55" xfId="1" applyNumberFormat="1" applyFont="1" applyFill="1" applyBorder="1" applyAlignment="1">
      <alignment vertical="center" wrapText="1"/>
    </xf>
    <xf numFmtId="164" fontId="4" fillId="10" borderId="55" xfId="1" applyNumberFormat="1" applyFont="1" applyFill="1" applyBorder="1" applyAlignment="1">
      <alignment vertical="center" wrapText="1"/>
    </xf>
    <xf numFmtId="164" fontId="4" fillId="11" borderId="55" xfId="1" applyNumberFormat="1" applyFont="1" applyFill="1" applyBorder="1" applyAlignment="1">
      <alignment vertical="center" wrapText="1"/>
    </xf>
    <xf numFmtId="164" fontId="4" fillId="3" borderId="55" xfId="1" applyNumberFormat="1" applyFont="1" applyFill="1" applyBorder="1" applyAlignment="1">
      <alignment vertical="center" wrapText="1"/>
    </xf>
    <xf numFmtId="164" fontId="4" fillId="3" borderId="55" xfId="0" applyNumberFormat="1" applyFont="1" applyFill="1" applyBorder="1" applyAlignment="1">
      <alignment vertical="center" wrapText="1"/>
    </xf>
    <xf numFmtId="164" fontId="3" fillId="3" borderId="39" xfId="1" applyNumberFormat="1" applyFont="1" applyFill="1" applyBorder="1" applyAlignment="1">
      <alignment vertical="center" wrapText="1"/>
    </xf>
    <xf numFmtId="164" fontId="4" fillId="0" borderId="52" xfId="0" applyNumberFormat="1" applyFont="1" applyBorder="1" applyAlignment="1">
      <alignment horizontal="center" vertical="center" wrapText="1"/>
    </xf>
    <xf numFmtId="164" fontId="3" fillId="5" borderId="87" xfId="0" applyNumberFormat="1" applyFont="1" applyFill="1" applyBorder="1" applyAlignment="1">
      <alignment vertical="center" wrapText="1"/>
    </xf>
    <xf numFmtId="164" fontId="3" fillId="10" borderId="87" xfId="0" applyNumberFormat="1" applyFont="1" applyFill="1" applyBorder="1" applyAlignment="1">
      <alignment vertical="center" wrapText="1"/>
    </xf>
    <xf numFmtId="164" fontId="3" fillId="11" borderId="87" xfId="0" applyNumberFormat="1" applyFont="1" applyFill="1" applyBorder="1" applyAlignment="1">
      <alignment vertical="center" wrapText="1"/>
    </xf>
    <xf numFmtId="164" fontId="3" fillId="0" borderId="90" xfId="0" applyNumberFormat="1" applyFont="1" applyBorder="1" applyAlignment="1">
      <alignment horizontal="center" vertical="center" wrapText="1"/>
    </xf>
    <xf numFmtId="0" fontId="3" fillId="0" borderId="89" xfId="0" applyFont="1" applyBorder="1" applyAlignment="1">
      <alignment vertical="center" wrapText="1"/>
    </xf>
    <xf numFmtId="164" fontId="4" fillId="2" borderId="39" xfId="0" applyNumberFormat="1" applyFont="1" applyFill="1" applyBorder="1" applyAlignment="1">
      <alignment vertical="center" wrapText="1"/>
    </xf>
    <xf numFmtId="164" fontId="3" fillId="12" borderId="12" xfId="0" applyNumberFormat="1" applyFont="1" applyFill="1" applyBorder="1" applyAlignment="1">
      <alignment vertical="center" wrapText="1"/>
    </xf>
    <xf numFmtId="0" fontId="4" fillId="0" borderId="57" xfId="0" applyFont="1" applyBorder="1" applyAlignment="1">
      <alignment horizontal="left"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49" xfId="0" applyFont="1" applyBorder="1" applyAlignment="1">
      <alignment horizontal="left" vertical="center" wrapText="1"/>
    </xf>
    <xf numFmtId="0" fontId="3" fillId="8" borderId="66" xfId="0" applyFont="1" applyFill="1" applyBorder="1" applyAlignment="1">
      <alignment horizontal="center" vertical="center" wrapText="1"/>
    </xf>
    <xf numFmtId="0" fontId="3" fillId="8" borderId="67"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20"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3" fillId="0" borderId="82" xfId="0" applyFont="1" applyBorder="1" applyAlignment="1">
      <alignment horizontal="center" vertical="center" wrapText="1"/>
    </xf>
    <xf numFmtId="0" fontId="3" fillId="0" borderId="79" xfId="0" applyFont="1" applyBorder="1" applyAlignment="1">
      <alignment horizontal="center"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9" borderId="63" xfId="0" applyFont="1" applyFill="1" applyBorder="1" applyAlignment="1">
      <alignment horizontal="center" vertical="center" wrapText="1"/>
    </xf>
    <xf numFmtId="0" fontId="3" fillId="9" borderId="6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43" xfId="0" applyFont="1" applyBorder="1" applyAlignment="1">
      <alignment horizontal="left"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Border="1" applyAlignment="1">
      <alignment vertical="center" wrapText="1"/>
    </xf>
    <xf numFmtId="0" fontId="3" fillId="4" borderId="7" xfId="0" applyFont="1" applyFill="1" applyBorder="1" applyAlignment="1">
      <alignment vertical="center" wrapText="1"/>
    </xf>
    <xf numFmtId="0" fontId="3" fillId="5" borderId="14" xfId="0" applyFont="1" applyFill="1" applyBorder="1" applyAlignment="1">
      <alignment horizontal="center" vertical="center" wrapText="1"/>
    </xf>
    <xf numFmtId="0" fontId="3" fillId="4" borderId="33" xfId="0" applyFont="1" applyFill="1" applyBorder="1" applyAlignment="1">
      <alignment vertical="center" wrapText="1"/>
    </xf>
    <xf numFmtId="0" fontId="3" fillId="5" borderId="87"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08E59-4967-47CC-AC42-8A933FC7833D}">
  <dimension ref="A1:P105"/>
  <sheetViews>
    <sheetView tabSelected="1" zoomScale="55" zoomScaleNormal="55" workbookViewId="0">
      <selection activeCell="A96" sqref="A96"/>
    </sheetView>
  </sheetViews>
  <sheetFormatPr defaultColWidth="11.42578125" defaultRowHeight="15" x14ac:dyDescent="0.25"/>
  <cols>
    <col min="1" max="1" width="30.5703125" bestFit="1" customWidth="1"/>
    <col min="2" max="2" width="76.42578125" bestFit="1" customWidth="1"/>
    <col min="3" max="3" width="28.7109375" customWidth="1"/>
    <col min="4" max="4" width="29.7109375" customWidth="1"/>
    <col min="5" max="5" width="21.5703125" customWidth="1"/>
    <col min="6" max="6" width="23.5703125" customWidth="1"/>
    <col min="7" max="7" width="22" customWidth="1"/>
    <col min="8" max="8" width="23.42578125" customWidth="1"/>
    <col min="9" max="9" width="27" customWidth="1"/>
    <col min="10" max="10" width="25.140625" customWidth="1"/>
    <col min="11" max="11" width="28.140625" customWidth="1"/>
    <col min="12" max="12" width="27.85546875" customWidth="1"/>
    <col min="13" max="13" width="47.85546875" customWidth="1"/>
    <col min="14" max="14" width="70.85546875" customWidth="1"/>
    <col min="16" max="16" width="15.7109375" bestFit="1" customWidth="1"/>
  </cols>
  <sheetData>
    <row r="1" spans="1:14" s="8" customFormat="1" ht="40.9" customHeight="1" thickBot="1" x14ac:dyDescent="0.3">
      <c r="A1" s="279" t="s">
        <v>180</v>
      </c>
      <c r="B1" s="280"/>
      <c r="C1" s="280"/>
      <c r="D1" s="280"/>
      <c r="E1" s="280"/>
      <c r="F1" s="280"/>
      <c r="G1" s="280"/>
      <c r="H1" s="280"/>
      <c r="I1" s="280"/>
      <c r="J1" s="280"/>
      <c r="K1" s="280"/>
      <c r="L1" s="280"/>
      <c r="M1" s="281"/>
    </row>
    <row r="2" spans="1:14" s="8" customFormat="1" ht="18.75" x14ac:dyDescent="0.25">
      <c r="A2" s="9"/>
      <c r="B2" s="10"/>
      <c r="C2" s="10"/>
      <c r="D2" s="10"/>
      <c r="E2" s="10"/>
      <c r="F2" s="10"/>
      <c r="G2" s="10"/>
      <c r="H2" s="10"/>
      <c r="K2" s="11"/>
      <c r="L2" s="11"/>
    </row>
    <row r="3" spans="1:14" s="8" customFormat="1" ht="33.6" customHeight="1" x14ac:dyDescent="0.25">
      <c r="A3" s="282" t="s">
        <v>0</v>
      </c>
      <c r="B3" s="282"/>
      <c r="C3" s="282"/>
      <c r="D3" s="282"/>
      <c r="E3" s="282"/>
      <c r="F3" s="282"/>
      <c r="G3" s="282"/>
      <c r="H3" s="282"/>
      <c r="I3" s="282"/>
      <c r="J3" s="282"/>
      <c r="K3" s="282"/>
      <c r="L3" s="282"/>
      <c r="M3" s="282"/>
    </row>
    <row r="4" spans="1:14" s="8" customFormat="1" ht="19.5" thickBot="1" x14ac:dyDescent="0.3">
      <c r="A4" s="11"/>
      <c r="K4" s="11"/>
      <c r="L4" s="11"/>
    </row>
    <row r="5" spans="1:14" s="8" customFormat="1" ht="138.75" customHeight="1" thickBot="1" x14ac:dyDescent="0.3">
      <c r="A5" s="283" t="s">
        <v>1</v>
      </c>
      <c r="B5" s="283" t="s">
        <v>2</v>
      </c>
      <c r="C5" s="286" t="s">
        <v>3</v>
      </c>
      <c r="D5" s="287"/>
      <c r="E5" s="287"/>
      <c r="F5" s="287"/>
      <c r="G5" s="287"/>
      <c r="H5" s="287"/>
      <c r="I5" s="287"/>
      <c r="J5" s="288"/>
      <c r="K5" s="289" t="s">
        <v>179</v>
      </c>
      <c r="L5" s="291" t="s">
        <v>185</v>
      </c>
      <c r="M5" s="289" t="s">
        <v>4</v>
      </c>
    </row>
    <row r="6" spans="1:14" s="8" customFormat="1" ht="85.5" customHeight="1" thickBot="1" x14ac:dyDescent="0.3">
      <c r="A6" s="284"/>
      <c r="B6" s="285"/>
      <c r="C6" s="12" t="s">
        <v>175</v>
      </c>
      <c r="D6" s="146" t="s">
        <v>181</v>
      </c>
      <c r="E6" s="12" t="s">
        <v>176</v>
      </c>
      <c r="F6" s="13" t="s">
        <v>182</v>
      </c>
      <c r="G6" s="14" t="s">
        <v>177</v>
      </c>
      <c r="H6" s="15" t="s">
        <v>183</v>
      </c>
      <c r="I6" s="12" t="s">
        <v>178</v>
      </c>
      <c r="J6" s="16" t="s">
        <v>184</v>
      </c>
      <c r="K6" s="290"/>
      <c r="L6" s="292"/>
      <c r="M6" s="290"/>
    </row>
    <row r="7" spans="1:14" s="8" customFormat="1" ht="37.15" customHeight="1" thickBot="1" x14ac:dyDescent="0.3">
      <c r="A7" s="294" t="s">
        <v>5</v>
      </c>
      <c r="B7" s="295"/>
      <c r="C7" s="296"/>
      <c r="D7" s="296"/>
      <c r="E7" s="296"/>
      <c r="F7" s="296"/>
      <c r="G7" s="296"/>
      <c r="H7" s="296"/>
      <c r="I7" s="296"/>
      <c r="J7" s="296"/>
      <c r="K7" s="295"/>
      <c r="L7" s="295"/>
      <c r="M7" s="297"/>
    </row>
    <row r="8" spans="1:14" s="8" customFormat="1" ht="98.45" customHeight="1" thickBot="1" x14ac:dyDescent="0.3">
      <c r="A8" s="17" t="s">
        <v>6</v>
      </c>
      <c r="B8" s="18" t="s">
        <v>7</v>
      </c>
      <c r="C8" s="19">
        <f>SUM(C9:C13)</f>
        <v>170000</v>
      </c>
      <c r="D8" s="257">
        <f>SUM(D9:D13)</f>
        <v>169967.64</v>
      </c>
      <c r="E8" s="20">
        <f t="shared" ref="E8:J8" si="0">SUM(E9:E13)</f>
        <v>0</v>
      </c>
      <c r="F8" s="21">
        <f t="shared" si="0"/>
        <v>0</v>
      </c>
      <c r="G8" s="20">
        <f t="shared" si="0"/>
        <v>0</v>
      </c>
      <c r="H8" s="22">
        <f t="shared" si="0"/>
        <v>0</v>
      </c>
      <c r="I8" s="23">
        <f t="shared" si="0"/>
        <v>170000</v>
      </c>
      <c r="J8" s="24">
        <f t="shared" si="0"/>
        <v>169967.64</v>
      </c>
      <c r="K8" s="25">
        <f>I9*K9+K10*I10+K11*I11+K12*I12+K13*I13</f>
        <v>35000</v>
      </c>
      <c r="L8" s="24">
        <f>SUM(L9:L13)</f>
        <v>37058.385999999999</v>
      </c>
      <c r="M8" s="26"/>
      <c r="N8" s="27"/>
    </row>
    <row r="9" spans="1:14" s="8" customFormat="1" ht="96" customHeight="1" x14ac:dyDescent="0.25">
      <c r="A9" s="147" t="s">
        <v>8</v>
      </c>
      <c r="B9" s="148" t="s">
        <v>9</v>
      </c>
      <c r="C9" s="31">
        <v>40000</v>
      </c>
      <c r="D9" s="149">
        <v>73004.3</v>
      </c>
      <c r="E9" s="31">
        <v>0</v>
      </c>
      <c r="F9" s="150">
        <v>0</v>
      </c>
      <c r="G9" s="31">
        <v>0</v>
      </c>
      <c r="H9" s="151">
        <v>0</v>
      </c>
      <c r="I9" s="186">
        <f>C9+E9+G9</f>
        <v>40000</v>
      </c>
      <c r="J9" s="187">
        <f>D9+F9+H9</f>
        <v>73004.3</v>
      </c>
      <c r="K9" s="153">
        <v>0.2</v>
      </c>
      <c r="L9" s="152">
        <f>J9*K9</f>
        <v>14600.86</v>
      </c>
      <c r="M9" s="154"/>
    </row>
    <row r="10" spans="1:14" s="8" customFormat="1" ht="57" customHeight="1" x14ac:dyDescent="0.25">
      <c r="A10" s="36" t="s">
        <v>10</v>
      </c>
      <c r="B10" s="37" t="s">
        <v>11</v>
      </c>
      <c r="C10" s="29">
        <v>20000</v>
      </c>
      <c r="D10" s="141">
        <v>31902.98</v>
      </c>
      <c r="E10" s="29">
        <v>0</v>
      </c>
      <c r="F10" s="30">
        <v>0</v>
      </c>
      <c r="G10" s="29">
        <v>0</v>
      </c>
      <c r="H10" s="32">
        <v>0</v>
      </c>
      <c r="I10" s="188">
        <f>C10+E10+G10</f>
        <v>20000</v>
      </c>
      <c r="J10" s="189">
        <f t="shared" ref="J10:J13" si="1">D10+F10+H10</f>
        <v>31902.98</v>
      </c>
      <c r="K10" s="38">
        <v>0.5</v>
      </c>
      <c r="L10" s="33">
        <f>J10*K10</f>
        <v>15951.49</v>
      </c>
      <c r="M10" s="39"/>
    </row>
    <row r="11" spans="1:14" s="8" customFormat="1" ht="60" customHeight="1" x14ac:dyDescent="0.25">
      <c r="A11" s="36" t="s">
        <v>12</v>
      </c>
      <c r="B11" s="155" t="s">
        <v>13</v>
      </c>
      <c r="C11" s="29">
        <v>20000</v>
      </c>
      <c r="D11" s="141">
        <v>0</v>
      </c>
      <c r="E11" s="29">
        <v>0</v>
      </c>
      <c r="F11" s="30">
        <v>0</v>
      </c>
      <c r="G11" s="29">
        <v>0</v>
      </c>
      <c r="H11" s="32">
        <v>0</v>
      </c>
      <c r="I11" s="188">
        <f t="shared" ref="I11:I13" si="2">C11+E11+G11</f>
        <v>20000</v>
      </c>
      <c r="J11" s="189">
        <f t="shared" si="1"/>
        <v>0</v>
      </c>
      <c r="K11" s="38">
        <v>0.4</v>
      </c>
      <c r="L11" s="33">
        <f t="shared" ref="L11:L13" si="3">J11*K11</f>
        <v>0</v>
      </c>
      <c r="M11" s="39"/>
    </row>
    <row r="12" spans="1:14" s="8" customFormat="1" ht="48" customHeight="1" x14ac:dyDescent="0.25">
      <c r="A12" s="36" t="s">
        <v>14</v>
      </c>
      <c r="B12" s="40" t="s">
        <v>15</v>
      </c>
      <c r="C12" s="29">
        <v>70000</v>
      </c>
      <c r="D12" s="141">
        <v>65060.36</v>
      </c>
      <c r="E12" s="29">
        <v>0</v>
      </c>
      <c r="F12" s="30">
        <v>0</v>
      </c>
      <c r="G12" s="29">
        <v>0</v>
      </c>
      <c r="H12" s="32">
        <v>0</v>
      </c>
      <c r="I12" s="188">
        <f t="shared" si="2"/>
        <v>70000</v>
      </c>
      <c r="J12" s="189">
        <f t="shared" si="1"/>
        <v>65060.36</v>
      </c>
      <c r="K12" s="38">
        <v>0.1</v>
      </c>
      <c r="L12" s="33">
        <f t="shared" si="3"/>
        <v>6506.0360000000001</v>
      </c>
      <c r="M12" s="39"/>
    </row>
    <row r="13" spans="1:14" s="8" customFormat="1" ht="48" customHeight="1" thickBot="1" x14ac:dyDescent="0.3">
      <c r="A13" s="41" t="s">
        <v>16</v>
      </c>
      <c r="B13" s="42" t="s">
        <v>17</v>
      </c>
      <c r="C13" s="43">
        <v>20000</v>
      </c>
      <c r="D13" s="156">
        <v>0</v>
      </c>
      <c r="E13" s="43">
        <v>0</v>
      </c>
      <c r="F13" s="157">
        <v>0</v>
      </c>
      <c r="G13" s="43">
        <v>0</v>
      </c>
      <c r="H13" s="158">
        <v>0</v>
      </c>
      <c r="I13" s="94">
        <f t="shared" si="2"/>
        <v>20000</v>
      </c>
      <c r="J13" s="159">
        <f t="shared" si="1"/>
        <v>0</v>
      </c>
      <c r="K13" s="160">
        <v>0.1</v>
      </c>
      <c r="L13" s="159">
        <f t="shared" si="3"/>
        <v>0</v>
      </c>
      <c r="M13" s="62"/>
    </row>
    <row r="14" spans="1:14" s="8" customFormat="1" ht="53.45" customHeight="1" thickBot="1" x14ac:dyDescent="0.3">
      <c r="A14" s="17" t="s">
        <v>18</v>
      </c>
      <c r="B14" s="44" t="s">
        <v>19</v>
      </c>
      <c r="C14" s="20">
        <f>SUM(C15:C18)</f>
        <v>200000</v>
      </c>
      <c r="D14" s="20">
        <f t="shared" ref="D14:J14" si="4">SUM(D15:D18)</f>
        <v>138962.98000000001</v>
      </c>
      <c r="E14" s="20">
        <f t="shared" si="4"/>
        <v>73000</v>
      </c>
      <c r="F14" s="21">
        <f t="shared" si="4"/>
        <v>20083</v>
      </c>
      <c r="G14" s="20">
        <f t="shared" si="4"/>
        <v>0</v>
      </c>
      <c r="H14" s="45">
        <f t="shared" si="4"/>
        <v>0</v>
      </c>
      <c r="I14" s="46">
        <f t="shared" si="4"/>
        <v>273000</v>
      </c>
      <c r="J14" s="47">
        <f t="shared" si="4"/>
        <v>159045.97999999998</v>
      </c>
      <c r="K14" s="25">
        <f>K15*I15+K16*I16+K17*I17+K18*I18</f>
        <v>63800</v>
      </c>
      <c r="L14" s="24">
        <f>SUM(L15:L18)</f>
        <v>38995.032999999996</v>
      </c>
      <c r="M14" s="48"/>
    </row>
    <row r="15" spans="1:14" s="8" customFormat="1" ht="73.5" customHeight="1" x14ac:dyDescent="0.25">
      <c r="A15" s="49" t="s">
        <v>20</v>
      </c>
      <c r="B15" s="50" t="s">
        <v>21</v>
      </c>
      <c r="C15" s="51">
        <v>50000</v>
      </c>
      <c r="D15" s="141">
        <v>32450.61</v>
      </c>
      <c r="E15" s="51">
        <v>28000</v>
      </c>
      <c r="F15" s="83">
        <v>0</v>
      </c>
      <c r="G15" s="51">
        <v>0</v>
      </c>
      <c r="H15" s="52">
        <v>0</v>
      </c>
      <c r="I15" s="190">
        <f>C15+E15+G15</f>
        <v>78000</v>
      </c>
      <c r="J15" s="191">
        <f>D15+F15+H15</f>
        <v>32450.61</v>
      </c>
      <c r="K15" s="34">
        <v>0.2</v>
      </c>
      <c r="L15" s="33">
        <f>K15*J15</f>
        <v>6490.1220000000003</v>
      </c>
      <c r="M15" s="35"/>
    </row>
    <row r="16" spans="1:14" s="8" customFormat="1" ht="44.25" customHeight="1" x14ac:dyDescent="0.25">
      <c r="A16" s="53" t="s">
        <v>22</v>
      </c>
      <c r="B16" s="54" t="s">
        <v>23</v>
      </c>
      <c r="C16" s="55">
        <v>30000</v>
      </c>
      <c r="D16" s="143">
        <v>12434.89</v>
      </c>
      <c r="E16" s="55">
        <v>23000</v>
      </c>
      <c r="F16" s="84">
        <v>3175</v>
      </c>
      <c r="G16" s="55">
        <v>0</v>
      </c>
      <c r="H16" s="56">
        <v>0</v>
      </c>
      <c r="I16" s="192">
        <f>C16+E16+G16</f>
        <v>53000</v>
      </c>
      <c r="J16" s="191">
        <f t="shared" ref="J16:J18" si="5">D16+F16+H16</f>
        <v>15609.89</v>
      </c>
      <c r="K16" s="38">
        <v>0.2</v>
      </c>
      <c r="L16" s="33">
        <f>J16*K16</f>
        <v>3121.9780000000001</v>
      </c>
      <c r="M16" s="39"/>
    </row>
    <row r="17" spans="1:13" s="8" customFormat="1" ht="111.75" customHeight="1" x14ac:dyDescent="0.25">
      <c r="A17" s="53" t="s">
        <v>24</v>
      </c>
      <c r="B17" s="57" t="s">
        <v>25</v>
      </c>
      <c r="C17" s="55">
        <v>50000</v>
      </c>
      <c r="D17" s="143">
        <v>39127.11</v>
      </c>
      <c r="E17" s="55">
        <v>0</v>
      </c>
      <c r="F17" s="84">
        <v>0</v>
      </c>
      <c r="G17" s="55">
        <v>0</v>
      </c>
      <c r="H17" s="56">
        <v>0</v>
      </c>
      <c r="I17" s="192">
        <f t="shared" ref="I17:I18" si="6">C17+E17+G17</f>
        <v>50000</v>
      </c>
      <c r="J17" s="191">
        <f t="shared" si="5"/>
        <v>39127.11</v>
      </c>
      <c r="K17" s="38">
        <v>0.2</v>
      </c>
      <c r="L17" s="33">
        <f t="shared" ref="L17:L18" si="7">J17*K17</f>
        <v>7825.4220000000005</v>
      </c>
      <c r="M17" s="39"/>
    </row>
    <row r="18" spans="1:13" s="8" customFormat="1" ht="87.75" customHeight="1" thickBot="1" x14ac:dyDescent="0.3">
      <c r="A18" s="58" t="s">
        <v>26</v>
      </c>
      <c r="B18" s="59" t="s">
        <v>27</v>
      </c>
      <c r="C18" s="60">
        <v>70000</v>
      </c>
      <c r="D18" s="144">
        <v>54950.37</v>
      </c>
      <c r="E18" s="60">
        <v>22000</v>
      </c>
      <c r="F18" s="88">
        <v>16908</v>
      </c>
      <c r="G18" s="60">
        <v>0</v>
      </c>
      <c r="H18" s="61">
        <v>0</v>
      </c>
      <c r="I18" s="193">
        <f t="shared" si="6"/>
        <v>92000</v>
      </c>
      <c r="J18" s="194">
        <f t="shared" si="5"/>
        <v>71858.37</v>
      </c>
      <c r="K18" s="38">
        <v>0.3</v>
      </c>
      <c r="L18" s="33">
        <f t="shared" si="7"/>
        <v>21557.510999999999</v>
      </c>
      <c r="M18" s="62"/>
    </row>
    <row r="19" spans="1:13" s="8" customFormat="1" ht="73.150000000000006" customHeight="1" thickBot="1" x14ac:dyDescent="0.3">
      <c r="A19" s="63" t="s">
        <v>28</v>
      </c>
      <c r="B19" s="64" t="s">
        <v>29</v>
      </c>
      <c r="C19" s="20">
        <f>SUM(C20:C23)</f>
        <v>120000</v>
      </c>
      <c r="D19" s="20">
        <f t="shared" ref="D19:J19" si="8">SUM(D20:D23)</f>
        <v>54314.85</v>
      </c>
      <c r="E19" s="20">
        <f>SUM(E20:E23)</f>
        <v>48000</v>
      </c>
      <c r="F19" s="21">
        <f t="shared" si="8"/>
        <v>22245</v>
      </c>
      <c r="G19" s="20">
        <f t="shared" si="8"/>
        <v>0</v>
      </c>
      <c r="H19" s="22">
        <f t="shared" si="8"/>
        <v>0</v>
      </c>
      <c r="I19" s="20">
        <f t="shared" si="8"/>
        <v>168000</v>
      </c>
      <c r="J19" s="24">
        <f t="shared" si="8"/>
        <v>76559.850000000006</v>
      </c>
      <c r="K19" s="25">
        <f>I20*K20+I21*K21+K22*I22</f>
        <v>75000</v>
      </c>
      <c r="L19" s="24">
        <f>SUM(L20:L23)</f>
        <v>35546.525000000001</v>
      </c>
      <c r="M19" s="48"/>
    </row>
    <row r="20" spans="1:13" s="8" customFormat="1" ht="99.95" customHeight="1" x14ac:dyDescent="0.25">
      <c r="A20" s="49" t="s">
        <v>30</v>
      </c>
      <c r="B20" s="50" t="s">
        <v>31</v>
      </c>
      <c r="C20" s="51">
        <v>45000</v>
      </c>
      <c r="D20" s="141">
        <v>40647.85</v>
      </c>
      <c r="E20" s="51">
        <v>25000</v>
      </c>
      <c r="F20" s="83">
        <v>10520</v>
      </c>
      <c r="G20" s="51">
        <v>0</v>
      </c>
      <c r="H20" s="52">
        <v>0</v>
      </c>
      <c r="I20" s="195">
        <f>C20+E20+G20</f>
        <v>70000</v>
      </c>
      <c r="J20" s="189">
        <f>D20+F20+H20</f>
        <v>51167.85</v>
      </c>
      <c r="K20" s="65">
        <v>0.5</v>
      </c>
      <c r="L20" s="33">
        <f>J20*K20</f>
        <v>25583.924999999999</v>
      </c>
      <c r="M20" s="35"/>
    </row>
    <row r="21" spans="1:13" s="8" customFormat="1" ht="71.25" customHeight="1" x14ac:dyDescent="0.25">
      <c r="A21" s="53" t="s">
        <v>32</v>
      </c>
      <c r="B21" s="54" t="s">
        <v>33</v>
      </c>
      <c r="C21" s="51">
        <v>45000</v>
      </c>
      <c r="D21" s="143">
        <v>0</v>
      </c>
      <c r="E21" s="55">
        <v>23000</v>
      </c>
      <c r="F21" s="84">
        <v>11725</v>
      </c>
      <c r="G21" s="55">
        <v>0</v>
      </c>
      <c r="H21" s="56">
        <v>0</v>
      </c>
      <c r="I21" s="192">
        <f>C21+E21+G21</f>
        <v>68000</v>
      </c>
      <c r="J21" s="196">
        <f>D21+F21+H21</f>
        <v>11725</v>
      </c>
      <c r="K21" s="66">
        <v>0.5</v>
      </c>
      <c r="L21" s="33">
        <f>J21*K21</f>
        <v>5862.5</v>
      </c>
      <c r="M21" s="39"/>
    </row>
    <row r="22" spans="1:13" s="8" customFormat="1" ht="61.5" customHeight="1" x14ac:dyDescent="0.25">
      <c r="A22" s="53" t="s">
        <v>34</v>
      </c>
      <c r="B22" s="54" t="s">
        <v>35</v>
      </c>
      <c r="C22" s="51">
        <v>20000</v>
      </c>
      <c r="D22" s="143">
        <v>13667</v>
      </c>
      <c r="E22" s="55">
        <v>0</v>
      </c>
      <c r="F22" s="84"/>
      <c r="G22" s="55">
        <v>0</v>
      </c>
      <c r="H22" s="56">
        <v>0</v>
      </c>
      <c r="I22" s="192">
        <f t="shared" ref="I22:J23" si="9">C22+E22+G22</f>
        <v>20000</v>
      </c>
      <c r="J22" s="196">
        <f t="shared" si="9"/>
        <v>13667</v>
      </c>
      <c r="K22" s="66">
        <v>0.3</v>
      </c>
      <c r="L22" s="33">
        <f t="shared" ref="L22:L23" si="10">J22*K22</f>
        <v>4100.0999999999995</v>
      </c>
      <c r="M22" s="39"/>
    </row>
    <row r="23" spans="1:13" s="8" customFormat="1" ht="56.25" customHeight="1" thickBot="1" x14ac:dyDescent="0.3">
      <c r="A23" s="58" t="s">
        <v>36</v>
      </c>
      <c r="B23" s="59" t="s">
        <v>37</v>
      </c>
      <c r="C23" s="51">
        <v>10000</v>
      </c>
      <c r="D23" s="143">
        <v>0</v>
      </c>
      <c r="E23" s="60">
        <v>0</v>
      </c>
      <c r="F23" s="88">
        <v>0</v>
      </c>
      <c r="G23" s="60">
        <v>0</v>
      </c>
      <c r="H23" s="61">
        <v>0</v>
      </c>
      <c r="I23" s="193">
        <f t="shared" si="9"/>
        <v>10000</v>
      </c>
      <c r="J23" s="196">
        <f t="shared" si="9"/>
        <v>0</v>
      </c>
      <c r="K23" s="67">
        <v>0</v>
      </c>
      <c r="L23" s="33">
        <f t="shared" si="10"/>
        <v>0</v>
      </c>
      <c r="M23" s="62"/>
    </row>
    <row r="24" spans="1:13" s="8" customFormat="1" ht="99.95" customHeight="1" thickBot="1" x14ac:dyDescent="0.3">
      <c r="A24" s="17" t="s">
        <v>38</v>
      </c>
      <c r="B24" s="44" t="s">
        <v>39</v>
      </c>
      <c r="C24" s="19">
        <f>SUM(C25:C28)</f>
        <v>95000</v>
      </c>
      <c r="D24" s="19">
        <f t="shared" ref="D24:J24" si="11">SUM(D25:D28)</f>
        <v>14581.17</v>
      </c>
      <c r="E24" s="19">
        <f t="shared" si="11"/>
        <v>0</v>
      </c>
      <c r="F24" s="68">
        <f t="shared" si="11"/>
        <v>0</v>
      </c>
      <c r="G24" s="19">
        <f t="shared" si="11"/>
        <v>0</v>
      </c>
      <c r="H24" s="69">
        <f t="shared" si="11"/>
        <v>0</v>
      </c>
      <c r="I24" s="19">
        <f t="shared" si="11"/>
        <v>95000</v>
      </c>
      <c r="J24" s="70">
        <f t="shared" si="11"/>
        <v>14581.17</v>
      </c>
      <c r="K24" s="71">
        <f>K25*I25+K26*I26+K27*I27+K28*I28</f>
        <v>16000</v>
      </c>
      <c r="L24" s="24">
        <f>SUM(L25:L28)</f>
        <v>2290.607</v>
      </c>
      <c r="M24" s="48"/>
    </row>
    <row r="25" spans="1:13" s="8" customFormat="1" ht="46.5" customHeight="1" x14ac:dyDescent="0.25">
      <c r="A25" s="28" t="s">
        <v>40</v>
      </c>
      <c r="B25" s="72" t="s">
        <v>41</v>
      </c>
      <c r="C25" s="51">
        <v>30000</v>
      </c>
      <c r="D25" s="139">
        <v>0</v>
      </c>
      <c r="E25" s="51">
        <v>0</v>
      </c>
      <c r="F25" s="92">
        <v>0</v>
      </c>
      <c r="G25" s="73">
        <v>0</v>
      </c>
      <c r="H25" s="74">
        <v>0</v>
      </c>
      <c r="I25" s="195">
        <f>C25+E25+G25</f>
        <v>30000</v>
      </c>
      <c r="J25" s="191">
        <f>D25+F25+H25</f>
        <v>0</v>
      </c>
      <c r="K25" s="65">
        <v>0.2</v>
      </c>
      <c r="L25" s="33">
        <f>J25*K25</f>
        <v>0</v>
      </c>
      <c r="M25" s="35"/>
    </row>
    <row r="26" spans="1:13" s="8" customFormat="1" ht="53.25" customHeight="1" x14ac:dyDescent="0.25">
      <c r="A26" s="36" t="s">
        <v>42</v>
      </c>
      <c r="B26" s="40" t="s">
        <v>43</v>
      </c>
      <c r="C26" s="51">
        <v>35000</v>
      </c>
      <c r="D26" s="139">
        <v>8324.9</v>
      </c>
      <c r="E26" s="51">
        <v>0</v>
      </c>
      <c r="F26" s="92">
        <v>0</v>
      </c>
      <c r="G26" s="55">
        <v>0</v>
      </c>
      <c r="H26" s="74">
        <v>0</v>
      </c>
      <c r="I26" s="192">
        <f>C26+E26+G26</f>
        <v>35000</v>
      </c>
      <c r="J26" s="197">
        <f>D26+F26+H26</f>
        <v>8324.9</v>
      </c>
      <c r="K26" s="66">
        <v>0.2</v>
      </c>
      <c r="L26" s="33">
        <f>J26*K26</f>
        <v>1664.98</v>
      </c>
      <c r="M26" s="39"/>
    </row>
    <row r="27" spans="1:13" s="8" customFormat="1" ht="48" customHeight="1" x14ac:dyDescent="0.25">
      <c r="A27" s="36" t="s">
        <v>44</v>
      </c>
      <c r="B27" s="40" t="s">
        <v>45</v>
      </c>
      <c r="C27" s="51">
        <v>20000</v>
      </c>
      <c r="D27" s="139">
        <v>0</v>
      </c>
      <c r="E27" s="51">
        <v>0</v>
      </c>
      <c r="F27" s="92">
        <v>0</v>
      </c>
      <c r="G27" s="55">
        <v>0</v>
      </c>
      <c r="H27" s="74">
        <v>0</v>
      </c>
      <c r="I27" s="192">
        <f t="shared" ref="I27:J28" si="12">C27+E27+G27</f>
        <v>20000</v>
      </c>
      <c r="J27" s="197">
        <f t="shared" si="12"/>
        <v>0</v>
      </c>
      <c r="K27" s="66">
        <v>0.1</v>
      </c>
      <c r="L27" s="33">
        <f t="shared" ref="L27:L28" si="13">J27*K27</f>
        <v>0</v>
      </c>
      <c r="M27" s="39"/>
    </row>
    <row r="28" spans="1:13" s="8" customFormat="1" ht="58.5" customHeight="1" thickBot="1" x14ac:dyDescent="0.3">
      <c r="A28" s="75" t="s">
        <v>46</v>
      </c>
      <c r="B28" s="76" t="s">
        <v>47</v>
      </c>
      <c r="C28" s="51">
        <v>10000</v>
      </c>
      <c r="D28" s="142">
        <v>6256.27</v>
      </c>
      <c r="E28" s="77">
        <v>0</v>
      </c>
      <c r="F28" s="100">
        <v>0</v>
      </c>
      <c r="G28" s="60">
        <v>0</v>
      </c>
      <c r="H28" s="78">
        <v>0</v>
      </c>
      <c r="I28" s="198">
        <f t="shared" si="12"/>
        <v>10000</v>
      </c>
      <c r="J28" s="199">
        <f t="shared" si="12"/>
        <v>6256.27</v>
      </c>
      <c r="K28" s="66">
        <v>0.1</v>
      </c>
      <c r="L28" s="33">
        <f t="shared" si="13"/>
        <v>625.62700000000007</v>
      </c>
      <c r="M28" s="62"/>
    </row>
    <row r="29" spans="1:13" s="8" customFormat="1" ht="66" customHeight="1" thickBot="1" x14ac:dyDescent="0.3">
      <c r="A29" s="261" t="s">
        <v>48</v>
      </c>
      <c r="B29" s="298"/>
      <c r="C29" s="79">
        <f>SUM(C24,C19,C14,C8)</f>
        <v>585000</v>
      </c>
      <c r="D29" s="79">
        <f t="shared" ref="D29:J29" si="14">SUM(D24,D19,D14,D8)</f>
        <v>377826.64</v>
      </c>
      <c r="E29" s="79">
        <f t="shared" si="14"/>
        <v>121000</v>
      </c>
      <c r="F29" s="21">
        <f t="shared" si="14"/>
        <v>42328</v>
      </c>
      <c r="G29" s="79">
        <f t="shared" si="14"/>
        <v>0</v>
      </c>
      <c r="H29" s="79">
        <f t="shared" si="14"/>
        <v>0</v>
      </c>
      <c r="I29" s="79">
        <f t="shared" si="14"/>
        <v>706000</v>
      </c>
      <c r="J29" s="80">
        <f t="shared" si="14"/>
        <v>420154.64</v>
      </c>
      <c r="K29" s="71">
        <f>K24+K19+K14+K8</f>
        <v>189800</v>
      </c>
      <c r="L29" s="24">
        <f>L24+L19+L14+L8</f>
        <v>113890.55099999999</v>
      </c>
      <c r="M29" s="81"/>
    </row>
    <row r="30" spans="1:13" s="8" customFormat="1" ht="45" customHeight="1" thickBot="1" x14ac:dyDescent="0.3">
      <c r="A30" s="299" t="s">
        <v>49</v>
      </c>
      <c r="B30" s="299"/>
      <c r="C30" s="299"/>
      <c r="D30" s="299"/>
      <c r="E30" s="299"/>
      <c r="F30" s="299"/>
      <c r="G30" s="299"/>
      <c r="H30" s="299"/>
      <c r="I30" s="299"/>
      <c r="J30" s="299"/>
      <c r="K30" s="299"/>
      <c r="L30" s="299"/>
      <c r="M30" s="299"/>
    </row>
    <row r="31" spans="1:13" s="8" customFormat="1" ht="99.95" customHeight="1" thickBot="1" x14ac:dyDescent="0.3">
      <c r="A31" s="17" t="s">
        <v>50</v>
      </c>
      <c r="B31" s="44" t="s">
        <v>51</v>
      </c>
      <c r="C31" s="20">
        <f t="shared" ref="C31:J31" si="15">SUM(C32:C35)</f>
        <v>0</v>
      </c>
      <c r="D31" s="161">
        <f t="shared" si="15"/>
        <v>0</v>
      </c>
      <c r="E31" s="20">
        <f t="shared" si="15"/>
        <v>100000</v>
      </c>
      <c r="F31" s="21">
        <f t="shared" si="15"/>
        <v>35052</v>
      </c>
      <c r="G31" s="20">
        <f t="shared" si="15"/>
        <v>0</v>
      </c>
      <c r="H31" s="22">
        <f t="shared" si="15"/>
        <v>0</v>
      </c>
      <c r="I31" s="23">
        <f t="shared" si="15"/>
        <v>100000</v>
      </c>
      <c r="J31" s="24">
        <f t="shared" si="15"/>
        <v>35052</v>
      </c>
      <c r="K31" s="71">
        <f>K32*I32+K33*I33+K34*I34+K35*I35</f>
        <v>36500</v>
      </c>
      <c r="L31" s="24">
        <f>SUM(L32:L35)</f>
        <v>12636.1</v>
      </c>
      <c r="M31" s="26"/>
    </row>
    <row r="32" spans="1:13" s="8" customFormat="1" ht="99.95" customHeight="1" x14ac:dyDescent="0.25">
      <c r="A32" s="28" t="s">
        <v>52</v>
      </c>
      <c r="B32" s="82" t="s">
        <v>53</v>
      </c>
      <c r="C32" s="51">
        <v>0</v>
      </c>
      <c r="D32" s="139">
        <v>0</v>
      </c>
      <c r="E32" s="51">
        <v>25000</v>
      </c>
      <c r="F32" s="83">
        <v>14671</v>
      </c>
      <c r="G32" s="51">
        <v>0</v>
      </c>
      <c r="H32" s="74">
        <v>0</v>
      </c>
      <c r="I32" s="200">
        <f>C32+E32+G32</f>
        <v>25000</v>
      </c>
      <c r="J32" s="189">
        <f>D32+F32+H32</f>
        <v>14671</v>
      </c>
      <c r="K32" s="65">
        <v>0.5</v>
      </c>
      <c r="L32" s="33">
        <f>J32*K32</f>
        <v>7335.5</v>
      </c>
      <c r="M32" s="35"/>
    </row>
    <row r="33" spans="1:14" s="8" customFormat="1" ht="49.5" customHeight="1" x14ac:dyDescent="0.25">
      <c r="A33" s="28" t="s">
        <v>54</v>
      </c>
      <c r="B33" s="40" t="s">
        <v>55</v>
      </c>
      <c r="C33" s="51">
        <v>0</v>
      </c>
      <c r="D33" s="139">
        <v>0</v>
      </c>
      <c r="E33" s="77">
        <v>25000</v>
      </c>
      <c r="F33" s="84">
        <v>2261</v>
      </c>
      <c r="G33" s="51">
        <v>0</v>
      </c>
      <c r="H33" s="74">
        <v>0</v>
      </c>
      <c r="I33" s="188">
        <f>C33+E33+G33</f>
        <v>25000</v>
      </c>
      <c r="J33" s="196">
        <f>D33+F33+H33</f>
        <v>2261</v>
      </c>
      <c r="K33" s="85">
        <v>0.4</v>
      </c>
      <c r="L33" s="33">
        <f>J33*K33</f>
        <v>904.40000000000009</v>
      </c>
      <c r="M33" s="86"/>
    </row>
    <row r="34" spans="1:14" s="8" customFormat="1" ht="123" customHeight="1" x14ac:dyDescent="0.25">
      <c r="A34" s="28" t="s">
        <v>56</v>
      </c>
      <c r="B34" s="72" t="s">
        <v>57</v>
      </c>
      <c r="C34" s="51">
        <v>0</v>
      </c>
      <c r="D34" s="139">
        <v>0</v>
      </c>
      <c r="E34" s="55">
        <v>30000</v>
      </c>
      <c r="F34" s="84">
        <v>8614</v>
      </c>
      <c r="G34" s="51">
        <v>0</v>
      </c>
      <c r="H34" s="74">
        <v>0</v>
      </c>
      <c r="I34" s="188">
        <f t="shared" ref="I34:J35" si="16">C34+E34+G34</f>
        <v>30000</v>
      </c>
      <c r="J34" s="196">
        <f t="shared" si="16"/>
        <v>8614</v>
      </c>
      <c r="K34" s="87">
        <v>0.4</v>
      </c>
      <c r="L34" s="33">
        <f t="shared" ref="L34:L35" si="17">J34*K34</f>
        <v>3445.6000000000004</v>
      </c>
      <c r="M34" s="86"/>
    </row>
    <row r="35" spans="1:14" s="8" customFormat="1" ht="39.6" customHeight="1" thickBot="1" x14ac:dyDescent="0.3">
      <c r="A35" s="75" t="s">
        <v>58</v>
      </c>
      <c r="B35" s="8" t="s">
        <v>59</v>
      </c>
      <c r="C35" s="77">
        <v>0</v>
      </c>
      <c r="D35" s="140">
        <v>0</v>
      </c>
      <c r="E35" s="77">
        <v>20000</v>
      </c>
      <c r="F35" s="88">
        <v>9506</v>
      </c>
      <c r="G35" s="77">
        <v>0</v>
      </c>
      <c r="H35" s="78">
        <v>0</v>
      </c>
      <c r="I35" s="201">
        <f t="shared" si="16"/>
        <v>20000</v>
      </c>
      <c r="J35" s="202">
        <f t="shared" si="16"/>
        <v>9506</v>
      </c>
      <c r="K35" s="101">
        <v>0.1</v>
      </c>
      <c r="L35" s="98">
        <f t="shared" si="17"/>
        <v>950.6</v>
      </c>
      <c r="M35" s="102"/>
      <c r="N35" s="90"/>
    </row>
    <row r="36" spans="1:14" s="8" customFormat="1" ht="69" customHeight="1" thickBot="1" x14ac:dyDescent="0.3">
      <c r="A36" s="17" t="s">
        <v>60</v>
      </c>
      <c r="B36" s="91" t="s">
        <v>186</v>
      </c>
      <c r="C36" s="162">
        <f t="shared" ref="C36:J36" si="18">SUM(C37:C39)</f>
        <v>0</v>
      </c>
      <c r="D36" s="161">
        <f t="shared" si="18"/>
        <v>0</v>
      </c>
      <c r="E36" s="20">
        <f t="shared" si="18"/>
        <v>187846.73</v>
      </c>
      <c r="F36" s="21">
        <f t="shared" si="18"/>
        <v>0</v>
      </c>
      <c r="G36" s="20">
        <f t="shared" si="18"/>
        <v>0</v>
      </c>
      <c r="H36" s="22">
        <f t="shared" si="18"/>
        <v>0</v>
      </c>
      <c r="I36" s="23">
        <f t="shared" si="18"/>
        <v>187846.73</v>
      </c>
      <c r="J36" s="24">
        <f t="shared" si="18"/>
        <v>0</v>
      </c>
      <c r="K36" s="71">
        <f>K37*I37+K38*I38+K39*I39</f>
        <v>61623.365000000005</v>
      </c>
      <c r="L36" s="24">
        <f>SUM(L37:L39)</f>
        <v>0</v>
      </c>
      <c r="M36" s="48"/>
    </row>
    <row r="37" spans="1:14" s="8" customFormat="1" ht="27.6" customHeight="1" x14ac:dyDescent="0.25">
      <c r="A37" s="28" t="s">
        <v>61</v>
      </c>
      <c r="B37" s="72" t="s">
        <v>62</v>
      </c>
      <c r="C37" s="51">
        <v>0</v>
      </c>
      <c r="D37" s="139">
        <v>0</v>
      </c>
      <c r="E37" s="51">
        <v>75000</v>
      </c>
      <c r="F37" s="92">
        <v>0</v>
      </c>
      <c r="G37" s="51">
        <v>0</v>
      </c>
      <c r="H37" s="74">
        <v>0</v>
      </c>
      <c r="I37" s="200">
        <f t="shared" ref="I37:J39" si="19">C37+E37+G37</f>
        <v>75000</v>
      </c>
      <c r="J37" s="189">
        <f t="shared" si="19"/>
        <v>0</v>
      </c>
      <c r="K37" s="65">
        <v>0.4</v>
      </c>
      <c r="L37" s="33">
        <f>J37*K37</f>
        <v>0</v>
      </c>
      <c r="M37" s="35"/>
    </row>
    <row r="38" spans="1:14" s="8" customFormat="1" ht="42" customHeight="1" x14ac:dyDescent="0.25">
      <c r="A38" s="36" t="s">
        <v>63</v>
      </c>
      <c r="B38" s="40" t="s">
        <v>64</v>
      </c>
      <c r="C38" s="51">
        <v>0</v>
      </c>
      <c r="D38" s="139">
        <v>0</v>
      </c>
      <c r="E38" s="55">
        <v>50846.73</v>
      </c>
      <c r="F38" s="92">
        <v>0</v>
      </c>
      <c r="G38" s="51">
        <v>0</v>
      </c>
      <c r="H38" s="74">
        <v>0</v>
      </c>
      <c r="I38" s="188">
        <f t="shared" si="19"/>
        <v>50846.73</v>
      </c>
      <c r="J38" s="196">
        <f t="shared" si="19"/>
        <v>0</v>
      </c>
      <c r="K38" s="66">
        <v>0.5</v>
      </c>
      <c r="L38" s="33">
        <f>J38*K38</f>
        <v>0</v>
      </c>
      <c r="M38" s="39"/>
    </row>
    <row r="39" spans="1:14" s="8" customFormat="1" ht="61.5" customHeight="1" thickBot="1" x14ac:dyDescent="0.3">
      <c r="A39" s="75" t="s">
        <v>65</v>
      </c>
      <c r="B39" s="76" t="s">
        <v>66</v>
      </c>
      <c r="C39" s="77">
        <v>0</v>
      </c>
      <c r="D39" s="140">
        <v>0</v>
      </c>
      <c r="E39" s="60">
        <v>62000</v>
      </c>
      <c r="F39" s="100">
        <v>0</v>
      </c>
      <c r="G39" s="77">
        <v>0</v>
      </c>
      <c r="H39" s="78">
        <v>0</v>
      </c>
      <c r="I39" s="201">
        <f t="shared" si="19"/>
        <v>62000</v>
      </c>
      <c r="J39" s="202">
        <f t="shared" si="19"/>
        <v>0</v>
      </c>
      <c r="K39" s="101">
        <v>0.1</v>
      </c>
      <c r="L39" s="98">
        <f t="shared" ref="L39" si="20">J39*K39</f>
        <v>0</v>
      </c>
      <c r="M39" s="102"/>
    </row>
    <row r="40" spans="1:14" s="8" customFormat="1" ht="78" customHeight="1" thickBot="1" x14ac:dyDescent="0.3">
      <c r="A40" s="17" t="s">
        <v>67</v>
      </c>
      <c r="B40" s="44" t="s">
        <v>187</v>
      </c>
      <c r="C40" s="162">
        <f t="shared" ref="C40:F40" si="21">SUM(C41:C47)</f>
        <v>0</v>
      </c>
      <c r="D40" s="161">
        <f t="shared" si="21"/>
        <v>0</v>
      </c>
      <c r="E40" s="95">
        <f t="shared" si="21"/>
        <v>0</v>
      </c>
      <c r="F40" s="96">
        <f t="shared" si="21"/>
        <v>0</v>
      </c>
      <c r="G40" s="95">
        <f>SUM(G41:G48)</f>
        <v>169978.61</v>
      </c>
      <c r="H40" s="97">
        <f>SUM(H41:H48)</f>
        <v>99082.349999999991</v>
      </c>
      <c r="I40" s="95">
        <f>SUM(I41:I48)</f>
        <v>169978.61</v>
      </c>
      <c r="J40" s="24">
        <f>SUM(J41:J48)</f>
        <v>99082.349999999991</v>
      </c>
      <c r="K40" s="71">
        <f>K41*I41+K42*I42+K43*I43+K44*I44+K45*I45+K47*I47+K48*I48+K46*I46</f>
        <v>59117.860999999997</v>
      </c>
      <c r="L40" s="24">
        <f>SUM(L41:L48)</f>
        <v>42537.773000000001</v>
      </c>
      <c r="M40" s="48"/>
    </row>
    <row r="41" spans="1:14" s="8" customFormat="1" ht="37.5" x14ac:dyDescent="0.25">
      <c r="A41" s="28" t="s">
        <v>68</v>
      </c>
      <c r="B41" s="72" t="s">
        <v>69</v>
      </c>
      <c r="C41" s="51">
        <v>0</v>
      </c>
      <c r="D41" s="139">
        <v>0</v>
      </c>
      <c r="E41" s="51">
        <v>0</v>
      </c>
      <c r="F41" s="92">
        <v>0</v>
      </c>
      <c r="G41" s="51">
        <v>5000</v>
      </c>
      <c r="H41" s="78">
        <v>5440.49</v>
      </c>
      <c r="I41" s="203">
        <f>C41+E41+G41</f>
        <v>5000</v>
      </c>
      <c r="J41" s="204">
        <f>D41+F41+H41</f>
        <v>5440.49</v>
      </c>
      <c r="K41" s="65">
        <v>0.2</v>
      </c>
      <c r="L41" s="33">
        <f>J41*K41</f>
        <v>1088.098</v>
      </c>
      <c r="M41" s="35"/>
    </row>
    <row r="42" spans="1:14" s="8" customFormat="1" ht="22.5" customHeight="1" x14ac:dyDescent="0.25">
      <c r="A42" s="28" t="s">
        <v>70</v>
      </c>
      <c r="B42" s="72" t="s">
        <v>71</v>
      </c>
      <c r="C42" s="51">
        <v>0</v>
      </c>
      <c r="D42" s="139">
        <v>0</v>
      </c>
      <c r="E42" s="51">
        <v>0</v>
      </c>
      <c r="F42" s="92">
        <v>0</v>
      </c>
      <c r="G42" s="51">
        <v>31200</v>
      </c>
      <c r="H42" s="74">
        <v>6054</v>
      </c>
      <c r="I42" s="188">
        <f>C42+E42+G42</f>
        <v>31200</v>
      </c>
      <c r="J42" s="196">
        <f>D42+F42+H42</f>
        <v>6054</v>
      </c>
      <c r="K42" s="65">
        <v>0.2</v>
      </c>
      <c r="L42" s="33">
        <f>J42*K42</f>
        <v>1210.8</v>
      </c>
      <c r="M42" s="35"/>
    </row>
    <row r="43" spans="1:14" s="8" customFormat="1" ht="45" customHeight="1" x14ac:dyDescent="0.25">
      <c r="A43" s="28" t="s">
        <v>72</v>
      </c>
      <c r="B43" s="72" t="s">
        <v>73</v>
      </c>
      <c r="C43" s="51">
        <v>0</v>
      </c>
      <c r="D43" s="139">
        <v>0</v>
      </c>
      <c r="E43" s="51">
        <v>0</v>
      </c>
      <c r="F43" s="92">
        <v>0</v>
      </c>
      <c r="G43" s="51">
        <v>40000</v>
      </c>
      <c r="H43" s="74">
        <v>53997.31</v>
      </c>
      <c r="I43" s="188">
        <f t="shared" ref="I43:J48" si="22">C43+E43+G43</f>
        <v>40000</v>
      </c>
      <c r="J43" s="189">
        <f t="shared" si="22"/>
        <v>53997.31</v>
      </c>
      <c r="K43" s="65">
        <v>0.5</v>
      </c>
      <c r="L43" s="33">
        <f t="shared" ref="L43:L48" si="23">J43*K43</f>
        <v>26998.654999999999</v>
      </c>
      <c r="M43" s="35"/>
    </row>
    <row r="44" spans="1:14" s="8" customFormat="1" ht="22.15" customHeight="1" x14ac:dyDescent="0.25">
      <c r="A44" s="36" t="s">
        <v>74</v>
      </c>
      <c r="B44" s="40" t="s">
        <v>75</v>
      </c>
      <c r="C44" s="51">
        <v>0</v>
      </c>
      <c r="D44" s="139">
        <v>0</v>
      </c>
      <c r="E44" s="51">
        <v>0</v>
      </c>
      <c r="F44" s="92">
        <v>0</v>
      </c>
      <c r="G44" s="51">
        <v>25000</v>
      </c>
      <c r="H44" s="74">
        <v>1605</v>
      </c>
      <c r="I44" s="188">
        <f t="shared" si="22"/>
        <v>25000</v>
      </c>
      <c r="J44" s="189">
        <f t="shared" si="22"/>
        <v>1605</v>
      </c>
      <c r="K44" s="66">
        <v>0.4</v>
      </c>
      <c r="L44" s="33">
        <f t="shared" si="23"/>
        <v>642</v>
      </c>
      <c r="M44" s="39"/>
    </row>
    <row r="45" spans="1:14" s="8" customFormat="1" ht="19.149999999999999" customHeight="1" x14ac:dyDescent="0.25">
      <c r="A45" s="36" t="s">
        <v>76</v>
      </c>
      <c r="B45" s="40" t="s">
        <v>77</v>
      </c>
      <c r="C45" s="51">
        <v>0</v>
      </c>
      <c r="D45" s="139">
        <v>0</v>
      </c>
      <c r="E45" s="51">
        <v>0</v>
      </c>
      <c r="F45" s="92">
        <v>0</v>
      </c>
      <c r="G45" s="51">
        <v>15000</v>
      </c>
      <c r="H45" s="74">
        <v>2965.5</v>
      </c>
      <c r="I45" s="188">
        <f t="shared" si="22"/>
        <v>15000</v>
      </c>
      <c r="J45" s="189">
        <f t="shared" si="22"/>
        <v>2965.5</v>
      </c>
      <c r="K45" s="66">
        <v>0.4</v>
      </c>
      <c r="L45" s="33">
        <f t="shared" si="23"/>
        <v>1186.2</v>
      </c>
      <c r="M45" s="39"/>
    </row>
    <row r="46" spans="1:14" s="8" customFormat="1" ht="26.45" customHeight="1" x14ac:dyDescent="0.25">
      <c r="A46" s="36" t="s">
        <v>78</v>
      </c>
      <c r="B46" s="40" t="s">
        <v>79</v>
      </c>
      <c r="C46" s="51">
        <v>0</v>
      </c>
      <c r="D46" s="139">
        <v>0</v>
      </c>
      <c r="E46" s="51"/>
      <c r="F46" s="92">
        <v>0</v>
      </c>
      <c r="G46" s="51">
        <v>8778.61</v>
      </c>
      <c r="H46" s="74">
        <v>0</v>
      </c>
      <c r="I46" s="188">
        <f t="shared" si="22"/>
        <v>8778.61</v>
      </c>
      <c r="J46" s="189">
        <f t="shared" si="22"/>
        <v>0</v>
      </c>
      <c r="K46" s="66">
        <v>0.1</v>
      </c>
      <c r="L46" s="33">
        <f t="shared" si="23"/>
        <v>0</v>
      </c>
      <c r="M46" s="39"/>
    </row>
    <row r="47" spans="1:14" s="8" customFormat="1" ht="37.5" x14ac:dyDescent="0.25">
      <c r="A47" s="75" t="s">
        <v>80</v>
      </c>
      <c r="B47" s="99" t="s">
        <v>81</v>
      </c>
      <c r="C47" s="51">
        <v>0</v>
      </c>
      <c r="D47" s="139">
        <v>0</v>
      </c>
      <c r="E47" s="77">
        <v>0</v>
      </c>
      <c r="F47" s="100">
        <v>0</v>
      </c>
      <c r="G47" s="77">
        <v>15000</v>
      </c>
      <c r="H47" s="78">
        <v>980</v>
      </c>
      <c r="I47" s="188">
        <f t="shared" si="22"/>
        <v>15000</v>
      </c>
      <c r="J47" s="189">
        <f t="shared" si="22"/>
        <v>980</v>
      </c>
      <c r="K47" s="101">
        <v>0.2</v>
      </c>
      <c r="L47" s="33">
        <f t="shared" si="23"/>
        <v>196</v>
      </c>
      <c r="M47" s="102"/>
    </row>
    <row r="48" spans="1:14" s="8" customFormat="1" ht="33" customHeight="1" thickBot="1" x14ac:dyDescent="0.3">
      <c r="A48" s="103" t="s">
        <v>82</v>
      </c>
      <c r="B48" s="99" t="s">
        <v>83</v>
      </c>
      <c r="C48" s="77"/>
      <c r="D48" s="140">
        <v>0</v>
      </c>
      <c r="E48" s="60"/>
      <c r="F48" s="104">
        <v>0</v>
      </c>
      <c r="G48" s="60">
        <v>30000</v>
      </c>
      <c r="H48" s="105">
        <v>28040.05</v>
      </c>
      <c r="I48" s="201">
        <f t="shared" si="22"/>
        <v>30000</v>
      </c>
      <c r="J48" s="204">
        <f t="shared" si="22"/>
        <v>28040.05</v>
      </c>
      <c r="K48" s="163">
        <v>0.4</v>
      </c>
      <c r="L48" s="98">
        <f t="shared" si="23"/>
        <v>11216.02</v>
      </c>
      <c r="M48" s="102"/>
    </row>
    <row r="49" spans="1:15" s="8" customFormat="1" ht="81" customHeight="1" thickBot="1" x14ac:dyDescent="0.3">
      <c r="A49" s="17" t="s">
        <v>84</v>
      </c>
      <c r="B49" s="44" t="s">
        <v>188</v>
      </c>
      <c r="C49" s="162">
        <f t="shared" ref="C49:J49" si="24">SUM(C50:C54)</f>
        <v>0</v>
      </c>
      <c r="D49" s="161">
        <f t="shared" si="24"/>
        <v>0</v>
      </c>
      <c r="E49" s="95">
        <f t="shared" si="24"/>
        <v>0</v>
      </c>
      <c r="F49" s="96">
        <f t="shared" si="24"/>
        <v>0</v>
      </c>
      <c r="G49" s="95">
        <f t="shared" si="24"/>
        <v>84350</v>
      </c>
      <c r="H49" s="97">
        <v>28586.03</v>
      </c>
      <c r="I49" s="95">
        <f t="shared" si="24"/>
        <v>84350</v>
      </c>
      <c r="J49" s="24">
        <f t="shared" si="24"/>
        <v>28586.03</v>
      </c>
      <c r="K49" s="71">
        <f>K50*I50+K52*I52+K53*I53+K54*I54</f>
        <v>26305</v>
      </c>
      <c r="L49" s="24">
        <f>SUM(L50:L54)</f>
        <v>10400.708999999999</v>
      </c>
      <c r="M49" s="48"/>
    </row>
    <row r="50" spans="1:15" s="8" customFormat="1" ht="34.15" customHeight="1" x14ac:dyDescent="0.25">
      <c r="A50" s="28" t="s">
        <v>85</v>
      </c>
      <c r="B50" s="72" t="s">
        <v>86</v>
      </c>
      <c r="C50" s="51">
        <v>0</v>
      </c>
      <c r="D50" s="139">
        <v>0</v>
      </c>
      <c r="E50" s="51">
        <v>0</v>
      </c>
      <c r="F50" s="92">
        <v>0</v>
      </c>
      <c r="G50" s="51">
        <v>15000</v>
      </c>
      <c r="H50" s="74"/>
      <c r="I50" s="200">
        <f>C50+E50+G50</f>
        <v>15000</v>
      </c>
      <c r="J50" s="189">
        <f>D50+F50+H50</f>
        <v>0</v>
      </c>
      <c r="K50" s="106">
        <v>0.4</v>
      </c>
      <c r="L50" s="33">
        <f>J50*K50</f>
        <v>0</v>
      </c>
      <c r="M50" s="35"/>
      <c r="N50" s="90"/>
    </row>
    <row r="51" spans="1:15" s="8" customFormat="1" ht="35.450000000000003" customHeight="1" x14ac:dyDescent="0.25">
      <c r="A51" s="36" t="s">
        <v>87</v>
      </c>
      <c r="B51" s="40" t="s">
        <v>88</v>
      </c>
      <c r="C51" s="51">
        <v>0</v>
      </c>
      <c r="D51" s="139">
        <v>0</v>
      </c>
      <c r="E51" s="51">
        <v>0</v>
      </c>
      <c r="F51" s="92">
        <v>0</v>
      </c>
      <c r="G51" s="51">
        <v>15000</v>
      </c>
      <c r="H51" s="74">
        <v>6438</v>
      </c>
      <c r="I51" s="188">
        <f>C51+E51+G51</f>
        <v>15000</v>
      </c>
      <c r="J51" s="196">
        <f>D51+F51+H51</f>
        <v>6438</v>
      </c>
      <c r="K51" s="106">
        <v>0.1</v>
      </c>
      <c r="L51" s="33">
        <f>J51*K51</f>
        <v>643.80000000000007</v>
      </c>
      <c r="M51" s="39"/>
    </row>
    <row r="52" spans="1:15" s="8" customFormat="1" ht="45" customHeight="1" x14ac:dyDescent="0.25">
      <c r="A52" s="36" t="s">
        <v>89</v>
      </c>
      <c r="B52" s="40" t="s">
        <v>90</v>
      </c>
      <c r="C52" s="51">
        <v>0</v>
      </c>
      <c r="D52" s="139">
        <v>0</v>
      </c>
      <c r="E52" s="51">
        <v>0</v>
      </c>
      <c r="F52" s="92">
        <v>0</v>
      </c>
      <c r="G52" s="51">
        <v>24350</v>
      </c>
      <c r="H52" s="74">
        <v>4049.5299999999997</v>
      </c>
      <c r="I52" s="188">
        <f t="shared" ref="I52:J54" si="25">C52+E52+G52</f>
        <v>24350</v>
      </c>
      <c r="J52" s="196">
        <f t="shared" si="25"/>
        <v>4049.5299999999997</v>
      </c>
      <c r="K52" s="106">
        <v>0.3</v>
      </c>
      <c r="L52" s="33">
        <f t="shared" ref="L52:L54" si="26">J52*K52</f>
        <v>1214.8589999999999</v>
      </c>
      <c r="M52" s="39"/>
    </row>
    <row r="53" spans="1:15" s="8" customFormat="1" ht="25.15" customHeight="1" x14ac:dyDescent="0.25">
      <c r="A53" s="36" t="s">
        <v>91</v>
      </c>
      <c r="B53" s="40" t="s">
        <v>92</v>
      </c>
      <c r="C53" s="51">
        <v>0</v>
      </c>
      <c r="D53" s="139">
        <v>0</v>
      </c>
      <c r="E53" s="51">
        <v>0</v>
      </c>
      <c r="F53" s="92">
        <v>0</v>
      </c>
      <c r="G53" s="51">
        <v>10000</v>
      </c>
      <c r="H53" s="74">
        <v>2536</v>
      </c>
      <c r="I53" s="188">
        <f t="shared" si="25"/>
        <v>10000</v>
      </c>
      <c r="J53" s="196">
        <f t="shared" si="25"/>
        <v>2536</v>
      </c>
      <c r="K53" s="106">
        <v>0.3</v>
      </c>
      <c r="L53" s="33">
        <f t="shared" si="26"/>
        <v>760.8</v>
      </c>
      <c r="M53" s="39"/>
    </row>
    <row r="54" spans="1:15" s="8" customFormat="1" ht="42" customHeight="1" thickBot="1" x14ac:dyDescent="0.3">
      <c r="A54" s="41" t="s">
        <v>93</v>
      </c>
      <c r="B54" s="42" t="s">
        <v>94</v>
      </c>
      <c r="C54" s="51">
        <v>0</v>
      </c>
      <c r="D54" s="139">
        <v>0</v>
      </c>
      <c r="E54" s="51">
        <v>0</v>
      </c>
      <c r="F54" s="92">
        <v>0</v>
      </c>
      <c r="G54" s="89">
        <v>20000</v>
      </c>
      <c r="H54" s="78">
        <v>15562.5</v>
      </c>
      <c r="I54" s="188">
        <f t="shared" si="25"/>
        <v>20000</v>
      </c>
      <c r="J54" s="196">
        <f t="shared" si="25"/>
        <v>15562.5</v>
      </c>
      <c r="K54" s="106">
        <v>0.5</v>
      </c>
      <c r="L54" s="33">
        <f t="shared" si="26"/>
        <v>7781.25</v>
      </c>
      <c r="M54" s="62"/>
    </row>
    <row r="55" spans="1:15" s="8" customFormat="1" ht="83.25" customHeight="1" thickBot="1" x14ac:dyDescent="0.3">
      <c r="A55" s="17" t="s">
        <v>95</v>
      </c>
      <c r="B55" s="44" t="s">
        <v>189</v>
      </c>
      <c r="C55" s="19">
        <f>SUM(C56:C59)</f>
        <v>75000</v>
      </c>
      <c r="D55" s="19">
        <f t="shared" ref="D55:J55" si="27">SUM(D56:D59)</f>
        <v>52782.45</v>
      </c>
      <c r="E55" s="19">
        <f t="shared" si="27"/>
        <v>0</v>
      </c>
      <c r="F55" s="68">
        <f t="shared" si="27"/>
        <v>0</v>
      </c>
      <c r="G55" s="19">
        <f t="shared" si="27"/>
        <v>0</v>
      </c>
      <c r="H55" s="69">
        <f t="shared" si="27"/>
        <v>0</v>
      </c>
      <c r="I55" s="19">
        <f t="shared" si="27"/>
        <v>75000</v>
      </c>
      <c r="J55" s="24">
        <f t="shared" si="27"/>
        <v>52782.45</v>
      </c>
      <c r="K55" s="71">
        <f>K56*I56+K57*I57+K58*I58+K59*I59</f>
        <v>12000</v>
      </c>
      <c r="L55" s="24">
        <f>SUM(L56:L59)</f>
        <v>10556.49</v>
      </c>
      <c r="M55" s="48"/>
      <c r="N55" s="90"/>
    </row>
    <row r="56" spans="1:15" s="8" customFormat="1" ht="49.15" customHeight="1" x14ac:dyDescent="0.25">
      <c r="A56" s="28" t="s">
        <v>96</v>
      </c>
      <c r="B56" s="72" t="s">
        <v>97</v>
      </c>
      <c r="C56" s="51">
        <v>25000</v>
      </c>
      <c r="D56" s="139">
        <v>52782.45</v>
      </c>
      <c r="E56" s="51">
        <v>0</v>
      </c>
      <c r="F56" s="92">
        <v>0</v>
      </c>
      <c r="G56" s="73">
        <v>0</v>
      </c>
      <c r="H56" s="74">
        <v>0</v>
      </c>
      <c r="I56" s="186">
        <f>C56+E56+G56</f>
        <v>25000</v>
      </c>
      <c r="J56" s="189">
        <f>D56+F56+H56</f>
        <v>52782.45</v>
      </c>
      <c r="K56" s="65">
        <v>0.2</v>
      </c>
      <c r="L56" s="33">
        <f>J56*K56</f>
        <v>10556.49</v>
      </c>
      <c r="M56" s="35"/>
    </row>
    <row r="57" spans="1:15" s="8" customFormat="1" ht="49.15" customHeight="1" x14ac:dyDescent="0.25">
      <c r="A57" s="36" t="s">
        <v>98</v>
      </c>
      <c r="B57" s="40" t="s">
        <v>99</v>
      </c>
      <c r="C57" s="51">
        <v>20000</v>
      </c>
      <c r="D57" s="139">
        <v>0</v>
      </c>
      <c r="E57" s="51">
        <v>0</v>
      </c>
      <c r="F57" s="92">
        <v>0</v>
      </c>
      <c r="G57" s="51">
        <v>0</v>
      </c>
      <c r="H57" s="74">
        <v>0</v>
      </c>
      <c r="I57" s="188">
        <f>C57+E57+G57</f>
        <v>20000</v>
      </c>
      <c r="J57" s="196">
        <f>D57+F57+H57</f>
        <v>0</v>
      </c>
      <c r="K57" s="66">
        <v>0.2</v>
      </c>
      <c r="L57" s="33">
        <f>J57*K57</f>
        <v>0</v>
      </c>
      <c r="M57" s="39"/>
    </row>
    <row r="58" spans="1:15" s="8" customFormat="1" ht="34.15" customHeight="1" x14ac:dyDescent="0.25">
      <c r="A58" s="36" t="s">
        <v>100</v>
      </c>
      <c r="B58" s="40" t="s">
        <v>101</v>
      </c>
      <c r="C58" s="51">
        <v>10000</v>
      </c>
      <c r="D58" s="139">
        <v>0</v>
      </c>
      <c r="E58" s="51">
        <v>0</v>
      </c>
      <c r="F58" s="92">
        <v>0</v>
      </c>
      <c r="G58" s="51">
        <v>0</v>
      </c>
      <c r="H58" s="74">
        <v>0</v>
      </c>
      <c r="I58" s="188">
        <f t="shared" ref="I58:J59" si="28">C58+E58+G58</f>
        <v>10000</v>
      </c>
      <c r="J58" s="196">
        <f t="shared" si="28"/>
        <v>0</v>
      </c>
      <c r="K58" s="66">
        <v>0.1</v>
      </c>
      <c r="L58" s="33">
        <f t="shared" ref="L58:L59" si="29">J58*K58</f>
        <v>0</v>
      </c>
      <c r="M58" s="39"/>
      <c r="O58" s="90"/>
    </row>
    <row r="59" spans="1:15" s="8" customFormat="1" ht="30" customHeight="1" thickBot="1" x14ac:dyDescent="0.3">
      <c r="A59" s="75" t="s">
        <v>102</v>
      </c>
      <c r="B59" s="76" t="s">
        <v>103</v>
      </c>
      <c r="C59" s="51">
        <v>20000</v>
      </c>
      <c r="D59" s="139">
        <v>0</v>
      </c>
      <c r="E59" s="77">
        <v>0</v>
      </c>
      <c r="F59" s="100"/>
      <c r="G59" s="77">
        <v>0</v>
      </c>
      <c r="H59" s="78">
        <v>0</v>
      </c>
      <c r="I59" s="188">
        <f t="shared" si="28"/>
        <v>20000</v>
      </c>
      <c r="J59" s="202">
        <f t="shared" si="28"/>
        <v>0</v>
      </c>
      <c r="K59" s="67">
        <v>0.1</v>
      </c>
      <c r="L59" s="33">
        <f t="shared" si="29"/>
        <v>0</v>
      </c>
      <c r="M59" s="62"/>
    </row>
    <row r="60" spans="1:15" s="8" customFormat="1" ht="42" customHeight="1" thickBot="1" x14ac:dyDescent="0.3">
      <c r="A60" s="261" t="s">
        <v>104</v>
      </c>
      <c r="B60" s="298"/>
      <c r="C60" s="79">
        <f>C55+C49+C40+C36+C31</f>
        <v>75000</v>
      </c>
      <c r="D60" s="79">
        <f t="shared" ref="D60:J60" si="30">D55+D49+D40+D36+D31</f>
        <v>52782.45</v>
      </c>
      <c r="E60" s="79">
        <f t="shared" si="30"/>
        <v>287846.73</v>
      </c>
      <c r="F60" s="21">
        <f t="shared" si="30"/>
        <v>35052</v>
      </c>
      <c r="G60" s="79">
        <f t="shared" si="30"/>
        <v>254328.61</v>
      </c>
      <c r="H60" s="22">
        <f t="shared" si="30"/>
        <v>127668.37999999999</v>
      </c>
      <c r="I60" s="107">
        <f t="shared" si="30"/>
        <v>617175.34</v>
      </c>
      <c r="J60" s="108">
        <f t="shared" si="30"/>
        <v>215502.83</v>
      </c>
      <c r="K60" s="71">
        <f>K55+K49+K40+K36+K31</f>
        <v>195546.22600000002</v>
      </c>
      <c r="L60" s="24">
        <f>L55+L49+L40+L36+L31</f>
        <v>76131.072</v>
      </c>
      <c r="M60" s="48"/>
    </row>
    <row r="61" spans="1:15" s="8" customFormat="1" ht="37.15" customHeight="1" thickBot="1" x14ac:dyDescent="0.3">
      <c r="A61" s="302" t="s">
        <v>105</v>
      </c>
      <c r="B61" s="303"/>
      <c r="C61" s="303"/>
      <c r="D61" s="303"/>
      <c r="E61" s="303"/>
      <c r="F61" s="303"/>
      <c r="G61" s="303"/>
      <c r="H61" s="303"/>
      <c r="I61" s="303"/>
      <c r="J61" s="303"/>
      <c r="K61" s="303"/>
      <c r="L61" s="303"/>
      <c r="M61" s="304"/>
    </row>
    <row r="62" spans="1:15" s="8" customFormat="1" ht="119.45" customHeight="1" thickBot="1" x14ac:dyDescent="0.3">
      <c r="A62" s="217" t="s">
        <v>106</v>
      </c>
      <c r="B62" s="218" t="s">
        <v>107</v>
      </c>
      <c r="C62" s="205">
        <f>SUM(C63:C64)</f>
        <v>0</v>
      </c>
      <c r="D62" s="205">
        <f t="shared" ref="D62:J62" si="31">SUM(D63:D64)</f>
        <v>0</v>
      </c>
      <c r="E62" s="206">
        <f t="shared" si="31"/>
        <v>0</v>
      </c>
      <c r="F62" s="207">
        <f t="shared" si="31"/>
        <v>0</v>
      </c>
      <c r="G62" s="206">
        <f t="shared" si="31"/>
        <v>0</v>
      </c>
      <c r="H62" s="208">
        <f t="shared" si="31"/>
        <v>0</v>
      </c>
      <c r="I62" s="209">
        <f t="shared" si="31"/>
        <v>0</v>
      </c>
      <c r="J62" s="210">
        <f t="shared" si="31"/>
        <v>0</v>
      </c>
      <c r="K62" s="211">
        <v>0</v>
      </c>
      <c r="L62" s="176">
        <f>SUM(L63:L64)</f>
        <v>0</v>
      </c>
      <c r="M62" s="219"/>
    </row>
    <row r="63" spans="1:15" s="8" customFormat="1" ht="122.65" customHeight="1" x14ac:dyDescent="0.25">
      <c r="A63" s="147" t="s">
        <v>108</v>
      </c>
      <c r="B63" s="220" t="s">
        <v>109</v>
      </c>
      <c r="C63" s="73">
        <v>0</v>
      </c>
      <c r="D63" s="165">
        <v>0</v>
      </c>
      <c r="E63" s="73" t="s">
        <v>110</v>
      </c>
      <c r="F63" s="166">
        <v>0</v>
      </c>
      <c r="G63" s="73">
        <v>0</v>
      </c>
      <c r="H63" s="180">
        <v>0</v>
      </c>
      <c r="I63" s="213">
        <f>SUM(C63:H63)</f>
        <v>0</v>
      </c>
      <c r="J63" s="214">
        <f>D63+F63+H63</f>
        <v>0</v>
      </c>
      <c r="K63" s="167">
        <v>0</v>
      </c>
      <c r="L63" s="221">
        <f>J63*K63</f>
        <v>0</v>
      </c>
      <c r="M63" s="154"/>
    </row>
    <row r="64" spans="1:15" s="8" customFormat="1" ht="151.15" customHeight="1" thickBot="1" x14ac:dyDescent="0.3">
      <c r="A64" s="41" t="s">
        <v>111</v>
      </c>
      <c r="B64" s="222" t="s">
        <v>112</v>
      </c>
      <c r="C64" s="93">
        <v>0</v>
      </c>
      <c r="D64" s="182">
        <v>0</v>
      </c>
      <c r="E64" s="93" t="s">
        <v>110</v>
      </c>
      <c r="F64" s="183">
        <v>0</v>
      </c>
      <c r="G64" s="93">
        <v>0</v>
      </c>
      <c r="H64" s="184">
        <v>0</v>
      </c>
      <c r="I64" s="215">
        <f>SUM(C64:H64)</f>
        <v>0</v>
      </c>
      <c r="J64" s="216">
        <f>D64+F64+H64</f>
        <v>0</v>
      </c>
      <c r="K64" s="168">
        <v>0</v>
      </c>
      <c r="L64" s="223">
        <f>J64*K64</f>
        <v>0</v>
      </c>
      <c r="M64" s="62"/>
    </row>
    <row r="65" spans="1:13" s="8" customFormat="1" ht="81" customHeight="1" thickBot="1" x14ac:dyDescent="0.3">
      <c r="A65" s="224" t="s">
        <v>113</v>
      </c>
      <c r="B65" s="225" t="s">
        <v>114</v>
      </c>
      <c r="C65" s="226">
        <f>SUM(C66:C70)</f>
        <v>693975.7</v>
      </c>
      <c r="D65" s="226">
        <f t="shared" ref="D65:J65" si="32">SUM(D66:D70)</f>
        <v>176014.05</v>
      </c>
      <c r="E65" s="226">
        <f t="shared" si="32"/>
        <v>0</v>
      </c>
      <c r="F65" s="227">
        <f t="shared" si="32"/>
        <v>0</v>
      </c>
      <c r="G65" s="226">
        <f t="shared" si="32"/>
        <v>0</v>
      </c>
      <c r="H65" s="228">
        <f t="shared" si="32"/>
        <v>0</v>
      </c>
      <c r="I65" s="226">
        <f t="shared" si="32"/>
        <v>693975.7</v>
      </c>
      <c r="J65" s="229">
        <f t="shared" si="32"/>
        <v>176014.05</v>
      </c>
      <c r="K65" s="230">
        <f>K66*I66+K67*I67+K68*I68+K69*I69+K70*I70</f>
        <v>415587.85</v>
      </c>
      <c r="L65" s="98">
        <f>SUM(L66:L70)</f>
        <v>105230.18799999999</v>
      </c>
      <c r="M65" s="86"/>
    </row>
    <row r="66" spans="1:13" s="8" customFormat="1" ht="45" customHeight="1" x14ac:dyDescent="0.25">
      <c r="A66" s="147" t="s">
        <v>115</v>
      </c>
      <c r="B66" s="235" t="s">
        <v>116</v>
      </c>
      <c r="C66" s="236">
        <v>7975.7</v>
      </c>
      <c r="D66" s="237">
        <v>3782.42</v>
      </c>
      <c r="E66" s="236">
        <v>0</v>
      </c>
      <c r="F66" s="238">
        <v>0</v>
      </c>
      <c r="G66" s="236">
        <v>0</v>
      </c>
      <c r="H66" s="239">
        <v>0</v>
      </c>
      <c r="I66" s="236">
        <f>C66+E66+G66</f>
        <v>7975.7</v>
      </c>
      <c r="J66" s="240">
        <f>D66+F66+H66</f>
        <v>3782.42</v>
      </c>
      <c r="K66" s="167">
        <v>0.5</v>
      </c>
      <c r="L66" s="241">
        <f>J66*K66</f>
        <v>1891.21</v>
      </c>
      <c r="M66" s="154" t="s">
        <v>117</v>
      </c>
    </row>
    <row r="67" spans="1:13" s="8" customFormat="1" ht="75" customHeight="1" x14ac:dyDescent="0.25">
      <c r="A67" s="36" t="s">
        <v>118</v>
      </c>
      <c r="B67" s="110" t="s">
        <v>119</v>
      </c>
      <c r="C67" s="109">
        <v>400000</v>
      </c>
      <c r="D67" s="145">
        <v>0</v>
      </c>
      <c r="E67" s="109">
        <v>0</v>
      </c>
      <c r="F67" s="231">
        <v>0</v>
      </c>
      <c r="G67" s="109">
        <v>0</v>
      </c>
      <c r="H67" s="232">
        <v>0</v>
      </c>
      <c r="I67" s="109">
        <f>C67+E67+G67</f>
        <v>400000</v>
      </c>
      <c r="J67" s="233">
        <f>D67+F67+H67</f>
        <v>0</v>
      </c>
      <c r="K67" s="212">
        <v>0.6</v>
      </c>
      <c r="L67" s="234">
        <f>J67*K67</f>
        <v>0</v>
      </c>
      <c r="M67" s="39" t="s">
        <v>120</v>
      </c>
    </row>
    <row r="68" spans="1:13" s="8" customFormat="1" ht="45.6" customHeight="1" x14ac:dyDescent="0.25">
      <c r="A68" s="36" t="s">
        <v>121</v>
      </c>
      <c r="B68" s="110" t="s">
        <v>122</v>
      </c>
      <c r="C68" s="109">
        <v>111000</v>
      </c>
      <c r="D68" s="145">
        <v>0</v>
      </c>
      <c r="E68" s="109">
        <v>0</v>
      </c>
      <c r="F68" s="231">
        <v>0</v>
      </c>
      <c r="G68" s="109">
        <v>0</v>
      </c>
      <c r="H68" s="232">
        <v>0</v>
      </c>
      <c r="I68" s="109">
        <f t="shared" ref="I68:J70" si="33">C68+E68+G68</f>
        <v>111000</v>
      </c>
      <c r="J68" s="233">
        <f t="shared" si="33"/>
        <v>0</v>
      </c>
      <c r="K68" s="212">
        <v>0.6</v>
      </c>
      <c r="L68" s="234">
        <f t="shared" ref="L68:L70" si="34">J68*K68</f>
        <v>0</v>
      </c>
      <c r="M68" s="39" t="s">
        <v>123</v>
      </c>
    </row>
    <row r="69" spans="1:13" s="8" customFormat="1" ht="57.6" customHeight="1" x14ac:dyDescent="0.25">
      <c r="A69" s="36" t="s">
        <v>124</v>
      </c>
      <c r="B69" s="110" t="s">
        <v>125</v>
      </c>
      <c r="C69" s="109">
        <v>60000</v>
      </c>
      <c r="D69" s="145">
        <v>116364.37</v>
      </c>
      <c r="E69" s="109">
        <v>0</v>
      </c>
      <c r="F69" s="231">
        <v>0</v>
      </c>
      <c r="G69" s="109">
        <v>0</v>
      </c>
      <c r="H69" s="232">
        <v>0</v>
      </c>
      <c r="I69" s="109">
        <f t="shared" si="33"/>
        <v>60000</v>
      </c>
      <c r="J69" s="233">
        <f t="shared" si="33"/>
        <v>116364.37</v>
      </c>
      <c r="K69" s="212">
        <v>0.6</v>
      </c>
      <c r="L69" s="234">
        <f t="shared" si="34"/>
        <v>69818.621999999988</v>
      </c>
      <c r="M69" s="39" t="s">
        <v>126</v>
      </c>
    </row>
    <row r="70" spans="1:13" s="8" customFormat="1" ht="47.45" customHeight="1" thickBot="1" x14ac:dyDescent="0.3">
      <c r="A70" s="41" t="s">
        <v>127</v>
      </c>
      <c r="B70" s="242" t="s">
        <v>128</v>
      </c>
      <c r="C70" s="243">
        <v>115000</v>
      </c>
      <c r="D70" s="244">
        <v>55867.26</v>
      </c>
      <c r="E70" s="243">
        <v>0</v>
      </c>
      <c r="F70" s="245">
        <v>0</v>
      </c>
      <c r="G70" s="243">
        <v>0</v>
      </c>
      <c r="H70" s="246">
        <v>0</v>
      </c>
      <c r="I70" s="243">
        <f t="shared" si="33"/>
        <v>115000</v>
      </c>
      <c r="J70" s="247">
        <f t="shared" si="33"/>
        <v>55867.26</v>
      </c>
      <c r="K70" s="168">
        <v>0.6</v>
      </c>
      <c r="L70" s="248">
        <f t="shared" si="34"/>
        <v>33520.356</v>
      </c>
      <c r="M70" s="62" t="s">
        <v>129</v>
      </c>
    </row>
    <row r="71" spans="1:13" s="8" customFormat="1" ht="69.75" customHeight="1" thickBot="1" x14ac:dyDescent="0.3">
      <c r="A71" s="224" t="s">
        <v>130</v>
      </c>
      <c r="B71" s="225" t="s">
        <v>131</v>
      </c>
      <c r="C71" s="226">
        <f>SUM(C72:C77)</f>
        <v>300000</v>
      </c>
      <c r="D71" s="226">
        <f t="shared" ref="D71:J71" si="35">SUM(D72:D77)</f>
        <v>40754.729999999996</v>
      </c>
      <c r="E71" s="226">
        <f t="shared" si="35"/>
        <v>0</v>
      </c>
      <c r="F71" s="227">
        <f t="shared" si="35"/>
        <v>0</v>
      </c>
      <c r="G71" s="226">
        <f t="shared" si="35"/>
        <v>0</v>
      </c>
      <c r="H71" s="228">
        <f t="shared" si="35"/>
        <v>0</v>
      </c>
      <c r="I71" s="226">
        <f t="shared" si="35"/>
        <v>300000</v>
      </c>
      <c r="J71" s="249">
        <f t="shared" si="35"/>
        <v>40754.729999999996</v>
      </c>
      <c r="K71" s="250">
        <f>K72*I72+K73*I73+K74*I74+K75*I75+K76*I76+K77*I77</f>
        <v>194000</v>
      </c>
      <c r="L71" s="98">
        <f>SUM(L72:L77)</f>
        <v>24422.837999999996</v>
      </c>
      <c r="M71" s="86"/>
    </row>
    <row r="72" spans="1:13" s="8" customFormat="1" ht="52.5" customHeight="1" x14ac:dyDescent="0.25">
      <c r="A72" s="147" t="s">
        <v>132</v>
      </c>
      <c r="B72" s="235" t="s">
        <v>133</v>
      </c>
      <c r="C72" s="236">
        <v>15000</v>
      </c>
      <c r="D72" s="237">
        <v>300</v>
      </c>
      <c r="E72" s="236">
        <v>0</v>
      </c>
      <c r="F72" s="238">
        <v>0</v>
      </c>
      <c r="G72" s="236">
        <v>0</v>
      </c>
      <c r="H72" s="239">
        <v>0</v>
      </c>
      <c r="I72" s="236">
        <f>C72+E72+G72</f>
        <v>15000</v>
      </c>
      <c r="J72" s="240">
        <f>D72+F72+H72</f>
        <v>300</v>
      </c>
      <c r="K72" s="167">
        <v>0.5</v>
      </c>
      <c r="L72" s="241">
        <f>J72*K72</f>
        <v>150</v>
      </c>
      <c r="M72" s="154" t="s">
        <v>134</v>
      </c>
    </row>
    <row r="73" spans="1:13" s="8" customFormat="1" ht="43.9" customHeight="1" x14ac:dyDescent="0.25">
      <c r="A73" s="36" t="s">
        <v>135</v>
      </c>
      <c r="B73" s="110" t="s">
        <v>136</v>
      </c>
      <c r="C73" s="109">
        <v>25000</v>
      </c>
      <c r="D73" s="145">
        <v>0</v>
      </c>
      <c r="E73" s="109">
        <v>0</v>
      </c>
      <c r="F73" s="231">
        <v>0</v>
      </c>
      <c r="G73" s="109">
        <v>0</v>
      </c>
      <c r="H73" s="232">
        <v>0</v>
      </c>
      <c r="I73" s="109">
        <f>C73+E73+G73</f>
        <v>25000</v>
      </c>
      <c r="J73" s="233">
        <f>D73+F73+H73</f>
        <v>0</v>
      </c>
      <c r="K73" s="212">
        <v>0.5</v>
      </c>
      <c r="L73" s="234">
        <f>J73*K73</f>
        <v>0</v>
      </c>
      <c r="M73" s="39" t="s">
        <v>137</v>
      </c>
    </row>
    <row r="74" spans="1:13" s="8" customFormat="1" ht="42" customHeight="1" x14ac:dyDescent="0.25">
      <c r="A74" s="36" t="s">
        <v>138</v>
      </c>
      <c r="B74" s="110" t="s">
        <v>139</v>
      </c>
      <c r="C74" s="109">
        <v>45000</v>
      </c>
      <c r="D74" s="145">
        <v>12559.27</v>
      </c>
      <c r="E74" s="109">
        <v>0</v>
      </c>
      <c r="F74" s="231">
        <v>0</v>
      </c>
      <c r="G74" s="109">
        <v>0</v>
      </c>
      <c r="H74" s="232">
        <v>0</v>
      </c>
      <c r="I74" s="109">
        <f t="shared" ref="I74:J77" si="36">C74+E74+G74</f>
        <v>45000</v>
      </c>
      <c r="J74" s="233">
        <f t="shared" si="36"/>
        <v>12559.27</v>
      </c>
      <c r="K74" s="212">
        <v>0.6</v>
      </c>
      <c r="L74" s="234">
        <f t="shared" ref="L74:L77" si="37">J74*K74</f>
        <v>7535.5619999999999</v>
      </c>
      <c r="M74" s="39" t="s">
        <v>140</v>
      </c>
    </row>
    <row r="75" spans="1:13" s="8" customFormat="1" ht="46.5" customHeight="1" x14ac:dyDescent="0.25">
      <c r="A75" s="36" t="s">
        <v>141</v>
      </c>
      <c r="B75" s="110" t="s">
        <v>142</v>
      </c>
      <c r="C75" s="109">
        <v>30000</v>
      </c>
      <c r="D75" s="145">
        <v>0</v>
      </c>
      <c r="E75" s="109">
        <v>0</v>
      </c>
      <c r="F75" s="231">
        <v>0</v>
      </c>
      <c r="G75" s="109">
        <v>0</v>
      </c>
      <c r="H75" s="232">
        <v>0</v>
      </c>
      <c r="I75" s="109">
        <f t="shared" si="36"/>
        <v>30000</v>
      </c>
      <c r="J75" s="233">
        <f t="shared" si="36"/>
        <v>0</v>
      </c>
      <c r="K75" s="212">
        <v>0.8</v>
      </c>
      <c r="L75" s="234">
        <f t="shared" si="37"/>
        <v>0</v>
      </c>
      <c r="M75" s="39" t="s">
        <v>143</v>
      </c>
    </row>
    <row r="76" spans="1:13" s="8" customFormat="1" ht="55.5" customHeight="1" x14ac:dyDescent="0.25">
      <c r="A76" s="36" t="s">
        <v>144</v>
      </c>
      <c r="B76" s="110" t="s">
        <v>145</v>
      </c>
      <c r="C76" s="109">
        <v>60000</v>
      </c>
      <c r="D76" s="145">
        <v>0</v>
      </c>
      <c r="E76" s="109">
        <v>0</v>
      </c>
      <c r="F76" s="231">
        <v>0</v>
      </c>
      <c r="G76" s="109">
        <v>0</v>
      </c>
      <c r="H76" s="232">
        <v>0</v>
      </c>
      <c r="I76" s="109">
        <f t="shared" si="36"/>
        <v>60000</v>
      </c>
      <c r="J76" s="233">
        <f t="shared" si="36"/>
        <v>0</v>
      </c>
      <c r="K76" s="212">
        <v>0.8</v>
      </c>
      <c r="L76" s="234">
        <f t="shared" si="37"/>
        <v>0</v>
      </c>
      <c r="M76" s="39" t="s">
        <v>146</v>
      </c>
    </row>
    <row r="77" spans="1:13" s="8" customFormat="1" ht="54.75" customHeight="1" thickBot="1" x14ac:dyDescent="0.3">
      <c r="A77" s="41" t="s">
        <v>147</v>
      </c>
      <c r="B77" s="242" t="s">
        <v>148</v>
      </c>
      <c r="C77" s="243">
        <v>125000</v>
      </c>
      <c r="D77" s="244">
        <v>27895.46</v>
      </c>
      <c r="E77" s="243">
        <v>0</v>
      </c>
      <c r="F77" s="245">
        <v>0</v>
      </c>
      <c r="G77" s="243">
        <v>0</v>
      </c>
      <c r="H77" s="246">
        <v>0</v>
      </c>
      <c r="I77" s="243">
        <f t="shared" si="36"/>
        <v>125000</v>
      </c>
      <c r="J77" s="247">
        <f t="shared" si="36"/>
        <v>27895.46</v>
      </c>
      <c r="K77" s="168">
        <v>0.6</v>
      </c>
      <c r="L77" s="248">
        <f t="shared" si="37"/>
        <v>16737.275999999998</v>
      </c>
      <c r="M77" s="62" t="s">
        <v>149</v>
      </c>
    </row>
    <row r="78" spans="1:13" s="8" customFormat="1" ht="96.75" customHeight="1" thickBot="1" x14ac:dyDescent="0.3">
      <c r="A78" s="224" t="s">
        <v>150</v>
      </c>
      <c r="B78" s="225" t="s">
        <v>151</v>
      </c>
      <c r="C78" s="226">
        <f>SUM(C79:C82)</f>
        <v>95000</v>
      </c>
      <c r="D78" s="226">
        <f t="shared" ref="D78:J78" si="38">SUM(D79:D82)</f>
        <v>0</v>
      </c>
      <c r="E78" s="226">
        <f t="shared" si="38"/>
        <v>0</v>
      </c>
      <c r="F78" s="227">
        <f t="shared" si="38"/>
        <v>0</v>
      </c>
      <c r="G78" s="226">
        <f t="shared" si="38"/>
        <v>0</v>
      </c>
      <c r="H78" s="228">
        <f t="shared" si="38"/>
        <v>0</v>
      </c>
      <c r="I78" s="226">
        <f t="shared" si="38"/>
        <v>95000</v>
      </c>
      <c r="J78" s="249">
        <f t="shared" si="38"/>
        <v>0</v>
      </c>
      <c r="K78" s="250">
        <f>K79*I79+K80*I80+K81*I81+K82*I82</f>
        <v>56500</v>
      </c>
      <c r="L78" s="98">
        <f>L79*J79+L80*J80+L81*J81+L82*J82</f>
        <v>0</v>
      </c>
      <c r="M78" s="86"/>
    </row>
    <row r="79" spans="1:13" s="8" customFormat="1" ht="24" customHeight="1" x14ac:dyDescent="0.25">
      <c r="A79" s="147" t="s">
        <v>152</v>
      </c>
      <c r="B79" s="235" t="s">
        <v>153</v>
      </c>
      <c r="C79" s="236">
        <v>10000</v>
      </c>
      <c r="D79" s="237">
        <v>0</v>
      </c>
      <c r="E79" s="236">
        <v>0</v>
      </c>
      <c r="F79" s="238">
        <v>0</v>
      </c>
      <c r="G79" s="236">
        <v>0</v>
      </c>
      <c r="H79" s="239">
        <v>0</v>
      </c>
      <c r="I79" s="236">
        <f>C79+E79+G79</f>
        <v>10000</v>
      </c>
      <c r="J79" s="240">
        <f>D79+F79+H79</f>
        <v>0</v>
      </c>
      <c r="K79" s="167">
        <v>0.6</v>
      </c>
      <c r="L79" s="221">
        <f>J79*K79</f>
        <v>0</v>
      </c>
      <c r="M79" s="154" t="s">
        <v>134</v>
      </c>
    </row>
    <row r="80" spans="1:13" s="8" customFormat="1" ht="66.75" customHeight="1" x14ac:dyDescent="0.25">
      <c r="A80" s="36" t="s">
        <v>154</v>
      </c>
      <c r="B80" s="110" t="s">
        <v>155</v>
      </c>
      <c r="C80" s="109">
        <v>15000</v>
      </c>
      <c r="D80" s="145">
        <v>0</v>
      </c>
      <c r="E80" s="109">
        <v>0</v>
      </c>
      <c r="F80" s="231">
        <v>0</v>
      </c>
      <c r="G80" s="109">
        <v>0</v>
      </c>
      <c r="H80" s="232">
        <v>0</v>
      </c>
      <c r="I80" s="109">
        <f>C80+E80+G80</f>
        <v>15000</v>
      </c>
      <c r="J80" s="233">
        <f>D80+F80+H80</f>
        <v>0</v>
      </c>
      <c r="K80" s="212">
        <v>0.6</v>
      </c>
      <c r="L80" s="178">
        <f>J80*K80</f>
        <v>0</v>
      </c>
      <c r="M80" s="39" t="s">
        <v>156</v>
      </c>
    </row>
    <row r="81" spans="1:16" s="8" customFormat="1" ht="37.5" x14ac:dyDescent="0.25">
      <c r="A81" s="36" t="s">
        <v>157</v>
      </c>
      <c r="B81" s="110" t="s">
        <v>158</v>
      </c>
      <c r="C81" s="109">
        <v>5000</v>
      </c>
      <c r="D81" s="145">
        <v>0</v>
      </c>
      <c r="E81" s="109">
        <v>0</v>
      </c>
      <c r="F81" s="231">
        <v>0</v>
      </c>
      <c r="G81" s="109">
        <v>0</v>
      </c>
      <c r="H81" s="232">
        <v>0</v>
      </c>
      <c r="I81" s="109">
        <f t="shared" ref="I81:J82" si="39">C81+E81+G81</f>
        <v>5000</v>
      </c>
      <c r="J81" s="233">
        <f t="shared" si="39"/>
        <v>0</v>
      </c>
      <c r="K81" s="212">
        <v>0.5</v>
      </c>
      <c r="L81" s="178">
        <f t="shared" ref="L81:L82" si="40">J81*K81</f>
        <v>0</v>
      </c>
      <c r="M81" s="39" t="s">
        <v>159</v>
      </c>
    </row>
    <row r="82" spans="1:16" s="8" customFormat="1" ht="64.900000000000006" customHeight="1" thickBot="1" x14ac:dyDescent="0.3">
      <c r="A82" s="41" t="s">
        <v>160</v>
      </c>
      <c r="B82" s="242" t="s">
        <v>161</v>
      </c>
      <c r="C82" s="243">
        <v>65000</v>
      </c>
      <c r="D82" s="244">
        <v>0</v>
      </c>
      <c r="E82" s="243">
        <v>0</v>
      </c>
      <c r="F82" s="245">
        <v>0</v>
      </c>
      <c r="G82" s="243">
        <v>0</v>
      </c>
      <c r="H82" s="246">
        <v>0</v>
      </c>
      <c r="I82" s="243">
        <f t="shared" si="39"/>
        <v>65000</v>
      </c>
      <c r="J82" s="247">
        <f t="shared" si="39"/>
        <v>0</v>
      </c>
      <c r="K82" s="168">
        <v>0.6</v>
      </c>
      <c r="L82" s="223">
        <f t="shared" si="40"/>
        <v>0</v>
      </c>
      <c r="M82" s="62" t="s">
        <v>162</v>
      </c>
      <c r="O82" s="90"/>
    </row>
    <row r="83" spans="1:16" s="8" customFormat="1" ht="31.15" customHeight="1" thickBot="1" x14ac:dyDescent="0.3">
      <c r="A83" s="300" t="s">
        <v>163</v>
      </c>
      <c r="B83" s="301"/>
      <c r="C83" s="251">
        <f>C78+C71+C65</f>
        <v>1088975.7</v>
      </c>
      <c r="D83" s="251">
        <f t="shared" ref="D83:J83" si="41">D78+D71+D65</f>
        <v>216768.77999999997</v>
      </c>
      <c r="E83" s="251">
        <f t="shared" si="41"/>
        <v>0</v>
      </c>
      <c r="F83" s="252">
        <f t="shared" si="41"/>
        <v>0</v>
      </c>
      <c r="G83" s="251">
        <f t="shared" si="41"/>
        <v>0</v>
      </c>
      <c r="H83" s="253">
        <f t="shared" si="41"/>
        <v>0</v>
      </c>
      <c r="I83" s="251">
        <f t="shared" si="41"/>
        <v>1088975.7</v>
      </c>
      <c r="J83" s="159">
        <f t="shared" si="41"/>
        <v>216768.77999999997</v>
      </c>
      <c r="K83" s="254">
        <f>K78+K71+K65+K62</f>
        <v>666087.85</v>
      </c>
      <c r="L83" s="159">
        <f>L78+L71+L65+L62</f>
        <v>129653.02599999998</v>
      </c>
      <c r="M83" s="255"/>
      <c r="N83" s="90"/>
    </row>
    <row r="84" spans="1:16" s="8" customFormat="1" ht="34.9" customHeight="1" thickBot="1" x14ac:dyDescent="0.3">
      <c r="A84" s="267" t="s">
        <v>164</v>
      </c>
      <c r="B84" s="268"/>
      <c r="C84" s="172">
        <f>C83+C60+C29</f>
        <v>1748975.7</v>
      </c>
      <c r="D84" s="172">
        <f t="shared" ref="D84:L84" si="42">D83+D60+D29</f>
        <v>647377.87</v>
      </c>
      <c r="E84" s="172">
        <f t="shared" si="42"/>
        <v>408846.73</v>
      </c>
      <c r="F84" s="173">
        <f>F83+F60+F29</f>
        <v>77380</v>
      </c>
      <c r="G84" s="172">
        <f t="shared" si="42"/>
        <v>254328.61</v>
      </c>
      <c r="H84" s="174">
        <f t="shared" si="42"/>
        <v>127668.37999999999</v>
      </c>
      <c r="I84" s="175">
        <f t="shared" si="42"/>
        <v>2412151.04</v>
      </c>
      <c r="J84" s="176">
        <f t="shared" si="42"/>
        <v>852426.25</v>
      </c>
      <c r="K84" s="113">
        <f t="shared" si="42"/>
        <v>1051434.0759999999</v>
      </c>
      <c r="L84" s="24">
        <f t="shared" si="42"/>
        <v>319674.64899999998</v>
      </c>
      <c r="M84" s="26"/>
      <c r="O84" s="90"/>
    </row>
    <row r="85" spans="1:16" s="8" customFormat="1" ht="39" customHeight="1" x14ac:dyDescent="0.25">
      <c r="A85" s="269" t="s">
        <v>165</v>
      </c>
      <c r="B85" s="270"/>
      <c r="C85" s="73">
        <v>300000</v>
      </c>
      <c r="D85" s="179">
        <v>255721.47</v>
      </c>
      <c r="E85" s="73">
        <v>105000</v>
      </c>
      <c r="F85" s="166">
        <v>99049.87</v>
      </c>
      <c r="G85" s="73">
        <v>173877</v>
      </c>
      <c r="H85" s="180">
        <v>271636.09000000003</v>
      </c>
      <c r="I85" s="73">
        <f>C85+E85+G85</f>
        <v>578877</v>
      </c>
      <c r="J85" s="181">
        <f>D85+F85+H85</f>
        <v>626407.42999999993</v>
      </c>
      <c r="K85" s="114"/>
      <c r="L85" s="114"/>
      <c r="M85" s="115"/>
    </row>
    <row r="86" spans="1:16" s="8" customFormat="1" ht="45" customHeight="1" thickBot="1" x14ac:dyDescent="0.3">
      <c r="A86" s="271" t="s">
        <v>166</v>
      </c>
      <c r="B86" s="272"/>
      <c r="C86" s="93">
        <v>12000</v>
      </c>
      <c r="D86" s="182">
        <v>0</v>
      </c>
      <c r="E86" s="93">
        <v>3000</v>
      </c>
      <c r="F86" s="183">
        <v>3000</v>
      </c>
      <c r="G86" s="93">
        <v>2500</v>
      </c>
      <c r="H86" s="184">
        <v>8458.75</v>
      </c>
      <c r="I86" s="93">
        <f>C86+E86+G86</f>
        <v>17500</v>
      </c>
      <c r="J86" s="185">
        <f>D86+F86+H86</f>
        <v>11458.75</v>
      </c>
      <c r="K86" s="116"/>
      <c r="L86" s="116"/>
      <c r="M86" s="117"/>
    </row>
    <row r="87" spans="1:16" s="8" customFormat="1" ht="31.15" customHeight="1" thickBot="1" x14ac:dyDescent="0.3">
      <c r="A87" s="273" t="s">
        <v>167</v>
      </c>
      <c r="B87" s="274"/>
      <c r="C87" s="274"/>
      <c r="D87" s="274"/>
      <c r="E87" s="274"/>
      <c r="F87" s="274"/>
      <c r="G87" s="274"/>
      <c r="H87" s="274"/>
      <c r="I87" s="177">
        <v>262500</v>
      </c>
      <c r="J87" s="159">
        <f>SUM(J88:J90)</f>
        <v>103860.73040899544</v>
      </c>
      <c r="K87" s="118"/>
      <c r="L87" s="118"/>
      <c r="M87" s="110"/>
      <c r="P87" s="90"/>
    </row>
    <row r="88" spans="1:16" s="8" customFormat="1" ht="31.15" customHeight="1" x14ac:dyDescent="0.25">
      <c r="A88" s="275" t="s">
        <v>168</v>
      </c>
      <c r="B88" s="276"/>
      <c r="C88" s="51">
        <v>98000</v>
      </c>
      <c r="D88" s="169">
        <v>37365.93</v>
      </c>
      <c r="E88" s="51">
        <v>0</v>
      </c>
      <c r="F88" s="92"/>
      <c r="G88" s="73">
        <v>0</v>
      </c>
      <c r="H88" s="74">
        <v>0</v>
      </c>
      <c r="I88" s="190">
        <f t="shared" ref="I88:I90" si="43">C88+E88+G88</f>
        <v>98000</v>
      </c>
      <c r="J88" s="33">
        <f>D88+F88+H88</f>
        <v>37365.93</v>
      </c>
      <c r="K88" s="118"/>
      <c r="L88" s="118"/>
      <c r="M88" s="110"/>
    </row>
    <row r="89" spans="1:16" s="8" customFormat="1" ht="31.15" customHeight="1" x14ac:dyDescent="0.25">
      <c r="A89" s="293" t="s">
        <v>169</v>
      </c>
      <c r="B89" s="258"/>
      <c r="C89" s="51">
        <v>37200</v>
      </c>
      <c r="D89" s="170">
        <v>33246.5</v>
      </c>
      <c r="E89" s="55">
        <v>9300</v>
      </c>
      <c r="F89" s="119">
        <v>4652.3119433921102</v>
      </c>
      <c r="G89" s="55">
        <v>7750</v>
      </c>
      <c r="H89" s="74">
        <v>0</v>
      </c>
      <c r="I89" s="190">
        <f t="shared" si="43"/>
        <v>54250</v>
      </c>
      <c r="J89" s="33">
        <f>D89+F89+H89</f>
        <v>37898.811943392109</v>
      </c>
      <c r="K89" s="118"/>
      <c r="L89" s="118"/>
      <c r="M89" s="110"/>
    </row>
    <row r="90" spans="1:16" s="8" customFormat="1" ht="31.15" customHeight="1" thickBot="1" x14ac:dyDescent="0.3">
      <c r="A90" s="258" t="s">
        <v>170</v>
      </c>
      <c r="B90" s="258"/>
      <c r="C90" s="51">
        <v>75600</v>
      </c>
      <c r="D90" s="164">
        <v>10006.290000000001</v>
      </c>
      <c r="E90" s="77">
        <v>18900</v>
      </c>
      <c r="F90" s="100">
        <v>9454.6984656033219</v>
      </c>
      <c r="G90" s="77">
        <v>15750</v>
      </c>
      <c r="H90" s="78">
        <v>9135</v>
      </c>
      <c r="I90" s="190">
        <f t="shared" si="43"/>
        <v>110250</v>
      </c>
      <c r="J90" s="98">
        <f>D90+F90+H90</f>
        <v>28595.988465603325</v>
      </c>
      <c r="K90" s="118"/>
      <c r="L90" s="118"/>
      <c r="M90" s="110"/>
    </row>
    <row r="91" spans="1:16" s="8" customFormat="1" ht="31.15" customHeight="1" thickBot="1" x14ac:dyDescent="0.3">
      <c r="A91" s="259" t="s">
        <v>171</v>
      </c>
      <c r="B91" s="260"/>
      <c r="C91" s="112">
        <f>SUM(C85:C90)</f>
        <v>522800</v>
      </c>
      <c r="D91" s="112">
        <f>SUM(D85:D86,D88:D90)</f>
        <v>336340.19</v>
      </c>
      <c r="E91" s="120">
        <f>SUM(E85:E90)</f>
        <v>136200</v>
      </c>
      <c r="F91" s="121">
        <f>SUM(F85:F90)</f>
        <v>116156.88040899542</v>
      </c>
      <c r="G91" s="120">
        <f>SUM(G85:G90)</f>
        <v>199877</v>
      </c>
      <c r="H91" s="122">
        <v>289229.84000000003</v>
      </c>
      <c r="I91" s="123">
        <f>SUM(I85:I87)</f>
        <v>858877</v>
      </c>
      <c r="J91" s="123">
        <f>SUM(J85:J87)</f>
        <v>741726.91040899535</v>
      </c>
      <c r="K91" s="118"/>
      <c r="L91" s="118"/>
      <c r="M91" s="110"/>
    </row>
    <row r="92" spans="1:16" s="8" customFormat="1" ht="29.45" customHeight="1" thickBot="1" x14ac:dyDescent="0.3">
      <c r="A92" s="261" t="s">
        <v>172</v>
      </c>
      <c r="B92" s="262"/>
      <c r="C92" s="111">
        <f>C91+C84</f>
        <v>2271775.7000000002</v>
      </c>
      <c r="D92" s="111">
        <f>D91+D84</f>
        <v>983718.06</v>
      </c>
      <c r="E92" s="79">
        <f>E91+E84</f>
        <v>545046.73</v>
      </c>
      <c r="F92" s="121">
        <f>F91+F84</f>
        <v>193536.88040899544</v>
      </c>
      <c r="G92" s="79">
        <f t="shared" ref="G92:J92" si="44">G91+G84</f>
        <v>454205.61</v>
      </c>
      <c r="H92" s="122">
        <v>416898.22000000003</v>
      </c>
      <c r="I92" s="108">
        <f t="shared" si="44"/>
        <v>3271028.04</v>
      </c>
      <c r="J92" s="108">
        <f t="shared" si="44"/>
        <v>1594153.1604089953</v>
      </c>
      <c r="K92" s="124"/>
      <c r="L92" s="124"/>
      <c r="M92" s="117"/>
    </row>
    <row r="93" spans="1:16" s="8" customFormat="1" ht="25.9" customHeight="1" thickBot="1" x14ac:dyDescent="0.3">
      <c r="A93" s="263" t="s">
        <v>173</v>
      </c>
      <c r="B93" s="264"/>
      <c r="C93" s="125">
        <f>C92*7%</f>
        <v>159024.29900000003</v>
      </c>
      <c r="D93" s="125">
        <v>68860.259999999995</v>
      </c>
      <c r="E93" s="126">
        <f>E92*7%</f>
        <v>38153.271100000005</v>
      </c>
      <c r="F93" s="100">
        <f>F92*0.07</f>
        <v>13547.581628629681</v>
      </c>
      <c r="G93" s="77">
        <f>G92*7%</f>
        <v>31794.3927</v>
      </c>
      <c r="H93" s="78">
        <v>27416.84</v>
      </c>
      <c r="I93" s="256">
        <f>I92*7%</f>
        <v>228971.96280000004</v>
      </c>
      <c r="J93" s="98">
        <f>D93+F93+H93</f>
        <v>109824.68162862967</v>
      </c>
      <c r="K93" s="118"/>
      <c r="L93" s="118"/>
      <c r="M93" s="110"/>
    </row>
    <row r="94" spans="1:16" s="8" customFormat="1" ht="40.15" customHeight="1" thickBot="1" x14ac:dyDescent="0.3">
      <c r="A94" s="265" t="s">
        <v>174</v>
      </c>
      <c r="B94" s="266"/>
      <c r="C94" s="127">
        <f>C92+C93</f>
        <v>2430799.9990000003</v>
      </c>
      <c r="D94" s="127">
        <f>D92+D93</f>
        <v>1052578.32</v>
      </c>
      <c r="E94" s="128">
        <f t="shared" ref="E94" si="45">E92+E93</f>
        <v>583200.00109999999</v>
      </c>
      <c r="F94" s="129">
        <f>F92+F93</f>
        <v>207084.46203762511</v>
      </c>
      <c r="G94" s="128">
        <f>G92+G93</f>
        <v>486000.00270000001</v>
      </c>
      <c r="H94" s="130">
        <v>444315.06000000006</v>
      </c>
      <c r="I94" s="131">
        <f>I93+I92</f>
        <v>3500000.0027999999</v>
      </c>
      <c r="J94" s="132">
        <f>J93+J92</f>
        <v>1703977.8420376249</v>
      </c>
      <c r="K94" s="124"/>
      <c r="L94" s="124"/>
      <c r="M94" s="117"/>
    </row>
    <row r="95" spans="1:16" s="8" customFormat="1" ht="21" customHeight="1" thickBot="1" x14ac:dyDescent="0.3">
      <c r="A95" s="277" t="s">
        <v>190</v>
      </c>
      <c r="B95" s="278"/>
      <c r="C95" s="133"/>
      <c r="D95" s="171">
        <f>D94/C94</f>
        <v>0.43301724552946241</v>
      </c>
      <c r="E95" s="133"/>
      <c r="F95" s="135">
        <f>F94/E94</f>
        <v>0.35508309610259553</v>
      </c>
      <c r="G95" s="136"/>
      <c r="H95" s="134">
        <f>H94/G94</f>
        <v>0.91422851343947131</v>
      </c>
      <c r="I95" s="133"/>
      <c r="J95" s="135">
        <f>J94/I94</f>
        <v>0.48685081162126936</v>
      </c>
      <c r="K95" s="137"/>
      <c r="L95" s="11"/>
    </row>
    <row r="96" spans="1:16" s="1" customFormat="1" x14ac:dyDescent="0.25">
      <c r="A96" s="2"/>
      <c r="K96" s="2"/>
      <c r="L96" s="2"/>
    </row>
    <row r="97" spans="3:11" ht="18" x14ac:dyDescent="0.25">
      <c r="C97" s="3"/>
      <c r="D97" s="138"/>
    </row>
    <row r="98" spans="3:11" x14ac:dyDescent="0.25">
      <c r="D98" s="4"/>
    </row>
    <row r="99" spans="3:11" x14ac:dyDescent="0.25">
      <c r="C99" s="3"/>
      <c r="H99" s="5"/>
      <c r="J99" s="5"/>
      <c r="K99" s="6"/>
    </row>
    <row r="100" spans="3:11" x14ac:dyDescent="0.25">
      <c r="K100" s="6"/>
    </row>
    <row r="101" spans="3:11" x14ac:dyDescent="0.25">
      <c r="C101" s="3"/>
      <c r="H101" s="5"/>
      <c r="K101" s="6"/>
    </row>
    <row r="102" spans="3:11" x14ac:dyDescent="0.25">
      <c r="E102" s="5"/>
    </row>
    <row r="105" spans="3:11" x14ac:dyDescent="0.25">
      <c r="H105" s="7"/>
    </row>
  </sheetData>
  <mergeCells count="26">
    <mergeCell ref="A95:B95"/>
    <mergeCell ref="A1:M1"/>
    <mergeCell ref="A3:M3"/>
    <mergeCell ref="A5:A6"/>
    <mergeCell ref="B5:B6"/>
    <mergeCell ref="C5:J5"/>
    <mergeCell ref="K5:K6"/>
    <mergeCell ref="M5:M6"/>
    <mergeCell ref="L5:L6"/>
    <mergeCell ref="A89:B89"/>
    <mergeCell ref="A7:M7"/>
    <mergeCell ref="A29:B29"/>
    <mergeCell ref="A30:M30"/>
    <mergeCell ref="A60:B60"/>
    <mergeCell ref="A83:B83"/>
    <mergeCell ref="A61:M61"/>
    <mergeCell ref="A84:B84"/>
    <mergeCell ref="A85:B85"/>
    <mergeCell ref="A86:B86"/>
    <mergeCell ref="A87:H87"/>
    <mergeCell ref="A88:B88"/>
    <mergeCell ref="A90:B90"/>
    <mergeCell ref="A91:B91"/>
    <mergeCell ref="A92:B92"/>
    <mergeCell ref="A93:B93"/>
    <mergeCell ref="A94:B9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832A53C686944FA4AE66FEA393C65D" ma:contentTypeVersion="13" ma:contentTypeDescription="Create a new document." ma:contentTypeScope="" ma:versionID="a449a1e203afaecf3d2aa3a233b52d84">
  <xsd:schema xmlns:xsd="http://www.w3.org/2001/XMLSchema" xmlns:xs="http://www.w3.org/2001/XMLSchema" xmlns:p="http://schemas.microsoft.com/office/2006/metadata/properties" xmlns:ns3="ae2b185d-a7a7-4a7e-8540-615fcb47c7dd" xmlns:ns4="3c8b5596-36d7-4b92-8132-184dbc4978b4" targetNamespace="http://schemas.microsoft.com/office/2006/metadata/properties" ma:root="true" ma:fieldsID="33f29cd56888c7c9d248043939c83578" ns3:_="" ns4:_="">
    <xsd:import namespace="ae2b185d-a7a7-4a7e-8540-615fcb47c7dd"/>
    <xsd:import namespace="3c8b5596-36d7-4b92-8132-184dbc4978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b185d-a7a7-4a7e-8540-615fcb47c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b5596-36d7-4b92-8132-184dbc4978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5BA28-2A5C-42D7-9B7B-01A55C72DC73}">
  <ds:schemaRefs>
    <ds:schemaRef ds:uri="http://purl.org/dc/terms/"/>
    <ds:schemaRef ds:uri="http://schemas.openxmlformats.org/package/2006/metadata/core-properties"/>
    <ds:schemaRef ds:uri="ae2b185d-a7a7-4a7e-8540-615fcb47c7dd"/>
    <ds:schemaRef ds:uri="http://schemas.microsoft.com/office/2006/documentManagement/types"/>
    <ds:schemaRef ds:uri="http://schemas.microsoft.com/office/infopath/2007/PartnerControls"/>
    <ds:schemaRef ds:uri="http://purl.org/dc/elements/1.1/"/>
    <ds:schemaRef ds:uri="http://schemas.microsoft.com/office/2006/metadata/properties"/>
    <ds:schemaRef ds:uri="3c8b5596-36d7-4b92-8132-184dbc4978b4"/>
    <ds:schemaRef ds:uri="http://www.w3.org/XML/1998/namespace"/>
    <ds:schemaRef ds:uri="http://purl.org/dc/dcmitype/"/>
  </ds:schemaRefs>
</ds:datastoreItem>
</file>

<file path=customXml/itemProps2.xml><?xml version="1.0" encoding="utf-8"?>
<ds:datastoreItem xmlns:ds="http://schemas.openxmlformats.org/officeDocument/2006/customXml" ds:itemID="{84E1D115-E309-4804-A4C9-BC2F5D1B3893}">
  <ds:schemaRefs>
    <ds:schemaRef ds:uri="http://schemas.microsoft.com/sharepoint/v3/contenttype/forms"/>
  </ds:schemaRefs>
</ds:datastoreItem>
</file>

<file path=customXml/itemProps3.xml><?xml version="1.0" encoding="utf-8"?>
<ds:datastoreItem xmlns:ds="http://schemas.openxmlformats.org/officeDocument/2006/customXml" ds:itemID="{646BAD5E-DC13-4BB9-B895-1B10C6299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b185d-a7a7-4a7e-8540-615fcb47c7dd"/>
    <ds:schemaRef ds:uri="3c8b5596-36d7-4b92-8132-184dbc4978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 PAJURR - A2 Nov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CIEL</dc:creator>
  <cp:lastModifiedBy>Sophie Marie Guylene Aloe</cp:lastModifiedBy>
  <dcterms:created xsi:type="dcterms:W3CDTF">2020-06-15T08:12:05Z</dcterms:created>
  <dcterms:modified xsi:type="dcterms:W3CDTF">2020-12-21T15:28:04Z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0x010100FF832A53C686944FA4AE66FEA393C65D</vt:lpwstr>
  </property>
</Properties>
</file>