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66925"/>
  <mc:AlternateContent xmlns:mc="http://schemas.openxmlformats.org/markup-compatibility/2006">
    <mc:Choice Requires="x15">
      <x15ac:absPath xmlns:x15ac="http://schemas.microsoft.com/office/spreadsheetml/2010/11/ac" url="C:\Users\Idrissou\Documents\PBF\Rapports PBF\Rapports finals\Rapport 2020\Annuel 2020\"/>
    </mc:Choice>
  </mc:AlternateContent>
  <xr:revisionPtr revIDLastSave="0" documentId="13_ncr:1_{CD7A695F-D7BA-4A98-B4D9-C8E23A975C4A}" xr6:coauthVersionLast="45" xr6:coauthVersionMax="45" xr10:uidLastSave="{00000000-0000-0000-0000-000000000000}"/>
  <bookViews>
    <workbookView xWindow="-108" yWindow="-108" windowWidth="30936" windowHeight="16896" xr2:uid="{00000000-000D-0000-FFFF-FFFF00000000}"/>
  </bookViews>
  <sheets>
    <sheet name="Sheet1" sheetId="3" r:id="rId1"/>
    <sheet name="Eugène" sheetId="4" state="hidden" r:id="rId2"/>
    <sheet name="Sheet2" sheetId="2" r:id="rId3"/>
  </sheets>
  <definedNames>
    <definedName name="_xlnm.Print_Titles" localSheetId="1">Eugène!$7:$7</definedName>
    <definedName name="_xlnm.Print_Titles" localSheetId="0">Sheet1!$7:$7</definedName>
    <definedName name="_xlnm.Print_Area" localSheetId="1">Eugène!$A$1:$J$79</definedName>
    <definedName name="_xlnm.Print_Area" localSheetId="0">Sheet1!$A$1:$J$75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3" l="1"/>
  <c r="J39" i="3" l="1"/>
  <c r="L23" i="4" l="1"/>
  <c r="K23" i="4"/>
  <c r="H71" i="4"/>
  <c r="E71" i="4"/>
  <c r="E70" i="4"/>
  <c r="H69" i="4"/>
  <c r="E69" i="4"/>
  <c r="J68" i="4"/>
  <c r="G68" i="4"/>
  <c r="F68" i="4"/>
  <c r="D68" i="4"/>
  <c r="C68" i="4"/>
  <c r="E68" i="4" s="1"/>
  <c r="E62" i="4"/>
  <c r="E61" i="4"/>
  <c r="E60" i="4"/>
  <c r="E59" i="4"/>
  <c r="E57" i="4"/>
  <c r="E56" i="4"/>
  <c r="E55" i="4"/>
  <c r="H53" i="4"/>
  <c r="H68" i="4" s="1"/>
  <c r="E53" i="4"/>
  <c r="E51" i="4"/>
  <c r="G48" i="4"/>
  <c r="F48" i="4"/>
  <c r="D48" i="4"/>
  <c r="C48" i="4"/>
  <c r="E47" i="4"/>
  <c r="H46" i="4"/>
  <c r="E46" i="4"/>
  <c r="H45" i="4"/>
  <c r="E45" i="4"/>
  <c r="H42" i="4"/>
  <c r="E42" i="4"/>
  <c r="J39" i="4"/>
  <c r="G39" i="4"/>
  <c r="G74" i="4" s="1"/>
  <c r="F39" i="4"/>
  <c r="F70" i="4" s="1"/>
  <c r="D39" i="4"/>
  <c r="C39" i="4"/>
  <c r="E38" i="4"/>
  <c r="E37" i="4"/>
  <c r="E36" i="4"/>
  <c r="E35" i="4"/>
  <c r="E30" i="4"/>
  <c r="E29" i="4"/>
  <c r="E27" i="4"/>
  <c r="E25" i="4"/>
  <c r="L20" i="4"/>
  <c r="H18" i="4"/>
  <c r="H16" i="4"/>
  <c r="H15" i="4"/>
  <c r="H12" i="4"/>
  <c r="H39" i="4" s="1"/>
  <c r="E12" i="4"/>
  <c r="E11" i="4"/>
  <c r="E10" i="4"/>
  <c r="H16" i="3"/>
  <c r="E39" i="4" l="1"/>
  <c r="M20" i="4"/>
  <c r="C72" i="4"/>
  <c r="C73" i="4" s="1"/>
  <c r="E73" i="4" s="1"/>
  <c r="E48" i="4"/>
  <c r="H48" i="4"/>
  <c r="H72" i="4" s="1"/>
  <c r="F71" i="4"/>
  <c r="C74" i="4"/>
  <c r="F69" i="4"/>
  <c r="F72" i="4" s="1"/>
  <c r="H18" i="3"/>
  <c r="E72" i="4" l="1"/>
  <c r="F73" i="4"/>
  <c r="F74" i="4" s="1"/>
  <c r="C75" i="4" s="1"/>
  <c r="E75" i="4" s="1"/>
  <c r="E74" i="4"/>
  <c r="H73" i="4"/>
  <c r="H74" i="4" s="1"/>
  <c r="H79" i="4" s="1"/>
  <c r="H15" i="3"/>
  <c r="H71" i="3" l="1"/>
  <c r="H69" i="3"/>
  <c r="H46" i="3" l="1"/>
  <c r="H42" i="3"/>
  <c r="E70" i="3"/>
  <c r="E69" i="3"/>
  <c r="D68" i="3"/>
  <c r="D39" i="3"/>
  <c r="D48" i="3"/>
  <c r="E60" i="3"/>
  <c r="E61" i="3"/>
  <c r="E62" i="3"/>
  <c r="E59" i="3"/>
  <c r="E56" i="3"/>
  <c r="E57" i="3"/>
  <c r="E55" i="3"/>
  <c r="E53" i="3"/>
  <c r="E51" i="3"/>
  <c r="E46" i="3"/>
  <c r="E47" i="3"/>
  <c r="E45" i="3"/>
  <c r="E48" i="3" s="1"/>
  <c r="E42" i="3"/>
  <c r="E36" i="3"/>
  <c r="E37" i="3"/>
  <c r="E38" i="3"/>
  <c r="E35" i="3"/>
  <c r="E30" i="3"/>
  <c r="E29" i="3"/>
  <c r="E27" i="3"/>
  <c r="E25" i="3"/>
  <c r="E11" i="3"/>
  <c r="E12" i="3"/>
  <c r="E10" i="3"/>
  <c r="C39" i="3"/>
  <c r="C48" i="3"/>
  <c r="C68" i="3"/>
  <c r="E68" i="3" s="1"/>
  <c r="F39" i="3"/>
  <c r="F48" i="3"/>
  <c r="F68" i="3"/>
  <c r="H12" i="3"/>
  <c r="H39" i="3" s="1"/>
  <c r="H45" i="3"/>
  <c r="H53" i="3"/>
  <c r="H68" i="3" s="1"/>
  <c r="G39" i="3"/>
  <c r="G48" i="3"/>
  <c r="G68" i="3"/>
  <c r="E71" i="3"/>
  <c r="J68" i="3"/>
  <c r="B8" i="2"/>
  <c r="B9" i="2"/>
  <c r="B10" i="2"/>
  <c r="H10" i="2" s="1"/>
  <c r="B11" i="2"/>
  <c r="H11" i="2" s="1"/>
  <c r="B12" i="2"/>
  <c r="H12" i="2" s="1"/>
  <c r="B13" i="2"/>
  <c r="B14" i="2"/>
  <c r="C8" i="2"/>
  <c r="C15" i="2" s="1"/>
  <c r="C9" i="2"/>
  <c r="C10" i="2"/>
  <c r="C11" i="2"/>
  <c r="I11" i="2" s="1"/>
  <c r="C12" i="2"/>
  <c r="C13" i="2"/>
  <c r="C14" i="2"/>
  <c r="D9" i="2"/>
  <c r="J9" i="2" s="1"/>
  <c r="D10" i="2"/>
  <c r="J10" i="2" s="1"/>
  <c r="D11" i="2"/>
  <c r="D12" i="2"/>
  <c r="D13" i="2"/>
  <c r="D14" i="2"/>
  <c r="J14" i="2" s="1"/>
  <c r="E8" i="2"/>
  <c r="E15" i="2" s="1"/>
  <c r="E9" i="2"/>
  <c r="H9" i="2" s="1"/>
  <c r="E10" i="2"/>
  <c r="E13" i="2"/>
  <c r="E14" i="2"/>
  <c r="F8" i="2"/>
  <c r="F15" i="2" s="1"/>
  <c r="F9" i="2"/>
  <c r="I9" i="2" s="1"/>
  <c r="F10" i="2"/>
  <c r="F13" i="2"/>
  <c r="I13" i="2" s="1"/>
  <c r="F14" i="2"/>
  <c r="I14" i="2" s="1"/>
  <c r="G9" i="2"/>
  <c r="G10" i="2"/>
  <c r="G13" i="2"/>
  <c r="J13" i="2" s="1"/>
  <c r="G14" i="2"/>
  <c r="G15" i="2"/>
  <c r="G17" i="2" s="1"/>
  <c r="G16" i="2"/>
  <c r="J8" i="2"/>
  <c r="J12" i="2"/>
  <c r="I12" i="2"/>
  <c r="J11" i="2"/>
  <c r="H8" i="2"/>
  <c r="C72" i="3" l="1"/>
  <c r="F69" i="3"/>
  <c r="E17" i="2"/>
  <c r="E16" i="2"/>
  <c r="F16" i="2"/>
  <c r="F17" i="2" s="1"/>
  <c r="E39" i="3"/>
  <c r="I8" i="2"/>
  <c r="K8" i="2" s="1"/>
  <c r="K12" i="2"/>
  <c r="H13" i="2"/>
  <c r="K13" i="2" s="1"/>
  <c r="F70" i="3"/>
  <c r="G74" i="3"/>
  <c r="K11" i="2"/>
  <c r="I10" i="2"/>
  <c r="H14" i="2"/>
  <c r="K14" i="2" s="1"/>
  <c r="B15" i="2"/>
  <c r="H15" i="2" s="1"/>
  <c r="H48" i="3"/>
  <c r="H72" i="3"/>
  <c r="E72" i="3"/>
  <c r="C73" i="3"/>
  <c r="E73" i="3" s="1"/>
  <c r="K9" i="2"/>
  <c r="K10" i="2"/>
  <c r="B16" i="2"/>
  <c r="H16" i="2" s="1"/>
  <c r="C16" i="2"/>
  <c r="I16" i="2" s="1"/>
  <c r="C17" i="2"/>
  <c r="I15" i="2"/>
  <c r="D15" i="2"/>
  <c r="F71" i="3"/>
  <c r="I17" i="2" l="1"/>
  <c r="F72" i="3"/>
  <c r="F73" i="3" s="1"/>
  <c r="F74" i="3" s="1"/>
  <c r="E18" i="2"/>
  <c r="H73" i="3"/>
  <c r="H74" i="3" s="1"/>
  <c r="B17" i="2"/>
  <c r="J15" i="2"/>
  <c r="K15" i="2" s="1"/>
  <c r="D16" i="2"/>
  <c r="J16" i="2" s="1"/>
  <c r="K16" i="2" s="1"/>
  <c r="C74" i="3"/>
  <c r="D17" i="2" l="1"/>
  <c r="J17" i="2" s="1"/>
  <c r="E74" i="3"/>
  <c r="C75" i="3"/>
  <c r="E75" i="3" s="1"/>
  <c r="B18" i="2"/>
  <c r="E20" i="2" s="1"/>
  <c r="H17" i="2"/>
  <c r="K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tc={BDFE7396-3E16-4B96-842C-C98FB5A7A59E}</author>
  </authors>
  <commentList>
    <comment ref="H33" authorId="0" shapeId="0" xr:uid="{BDFE7396-3E16-4B96-842C-C98FB5A7A59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Une partie de ces fonds a été ajoutée au budget de la formation des journalistes. Le montant restant a été utilisé pour produire des outils de visiblité du financement. Cette activité prévue avec les jeunes a été financée sur fonds propres. </t>
      </text>
    </comment>
  </commentList>
</comments>
</file>

<file path=xl/sharedStrings.xml><?xml version="1.0" encoding="utf-8"?>
<sst xmlns="http://schemas.openxmlformats.org/spreadsheetml/2006/main" count="255" uniqueCount="115">
  <si>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</si>
  <si>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</si>
  <si>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</si>
  <si>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</si>
  <si>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</si>
  <si>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Veuillez ajouter une nouvelle colonne par agence recipiendiaire PNUD</t>
  </si>
  <si>
    <t>Réaménagement budget du PNUD (+/-)</t>
  </si>
  <si>
    <t>Budget par agence recipiendaire en USD réaménagé PNUD</t>
  </si>
  <si>
    <t>Budget par agence recipiendiaire en USD Veuillez ajouter une nouvelle colonne par agence recipiendiaire UNICEF</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</si>
  <si>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</si>
  <si>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</si>
  <si>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</si>
  <si>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Section UNICEF</t>
  </si>
  <si>
    <t>Resultat 1: Les institutions cibles au niveau national et local ainsi que les leaders locaux, hommes, femmes, jeunes, la societe civile et les media participent activement a la reduction de la violence liee aux questions politiques et institutionnelles</t>
  </si>
  <si>
    <t>Produit 1.1: Renforcement de capacités en prevention et mediation ds conflits</t>
  </si>
  <si>
    <t>Activite 1.1.1 Renforcement des capacités des leaders locaux (autorités locales, chefs traditionnels, leaders religieux) et societe civile en prevention et gestion des conflits dans les 4 regions cibles</t>
  </si>
  <si>
    <t xml:space="preserve"> </t>
  </si>
  <si>
    <t xml:space="preserve">Activite 1.1.2: Prevention/mediation de 8 conflits dans les 4 regions avec l'appui du HCRRUN par l'utilisation de mecanismes locaux alternatifs de gestion des condlits  </t>
  </si>
  <si>
    <t>Activite 1.1.3. Appui Intitutionnel au HCRRUN pour la reduction des violence et la promotion de la cohesion sociale</t>
  </si>
  <si>
    <t>Produit 1.2: Formation des enfants et les adolescents dans les communautes en prevention et mediation des conflits de maniere a reduire les violences</t>
  </si>
  <si>
    <t xml:space="preserve">Activite 1.2.1 :Formation des formateurs en prévention, médiation des conflits </t>
  </si>
  <si>
    <t>Inclusion</t>
  </si>
  <si>
    <t>Activite 1.2.2: Formation membres CCNE, CCRE, CCPE en prevention et mediation</t>
  </si>
  <si>
    <t>Activite 1.2.3. Formation de 1183 adolescents dont 592 filles en prevention et mediation des conflits</t>
  </si>
  <si>
    <t>Activite 1.2.4: Realisation de 50 seances de sensibilisation a l'endroit des adolescents dans les 4 regions cibles</t>
  </si>
  <si>
    <t>Activite 1.2.5. Des mecanismes de consultation/concertation des jeunes sont mis en place dans les 4 regions</t>
  </si>
  <si>
    <t>Activite 1.2.6. Realisation d'activites socioeducatives par les CCPE</t>
  </si>
  <si>
    <t xml:space="preserve">Produit 1.3: Sensibilisation et éducation des enfants et adolescent (e)s dans les ecoles à la résolution pacifique des conflits.  </t>
  </si>
  <si>
    <t>Activite 1.3.1:Edition et duplication de Trois documents de formation (le manuel de l’adolescent(e), le cahier d’exercices et le guide l’enseignant)  pour initier dans les écoles les adolescents et adolescentes aux compétences de vie courante.</t>
  </si>
  <si>
    <t>Education</t>
  </si>
  <si>
    <t xml:space="preserve">Activite 1.3.2: Formation d’enseignants pour  encadrer les adolescents a l’acquisition des compétences de base leur permettant d’affronter les situations de la vie auxquelles ils auront à faire face. </t>
  </si>
  <si>
    <t>Activite 1.3.3: Realisation d'activites socioeducatives par les ecoles</t>
  </si>
  <si>
    <t xml:space="preserve">Produit 1.4: Appui aux organisations communautaires de base (OCB) par les Comites Locaux de Paix (CLP) pour mener des activites de prevention de conflits et des violences </t>
  </si>
  <si>
    <t xml:space="preserve">Activite 1.4.1: Les activites de prevention aux conflits et violence des OCB et organisations confessionnelles sont appuyees par les CLP </t>
  </si>
  <si>
    <t>Activite 1.4.3:Renforcer les capacites des organisation communautaires pour la protection des droits de l'enfant</t>
  </si>
  <si>
    <t>Protection</t>
  </si>
  <si>
    <t>Activite 1.4.2: creation et operationalisation du reseau national des CLP</t>
  </si>
  <si>
    <t>Produit 1.5 : Renforcer la professionnalisation des media en vue de promouvoir la culture de la paix et de la reduction de la violence</t>
  </si>
  <si>
    <t>Activite 1.5.1: Formation des membres des institutions patronales de presse et d’organismes de presse pour la promotion de la culture de paix et la reduction des violences</t>
  </si>
  <si>
    <t>Activite 1.5.2: Appui aux radio communautaires pour la realisation d'emissions de promotion de la culture de paix et la reduction des violences</t>
  </si>
  <si>
    <t xml:space="preserve">Activite 1.5.1: Formation des journalistes  en peace building et en communication responsable en situation de crise </t>
  </si>
  <si>
    <t>InfoCom</t>
  </si>
  <si>
    <t>Produit 1.6: L'utilisation des reseaux sociaux par les acteurs locaux contribue a la reduction de la violence et a l'education a la paix</t>
  </si>
  <si>
    <t xml:space="preserve">Activite 1.6.1: Les CLP et organisations des jeunes mettent en place des plateformes locales utilisant les reseaux sociaux pour l'education a la paix et la reduction de la violence </t>
  </si>
  <si>
    <t>Produit 1.7: La mediation de la CEDEAO pour resourdre le contentieux politico institutionnel est appuye de maniere efficace au plan technique et operationnel</t>
  </si>
  <si>
    <t>Activite 1.7.1: Mise a disposition de 4 experts consultants</t>
  </si>
  <si>
    <t>Activite 1.7.2: Forum/Conf/debats appropriation</t>
  </si>
  <si>
    <t>Activite 1.7.3: Travel</t>
  </si>
  <si>
    <t>Activite 1.7.4: Meetings</t>
  </si>
  <si>
    <t>TOTAL $ pour Resultat 1:</t>
  </si>
  <si>
    <t>Resultat 2: La confiance est accrue entre les populations et les forces de défense et de sécurité.</t>
  </si>
  <si>
    <t>Produit 2.1 Capacites des FDS renforcees en techniques de gestion des foules</t>
  </si>
  <si>
    <t>Activite 2.1. Formation de 1500 elements des FDS en techniques de dispersion non violente des foules et protection des droits de l'homme</t>
  </si>
  <si>
    <t xml:space="preserve">Activite 2.2. Developpement d'un logiciel pour la gestion des cas d’enfants et adolescent </t>
  </si>
  <si>
    <t>Produit 2.2. Le dialogue civilo miltaire est promu comme outil de cohesion sociale</t>
  </si>
  <si>
    <t xml:space="preserve">Activite 2.2.1: 12 Rencontres bimestrielles entre FDS &amp; representants des populations sont organisees  </t>
  </si>
  <si>
    <t>Produit 2.3. La fonctionnalite des structures des FDS d'accueil des usagers est amelioree</t>
  </si>
  <si>
    <t>Activite 2.2.5: Materiel electroniques commissariats</t>
  </si>
  <si>
    <t>TOTAL $ pour Resultat 2:</t>
  </si>
  <si>
    <t>Resultat 3: Les violations des droits de l’homme et des enfants en contexte électoral sont réduites par le renforcement de la protection des droits de l’homme et de l’enfant et l’éradication de l’inclusion des enfants dans les marches et manifestations porteuses de violences.</t>
  </si>
  <si>
    <t>Produit 3.1:</t>
  </si>
  <si>
    <t>Activite 3.1.1 Recrutements de 150 volontaires de la paix et des Droits de l'homme.</t>
  </si>
  <si>
    <t>Produit 3.2. Les capacites des institutions nationales de suivi et coordination et de rapportage de la protection et la promotion des droits de l'homme et contexte de crise politgique sont renforces</t>
  </si>
  <si>
    <t>Activite 3.2.1 Appui institutionnel et formation des membres du SEDH et de la CNDH</t>
  </si>
  <si>
    <t>Produit 3.3 Appui a la professionnalisation des defenseurs des droits de l'Homme</t>
  </si>
  <si>
    <t>Activite 3.1.2: Formation professionnalisation des defenseurs des droits de l'homme</t>
  </si>
  <si>
    <t>Activite 3.1.3: Renforcement capacites et securite des femmes defenseurs des droits de l'homme</t>
  </si>
  <si>
    <t>Activite 3.1.4. Appui a la Haute Autorite de l'Audiovisuel et de la Communication (HAAC)</t>
  </si>
  <si>
    <t>Produit 3.4: Les centres de consolidation des droits de l'Homme et de la Paix de Sokode et Kara sont renforces</t>
  </si>
  <si>
    <t>Activite 3.4.1: Appui en equipement et materiel du Centre de Sokode</t>
  </si>
  <si>
    <t xml:space="preserve">Activite 3.4.2: Formation des membres du Centre de Sokode </t>
  </si>
  <si>
    <t>Activite 3.4.3: Appui en equipement et materiel du Centre de Kara</t>
  </si>
  <si>
    <t>Activite 3.4.4: Formation des membres du Centre de Kara</t>
  </si>
  <si>
    <t>Produit 3.5: Reduction des enfants victimes des violences liees aux manifestations politiques</t>
  </si>
  <si>
    <t>Activite 3.5.1. Seances d'info-sensibilisation avec les enfants de la rue</t>
  </si>
  <si>
    <t>Activite 3.5.2 Suivi de la violation des droits de l’enfant</t>
  </si>
  <si>
    <t>Activite 3.5.3: Diffusion de spot televisuels et d'emissions radio pour la sensibilisation a la paix et decourager la presence des enfants dans les manifestations politiques.</t>
  </si>
  <si>
    <t>C4D</t>
  </si>
  <si>
    <t>Activite 3.5.4 Formation de 300  acteurs de la justice pour enfants (magistrats, Régisseurs, surveillants de prisons, OPJ, travailleurs sociaux, psychologues, médecins, assesseurs, greffiers, avocats), et de 200 parajouristes et leaders communautaires des régions maritimes, centrales, de la Kara et des savanes et spécialement des villes de Mango, Kara, Bafilo, Sokodé et Lomé et des cantons et villages environnants sur les droits et la protection de l’enfant et la consolidation de la paix</t>
  </si>
  <si>
    <t>TOTAL $ pour Resultat 3:</t>
  </si>
  <si>
    <t>Cout de personnel du projet si pas inclus dans les activites si-dessus</t>
  </si>
  <si>
    <t>Couts operationnels si pas inclus dans les activites ci-dessus</t>
  </si>
  <si>
    <t>Budget S&amp;E du projet</t>
  </si>
  <si>
    <t>SOUS TOTAL DU BUDGET DE PROJET:</t>
  </si>
  <si>
    <t>Couts indirects (7%):</t>
  </si>
  <si>
    <t>BUDGET TOTAL PAR AGENCEDU PROJET:</t>
  </si>
  <si>
    <t>BUDGET TOTAL DU PROJET:</t>
  </si>
  <si>
    <t>Taux PNUD (%)</t>
  </si>
  <si>
    <t>Tableau 2 - Budget de projet PBF par categorie de cout de l'ONU</t>
  </si>
  <si>
    <t>Note: S'il s'agit d'une revision budgetaire, veuillez inclure des colonnes additionnelles pour montrer les changements</t>
  </si>
  <si>
    <t>CATEGORIES</t>
  </si>
  <si>
    <t>Agence Recipiendiaire UNDP</t>
  </si>
  <si>
    <t>Agence Recipiendiaire UNICEF</t>
  </si>
  <si>
    <t>Total tranche 1</t>
  </si>
  <si>
    <t>Total tranche 2</t>
  </si>
  <si>
    <t>Total tranche 3</t>
  </si>
  <si>
    <t xml:space="preserve"> TOTAL PROJET</t>
  </si>
  <si>
    <t>Tranche 1 (40%)</t>
  </si>
  <si>
    <t>Tranche 2 (40%)</t>
  </si>
  <si>
    <t>Tranche 3 (20%)</t>
  </si>
  <si>
    <t>Tranche 1 (60%)</t>
  </si>
  <si>
    <t>1. Personnel et autres employés</t>
  </si>
  <si>
    <t>*</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</si>
  <si>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</si>
  <si>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</si>
  <si>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</si>
  <si>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</si>
  <si>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</si>
  <si>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</si>
  <si>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</si>
  <si>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</si>
  <si>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</si>
  <si>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 xml:space="preserve">   </t>
  </si>
  <si>
    <t>13006,95</t>
  </si>
  <si>
    <t>Activité 2.2.2. La fonctionnalite des structures des FDS d'accueil des usagers est amelioree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</si>
</sst>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_);_(* \(#,##0.00\);_(* &quot;-&quot;??_);_(@_)"/>
    <numFmt numFmtId="165" formatCode="_-* #,##0.00\ _€_-;\-* #,##0.00\ _€_-;_-* &quot;-&quot;??\ _€_-;_-@_-"/>
    <numFmt numFmtId="166" formatCode="_-* #,##0.00_-;\-* #,##0.00_-;_-* &quot;-&quot;_-;_-@_-"/>
    <numFmt numFmtId="167" formatCode="_-* #,##0.00\ _C_F_A_-;\-* #,##0.00\ _C_F_A_-;_-* &quot;-&quot;??\ _C_F_A_-;_-@_-"/>
    <numFmt numFmtId="168" formatCode="_(* #,##0.0_);_(* \(#,##0.0\);_(* &quot;-&quot;??_);_(@_)"/>
  </numFmts>
  <fonts count="25"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2"/>
      <name val="Times New Roman"/>
      <family val="1"/>
    </font>
    <font>
      <sz val="11"/>
      <color theme="1"/>
      <name val="Calibri"/>
      <family val="2"/>
      <scheme val="minor"/>
    </font>
    <font>
      <b/>
      <sz val="16"/>
      <color theme="1"/>
      <name val="Times New Roman"/>
      <family val="1"/>
    </font>
    <font>
      <b/>
      <sz val="14"/>
      <color theme="1"/>
      <name val="Times New Roman"/>
      <family val="1"/>
    </font>
    <font>
      <sz val="11"/>
      <color theme="1"/>
      <name val="Times New Roman"/>
      <family val="1"/>
    </font>
    <font>
      <b/>
      <sz val="11"/>
      <color rgb="FFFF0000"/>
      <name val="Times New Roman"/>
      <family val="1"/>
    </font>
    <font>
      <b/>
      <sz val="12"/>
      <color rgb="FFFF0000"/>
      <name val="Times New Roman"/>
      <family val="1"/>
    </font>
    <font>
      <b/>
      <sz val="12"/>
      <name val="Times New Roman"/>
      <family val="1"/>
    </font>
    <font>
      <b/>
      <i/>
      <sz val="11"/>
      <color rgb="FFFF0000"/>
      <name val="Times New Roman"/>
      <family val="1"/>
    </font>
    <font>
      <sz val="11"/>
      <color rgb="FFFF0000"/>
      <name val="Times New Roman"/>
      <family val="1"/>
    </font>
    <font>
      <b/>
      <i/>
      <sz val="12"/>
      <color rgb="FFFF0000"/>
      <name val="Times New Roman"/>
      <family val="1"/>
    </font>
    <font>
      <b/>
      <sz val="14"/>
      <name val="Times New Roman"/>
      <family val="1"/>
    </font>
    <font>
      <sz val="11"/>
      <name val="Times New Roman"/>
      <family val="1"/>
    </font>
    <font>
      <b/>
      <i/>
      <sz val="11"/>
      <name val="Times New Roman"/>
      <family val="1"/>
    </font>
    <font>
      <b/>
      <sz val="10"/>
      <color rgb="FFFF0000"/>
      <name val="Times New Roman"/>
      <family val="1"/>
    </font>
    <font>
      <sz val="12"/>
      <color rgb="FFFF0000"/>
      <name val="Times New Roman"/>
      <family val="1"/>
    </font>
  </fonts>
  <fills count="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164" fontId="10" fillId="0" borderId="0" applyFont="0" applyFill="0" applyBorder="0" applyAlignment="0" applyProtection="0"/>
    <xf numFmtId="41" fontId="10" fillId="0" borderId="0" applyFont="0" applyFill="0" applyBorder="0" applyAlignment="0" applyProtection="0"/>
  </cellStyleXfs>
  <cellXfs count="157">
    <xf numFmtId="0" fontId="0" fillId="0" borderId="0" xfId="0"/>
    <xf numFmtId="0" fontId="1" fillId="0" borderId="1" xfId="0" applyFont="1" applyBorder="1" applyAlignment="1">
      <alignment vertical="center" wrapText="1"/>
    </xf>
    <xf numFmtId="0" fontId="3" fillId="0" borderId="0" xfId="0" applyFont="1"/>
    <xf numFmtId="0" fontId="4" fillId="3" borderId="5" xfId="0" applyFont="1" applyFill="1" applyBorder="1" applyAlignment="1">
      <alignment horizontal="center" vertical="center" wrapText="1"/>
    </xf>
    <xf numFmtId="0" fontId="6" fillId="0" borderId="0" xfId="0" applyFont="1"/>
    <xf numFmtId="0" fontId="7" fillId="0" borderId="3" xfId="0" applyFont="1" applyBorder="1" applyAlignment="1">
      <alignment vertical="center" wrapText="1"/>
    </xf>
    <xf numFmtId="0" fontId="8" fillId="4" borderId="3" xfId="0" applyFont="1" applyFill="1" applyBorder="1" applyAlignment="1">
      <alignment vertical="center" wrapText="1"/>
    </xf>
    <xf numFmtId="164" fontId="0" fillId="0" borderId="0" xfId="0" applyNumberFormat="1"/>
    <xf numFmtId="0" fontId="11" fillId="0" borderId="0" xfId="0" applyFont="1"/>
    <xf numFmtId="0" fontId="12" fillId="0" borderId="0" xfId="0" applyFont="1"/>
    <xf numFmtId="0" fontId="13" fillId="0" borderId="0" xfId="0" applyFont="1"/>
    <xf numFmtId="0" fontId="2" fillId="0" borderId="0" xfId="0" applyFont="1"/>
    <xf numFmtId="0" fontId="13" fillId="6" borderId="0" xfId="0" applyFont="1" applyFill="1"/>
    <xf numFmtId="165" fontId="13" fillId="0" borderId="0" xfId="0" applyNumberFormat="1" applyFont="1"/>
    <xf numFmtId="164" fontId="13" fillId="0" borderId="0" xfId="1" applyFont="1"/>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7" fillId="5" borderId="8" xfId="0" applyFont="1" applyFill="1" applyBorder="1" applyAlignment="1">
      <alignment vertical="center" wrapText="1"/>
    </xf>
    <xf numFmtId="0" fontId="5" fillId="5" borderId="5" xfId="0" applyFont="1" applyFill="1" applyBorder="1" applyAlignment="1">
      <alignment horizontal="right" vertical="center" wrapText="1"/>
    </xf>
    <xf numFmtId="164" fontId="5" fillId="0" borderId="5" xfId="0" applyNumberFormat="1" applyFont="1" applyBorder="1" applyAlignment="1">
      <alignment horizontal="right" vertical="center" wrapText="1"/>
    </xf>
    <xf numFmtId="164" fontId="5" fillId="5" borderId="5" xfId="0" applyNumberFormat="1" applyFont="1" applyFill="1" applyBorder="1" applyAlignment="1">
      <alignment horizontal="right" vertical="center" wrapText="1"/>
    </xf>
    <xf numFmtId="164" fontId="5" fillId="5" borderId="5" xfId="1" applyFont="1" applyFill="1" applyBorder="1" applyAlignment="1">
      <alignment horizontal="center" vertical="center" wrapText="1"/>
    </xf>
    <xf numFmtId="164" fontId="5" fillId="5" borderId="5" xfId="1" applyFont="1" applyFill="1" applyBorder="1" applyAlignment="1">
      <alignment horizontal="right" vertical="center" wrapText="1"/>
    </xf>
    <xf numFmtId="164" fontId="0" fillId="5" borderId="0" xfId="0" applyNumberFormat="1" applyFill="1"/>
    <xf numFmtId="0" fontId="0" fillId="5" borderId="0" xfId="0" applyFill="1"/>
    <xf numFmtId="0" fontId="4" fillId="7" borderId="5" xfId="0" applyFont="1" applyFill="1" applyBorder="1" applyAlignment="1">
      <alignment horizontal="center" vertical="center" wrapText="1"/>
    </xf>
    <xf numFmtId="0" fontId="0" fillId="0" borderId="8" xfId="0" applyBorder="1"/>
    <xf numFmtId="164" fontId="0" fillId="0" borderId="8" xfId="0" applyNumberFormat="1" applyBorder="1"/>
    <xf numFmtId="166" fontId="5" fillId="5" borderId="5" xfId="2" applyNumberFormat="1" applyFont="1" applyFill="1" applyBorder="1" applyAlignment="1">
      <alignment horizontal="right" vertical="center" wrapText="1"/>
    </xf>
    <xf numFmtId="166" fontId="5" fillId="0" borderId="5" xfId="2" applyNumberFormat="1" applyFont="1" applyBorder="1" applyAlignment="1">
      <alignment horizontal="right" vertical="center" wrapText="1"/>
    </xf>
    <xf numFmtId="166" fontId="5" fillId="4" borderId="5" xfId="2" applyNumberFormat="1" applyFont="1" applyFill="1" applyBorder="1" applyAlignment="1">
      <alignment horizontal="right" vertical="center" wrapText="1"/>
    </xf>
    <xf numFmtId="166" fontId="5" fillId="0" borderId="9" xfId="2" applyNumberFormat="1" applyFont="1" applyFill="1" applyBorder="1" applyAlignment="1">
      <alignment horizontal="right" vertical="center" wrapText="1"/>
    </xf>
    <xf numFmtId="0" fontId="13" fillId="0" borderId="0" xfId="0" applyFont="1" applyFill="1"/>
    <xf numFmtId="167" fontId="13" fillId="0" borderId="0" xfId="0" applyNumberFormat="1" applyFont="1" applyFill="1"/>
    <xf numFmtId="165" fontId="13" fillId="0" borderId="0" xfId="0" applyNumberFormat="1" applyFont="1" applyFill="1"/>
    <xf numFmtId="0" fontId="17" fillId="0" borderId="0" xfId="0" applyFont="1"/>
    <xf numFmtId="0" fontId="18" fillId="0" borderId="0" xfId="0" applyFont="1"/>
    <xf numFmtId="165" fontId="17" fillId="0" borderId="0" xfId="0" applyNumberFormat="1" applyFont="1"/>
    <xf numFmtId="164" fontId="19" fillId="0" borderId="0" xfId="1" applyFont="1"/>
    <xf numFmtId="2" fontId="17" fillId="0" borderId="0" xfId="0" applyNumberFormat="1" applyFont="1" applyFill="1" applyAlignment="1">
      <alignment horizontal="center"/>
    </xf>
    <xf numFmtId="164" fontId="17" fillId="0" borderId="0" xfId="1" applyFont="1"/>
    <xf numFmtId="166" fontId="13" fillId="0" borderId="0" xfId="2" applyNumberFormat="1" applyFont="1"/>
    <xf numFmtId="0" fontId="20" fillId="0" borderId="0" xfId="0" applyFont="1"/>
    <xf numFmtId="0" fontId="16" fillId="0" borderId="0" xfId="0" applyFont="1"/>
    <xf numFmtId="0" fontId="21" fillId="0" borderId="0" xfId="0" applyFont="1"/>
    <xf numFmtId="165" fontId="21" fillId="0" borderId="0" xfId="0" applyNumberFormat="1" applyFont="1"/>
    <xf numFmtId="164" fontId="21" fillId="0" borderId="0" xfId="1" applyFont="1"/>
    <xf numFmtId="0" fontId="22" fillId="0" borderId="0" xfId="0" applyFont="1"/>
    <xf numFmtId="0" fontId="14" fillId="0" borderId="0" xfId="0" applyFont="1" applyFill="1"/>
    <xf numFmtId="0" fontId="13" fillId="0" borderId="1" xfId="0" applyFont="1" applyFill="1" applyBorder="1" applyAlignment="1">
      <alignment wrapText="1"/>
    </xf>
    <xf numFmtId="164" fontId="2" fillId="0" borderId="1" xfId="1" applyFont="1" applyFill="1" applyBorder="1" applyAlignment="1">
      <alignment horizontal="center" vertical="center" wrapText="1"/>
    </xf>
    <xf numFmtId="41" fontId="16" fillId="0" borderId="1" xfId="2" applyFont="1" applyBorder="1" applyAlignment="1">
      <alignment horizontal="center" vertical="center" wrapText="1"/>
    </xf>
    <xf numFmtId="164" fontId="16" fillId="0" borderId="1" xfId="1" applyFont="1" applyBorder="1" applyAlignment="1">
      <alignment horizontal="center" vertical="center" wrapText="1"/>
    </xf>
    <xf numFmtId="166" fontId="2" fillId="0" borderId="1" xfId="2" applyNumberFormat="1" applyFont="1" applyFill="1" applyBorder="1" applyAlignment="1">
      <alignment horizontal="center" vertical="center" wrapText="1"/>
    </xf>
    <xf numFmtId="166" fontId="2" fillId="0" borderId="1" xfId="2" applyNumberFormat="1" applyFont="1" applyFill="1" applyBorder="1" applyAlignment="1">
      <alignment vertical="center" wrapText="1"/>
    </xf>
    <xf numFmtId="164" fontId="1" fillId="0" borderId="1" xfId="1" applyFont="1" applyBorder="1" applyAlignment="1">
      <alignment horizontal="center" wrapText="1"/>
    </xf>
    <xf numFmtId="41" fontId="9" fillId="0" borderId="1" xfId="2" applyFont="1" applyBorder="1" applyAlignment="1">
      <alignment horizontal="center"/>
    </xf>
    <xf numFmtId="166" fontId="2" fillId="0" borderId="1" xfId="2" applyNumberFormat="1" applyFont="1" applyBorder="1" applyAlignment="1">
      <alignment horizontal="center" vertical="center" wrapText="1"/>
    </xf>
    <xf numFmtId="166" fontId="1" fillId="0" borderId="1" xfId="2" applyNumberFormat="1" applyFont="1" applyFill="1" applyBorder="1" applyAlignment="1">
      <alignment vertical="center" wrapText="1"/>
    </xf>
    <xf numFmtId="164" fontId="2" fillId="0" borderId="1" xfId="1" applyFont="1" applyBorder="1" applyAlignment="1">
      <alignment horizontal="center" vertical="center" wrapText="1"/>
    </xf>
    <xf numFmtId="164" fontId="1" fillId="0" borderId="1" xfId="1" applyFont="1" applyBorder="1" applyAlignment="1">
      <alignment horizontal="center" vertical="center" wrapText="1"/>
    </xf>
    <xf numFmtId="41" fontId="9" fillId="0" borderId="1" xfId="2" applyFont="1" applyBorder="1" applyAlignment="1">
      <alignment horizontal="center" vertical="center" wrapText="1"/>
    </xf>
    <xf numFmtId="166" fontId="1" fillId="0" borderId="1" xfId="2" applyNumberFormat="1" applyFont="1" applyBorder="1" applyAlignment="1">
      <alignment horizontal="center" vertical="center" wrapText="1"/>
    </xf>
    <xf numFmtId="166" fontId="16" fillId="0" borderId="1" xfId="2" applyNumberFormat="1" applyFont="1" applyFill="1" applyBorder="1" applyAlignment="1">
      <alignment vertical="center" wrapText="1"/>
    </xf>
    <xf numFmtId="0" fontId="15" fillId="0" borderId="1" xfId="0" applyFont="1" applyBorder="1" applyAlignment="1">
      <alignment vertical="center" wrapText="1"/>
    </xf>
    <xf numFmtId="0" fontId="2" fillId="5" borderId="1" xfId="0" applyFont="1" applyFill="1" applyBorder="1" applyAlignment="1">
      <alignment vertical="center" wrapText="1"/>
    </xf>
    <xf numFmtId="164" fontId="2" fillId="5" borderId="1" xfId="1" applyFont="1" applyFill="1" applyBorder="1" applyAlignment="1">
      <alignment horizontal="center" vertical="center" wrapText="1"/>
    </xf>
    <xf numFmtId="41" fontId="16" fillId="5" borderId="1" xfId="2" applyFont="1" applyFill="1" applyBorder="1" applyAlignment="1">
      <alignment horizontal="center" vertical="center" wrapText="1"/>
    </xf>
    <xf numFmtId="0" fontId="2" fillId="5" borderId="1" xfId="0" applyFont="1" applyFill="1" applyBorder="1" applyAlignment="1">
      <alignment horizontal="center" vertical="center" wrapText="1"/>
    </xf>
    <xf numFmtId="0" fontId="16" fillId="0" borderId="1" xfId="0" applyFont="1" applyBorder="1" applyAlignment="1">
      <alignment vertical="center" wrapText="1"/>
    </xf>
    <xf numFmtId="166" fontId="1" fillId="0" borderId="1" xfId="2" applyNumberFormat="1" applyFont="1" applyFill="1" applyBorder="1" applyAlignment="1">
      <alignment horizontal="center" vertical="center" wrapText="1"/>
    </xf>
    <xf numFmtId="41" fontId="9" fillId="0" borderId="1" xfId="0" applyNumberFormat="1" applyFont="1" applyBorder="1" applyAlignment="1">
      <alignment horizontal="center" vertical="center" wrapText="1"/>
    </xf>
    <xf numFmtId="166" fontId="1" fillId="0" borderId="1" xfId="2" applyNumberFormat="1" applyFont="1" applyBorder="1" applyAlignment="1">
      <alignment vertical="center" wrapText="1"/>
    </xf>
    <xf numFmtId="0" fontId="1" fillId="5" borderId="1" xfId="0" applyFont="1" applyFill="1" applyBorder="1" applyAlignment="1">
      <alignment vertical="center" wrapText="1"/>
    </xf>
    <xf numFmtId="0" fontId="13" fillId="5" borderId="1" xfId="0" applyFont="1" applyFill="1" applyBorder="1" applyAlignment="1">
      <alignment wrapText="1"/>
    </xf>
    <xf numFmtId="0" fontId="9" fillId="5" borderId="1" xfId="0" applyFont="1" applyFill="1" applyBorder="1" applyAlignment="1">
      <alignment horizontal="center" vertical="center" wrapText="1"/>
    </xf>
    <xf numFmtId="166" fontId="1" fillId="5" borderId="1" xfId="2" applyNumberFormat="1" applyFont="1" applyFill="1" applyBorder="1" applyAlignment="1">
      <alignment vertical="center" wrapText="1"/>
    </xf>
    <xf numFmtId="0" fontId="1" fillId="0" borderId="1" xfId="0" applyFont="1" applyBorder="1" applyAlignment="1">
      <alignment wrapText="1"/>
    </xf>
    <xf numFmtId="41" fontId="9" fillId="0" borderId="1" xfId="2" applyFont="1" applyBorder="1" applyAlignment="1">
      <alignment horizontal="center" vertical="center"/>
    </xf>
    <xf numFmtId="0" fontId="13" fillId="0" borderId="1" xfId="0" applyFont="1" applyBorder="1" applyAlignment="1">
      <alignment wrapText="1"/>
    </xf>
    <xf numFmtId="0" fontId="1" fillId="6" borderId="1" xfId="0" applyFont="1" applyFill="1" applyBorder="1" applyAlignment="1">
      <alignment vertical="center" wrapText="1"/>
    </xf>
    <xf numFmtId="0" fontId="2" fillId="6" borderId="1" xfId="0" applyFont="1" applyFill="1" applyBorder="1" applyAlignment="1">
      <alignment vertical="center" wrapText="1"/>
    </xf>
    <xf numFmtId="41" fontId="16" fillId="6" borderId="1" xfId="2" applyFont="1" applyFill="1" applyBorder="1" applyAlignment="1">
      <alignment vertical="center" wrapText="1"/>
    </xf>
    <xf numFmtId="0" fontId="16" fillId="6" borderId="1" xfId="0" applyFont="1" applyFill="1" applyBorder="1" applyAlignment="1">
      <alignment vertical="center" wrapText="1"/>
    </xf>
    <xf numFmtId="164" fontId="1" fillId="6" borderId="1" xfId="1" applyNumberFormat="1" applyFont="1" applyFill="1" applyBorder="1" applyAlignment="1">
      <alignment horizontal="center" vertical="center" wrapText="1"/>
    </xf>
    <xf numFmtId="166" fontId="1" fillId="6" borderId="1" xfId="2" applyNumberFormat="1" applyFont="1" applyFill="1" applyBorder="1" applyAlignment="1">
      <alignment vertical="center" wrapText="1"/>
    </xf>
    <xf numFmtId="164" fontId="9" fillId="6" borderId="1" xfId="1"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66" fontId="2" fillId="6" borderId="1" xfId="2" applyNumberFormat="1" applyFont="1" applyFill="1" applyBorder="1" applyAlignment="1">
      <alignment vertical="center" wrapText="1"/>
    </xf>
    <xf numFmtId="0" fontId="9" fillId="6" borderId="1" xfId="0" applyFont="1" applyFill="1" applyBorder="1" applyAlignment="1">
      <alignment vertical="center" wrapText="1"/>
    </xf>
    <xf numFmtId="164" fontId="9" fillId="6" borderId="1" xfId="1" applyFont="1" applyFill="1" applyBorder="1" applyAlignment="1">
      <alignment horizontal="center" vertical="center" wrapText="1"/>
    </xf>
    <xf numFmtId="166" fontId="9" fillId="6" borderId="1" xfId="2" applyNumberFormat="1" applyFont="1" applyFill="1" applyBorder="1" applyAlignment="1">
      <alignment vertical="center" wrapText="1"/>
    </xf>
    <xf numFmtId="164" fontId="1" fillId="6" borderId="1" xfId="1" applyFont="1" applyFill="1" applyBorder="1" applyAlignment="1">
      <alignment horizontal="center" vertical="center" wrapText="1"/>
    </xf>
    <xf numFmtId="166" fontId="9" fillId="0" borderId="1" xfId="2" applyNumberFormat="1" applyFont="1" applyFill="1" applyBorder="1" applyAlignment="1">
      <alignment horizontal="center" vertical="center" wrapText="1"/>
    </xf>
    <xf numFmtId="166" fontId="9" fillId="0" borderId="1" xfId="2" applyNumberFormat="1" applyFont="1" applyFill="1" applyBorder="1" applyAlignment="1">
      <alignment vertical="center" wrapText="1"/>
    </xf>
    <xf numFmtId="41" fontId="1" fillId="0" borderId="1" xfId="0" applyNumberFormat="1" applyFont="1" applyBorder="1" applyAlignment="1">
      <alignment vertical="center" wrapText="1"/>
    </xf>
    <xf numFmtId="0" fontId="9" fillId="5" borderId="1" xfId="0" applyFont="1" applyFill="1" applyBorder="1" applyAlignment="1">
      <alignment vertical="center" wrapText="1"/>
    </xf>
    <xf numFmtId="166" fontId="9" fillId="5" borderId="1" xfId="2" applyNumberFormat="1" applyFont="1" applyFill="1" applyBorder="1" applyAlignment="1">
      <alignment horizontal="center" vertical="center" wrapText="1"/>
    </xf>
    <xf numFmtId="41" fontId="9" fillId="5" borderId="1" xfId="2" applyFont="1" applyFill="1" applyBorder="1" applyAlignment="1">
      <alignment horizontal="center" vertical="center" wrapText="1"/>
    </xf>
    <xf numFmtId="164" fontId="9" fillId="5" borderId="1" xfId="1" applyFont="1" applyFill="1" applyBorder="1" applyAlignment="1">
      <alignment horizontal="center" vertical="center" wrapText="1"/>
    </xf>
    <xf numFmtId="166" fontId="9" fillId="5" borderId="1" xfId="2" applyNumberFormat="1" applyFont="1" applyFill="1" applyBorder="1" applyAlignment="1">
      <alignment vertical="center" wrapText="1"/>
    </xf>
    <xf numFmtId="166" fontId="9" fillId="0" borderId="1" xfId="2" applyNumberFormat="1" applyFont="1" applyBorder="1" applyAlignment="1">
      <alignment horizontal="center" vertical="center" wrapText="1"/>
    </xf>
    <xf numFmtId="166" fontId="1" fillId="6" borderId="1" xfId="2" applyNumberFormat="1" applyFont="1" applyFill="1" applyBorder="1" applyAlignment="1">
      <alignment horizontal="center" vertical="center" wrapText="1"/>
    </xf>
    <xf numFmtId="0" fontId="9" fillId="0" borderId="1" xfId="0" applyFont="1" applyBorder="1" applyAlignment="1">
      <alignment vertical="center" wrapText="1"/>
    </xf>
    <xf numFmtId="164" fontId="1" fillId="0" borderId="1" xfId="1" applyFont="1" applyBorder="1" applyAlignment="1">
      <alignment vertical="center" wrapText="1"/>
    </xf>
    <xf numFmtId="166" fontId="1" fillId="5"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166" fontId="16" fillId="0" borderId="1" xfId="2" applyNumberFormat="1" applyFont="1" applyBorder="1" applyAlignment="1">
      <alignment horizontal="center" vertical="center" wrapText="1"/>
    </xf>
    <xf numFmtId="167" fontId="15" fillId="0" borderId="1" xfId="0" applyNumberFormat="1" applyFont="1" applyBorder="1" applyAlignment="1">
      <alignment vertical="center" wrapText="1"/>
    </xf>
    <xf numFmtId="164" fontId="1" fillId="0" borderId="1" xfId="1" applyFont="1" applyFill="1" applyBorder="1" applyAlignment="1">
      <alignment horizontal="center" vertical="center" wrapText="1"/>
    </xf>
    <xf numFmtId="0" fontId="13" fillId="6" borderId="1" xfId="0" applyFont="1" applyFill="1" applyBorder="1" applyAlignment="1">
      <alignment wrapText="1"/>
    </xf>
    <xf numFmtId="166" fontId="16" fillId="6" borderId="1" xfId="2" applyNumberFormat="1" applyFont="1" applyFill="1" applyBorder="1" applyAlignment="1">
      <alignment vertical="center" wrapText="1"/>
    </xf>
    <xf numFmtId="166" fontId="9" fillId="6" borderId="1" xfId="2"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1"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23" fillId="0" borderId="0" xfId="1" applyFont="1"/>
    <xf numFmtId="167" fontId="23" fillId="0" borderId="0" xfId="0" applyNumberFormat="1" applyFont="1" applyFill="1"/>
    <xf numFmtId="0" fontId="1" fillId="0" borderId="0" xfId="0" applyFont="1"/>
    <xf numFmtId="167" fontId="24" fillId="0" borderId="1" xfId="0" applyNumberFormat="1" applyFont="1" applyBorder="1" applyAlignment="1">
      <alignment vertical="center" wrapText="1"/>
    </xf>
    <xf numFmtId="0" fontId="24" fillId="0" borderId="1" xfId="0" applyFont="1" applyBorder="1" applyAlignment="1">
      <alignment vertical="center" wrapText="1"/>
    </xf>
    <xf numFmtId="0" fontId="1" fillId="0" borderId="1" xfId="0" applyFont="1" applyBorder="1" applyAlignment="1">
      <alignment vertical="top" wrapText="1"/>
    </xf>
    <xf numFmtId="41" fontId="9" fillId="0" borderId="1" xfId="2" applyFont="1" applyBorder="1" applyAlignment="1">
      <alignment vertical="top" wrapText="1"/>
    </xf>
    <xf numFmtId="0" fontId="9" fillId="0" borderId="1" xfId="0" applyFont="1" applyBorder="1" applyAlignment="1">
      <alignment vertical="top" wrapText="1"/>
    </xf>
    <xf numFmtId="0" fontId="1" fillId="0" borderId="1" xfId="0" applyFont="1" applyFill="1" applyBorder="1" applyAlignment="1">
      <alignment vertical="top" wrapText="1"/>
    </xf>
    <xf numFmtId="166" fontId="24" fillId="6" borderId="1" xfId="2" applyNumberFormat="1" applyFont="1" applyFill="1" applyBorder="1" applyAlignment="1">
      <alignment vertical="center" wrapText="1"/>
    </xf>
    <xf numFmtId="168" fontId="13" fillId="6" borderId="0" xfId="0" applyNumberFormat="1" applyFont="1" applyFill="1" applyAlignment="1">
      <alignment vertical="center"/>
    </xf>
    <xf numFmtId="0" fontId="2" fillId="0" borderId="1" xfId="0" applyFont="1" applyBorder="1" applyAlignment="1">
      <alignment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0" borderId="0" xfId="0" applyFont="1" applyAlignment="1">
      <alignment vertical="center"/>
    </xf>
    <xf numFmtId="164" fontId="13" fillId="6" borderId="11" xfId="0" applyNumberFormat="1" applyFont="1" applyFill="1" applyBorder="1" applyAlignment="1">
      <alignment vertical="center"/>
    </xf>
    <xf numFmtId="164" fontId="13" fillId="6" borderId="12" xfId="0" applyNumberFormat="1" applyFont="1" applyFill="1" applyBorder="1" applyAlignment="1">
      <alignment vertical="center"/>
    </xf>
    <xf numFmtId="0" fontId="1" fillId="0" borderId="13" xfId="0" applyFont="1" applyFill="1" applyBorder="1" applyAlignment="1">
      <alignment vertical="center" wrapText="1"/>
    </xf>
    <xf numFmtId="0" fontId="1" fillId="0" borderId="14" xfId="0" applyFont="1" applyBorder="1" applyAlignment="1">
      <alignment vertical="center" wrapText="1"/>
    </xf>
    <xf numFmtId="0" fontId="1" fillId="6" borderId="15" xfId="0" applyFont="1" applyFill="1" applyBorder="1" applyAlignment="1">
      <alignment vertical="center" wrapText="1"/>
    </xf>
    <xf numFmtId="168" fontId="1" fillId="6" borderId="1" xfId="0" applyNumberFormat="1" applyFont="1" applyFill="1" applyBorder="1" applyAlignment="1">
      <alignment vertical="center" wrapText="1"/>
    </xf>
    <xf numFmtId="4" fontId="13" fillId="6" borderId="0" xfId="0" applyNumberFormat="1" applyFont="1" applyFill="1" applyAlignment="1">
      <alignment horizontal="center" vertical="center"/>
    </xf>
    <xf numFmtId="0" fontId="2" fillId="0" borderId="1" xfId="0" applyFont="1" applyBorder="1" applyAlignment="1">
      <alignment vertical="center" wrapText="1"/>
    </xf>
    <xf numFmtId="164" fontId="13" fillId="0" borderId="0" xfId="0" applyNumberFormat="1" applyFont="1"/>
    <xf numFmtId="0" fontId="2" fillId="0" borderId="1" xfId="0" applyFont="1" applyBorder="1" applyAlignment="1">
      <alignment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4" xfId="0" applyFont="1" applyFill="1" applyBorder="1" applyAlignment="1">
      <alignment horizontal="center" vertical="center" wrapText="1"/>
    </xf>
  </cellXfs>
  <cellStyles count="3">
    <cellStyle name="Milliers" xfId="1" builtinId="3"/>
    <cellStyle name="Millier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Essi Fafa Soule" id="{5E02E1DF-8A5F-482E-99DD-D204DB16F949}" userId="S::efsoule@unicef.org::6312db6c-ee3a-40f3-81eb-1ba63fa7fe7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3" dT="2020-12-08T16:36:27.16" personId="{5E02E1DF-8A5F-482E-99DD-D204DB16F949}" id="{BDFE7396-3E16-4B96-842C-C98FB5A7A59E}">
    <text xml:space="preserve">Une partie de ces fonds a été ajoutée au budget de la formation des journalistes. Le montant restant a été utilisé pour produire des outils de visiblité du financement. Cette activité prévue avec les jeunes a été financée sur fonds propres.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00F0-B85E-43AB-ACCF-DDF4F1CEDB29}">
  <sheetPr>
    <pageSetUpPr fitToPage="1"/>
  </sheetPr>
  <dimension ref="A1:M84"/>
  <sheetViews>
    <sheetView tabSelected="1" view="pageBreakPreview" topLeftCell="A70" zoomScaleNormal="100" zoomScaleSheetLayoutView="100" workbookViewId="0">
      <selection activeCell="K80" sqref="K80"/>
    </sheetView>
  </sheetViews>
  <sheetFormatPr baseColWidth="10" defaultColWidth="9.109375" defaultRowHeight="13.8" x14ac:dyDescent="0.25"/>
  <cols>
    <col min="1" max="1" width="79.6640625" style="10" customWidth="1"/>
    <col min="2" max="2" width="15.109375" style="10" customWidth="1"/>
    <col min="3" max="3" width="19.6640625" style="10" customWidth="1"/>
    <col min="4" max="4" width="14.88671875" style="46" customWidth="1"/>
    <col min="5" max="5" width="14.6640625" style="46" customWidth="1"/>
    <col min="6" max="6" width="20.109375" style="10" customWidth="1"/>
    <col min="7" max="7" width="15.33203125" style="10" customWidth="1"/>
    <col min="8" max="8" width="17.5546875" style="34" customWidth="1"/>
    <col min="9" max="9" width="12.33203125" style="10" customWidth="1"/>
    <col min="10" max="10" width="14" style="10" bestFit="1" customWidth="1"/>
    <col min="11" max="13" width="28.88671875" style="10" customWidth="1"/>
    <col min="14" max="14" width="34.109375" style="10" customWidth="1"/>
    <col min="15" max="16384" width="9.109375" style="10"/>
  </cols>
  <sheetData>
    <row r="1" spans="1:11" ht="20.399999999999999" x14ac:dyDescent="0.35">
      <c r="A1" s="8" t="s">
        <v>0</v>
      </c>
      <c r="B1" s="9"/>
      <c r="C1" s="9"/>
      <c r="D1" s="44"/>
      <c r="E1" s="44"/>
      <c r="H1" s="50"/>
    </row>
    <row r="2" spans="1:11" ht="15.6" x14ac:dyDescent="0.3">
      <c r="A2" s="11"/>
      <c r="B2" s="11"/>
      <c r="C2" s="11"/>
      <c r="D2" s="45"/>
      <c r="E2" s="45"/>
      <c r="H2" s="50"/>
    </row>
    <row r="3" spans="1:11" ht="15.6" x14ac:dyDescent="0.3">
      <c r="A3" s="11" t="s">
        <v>1</v>
      </c>
      <c r="B3" s="11"/>
      <c r="C3" s="11"/>
      <c r="D3" s="45"/>
      <c r="E3" s="45"/>
      <c r="H3" s="50"/>
    </row>
    <row r="5" spans="1:11" ht="15.6" x14ac:dyDescent="0.3">
      <c r="A5" s="11" t="s">
        <v>2</v>
      </c>
    </row>
    <row r="6" spans="1:11" ht="14.4" thickBot="1" x14ac:dyDescent="0.3"/>
    <row r="7" spans="1:11" ht="142.5" customHeight="1" x14ac:dyDescent="0.25">
      <c r="A7" s="126" t="s">
        <v>3</v>
      </c>
      <c r="B7" s="126" t="s">
        <v>4</v>
      </c>
      <c r="C7" s="126" t="s">
        <v>5</v>
      </c>
      <c r="D7" s="127" t="s">
        <v>6</v>
      </c>
      <c r="E7" s="128" t="s">
        <v>7</v>
      </c>
      <c r="F7" s="126" t="s">
        <v>8</v>
      </c>
      <c r="G7" s="126" t="s">
        <v>9</v>
      </c>
      <c r="H7" s="129" t="s">
        <v>10</v>
      </c>
      <c r="I7" s="126" t="s">
        <v>11</v>
      </c>
      <c r="J7" s="126" t="s">
        <v>12</v>
      </c>
    </row>
    <row r="8" spans="1:11" ht="93" customHeight="1" x14ac:dyDescent="0.25">
      <c r="A8" s="132" t="s">
        <v>13</v>
      </c>
      <c r="B8" s="132"/>
      <c r="C8" s="132"/>
      <c r="D8" s="132"/>
      <c r="E8" s="132"/>
      <c r="F8" s="132"/>
      <c r="G8" s="132"/>
      <c r="H8" s="132"/>
      <c r="I8" s="132"/>
      <c r="J8" s="1"/>
    </row>
    <row r="9" spans="1:11" ht="15.6" x14ac:dyDescent="0.25">
      <c r="A9" s="146" t="s">
        <v>14</v>
      </c>
      <c r="B9" s="146"/>
      <c r="C9" s="146"/>
      <c r="D9" s="146"/>
      <c r="E9" s="146"/>
      <c r="F9" s="146"/>
      <c r="G9" s="146"/>
      <c r="H9" s="146"/>
      <c r="I9" s="146"/>
      <c r="J9" s="1"/>
    </row>
    <row r="10" spans="1:11" ht="46.8" x14ac:dyDescent="0.25">
      <c r="A10" s="1" t="s">
        <v>15</v>
      </c>
      <c r="B10" s="1" t="s">
        <v>16</v>
      </c>
      <c r="C10" s="72">
        <v>250000</v>
      </c>
      <c r="D10" s="63">
        <v>-150000</v>
      </c>
      <c r="E10" s="73">
        <f>+C10+D10</f>
        <v>100000</v>
      </c>
      <c r="F10" s="1" t="s">
        <v>16</v>
      </c>
      <c r="G10" s="74">
        <v>16000</v>
      </c>
      <c r="H10" s="60">
        <v>75199.09</v>
      </c>
      <c r="I10" s="1"/>
      <c r="J10" s="1"/>
    </row>
    <row r="11" spans="1:11" ht="31.8" thickBot="1" x14ac:dyDescent="0.3">
      <c r="A11" s="75" t="s">
        <v>17</v>
      </c>
      <c r="B11" s="76"/>
      <c r="C11" s="72">
        <v>175000</v>
      </c>
      <c r="D11" s="63">
        <v>-85000</v>
      </c>
      <c r="E11" s="73">
        <f t="shared" ref="E11:E12" si="0">+C11+D11</f>
        <v>90000</v>
      </c>
      <c r="F11" s="77"/>
      <c r="G11" s="78"/>
      <c r="H11" s="60">
        <v>87535.91</v>
      </c>
      <c r="I11" s="1"/>
      <c r="J11" s="1"/>
    </row>
    <row r="12" spans="1:11" ht="31.8" thickBot="1" x14ac:dyDescent="0.35">
      <c r="A12" s="79" t="s">
        <v>18</v>
      </c>
      <c r="B12" s="76"/>
      <c r="C12" s="72">
        <v>60000</v>
      </c>
      <c r="D12" s="80">
        <v>60000</v>
      </c>
      <c r="E12" s="73">
        <f t="shared" si="0"/>
        <v>120000</v>
      </c>
      <c r="F12" s="81"/>
      <c r="G12" s="74"/>
      <c r="H12" s="60">
        <f>40263.14+70841</f>
        <v>111104.14</v>
      </c>
      <c r="I12" s="1"/>
      <c r="J12" s="1"/>
    </row>
    <row r="13" spans="1:11" ht="16.2" thickBot="1" x14ac:dyDescent="0.3">
      <c r="A13" s="146" t="s">
        <v>19</v>
      </c>
      <c r="B13" s="146"/>
      <c r="C13" s="146"/>
      <c r="D13" s="146"/>
      <c r="E13" s="146"/>
      <c r="F13" s="146"/>
      <c r="G13" s="146"/>
      <c r="H13" s="146"/>
      <c r="I13" s="146"/>
    </row>
    <row r="14" spans="1:11" s="12" customFormat="1" ht="16.2" thickBot="1" x14ac:dyDescent="0.3">
      <c r="A14" s="82" t="s">
        <v>20</v>
      </c>
      <c r="B14" s="83"/>
      <c r="C14" s="83"/>
      <c r="D14" s="84">
        <v>0</v>
      </c>
      <c r="E14" s="85"/>
      <c r="F14" s="86">
        <v>10000</v>
      </c>
      <c r="G14" s="87">
        <v>2000</v>
      </c>
      <c r="H14" s="88">
        <v>4665.5959271493084</v>
      </c>
      <c r="I14" s="83"/>
      <c r="J14" s="82" t="s">
        <v>21</v>
      </c>
      <c r="K14" s="143"/>
    </row>
    <row r="15" spans="1:11" s="12" customFormat="1" ht="16.2" thickBot="1" x14ac:dyDescent="0.3">
      <c r="A15" s="82" t="s">
        <v>22</v>
      </c>
      <c r="B15" s="82"/>
      <c r="C15" s="89"/>
      <c r="D15" s="84">
        <v>0</v>
      </c>
      <c r="E15" s="90"/>
      <c r="F15" s="86">
        <v>30000</v>
      </c>
      <c r="G15" s="87"/>
      <c r="H15" s="88">
        <f>5093.11088571311+12257.8</f>
        <v>17350.91088571311</v>
      </c>
      <c r="I15" s="82"/>
      <c r="J15" s="82" t="s">
        <v>21</v>
      </c>
      <c r="K15" s="143"/>
    </row>
    <row r="16" spans="1:11" s="12" customFormat="1" ht="31.8" thickBot="1" x14ac:dyDescent="0.3">
      <c r="A16" s="82" t="s">
        <v>23</v>
      </c>
      <c r="B16" s="83"/>
      <c r="C16" s="83"/>
      <c r="D16" s="84">
        <v>0</v>
      </c>
      <c r="E16" s="85"/>
      <c r="F16" s="86">
        <v>70000</v>
      </c>
      <c r="G16" s="87">
        <v>35000</v>
      </c>
      <c r="H16" s="88">
        <f>10547.5121349488+26911.68+30000</f>
        <v>67459.192134948797</v>
      </c>
      <c r="I16" s="83"/>
      <c r="J16" s="82" t="s">
        <v>21</v>
      </c>
      <c r="K16" s="143"/>
    </row>
    <row r="17" spans="1:13" s="12" customFormat="1" ht="31.8" thickBot="1" x14ac:dyDescent="0.3">
      <c r="A17" s="82" t="s">
        <v>24</v>
      </c>
      <c r="B17" s="83"/>
      <c r="C17" s="83"/>
      <c r="D17" s="84">
        <v>0</v>
      </c>
      <c r="E17" s="85"/>
      <c r="F17" s="88">
        <v>10000</v>
      </c>
      <c r="G17" s="91"/>
      <c r="H17" s="88">
        <v>1525.8929414973361</v>
      </c>
      <c r="I17" s="83"/>
      <c r="J17" s="82" t="s">
        <v>21</v>
      </c>
      <c r="K17" s="143"/>
    </row>
    <row r="18" spans="1:13" s="12" customFormat="1" ht="31.8" thickBot="1" x14ac:dyDescent="0.3">
      <c r="A18" s="82" t="s">
        <v>25</v>
      </c>
      <c r="B18" s="83"/>
      <c r="C18" s="83"/>
      <c r="D18" s="84">
        <v>0</v>
      </c>
      <c r="E18" s="85"/>
      <c r="F18" s="88">
        <v>30000</v>
      </c>
      <c r="G18" s="91"/>
      <c r="H18" s="88">
        <f>19584.7236012499+10951</f>
        <v>30535.723601249902</v>
      </c>
      <c r="I18" s="83"/>
      <c r="J18" s="82" t="s">
        <v>21</v>
      </c>
      <c r="K18" s="143"/>
    </row>
    <row r="19" spans="1:13" s="12" customFormat="1" ht="16.2" thickBot="1" x14ac:dyDescent="0.3">
      <c r="A19" s="82" t="s">
        <v>26</v>
      </c>
      <c r="B19" s="83"/>
      <c r="C19" s="83"/>
      <c r="D19" s="84">
        <v>0</v>
      </c>
      <c r="E19" s="85"/>
      <c r="F19" s="88">
        <v>10000</v>
      </c>
      <c r="G19" s="91"/>
      <c r="H19" s="88">
        <v>12257.8</v>
      </c>
      <c r="I19" s="83"/>
      <c r="J19" s="82" t="s">
        <v>21</v>
      </c>
      <c r="K19" s="143"/>
    </row>
    <row r="20" spans="1:13" ht="16.2" thickBot="1" x14ac:dyDescent="0.35">
      <c r="A20" s="146" t="s">
        <v>27</v>
      </c>
      <c r="B20" s="146"/>
      <c r="C20" s="146"/>
      <c r="D20" s="146"/>
      <c r="E20" s="146"/>
      <c r="F20" s="146"/>
      <c r="G20" s="146"/>
      <c r="H20" s="146"/>
      <c r="I20" s="146"/>
      <c r="J20" s="123"/>
      <c r="L20" s="145"/>
      <c r="M20" s="145"/>
    </row>
    <row r="21" spans="1:13" s="12" customFormat="1" ht="47.4" thickBot="1" x14ac:dyDescent="0.3">
      <c r="A21" s="92" t="s">
        <v>28</v>
      </c>
      <c r="B21" s="92"/>
      <c r="C21" s="90"/>
      <c r="D21" s="84">
        <v>0</v>
      </c>
      <c r="E21" s="90"/>
      <c r="F21" s="93">
        <v>70472.149999999994</v>
      </c>
      <c r="G21" s="94"/>
      <c r="H21" s="93">
        <v>18887.46</v>
      </c>
      <c r="I21" s="82"/>
      <c r="J21" s="82" t="s">
        <v>29</v>
      </c>
    </row>
    <row r="22" spans="1:13" s="12" customFormat="1" ht="47.4" thickBot="1" x14ac:dyDescent="0.3">
      <c r="A22" s="82" t="s">
        <v>30</v>
      </c>
      <c r="B22" s="92"/>
      <c r="C22" s="90"/>
      <c r="D22" s="84">
        <v>0</v>
      </c>
      <c r="E22" s="90"/>
      <c r="F22" s="93">
        <v>43000</v>
      </c>
      <c r="G22" s="94">
        <v>4300</v>
      </c>
      <c r="H22" s="93">
        <v>84215.41</v>
      </c>
      <c r="I22" s="82"/>
      <c r="J22" s="82" t="s">
        <v>29</v>
      </c>
    </row>
    <row r="23" spans="1:13" s="12" customFormat="1" ht="16.2" thickBot="1" x14ac:dyDescent="0.3">
      <c r="A23" s="82" t="s">
        <v>31</v>
      </c>
      <c r="B23" s="83"/>
      <c r="C23" s="83"/>
      <c r="D23" s="84">
        <v>0</v>
      </c>
      <c r="E23" s="85"/>
      <c r="F23" s="95">
        <v>15000</v>
      </c>
      <c r="G23" s="91"/>
      <c r="H23" s="93"/>
      <c r="I23" s="83"/>
      <c r="J23" s="82" t="s">
        <v>29</v>
      </c>
    </row>
    <row r="24" spans="1:13" ht="16.2" thickBot="1" x14ac:dyDescent="0.3">
      <c r="A24" s="146" t="s">
        <v>32</v>
      </c>
      <c r="B24" s="146"/>
      <c r="C24" s="146"/>
      <c r="D24" s="146"/>
      <c r="E24" s="146"/>
      <c r="F24" s="146"/>
      <c r="G24" s="146"/>
      <c r="H24" s="146"/>
      <c r="I24" s="146"/>
    </row>
    <row r="25" spans="1:13" ht="31.8" thickBot="1" x14ac:dyDescent="0.3">
      <c r="A25" s="1" t="s">
        <v>33</v>
      </c>
      <c r="B25" s="1" t="s">
        <v>16</v>
      </c>
      <c r="C25" s="96">
        <v>50000</v>
      </c>
      <c r="D25" s="63">
        <v>135000</v>
      </c>
      <c r="E25" s="118">
        <f>+C25+D25</f>
        <v>185000</v>
      </c>
      <c r="F25" s="1"/>
      <c r="G25" s="74">
        <v>14000</v>
      </c>
      <c r="H25" s="97">
        <v>81772.55</v>
      </c>
      <c r="I25" s="98"/>
      <c r="J25" s="98"/>
    </row>
    <row r="26" spans="1:13" s="12" customFormat="1" ht="31.2" x14ac:dyDescent="0.25">
      <c r="A26" s="92" t="s">
        <v>34</v>
      </c>
      <c r="B26" s="92"/>
      <c r="C26" s="90"/>
      <c r="D26" s="90"/>
      <c r="E26" s="90"/>
      <c r="F26" s="93">
        <v>10171</v>
      </c>
      <c r="G26" s="94"/>
      <c r="H26" s="93"/>
      <c r="I26" s="82"/>
      <c r="J26" s="82" t="s">
        <v>35</v>
      </c>
    </row>
    <row r="27" spans="1:13" s="12" customFormat="1" ht="16.2" thickBot="1" x14ac:dyDescent="0.3">
      <c r="A27" s="99" t="s">
        <v>36</v>
      </c>
      <c r="B27" s="99"/>
      <c r="C27" s="100">
        <v>20000</v>
      </c>
      <c r="D27" s="101">
        <v>-5000</v>
      </c>
      <c r="E27" s="118">
        <f>+C27+D27</f>
        <v>15000</v>
      </c>
      <c r="F27" s="102"/>
      <c r="G27" s="103"/>
      <c r="H27" s="97">
        <v>12840.72</v>
      </c>
      <c r="I27" s="75"/>
      <c r="J27" s="75"/>
    </row>
    <row r="28" spans="1:13" ht="16.2" thickBot="1" x14ac:dyDescent="0.3">
      <c r="A28" s="146" t="s">
        <v>37</v>
      </c>
      <c r="B28" s="146"/>
      <c r="C28" s="146"/>
      <c r="D28" s="146"/>
      <c r="E28" s="146"/>
      <c r="F28" s="146"/>
      <c r="G28" s="146"/>
      <c r="H28" s="146"/>
      <c r="I28" s="146"/>
    </row>
    <row r="29" spans="1:13" ht="47.4" thickBot="1" x14ac:dyDescent="0.3">
      <c r="A29" s="1" t="s">
        <v>38</v>
      </c>
      <c r="B29" s="81"/>
      <c r="C29" s="100">
        <v>25000</v>
      </c>
      <c r="D29" s="101">
        <v>-25000</v>
      </c>
      <c r="E29" s="118">
        <f>+C29+D29</f>
        <v>0</v>
      </c>
      <c r="F29" s="1"/>
      <c r="G29" s="74"/>
      <c r="H29" s="60"/>
      <c r="I29" s="1"/>
      <c r="J29" s="1"/>
    </row>
    <row r="30" spans="1:13" ht="31.8" thickBot="1" x14ac:dyDescent="0.3">
      <c r="A30" s="1" t="s">
        <v>39</v>
      </c>
      <c r="B30" s="81"/>
      <c r="C30" s="104">
        <v>35000</v>
      </c>
      <c r="D30" s="63">
        <v>-35000</v>
      </c>
      <c r="E30" s="118">
        <f>+C30+D30</f>
        <v>0</v>
      </c>
      <c r="F30" s="1"/>
      <c r="G30" s="74"/>
      <c r="H30" s="60"/>
      <c r="I30" s="1"/>
      <c r="J30" s="1"/>
    </row>
    <row r="31" spans="1:13" s="12" customFormat="1" ht="31.8" thickBot="1" x14ac:dyDescent="0.3">
      <c r="A31" s="82" t="s">
        <v>40</v>
      </c>
      <c r="B31" s="82"/>
      <c r="C31" s="105">
        <v>0</v>
      </c>
      <c r="D31" s="84">
        <v>0</v>
      </c>
      <c r="E31" s="90"/>
      <c r="F31" s="95">
        <v>7000</v>
      </c>
      <c r="G31" s="87">
        <v>4000</v>
      </c>
      <c r="H31" s="95" t="s">
        <v>113</v>
      </c>
      <c r="I31" s="82"/>
      <c r="J31" s="82" t="s">
        <v>41</v>
      </c>
    </row>
    <row r="32" spans="1:13" ht="31.8" thickBot="1" x14ac:dyDescent="0.3">
      <c r="A32" s="132" t="s">
        <v>42</v>
      </c>
      <c r="B32" s="1"/>
      <c r="C32" s="1"/>
      <c r="D32" s="106"/>
      <c r="E32" s="106"/>
      <c r="F32" s="107"/>
      <c r="G32" s="74"/>
      <c r="H32" s="60"/>
      <c r="I32" s="1"/>
      <c r="J32" s="1"/>
    </row>
    <row r="33" spans="1:12" s="12" customFormat="1" ht="47.4" thickBot="1" x14ac:dyDescent="0.3">
      <c r="A33" s="82" t="s">
        <v>43</v>
      </c>
      <c r="B33" s="82"/>
      <c r="C33" s="105">
        <v>0</v>
      </c>
      <c r="D33" s="84">
        <v>0</v>
      </c>
      <c r="E33" s="90"/>
      <c r="F33" s="95">
        <v>7000</v>
      </c>
      <c r="G33" s="87"/>
      <c r="H33" s="95">
        <f>(F31+F33)-H31</f>
        <v>993.04999999999927</v>
      </c>
      <c r="I33" s="82"/>
      <c r="J33" s="82" t="s">
        <v>41</v>
      </c>
    </row>
    <row r="34" spans="1:12" ht="16.2" thickBot="1" x14ac:dyDescent="0.3">
      <c r="A34" s="146" t="s">
        <v>44</v>
      </c>
      <c r="B34" s="146"/>
      <c r="C34" s="146"/>
      <c r="D34" s="146"/>
      <c r="E34" s="146"/>
      <c r="F34" s="146"/>
      <c r="G34" s="146"/>
      <c r="H34" s="146"/>
      <c r="I34" s="146"/>
    </row>
    <row r="35" spans="1:12" ht="16.2" thickBot="1" x14ac:dyDescent="0.3">
      <c r="A35" s="1" t="s">
        <v>45</v>
      </c>
      <c r="B35" s="81"/>
      <c r="C35" s="108">
        <v>0</v>
      </c>
      <c r="D35" s="100">
        <v>0</v>
      </c>
      <c r="E35" s="100">
        <f>+C35+D35</f>
        <v>0</v>
      </c>
      <c r="F35" s="1"/>
      <c r="G35" s="74"/>
      <c r="H35" s="60"/>
      <c r="I35" s="1"/>
      <c r="J35" s="1"/>
    </row>
    <row r="36" spans="1:12" ht="16.2" thickBot="1" x14ac:dyDescent="0.3">
      <c r="A36" s="1" t="s">
        <v>46</v>
      </c>
      <c r="B36" s="81"/>
      <c r="C36" s="64">
        <v>0</v>
      </c>
      <c r="D36" s="104">
        <v>0</v>
      </c>
      <c r="E36" s="100">
        <f t="shared" ref="E36:E38" si="1">+C36+D36</f>
        <v>0</v>
      </c>
      <c r="F36" s="109"/>
      <c r="G36" s="74"/>
      <c r="H36" s="60"/>
      <c r="I36" s="1"/>
      <c r="J36" s="1"/>
    </row>
    <row r="37" spans="1:12" ht="16.2" thickBot="1" x14ac:dyDescent="0.3">
      <c r="A37" s="1" t="s">
        <v>47</v>
      </c>
      <c r="B37" s="81"/>
      <c r="C37" s="64">
        <v>0</v>
      </c>
      <c r="D37" s="104">
        <v>0</v>
      </c>
      <c r="E37" s="100">
        <f t="shared" si="1"/>
        <v>0</v>
      </c>
      <c r="F37" s="109"/>
      <c r="G37" s="74"/>
      <c r="H37" s="60"/>
      <c r="I37" s="1"/>
      <c r="J37" s="1"/>
    </row>
    <row r="38" spans="1:12" ht="16.2" thickBot="1" x14ac:dyDescent="0.3">
      <c r="A38" s="1" t="s">
        <v>48</v>
      </c>
      <c r="B38" s="81"/>
      <c r="C38" s="64">
        <v>0</v>
      </c>
      <c r="D38" s="104">
        <v>0</v>
      </c>
      <c r="E38" s="100">
        <f t="shared" si="1"/>
        <v>0</v>
      </c>
      <c r="F38" s="109"/>
      <c r="G38" s="74"/>
      <c r="H38" s="60"/>
      <c r="I38" s="1"/>
      <c r="J38" s="1"/>
    </row>
    <row r="39" spans="1:12" ht="15.6" x14ac:dyDescent="0.25">
      <c r="A39" s="132" t="s">
        <v>49</v>
      </c>
      <c r="B39" s="81"/>
      <c r="C39" s="59">
        <f>SUM(C8:C38)</f>
        <v>615000</v>
      </c>
      <c r="D39" s="59">
        <f>SUM(D8:D38)</f>
        <v>-105000</v>
      </c>
      <c r="E39" s="110">
        <f>SUM(E8:E38)</f>
        <v>510000</v>
      </c>
      <c r="F39" s="61">
        <f>SUM(F8:F38)</f>
        <v>312643.15000000002</v>
      </c>
      <c r="G39" s="59">
        <f>+G10+G14+G16+G22+G25+G31</f>
        <v>75300</v>
      </c>
      <c r="H39" s="55">
        <f>SUM(H8:H38)</f>
        <v>606343.44549055852</v>
      </c>
      <c r="I39" s="111"/>
      <c r="J39" s="124">
        <f>SUM(J35:J38)</f>
        <v>0</v>
      </c>
      <c r="L39" s="136"/>
    </row>
    <row r="40" spans="1:12" ht="15.6" x14ac:dyDescent="0.25">
      <c r="A40" s="146" t="s">
        <v>50</v>
      </c>
      <c r="B40" s="146"/>
      <c r="C40" s="146"/>
      <c r="D40" s="146"/>
      <c r="E40" s="146"/>
      <c r="F40" s="146"/>
      <c r="G40" s="146"/>
      <c r="H40" s="146"/>
      <c r="I40" s="146"/>
    </row>
    <row r="41" spans="1:12" ht="15.6" x14ac:dyDescent="0.25">
      <c r="A41" s="132" t="s">
        <v>51</v>
      </c>
      <c r="B41" s="132"/>
      <c r="C41" s="132"/>
      <c r="D41" s="71"/>
      <c r="E41" s="71"/>
      <c r="F41" s="132"/>
      <c r="G41" s="132"/>
      <c r="H41" s="56"/>
      <c r="I41" s="132"/>
      <c r="J41" s="140"/>
    </row>
    <row r="42" spans="1:12" s="12" customFormat="1" ht="54" customHeight="1" x14ac:dyDescent="0.25">
      <c r="A42" s="15" t="s">
        <v>52</v>
      </c>
      <c r="B42" s="51"/>
      <c r="C42" s="72">
        <v>120000</v>
      </c>
      <c r="D42" s="96">
        <v>-5000</v>
      </c>
      <c r="E42" s="96">
        <f>+C42+D42</f>
        <v>115000</v>
      </c>
      <c r="F42" s="112">
        <v>27500</v>
      </c>
      <c r="G42" s="72">
        <v>8000</v>
      </c>
      <c r="H42" s="137">
        <f>111004.13+5999.63</f>
        <v>117003.76000000001</v>
      </c>
      <c r="I42" s="139"/>
      <c r="J42" s="138" t="s">
        <v>35</v>
      </c>
    </row>
    <row r="43" spans="1:12" s="12" customFormat="1" ht="48" customHeight="1" x14ac:dyDescent="0.25">
      <c r="A43" s="82" t="s">
        <v>53</v>
      </c>
      <c r="B43" s="113"/>
      <c r="C43" s="105"/>
      <c r="D43" s="114">
        <v>0</v>
      </c>
      <c r="E43" s="115"/>
      <c r="F43" s="95">
        <v>18770</v>
      </c>
      <c r="G43" s="95"/>
      <c r="H43" s="131">
        <v>4991.2299999999996</v>
      </c>
      <c r="I43" s="82"/>
      <c r="J43" s="141" t="s">
        <v>35</v>
      </c>
    </row>
    <row r="44" spans="1:12" ht="15.6" x14ac:dyDescent="0.25">
      <c r="A44" s="132" t="s">
        <v>54</v>
      </c>
      <c r="B44" s="81"/>
      <c r="C44" s="64"/>
      <c r="D44" s="104"/>
      <c r="E44" s="104"/>
      <c r="F44" s="109"/>
      <c r="G44" s="64"/>
      <c r="H44" s="60"/>
      <c r="I44" s="1"/>
      <c r="J44" s="1"/>
    </row>
    <row r="45" spans="1:12" ht="31.8" thickBot="1" x14ac:dyDescent="0.3">
      <c r="A45" s="1" t="s">
        <v>55</v>
      </c>
      <c r="B45" s="81"/>
      <c r="C45" s="96">
        <v>63000</v>
      </c>
      <c r="D45" s="104">
        <v>187000</v>
      </c>
      <c r="E45" s="96">
        <f>+C45+D45</f>
        <v>250000</v>
      </c>
      <c r="F45" s="109"/>
      <c r="G45" s="64"/>
      <c r="H45" s="60">
        <f>39123.27+201736</f>
        <v>240859.27</v>
      </c>
      <c r="I45" s="1"/>
      <c r="J45" s="1"/>
    </row>
    <row r="46" spans="1:12" ht="31.8" thickBot="1" x14ac:dyDescent="0.3">
      <c r="A46" s="82" t="s">
        <v>114</v>
      </c>
      <c r="B46" s="81"/>
      <c r="C46" s="64">
        <v>90000</v>
      </c>
      <c r="D46" s="104">
        <v>40000</v>
      </c>
      <c r="E46" s="96">
        <f t="shared" ref="E46:E47" si="2">+C46+D46</f>
        <v>130000</v>
      </c>
      <c r="F46" s="62">
        <v>23000</v>
      </c>
      <c r="G46" s="64"/>
      <c r="H46" s="60">
        <f>1901.66+109739+20688.9</f>
        <v>132329.56</v>
      </c>
      <c r="I46" s="1"/>
      <c r="J46" s="142" t="s">
        <v>35</v>
      </c>
    </row>
    <row r="47" spans="1:12" ht="16.2" thickBot="1" x14ac:dyDescent="0.3">
      <c r="A47" s="1" t="s">
        <v>57</v>
      </c>
      <c r="B47" s="81"/>
      <c r="C47" s="64">
        <v>30000</v>
      </c>
      <c r="D47" s="104">
        <v>0</v>
      </c>
      <c r="E47" s="96">
        <f t="shared" si="2"/>
        <v>30000</v>
      </c>
      <c r="F47" s="95">
        <v>20000</v>
      </c>
      <c r="G47" s="105"/>
      <c r="H47" s="87">
        <v>28616.22</v>
      </c>
      <c r="I47" s="82"/>
      <c r="J47" s="82"/>
    </row>
    <row r="48" spans="1:12" ht="16.2" thickBot="1" x14ac:dyDescent="0.3">
      <c r="A48" s="132" t="s">
        <v>58</v>
      </c>
      <c r="B48" s="81"/>
      <c r="C48" s="59">
        <f>SUM(C42:C47)</f>
        <v>303000</v>
      </c>
      <c r="D48" s="59">
        <f>SUM(D42:D47)</f>
        <v>222000</v>
      </c>
      <c r="E48" s="110">
        <f>E42+E45+E46+E47</f>
        <v>525000</v>
      </c>
      <c r="F48" s="116">
        <f>SUM(F42:F47)</f>
        <v>89270</v>
      </c>
      <c r="G48" s="59">
        <f>SUM(G42:G47)</f>
        <v>8000</v>
      </c>
      <c r="H48" s="55">
        <f>SUM(H42:H47)</f>
        <v>523800.04000000004</v>
      </c>
      <c r="I48" s="66"/>
      <c r="J48" s="125"/>
    </row>
    <row r="49" spans="1:10" ht="30" customHeight="1" thickBot="1" x14ac:dyDescent="0.3">
      <c r="A49" s="146" t="s">
        <v>59</v>
      </c>
      <c r="B49" s="146"/>
      <c r="C49" s="146"/>
      <c r="D49" s="146"/>
      <c r="E49" s="146"/>
      <c r="F49" s="146"/>
      <c r="G49" s="146"/>
      <c r="H49" s="146"/>
      <c r="I49" s="146"/>
    </row>
    <row r="50" spans="1:10" ht="16.2" thickBot="1" x14ac:dyDescent="0.3">
      <c r="A50" s="132" t="s">
        <v>60</v>
      </c>
      <c r="B50" s="1"/>
      <c r="C50" s="1"/>
      <c r="D50" s="106"/>
      <c r="E50" s="106"/>
      <c r="F50" s="1"/>
      <c r="G50" s="1"/>
      <c r="H50" s="60"/>
      <c r="I50" s="1"/>
      <c r="J50" s="1"/>
    </row>
    <row r="51" spans="1:10" ht="32.1" customHeight="1" thickBot="1" x14ac:dyDescent="0.3">
      <c r="A51" s="1" t="s">
        <v>61</v>
      </c>
      <c r="B51" s="81"/>
      <c r="C51" s="72">
        <v>140000</v>
      </c>
      <c r="D51" s="104">
        <v>-40000</v>
      </c>
      <c r="E51" s="96">
        <f>+C51+D51</f>
        <v>100000</v>
      </c>
      <c r="F51" s="109"/>
      <c r="G51" s="74">
        <v>40000</v>
      </c>
      <c r="H51" s="60">
        <v>83355.899999999994</v>
      </c>
      <c r="I51" s="1"/>
      <c r="J51" s="1"/>
    </row>
    <row r="52" spans="1:10" ht="47.4" thickBot="1" x14ac:dyDescent="0.3">
      <c r="A52" s="132" t="s">
        <v>62</v>
      </c>
      <c r="B52" s="81"/>
      <c r="C52" s="64"/>
      <c r="D52" s="104"/>
      <c r="E52" s="104"/>
      <c r="F52" s="109"/>
      <c r="G52" s="74"/>
      <c r="H52" s="60"/>
      <c r="I52" s="1"/>
      <c r="J52" s="1"/>
    </row>
    <row r="53" spans="1:10" ht="16.2" thickBot="1" x14ac:dyDescent="0.3">
      <c r="A53" s="1" t="s">
        <v>63</v>
      </c>
      <c r="B53" s="81"/>
      <c r="C53" s="64">
        <v>55000</v>
      </c>
      <c r="D53" s="104">
        <v>40000</v>
      </c>
      <c r="E53" s="104">
        <f>+C53+D53</f>
        <v>95000</v>
      </c>
      <c r="F53" s="109"/>
      <c r="G53" s="74">
        <v>10000</v>
      </c>
      <c r="H53" s="60">
        <f>45197.64+8564.37</f>
        <v>53762.01</v>
      </c>
      <c r="I53" s="1"/>
      <c r="J53" s="1"/>
    </row>
    <row r="54" spans="1:10" ht="32.1" customHeight="1" thickBot="1" x14ac:dyDescent="0.3">
      <c r="A54" s="132" t="s">
        <v>64</v>
      </c>
      <c r="B54" s="81"/>
      <c r="C54" s="64"/>
      <c r="D54" s="104"/>
      <c r="E54" s="104"/>
      <c r="F54" s="109"/>
      <c r="G54" s="74"/>
      <c r="H54" s="60"/>
      <c r="I54" s="1"/>
      <c r="J54" s="1"/>
    </row>
    <row r="55" spans="1:10" ht="16.2" thickBot="1" x14ac:dyDescent="0.3">
      <c r="A55" s="1" t="s">
        <v>65</v>
      </c>
      <c r="B55" s="81"/>
      <c r="C55" s="72">
        <v>43000</v>
      </c>
      <c r="D55" s="96">
        <v>7000</v>
      </c>
      <c r="E55" s="96">
        <f>+C55+D55</f>
        <v>50000</v>
      </c>
      <c r="F55" s="109"/>
      <c r="G55" s="74">
        <v>20000</v>
      </c>
      <c r="H55" s="60">
        <v>46124.22</v>
      </c>
      <c r="I55" s="1"/>
      <c r="J55" s="1"/>
    </row>
    <row r="56" spans="1:10" ht="31.8" thickBot="1" x14ac:dyDescent="0.3">
      <c r="A56" s="1" t="s">
        <v>66</v>
      </c>
      <c r="B56" s="1"/>
      <c r="C56" s="72">
        <v>25000</v>
      </c>
      <c r="D56" s="96">
        <v>10000</v>
      </c>
      <c r="E56" s="96">
        <f t="shared" ref="E56:E57" si="3">+C56+D56</f>
        <v>35000</v>
      </c>
      <c r="F56" s="109"/>
      <c r="G56" s="74">
        <v>20000</v>
      </c>
      <c r="H56" s="60">
        <v>7760.14</v>
      </c>
      <c r="I56" s="1"/>
      <c r="J56" s="1"/>
    </row>
    <row r="57" spans="1:10" ht="31.8" thickBot="1" x14ac:dyDescent="0.3">
      <c r="A57" s="1" t="s">
        <v>67</v>
      </c>
      <c r="B57" s="1"/>
      <c r="C57" s="72">
        <v>50000</v>
      </c>
      <c r="D57" s="96">
        <v>0</v>
      </c>
      <c r="E57" s="96">
        <f t="shared" si="3"/>
        <v>50000</v>
      </c>
      <c r="F57" s="109"/>
      <c r="G57" s="74"/>
      <c r="H57" s="60">
        <v>39430.949999999997</v>
      </c>
      <c r="I57" s="1"/>
      <c r="J57" s="1"/>
    </row>
    <row r="58" spans="1:10" ht="31.8" thickBot="1" x14ac:dyDescent="0.3">
      <c r="A58" s="132" t="s">
        <v>68</v>
      </c>
      <c r="B58" s="1"/>
      <c r="C58" s="119"/>
      <c r="D58" s="120"/>
      <c r="E58" s="120"/>
      <c r="F58" s="109"/>
      <c r="G58" s="74"/>
      <c r="H58" s="60"/>
      <c r="I58" s="1"/>
      <c r="J58" s="1"/>
    </row>
    <row r="59" spans="1:10" ht="16.2" thickBot="1" x14ac:dyDescent="0.3">
      <c r="A59" s="1" t="s">
        <v>69</v>
      </c>
      <c r="B59" s="81"/>
      <c r="C59" s="72">
        <v>20000</v>
      </c>
      <c r="D59" s="96">
        <v>-19000</v>
      </c>
      <c r="E59" s="96">
        <f>+C59+D59</f>
        <v>1000</v>
      </c>
      <c r="F59" s="109"/>
      <c r="G59" s="74"/>
      <c r="H59" s="60">
        <v>940.29</v>
      </c>
      <c r="I59" s="1"/>
      <c r="J59" s="1"/>
    </row>
    <row r="60" spans="1:10" ht="16.2" thickBot="1" x14ac:dyDescent="0.3">
      <c r="A60" s="1" t="s">
        <v>70</v>
      </c>
      <c r="B60" s="1"/>
      <c r="C60" s="72">
        <v>30000</v>
      </c>
      <c r="D60" s="96">
        <v>-30000</v>
      </c>
      <c r="E60" s="96">
        <f t="shared" ref="E60:E62" si="4">+C60+D60</f>
        <v>0</v>
      </c>
      <c r="F60" s="109"/>
      <c r="G60" s="74"/>
      <c r="H60" s="60"/>
      <c r="I60" s="1"/>
      <c r="J60" s="1"/>
    </row>
    <row r="61" spans="1:10" ht="16.2" thickBot="1" x14ac:dyDescent="0.3">
      <c r="A61" s="1" t="s">
        <v>71</v>
      </c>
      <c r="B61" s="1"/>
      <c r="C61" s="72">
        <v>19000</v>
      </c>
      <c r="D61" s="96">
        <v>-19000</v>
      </c>
      <c r="E61" s="96">
        <f t="shared" si="4"/>
        <v>0</v>
      </c>
      <c r="F61" s="109"/>
      <c r="G61" s="74"/>
      <c r="H61" s="60"/>
      <c r="I61" s="1"/>
      <c r="J61" s="1"/>
    </row>
    <row r="62" spans="1:10" ht="16.2" thickBot="1" x14ac:dyDescent="0.3">
      <c r="A62" s="1" t="s">
        <v>72</v>
      </c>
      <c r="B62" s="81"/>
      <c r="C62" s="72">
        <v>30000</v>
      </c>
      <c r="D62" s="96">
        <v>-30000</v>
      </c>
      <c r="E62" s="96">
        <f t="shared" si="4"/>
        <v>0</v>
      </c>
      <c r="F62" s="109"/>
      <c r="G62" s="74"/>
      <c r="H62" s="60"/>
      <c r="I62" s="1"/>
      <c r="J62" s="1"/>
    </row>
    <row r="63" spans="1:10" ht="31.8" thickBot="1" x14ac:dyDescent="0.3">
      <c r="A63" s="132" t="s">
        <v>73</v>
      </c>
      <c r="B63" s="1"/>
      <c r="C63" s="1"/>
      <c r="D63" s="106"/>
      <c r="E63" s="106"/>
      <c r="F63" s="109"/>
      <c r="G63" s="74"/>
      <c r="H63" s="60"/>
      <c r="I63" s="1"/>
      <c r="J63" s="1"/>
    </row>
    <row r="64" spans="1:10" s="12" customFormat="1" ht="16.2" thickBot="1" x14ac:dyDescent="0.3">
      <c r="A64" s="82" t="s">
        <v>74</v>
      </c>
      <c r="B64" s="82"/>
      <c r="C64" s="82"/>
      <c r="D64" s="84">
        <v>0</v>
      </c>
      <c r="E64" s="92"/>
      <c r="F64" s="95">
        <v>10400</v>
      </c>
      <c r="G64" s="87"/>
      <c r="H64" s="95">
        <v>3563.4</v>
      </c>
      <c r="I64" s="82"/>
      <c r="J64" s="82" t="s">
        <v>35</v>
      </c>
    </row>
    <row r="65" spans="1:10" s="12" customFormat="1" ht="16.2" thickBot="1" x14ac:dyDescent="0.3">
      <c r="A65" s="82" t="s">
        <v>75</v>
      </c>
      <c r="B65" s="82"/>
      <c r="C65" s="89"/>
      <c r="D65" s="84">
        <v>0</v>
      </c>
      <c r="E65" s="90"/>
      <c r="F65" s="95">
        <v>25000</v>
      </c>
      <c r="G65" s="87"/>
      <c r="H65" s="95">
        <v>12784.92</v>
      </c>
      <c r="I65" s="82"/>
      <c r="J65" s="82" t="s">
        <v>35</v>
      </c>
    </row>
    <row r="66" spans="1:10" s="12" customFormat="1" ht="74.25" customHeight="1" thickBot="1" x14ac:dyDescent="0.3">
      <c r="A66" s="82" t="s">
        <v>76</v>
      </c>
      <c r="B66" s="82"/>
      <c r="C66" s="95">
        <v>30000</v>
      </c>
      <c r="D66" s="84">
        <v>0</v>
      </c>
      <c r="E66" s="90"/>
      <c r="F66" s="95">
        <v>30000</v>
      </c>
      <c r="G66" s="87"/>
      <c r="H66" s="95">
        <v>6586.99</v>
      </c>
      <c r="I66" s="82"/>
      <c r="J66" s="82" t="s">
        <v>77</v>
      </c>
    </row>
    <row r="67" spans="1:10" s="12" customFormat="1" ht="194.25" customHeight="1" thickBot="1" x14ac:dyDescent="0.3">
      <c r="A67" s="82" t="s">
        <v>78</v>
      </c>
      <c r="B67" s="82"/>
      <c r="C67" s="89"/>
      <c r="D67" s="84">
        <v>0</v>
      </c>
      <c r="E67" s="90"/>
      <c r="F67" s="95">
        <v>40650</v>
      </c>
      <c r="G67" s="94">
        <v>8130</v>
      </c>
      <c r="H67" s="95">
        <v>2053.12</v>
      </c>
      <c r="I67" s="82"/>
      <c r="J67" s="82" t="s">
        <v>35</v>
      </c>
    </row>
    <row r="68" spans="1:10" ht="16.2" thickBot="1" x14ac:dyDescent="0.3">
      <c r="A68" s="132" t="s">
        <v>79</v>
      </c>
      <c r="B68" s="117" t="s">
        <v>16</v>
      </c>
      <c r="C68" s="61">
        <f>SUM(C50:C67)</f>
        <v>442000</v>
      </c>
      <c r="D68" s="61">
        <f>SUM(D50:D67)</f>
        <v>-81000</v>
      </c>
      <c r="E68" s="54">
        <f>C68+D68</f>
        <v>361000</v>
      </c>
      <c r="F68" s="61">
        <f>SUM(F50:F67)</f>
        <v>106050</v>
      </c>
      <c r="G68" s="59">
        <f>+G52+G53+G55+G56+G67</f>
        <v>58130</v>
      </c>
      <c r="H68" s="52">
        <f>SUM(H50:H67)</f>
        <v>256361.94000000003</v>
      </c>
      <c r="I68" s="111"/>
      <c r="J68" s="124">
        <f>+I39+I48+I68</f>
        <v>0</v>
      </c>
    </row>
    <row r="69" spans="1:10" ht="16.2" thickBot="1" x14ac:dyDescent="0.3">
      <c r="A69" s="15" t="s">
        <v>80</v>
      </c>
      <c r="B69" s="51"/>
      <c r="C69" s="52">
        <v>288000</v>
      </c>
      <c r="D69" s="53">
        <v>0</v>
      </c>
      <c r="E69" s="54">
        <f>C69+D69</f>
        <v>288000</v>
      </c>
      <c r="F69" s="52">
        <f>(F39+F48+F68)*0.15</f>
        <v>76194.472500000003</v>
      </c>
      <c r="G69" s="55">
        <v>75600</v>
      </c>
      <c r="H69" s="56">
        <f>146791.17+104557.95</f>
        <v>251349.12</v>
      </c>
      <c r="I69" s="16"/>
      <c r="J69" s="15"/>
    </row>
    <row r="70" spans="1:10" ht="39.75" customHeight="1" thickBot="1" x14ac:dyDescent="0.3">
      <c r="A70" s="15" t="s">
        <v>81</v>
      </c>
      <c r="B70" s="16" t="s">
        <v>16</v>
      </c>
      <c r="C70" s="52">
        <v>136000</v>
      </c>
      <c r="D70" s="53">
        <v>114000</v>
      </c>
      <c r="E70" s="54">
        <f>C70+D70</f>
        <v>250000</v>
      </c>
      <c r="F70" s="52">
        <f>(F39+F48+F68)*0.05</f>
        <v>25398.157500000001</v>
      </c>
      <c r="G70" s="55"/>
      <c r="H70" s="56">
        <v>195706.9</v>
      </c>
      <c r="I70" s="16"/>
      <c r="J70" s="15"/>
    </row>
    <row r="71" spans="1:10" ht="16.2" thickBot="1" x14ac:dyDescent="0.35">
      <c r="A71" s="1" t="s">
        <v>82</v>
      </c>
      <c r="B71" s="1" t="s">
        <v>16</v>
      </c>
      <c r="C71" s="57">
        <v>95200</v>
      </c>
      <c r="D71" s="58">
        <v>0</v>
      </c>
      <c r="E71" s="54">
        <f t="shared" ref="E71:E75" si="5">C71+D71</f>
        <v>95200</v>
      </c>
      <c r="F71" s="57">
        <f>(F39+F48+F68)*0.07</f>
        <v>35557.420500000007</v>
      </c>
      <c r="G71" s="59"/>
      <c r="H71" s="60">
        <f>41032.77+45000+4880+30588.28</f>
        <v>121501.04999999999</v>
      </c>
      <c r="I71" s="1"/>
      <c r="J71" s="1"/>
    </row>
    <row r="72" spans="1:10" ht="16.2" thickBot="1" x14ac:dyDescent="0.3">
      <c r="A72" s="132" t="s">
        <v>83</v>
      </c>
      <c r="B72" s="132" t="s">
        <v>16</v>
      </c>
      <c r="C72" s="61">
        <f>+C39+C48+C68+C69+C70+C71</f>
        <v>1879200</v>
      </c>
      <c r="D72" s="53">
        <v>0</v>
      </c>
      <c r="E72" s="54">
        <f t="shared" si="5"/>
        <v>1879200</v>
      </c>
      <c r="F72" s="61">
        <f>F39+F48+F68+F69+F70+F71</f>
        <v>645113.20050000004</v>
      </c>
      <c r="G72" s="59"/>
      <c r="H72" s="52">
        <f>+H39+H48+H68+H69+H70+H71</f>
        <v>1955062.4954905587</v>
      </c>
      <c r="I72" s="132"/>
      <c r="J72" s="1"/>
    </row>
    <row r="73" spans="1:10" ht="16.2" thickBot="1" x14ac:dyDescent="0.3">
      <c r="A73" s="1" t="s">
        <v>84</v>
      </c>
      <c r="B73" s="1" t="s">
        <v>16</v>
      </c>
      <c r="C73" s="62">
        <f>C72*0.07</f>
        <v>131544</v>
      </c>
      <c r="D73" s="63">
        <v>0</v>
      </c>
      <c r="E73" s="54">
        <f t="shared" si="5"/>
        <v>131544</v>
      </c>
      <c r="F73" s="62">
        <f>F72*0.07</f>
        <v>45157.924035000004</v>
      </c>
      <c r="G73" s="64"/>
      <c r="H73" s="65">
        <f>H72*0.07</f>
        <v>136854.37468433913</v>
      </c>
      <c r="I73" s="1"/>
      <c r="J73" s="1"/>
    </row>
    <row r="74" spans="1:10" ht="16.2" thickBot="1" x14ac:dyDescent="0.3">
      <c r="A74" s="132" t="s">
        <v>85</v>
      </c>
      <c r="B74" s="132" t="s">
        <v>16</v>
      </c>
      <c r="C74" s="61">
        <f>+C72+C73</f>
        <v>2010744</v>
      </c>
      <c r="D74" s="53">
        <v>0</v>
      </c>
      <c r="E74" s="54">
        <f t="shared" si="5"/>
        <v>2010744</v>
      </c>
      <c r="F74" s="61">
        <f>+F72+F73</f>
        <v>690271.12453500007</v>
      </c>
      <c r="G74" s="59">
        <f>+G39+G48+G68+G69+G70+G71</f>
        <v>217030</v>
      </c>
      <c r="H74" s="56">
        <f>+H72+H73</f>
        <v>2091916.8701748978</v>
      </c>
      <c r="I74" s="66"/>
      <c r="J74" s="125"/>
    </row>
    <row r="75" spans="1:10" ht="16.2" thickBot="1" x14ac:dyDescent="0.3">
      <c r="A75" s="132" t="s">
        <v>86</v>
      </c>
      <c r="B75" s="67"/>
      <c r="C75" s="68">
        <f>+C74+F74</f>
        <v>2701015.124535</v>
      </c>
      <c r="D75" s="69">
        <v>0</v>
      </c>
      <c r="E75" s="54">
        <f t="shared" si="5"/>
        <v>2701015.124535</v>
      </c>
      <c r="F75" s="70"/>
      <c r="G75" s="59"/>
      <c r="H75" s="56"/>
      <c r="I75" s="132"/>
      <c r="J75" s="1"/>
    </row>
    <row r="77" spans="1:10" x14ac:dyDescent="0.25">
      <c r="F77" s="43"/>
      <c r="H77" s="35"/>
    </row>
    <row r="78" spans="1:10" x14ac:dyDescent="0.25">
      <c r="C78" s="13"/>
      <c r="D78" s="47"/>
      <c r="E78" s="47"/>
      <c r="F78" s="13"/>
      <c r="H78" s="35"/>
    </row>
    <row r="79" spans="1:10" x14ac:dyDescent="0.25">
      <c r="B79" s="13"/>
      <c r="C79" s="14"/>
      <c r="D79" s="48"/>
      <c r="E79" s="48"/>
      <c r="F79" s="43"/>
      <c r="G79" s="121"/>
      <c r="H79" s="122"/>
    </row>
    <row r="80" spans="1:10" ht="16.2" x14ac:dyDescent="0.35">
      <c r="A80" s="37"/>
      <c r="B80" s="38"/>
      <c r="C80" s="38"/>
      <c r="D80" s="49"/>
      <c r="E80" s="49"/>
      <c r="F80" s="39"/>
      <c r="G80" s="40"/>
      <c r="H80" s="41"/>
    </row>
    <row r="81" spans="1:8" ht="25.5" customHeight="1" x14ac:dyDescent="0.3">
      <c r="A81" s="38"/>
      <c r="B81" s="38"/>
      <c r="C81" s="38"/>
      <c r="D81" s="49"/>
      <c r="E81" s="49"/>
      <c r="F81" s="39"/>
      <c r="G81" s="42"/>
      <c r="H81" s="41"/>
    </row>
    <row r="83" spans="1:8" x14ac:dyDescent="0.25">
      <c r="F83" s="13"/>
    </row>
    <row r="84" spans="1:8" x14ac:dyDescent="0.25">
      <c r="H84" s="36"/>
    </row>
  </sheetData>
  <mergeCells count="8">
    <mergeCell ref="A34:I34"/>
    <mergeCell ref="A40:I40"/>
    <mergeCell ref="A49:I49"/>
    <mergeCell ref="A9:I9"/>
    <mergeCell ref="A13:I13"/>
    <mergeCell ref="A20:I20"/>
    <mergeCell ref="A24:I24"/>
    <mergeCell ref="A28:I28"/>
  </mergeCells>
  <printOptions horizontalCentered="1" verticalCentered="1"/>
  <pageMargins left="0" right="0" top="0" bottom="0" header="0" footer="0"/>
  <pageSetup scale="60" fitToHeight="0" orientation="landscape" r:id="rId1"/>
  <rowBreaks count="3" manualBreakCount="3">
    <brk id="22" max="9" man="1"/>
    <brk id="46" max="9" man="1"/>
    <brk id="66"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A3C8-C75E-4069-80C0-4C38C0FC8F73}">
  <dimension ref="A1:M84"/>
  <sheetViews>
    <sheetView view="pageBreakPreview" zoomScaleNormal="100" zoomScaleSheetLayoutView="100" workbookViewId="0">
      <selection activeCell="F22" sqref="F22"/>
    </sheetView>
  </sheetViews>
  <sheetFormatPr baseColWidth="10" defaultColWidth="9.109375" defaultRowHeight="13.8" x14ac:dyDescent="0.25"/>
  <cols>
    <col min="1" max="1" width="44.44140625" style="10" customWidth="1"/>
    <col min="2" max="2" width="15.109375" style="10" customWidth="1"/>
    <col min="3" max="3" width="19.6640625" style="10" customWidth="1"/>
    <col min="4" max="4" width="14.88671875" style="46" customWidth="1"/>
    <col min="5" max="5" width="14.6640625" style="46" customWidth="1"/>
    <col min="6" max="6" width="20.109375" style="10" customWidth="1"/>
    <col min="7" max="7" width="15.33203125" style="10" customWidth="1"/>
    <col min="8" max="8" width="17.33203125" style="34" customWidth="1"/>
    <col min="9" max="9" width="12.33203125" style="10" customWidth="1"/>
    <col min="10" max="10" width="14" style="10" bestFit="1" customWidth="1"/>
    <col min="11" max="13" width="28.88671875" style="10" customWidth="1"/>
    <col min="14" max="14" width="34.109375" style="10" customWidth="1"/>
    <col min="15" max="16384" width="9.109375" style="10"/>
  </cols>
  <sheetData>
    <row r="1" spans="1:11" ht="20.399999999999999" x14ac:dyDescent="0.35">
      <c r="A1" s="8" t="s">
        <v>0</v>
      </c>
      <c r="B1" s="9"/>
      <c r="C1" s="9"/>
      <c r="D1" s="44"/>
      <c r="E1" s="44"/>
      <c r="H1" s="50"/>
    </row>
    <row r="2" spans="1:11" ht="15.6" x14ac:dyDescent="0.3">
      <c r="A2" s="11"/>
      <c r="B2" s="11"/>
      <c r="C2" s="11"/>
      <c r="D2" s="45"/>
      <c r="E2" s="45"/>
      <c r="H2" s="50"/>
    </row>
    <row r="3" spans="1:11" ht="15.6" x14ac:dyDescent="0.3">
      <c r="A3" s="11" t="s">
        <v>1</v>
      </c>
      <c r="B3" s="11"/>
      <c r="C3" s="11"/>
      <c r="D3" s="45"/>
      <c r="E3" s="45"/>
      <c r="H3" s="50"/>
    </row>
    <row r="5" spans="1:11" ht="15.6" x14ac:dyDescent="0.3">
      <c r="A5" s="11" t="s">
        <v>2</v>
      </c>
    </row>
    <row r="6" spans="1:11" ht="14.4" thickBot="1" x14ac:dyDescent="0.3"/>
    <row r="7" spans="1:11" ht="142.5" customHeight="1" thickBot="1" x14ac:dyDescent="0.3">
      <c r="A7" s="126" t="s">
        <v>3</v>
      </c>
      <c r="B7" s="126" t="s">
        <v>4</v>
      </c>
      <c r="C7" s="126" t="s">
        <v>5</v>
      </c>
      <c r="D7" s="127" t="s">
        <v>6</v>
      </c>
      <c r="E7" s="128" t="s">
        <v>7</v>
      </c>
      <c r="F7" s="126" t="s">
        <v>8</v>
      </c>
      <c r="G7" s="126" t="s">
        <v>9</v>
      </c>
      <c r="H7" s="129" t="s">
        <v>10</v>
      </c>
      <c r="I7" s="126" t="s">
        <v>11</v>
      </c>
      <c r="J7" s="126" t="s">
        <v>12</v>
      </c>
    </row>
    <row r="8" spans="1:11" ht="93" customHeight="1" thickBot="1" x14ac:dyDescent="0.3">
      <c r="A8" s="144" t="s">
        <v>13</v>
      </c>
      <c r="B8" s="144"/>
      <c r="C8" s="144"/>
      <c r="D8" s="144"/>
      <c r="E8" s="144"/>
      <c r="F8" s="144"/>
      <c r="G8" s="144"/>
      <c r="H8" s="144"/>
      <c r="I8" s="144"/>
      <c r="J8" s="1"/>
    </row>
    <row r="9" spans="1:11" ht="16.2" thickBot="1" x14ac:dyDescent="0.3">
      <c r="A9" s="146" t="s">
        <v>14</v>
      </c>
      <c r="B9" s="146"/>
      <c r="C9" s="146"/>
      <c r="D9" s="146"/>
      <c r="E9" s="146"/>
      <c r="F9" s="146"/>
      <c r="G9" s="146"/>
      <c r="H9" s="146"/>
      <c r="I9" s="146"/>
      <c r="J9" s="1"/>
    </row>
    <row r="10" spans="1:11" ht="78.599999999999994" thickBot="1" x14ac:dyDescent="0.3">
      <c r="A10" s="1" t="s">
        <v>15</v>
      </c>
      <c r="B10" s="1" t="s">
        <v>16</v>
      </c>
      <c r="C10" s="72">
        <v>250000</v>
      </c>
      <c r="D10" s="63">
        <v>-150000</v>
      </c>
      <c r="E10" s="73">
        <f>+C10+D10</f>
        <v>100000</v>
      </c>
      <c r="F10" s="1" t="s">
        <v>16</v>
      </c>
      <c r="G10" s="74">
        <v>16000</v>
      </c>
      <c r="H10" s="60">
        <v>75199.09</v>
      </c>
      <c r="I10" s="1"/>
      <c r="J10" s="1"/>
    </row>
    <row r="11" spans="1:11" ht="63" thickBot="1" x14ac:dyDescent="0.3">
      <c r="A11" s="75" t="s">
        <v>17</v>
      </c>
      <c r="B11" s="76"/>
      <c r="C11" s="72">
        <v>175000</v>
      </c>
      <c r="D11" s="63">
        <v>-85000</v>
      </c>
      <c r="E11" s="73">
        <f t="shared" ref="E11:E12" si="0">+C11+D11</f>
        <v>90000</v>
      </c>
      <c r="F11" s="77"/>
      <c r="G11" s="78"/>
      <c r="H11" s="60">
        <v>87535.91</v>
      </c>
      <c r="I11" s="1"/>
      <c r="J11" s="1"/>
    </row>
    <row r="12" spans="1:11" ht="47.4" thickBot="1" x14ac:dyDescent="0.35">
      <c r="A12" s="79" t="s">
        <v>18</v>
      </c>
      <c r="B12" s="76"/>
      <c r="C12" s="72">
        <v>60000</v>
      </c>
      <c r="D12" s="80">
        <v>60000</v>
      </c>
      <c r="E12" s="73">
        <f t="shared" si="0"/>
        <v>120000</v>
      </c>
      <c r="F12" s="81"/>
      <c r="G12" s="74"/>
      <c r="H12" s="60">
        <f>40263.14+70841</f>
        <v>111104.14</v>
      </c>
      <c r="I12" s="1"/>
      <c r="J12" s="1"/>
    </row>
    <row r="13" spans="1:11" ht="16.2" thickBot="1" x14ac:dyDescent="0.3">
      <c r="A13" s="146" t="s">
        <v>19</v>
      </c>
      <c r="B13" s="146"/>
      <c r="C13" s="146"/>
      <c r="D13" s="146"/>
      <c r="E13" s="146"/>
      <c r="F13" s="146"/>
      <c r="G13" s="146"/>
      <c r="H13" s="146"/>
      <c r="I13" s="146"/>
    </row>
    <row r="14" spans="1:11" s="12" customFormat="1" ht="31.8" thickBot="1" x14ac:dyDescent="0.3">
      <c r="A14" s="82" t="s">
        <v>20</v>
      </c>
      <c r="B14" s="83"/>
      <c r="C14" s="83"/>
      <c r="D14" s="84">
        <v>0</v>
      </c>
      <c r="E14" s="85"/>
      <c r="F14" s="86">
        <v>10000</v>
      </c>
      <c r="G14" s="87">
        <v>2000</v>
      </c>
      <c r="H14" s="88">
        <v>4665.5959271493084</v>
      </c>
      <c r="I14" s="83"/>
      <c r="J14" s="82" t="s">
        <v>21</v>
      </c>
      <c r="K14" s="143"/>
    </row>
    <row r="15" spans="1:11" s="12" customFormat="1" ht="31.8" thickBot="1" x14ac:dyDescent="0.3">
      <c r="A15" s="82" t="s">
        <v>22</v>
      </c>
      <c r="B15" s="82"/>
      <c r="C15" s="89"/>
      <c r="D15" s="84">
        <v>0</v>
      </c>
      <c r="E15" s="90"/>
      <c r="F15" s="86">
        <v>30000</v>
      </c>
      <c r="G15" s="87"/>
      <c r="H15" s="88">
        <f>5093.11088571311+12257.8</f>
        <v>17350.91088571311</v>
      </c>
      <c r="I15" s="82"/>
      <c r="J15" s="82" t="s">
        <v>21</v>
      </c>
      <c r="K15" s="143">
        <v>12257.8</v>
      </c>
    </row>
    <row r="16" spans="1:11" s="12" customFormat="1" ht="47.4" thickBot="1" x14ac:dyDescent="0.3">
      <c r="A16" s="82" t="s">
        <v>23</v>
      </c>
      <c r="B16" s="83"/>
      <c r="C16" s="83"/>
      <c r="D16" s="84">
        <v>0</v>
      </c>
      <c r="E16" s="85"/>
      <c r="F16" s="86">
        <v>70000</v>
      </c>
      <c r="G16" s="87">
        <v>35000</v>
      </c>
      <c r="H16" s="88">
        <f>10547.5121349488+26911.68+30000</f>
        <v>67459.192134948797</v>
      </c>
      <c r="I16" s="83"/>
      <c r="J16" s="82" t="s">
        <v>21</v>
      </c>
      <c r="K16" s="143">
        <v>26911.68</v>
      </c>
    </row>
    <row r="17" spans="1:13" s="12" customFormat="1" ht="47.4" thickBot="1" x14ac:dyDescent="0.3">
      <c r="A17" s="82" t="s">
        <v>24</v>
      </c>
      <c r="B17" s="83"/>
      <c r="C17" s="83"/>
      <c r="D17" s="84">
        <v>0</v>
      </c>
      <c r="E17" s="85"/>
      <c r="F17" s="88">
        <v>10000</v>
      </c>
      <c r="G17" s="91"/>
      <c r="H17" s="88">
        <v>1525.8929414973361</v>
      </c>
      <c r="I17" s="83"/>
      <c r="J17" s="82" t="s">
        <v>21</v>
      </c>
      <c r="K17" s="143"/>
    </row>
    <row r="18" spans="1:13" s="12" customFormat="1" ht="47.4" thickBot="1" x14ac:dyDescent="0.3">
      <c r="A18" s="82" t="s">
        <v>25</v>
      </c>
      <c r="B18" s="83"/>
      <c r="C18" s="83"/>
      <c r="D18" s="84">
        <v>0</v>
      </c>
      <c r="E18" s="85"/>
      <c r="F18" s="88">
        <v>30000</v>
      </c>
      <c r="G18" s="91"/>
      <c r="H18" s="88">
        <f>19584.7236012499+10951</f>
        <v>30535.723601249902</v>
      </c>
      <c r="I18" s="83"/>
      <c r="J18" s="82" t="s">
        <v>21</v>
      </c>
      <c r="K18" s="143">
        <v>17644.12</v>
      </c>
    </row>
    <row r="19" spans="1:13" s="12" customFormat="1" ht="31.8" thickBot="1" x14ac:dyDescent="0.3">
      <c r="A19" s="82" t="s">
        <v>26</v>
      </c>
      <c r="B19" s="83"/>
      <c r="C19" s="83"/>
      <c r="D19" s="84">
        <v>0</v>
      </c>
      <c r="E19" s="85"/>
      <c r="F19" s="88">
        <v>10000</v>
      </c>
      <c r="G19" s="91"/>
      <c r="H19" s="88">
        <v>12257.8</v>
      </c>
      <c r="I19" s="83"/>
      <c r="J19" s="82" t="s">
        <v>21</v>
      </c>
      <c r="K19" s="143">
        <v>12257.8</v>
      </c>
    </row>
    <row r="20" spans="1:13" ht="16.2" thickBot="1" x14ac:dyDescent="0.35">
      <c r="A20" s="146" t="s">
        <v>27</v>
      </c>
      <c r="B20" s="146"/>
      <c r="C20" s="146"/>
      <c r="D20" s="146"/>
      <c r="E20" s="146"/>
      <c r="F20" s="146"/>
      <c r="G20" s="146"/>
      <c r="H20" s="146"/>
      <c r="I20" s="146"/>
      <c r="J20" s="123"/>
      <c r="L20" s="145">
        <f>SUM(F14:F19)</f>
        <v>160000</v>
      </c>
      <c r="M20" s="145">
        <f>SUM(H14:H19)</f>
        <v>133795.11549055844</v>
      </c>
    </row>
    <row r="21" spans="1:13" s="12" customFormat="1" ht="94.2" thickBot="1" x14ac:dyDescent="0.3">
      <c r="A21" s="92" t="s">
        <v>28</v>
      </c>
      <c r="B21" s="92"/>
      <c r="C21" s="90"/>
      <c r="D21" s="84">
        <v>0</v>
      </c>
      <c r="E21" s="90"/>
      <c r="F21" s="93">
        <v>70472.149999999994</v>
      </c>
      <c r="G21" s="94"/>
      <c r="H21" s="93">
        <v>18221.060000000001</v>
      </c>
      <c r="I21" s="82"/>
      <c r="J21" s="82" t="s">
        <v>29</v>
      </c>
      <c r="K21" s="12">
        <v>84121.58</v>
      </c>
      <c r="L21" s="12">
        <v>17554.66</v>
      </c>
    </row>
    <row r="22" spans="1:13" s="12" customFormat="1" ht="78.599999999999994" thickBot="1" x14ac:dyDescent="0.3">
      <c r="A22" s="82" t="s">
        <v>30</v>
      </c>
      <c r="B22" s="92"/>
      <c r="C22" s="90"/>
      <c r="D22" s="84">
        <v>0</v>
      </c>
      <c r="E22" s="90"/>
      <c r="F22" s="93">
        <v>43000</v>
      </c>
      <c r="G22" s="94">
        <v>4300</v>
      </c>
      <c r="H22" s="93">
        <v>84787.98</v>
      </c>
      <c r="I22" s="82"/>
      <c r="J22" s="82" t="s">
        <v>29</v>
      </c>
      <c r="K22" s="12">
        <v>666.4</v>
      </c>
      <c r="L22" s="12">
        <v>666.4</v>
      </c>
    </row>
    <row r="23" spans="1:13" s="12" customFormat="1" ht="31.8" thickBot="1" x14ac:dyDescent="0.3">
      <c r="A23" s="82" t="s">
        <v>31</v>
      </c>
      <c r="B23" s="83"/>
      <c r="C23" s="83"/>
      <c r="D23" s="84">
        <v>0</v>
      </c>
      <c r="E23" s="85"/>
      <c r="F23" s="95">
        <v>15000</v>
      </c>
      <c r="G23" s="91"/>
      <c r="H23" s="93"/>
      <c r="I23" s="83"/>
      <c r="J23" s="82" t="s">
        <v>29</v>
      </c>
      <c r="K23" s="12">
        <f>SUM(K21:K22)</f>
        <v>84787.98</v>
      </c>
      <c r="L23" s="12">
        <f>SUM(L21:L22)</f>
        <v>18221.060000000001</v>
      </c>
    </row>
    <row r="24" spans="1:13" ht="16.2" thickBot="1" x14ac:dyDescent="0.3">
      <c r="A24" s="146" t="s">
        <v>32</v>
      </c>
      <c r="B24" s="146"/>
      <c r="C24" s="146"/>
      <c r="D24" s="146"/>
      <c r="E24" s="146"/>
      <c r="F24" s="146"/>
      <c r="G24" s="146"/>
      <c r="H24" s="146"/>
      <c r="I24" s="146"/>
      <c r="K24" s="10">
        <v>84787.98</v>
      </c>
      <c r="L24" s="10">
        <v>18221.060000000001</v>
      </c>
    </row>
    <row r="25" spans="1:13" ht="47.4" thickBot="1" x14ac:dyDescent="0.3">
      <c r="A25" s="1" t="s">
        <v>33</v>
      </c>
      <c r="B25" s="1" t="s">
        <v>16</v>
      </c>
      <c r="C25" s="96">
        <v>50000</v>
      </c>
      <c r="D25" s="63">
        <v>135000</v>
      </c>
      <c r="E25" s="118">
        <f>+C25+D25</f>
        <v>185000</v>
      </c>
      <c r="F25" s="1"/>
      <c r="G25" s="74">
        <v>14000</v>
      </c>
      <c r="H25" s="97">
        <v>81772.55</v>
      </c>
      <c r="I25" s="98"/>
      <c r="J25" s="98"/>
    </row>
    <row r="26" spans="1:13" s="12" customFormat="1" ht="47.4" thickBot="1" x14ac:dyDescent="0.3">
      <c r="A26" s="92" t="s">
        <v>34</v>
      </c>
      <c r="B26" s="92"/>
      <c r="C26" s="90"/>
      <c r="D26" s="90"/>
      <c r="E26" s="90"/>
      <c r="F26" s="93">
        <v>10171</v>
      </c>
      <c r="G26" s="94"/>
      <c r="H26" s="93"/>
      <c r="I26" s="82"/>
      <c r="J26" s="82" t="s">
        <v>35</v>
      </c>
    </row>
    <row r="27" spans="1:13" s="12" customFormat="1" ht="31.8" thickBot="1" x14ac:dyDescent="0.3">
      <c r="A27" s="99" t="s">
        <v>36</v>
      </c>
      <c r="B27" s="99"/>
      <c r="C27" s="100">
        <v>20000</v>
      </c>
      <c r="D27" s="101">
        <v>-5000</v>
      </c>
      <c r="E27" s="118">
        <f>+C27+D27</f>
        <v>15000</v>
      </c>
      <c r="F27" s="102"/>
      <c r="G27" s="103"/>
      <c r="H27" s="97">
        <v>12840.72</v>
      </c>
      <c r="I27" s="75"/>
      <c r="J27" s="75"/>
    </row>
    <row r="28" spans="1:13" ht="16.2" thickBot="1" x14ac:dyDescent="0.3">
      <c r="A28" s="146" t="s">
        <v>37</v>
      </c>
      <c r="B28" s="146"/>
      <c r="C28" s="146"/>
      <c r="D28" s="146"/>
      <c r="E28" s="146"/>
      <c r="F28" s="146"/>
      <c r="G28" s="146"/>
      <c r="H28" s="146"/>
      <c r="I28" s="146"/>
    </row>
    <row r="29" spans="1:13" ht="63" thickBot="1" x14ac:dyDescent="0.3">
      <c r="A29" s="1" t="s">
        <v>38</v>
      </c>
      <c r="B29" s="81"/>
      <c r="C29" s="100">
        <v>25000</v>
      </c>
      <c r="D29" s="101">
        <v>-25000</v>
      </c>
      <c r="E29" s="118">
        <f>+C29+D29</f>
        <v>0</v>
      </c>
      <c r="F29" s="1"/>
      <c r="G29" s="74"/>
      <c r="H29" s="60"/>
      <c r="I29" s="1"/>
      <c r="J29" s="1"/>
    </row>
    <row r="30" spans="1:13" ht="47.4" thickBot="1" x14ac:dyDescent="0.3">
      <c r="A30" s="1" t="s">
        <v>39</v>
      </c>
      <c r="B30" s="81"/>
      <c r="C30" s="104">
        <v>35000</v>
      </c>
      <c r="D30" s="63">
        <v>-35000</v>
      </c>
      <c r="E30" s="118">
        <f>+C30+D30</f>
        <v>0</v>
      </c>
      <c r="F30" s="1"/>
      <c r="G30" s="74"/>
      <c r="H30" s="60"/>
      <c r="I30" s="1"/>
      <c r="J30" s="1"/>
    </row>
    <row r="31" spans="1:13" s="12" customFormat="1" ht="47.4" thickBot="1" x14ac:dyDescent="0.3">
      <c r="A31" s="82" t="s">
        <v>40</v>
      </c>
      <c r="B31" s="82"/>
      <c r="C31" s="105">
        <v>0</v>
      </c>
      <c r="D31" s="84">
        <v>0</v>
      </c>
      <c r="E31" s="90"/>
      <c r="F31" s="95">
        <v>7000</v>
      </c>
      <c r="G31" s="87">
        <v>4000</v>
      </c>
      <c r="H31" s="95"/>
      <c r="I31" s="82"/>
      <c r="J31" s="82" t="s">
        <v>41</v>
      </c>
    </row>
    <row r="32" spans="1:13" ht="47.4" thickBot="1" x14ac:dyDescent="0.3">
      <c r="A32" s="144" t="s">
        <v>42</v>
      </c>
      <c r="B32" s="1"/>
      <c r="C32" s="1"/>
      <c r="D32" s="106"/>
      <c r="E32" s="106"/>
      <c r="F32" s="107"/>
      <c r="G32" s="74"/>
      <c r="H32" s="60"/>
      <c r="I32" s="1"/>
      <c r="J32" s="1"/>
    </row>
    <row r="33" spans="1:12" s="12" customFormat="1" ht="63" thickBot="1" x14ac:dyDescent="0.3">
      <c r="A33" s="82" t="s">
        <v>43</v>
      </c>
      <c r="B33" s="82"/>
      <c r="C33" s="105">
        <v>0</v>
      </c>
      <c r="D33" s="84">
        <v>0</v>
      </c>
      <c r="E33" s="90"/>
      <c r="F33" s="95">
        <v>7000</v>
      </c>
      <c r="G33" s="87"/>
      <c r="H33" s="95"/>
      <c r="I33" s="82"/>
      <c r="J33" s="82" t="s">
        <v>41</v>
      </c>
    </row>
    <row r="34" spans="1:12" ht="16.2" thickBot="1" x14ac:dyDescent="0.3">
      <c r="A34" s="146" t="s">
        <v>44</v>
      </c>
      <c r="B34" s="146"/>
      <c r="C34" s="146"/>
      <c r="D34" s="146"/>
      <c r="E34" s="146"/>
      <c r="F34" s="146"/>
      <c r="G34" s="146"/>
      <c r="H34" s="146"/>
      <c r="I34" s="146"/>
    </row>
    <row r="35" spans="1:12" ht="31.8" thickBot="1" x14ac:dyDescent="0.3">
      <c r="A35" s="1" t="s">
        <v>45</v>
      </c>
      <c r="B35" s="81"/>
      <c r="C35" s="108">
        <v>0</v>
      </c>
      <c r="D35" s="100">
        <v>0</v>
      </c>
      <c r="E35" s="100">
        <f>+C35+D35</f>
        <v>0</v>
      </c>
      <c r="F35" s="1"/>
      <c r="G35" s="74"/>
      <c r="H35" s="60"/>
      <c r="I35" s="1"/>
      <c r="J35" s="1">
        <v>60000</v>
      </c>
    </row>
    <row r="36" spans="1:12" ht="16.2" thickBot="1" x14ac:dyDescent="0.3">
      <c r="A36" s="1" t="s">
        <v>46</v>
      </c>
      <c r="B36" s="81"/>
      <c r="C36" s="64">
        <v>0</v>
      </c>
      <c r="D36" s="104">
        <v>0</v>
      </c>
      <c r="E36" s="100">
        <f t="shared" ref="E36:E38" si="1">+C36+D36</f>
        <v>0</v>
      </c>
      <c r="F36" s="109"/>
      <c r="G36" s="74"/>
      <c r="H36" s="60"/>
      <c r="I36" s="1"/>
      <c r="J36" s="1">
        <v>36000</v>
      </c>
    </row>
    <row r="37" spans="1:12" ht="16.2" thickBot="1" x14ac:dyDescent="0.3">
      <c r="A37" s="1" t="s">
        <v>47</v>
      </c>
      <c r="B37" s="81"/>
      <c r="C37" s="64">
        <v>0</v>
      </c>
      <c r="D37" s="104">
        <v>0</v>
      </c>
      <c r="E37" s="100">
        <f t="shared" si="1"/>
        <v>0</v>
      </c>
      <c r="F37" s="109"/>
      <c r="G37" s="74"/>
      <c r="H37" s="60"/>
      <c r="I37" s="1"/>
      <c r="J37" s="1">
        <v>54000</v>
      </c>
    </row>
    <row r="38" spans="1:12" ht="16.2" thickBot="1" x14ac:dyDescent="0.3">
      <c r="A38" s="1" t="s">
        <v>48</v>
      </c>
      <c r="B38" s="81"/>
      <c r="C38" s="64">
        <v>0</v>
      </c>
      <c r="D38" s="104">
        <v>0</v>
      </c>
      <c r="E38" s="100">
        <f t="shared" si="1"/>
        <v>0</v>
      </c>
      <c r="F38" s="109"/>
      <c r="G38" s="74"/>
      <c r="H38" s="60"/>
      <c r="I38" s="1"/>
      <c r="J38" s="1">
        <v>54000</v>
      </c>
    </row>
    <row r="39" spans="1:12" ht="16.2" thickBot="1" x14ac:dyDescent="0.3">
      <c r="A39" s="144" t="s">
        <v>49</v>
      </c>
      <c r="B39" s="81"/>
      <c r="C39" s="59">
        <f>SUM(C8:C38)</f>
        <v>615000</v>
      </c>
      <c r="D39" s="59">
        <f>SUM(D8:D38)</f>
        <v>-105000</v>
      </c>
      <c r="E39" s="110">
        <f>SUM(E8:E38)</f>
        <v>510000</v>
      </c>
      <c r="F39" s="61">
        <f>SUM(F8:F38)</f>
        <v>312643.15000000002</v>
      </c>
      <c r="G39" s="59">
        <f>+G10+G14+G16+G22+G25+G31</f>
        <v>75300</v>
      </c>
      <c r="H39" s="55">
        <f>SUM(H8:H38)</f>
        <v>605256.56549055839</v>
      </c>
      <c r="I39" s="111"/>
      <c r="J39" s="124">
        <f>SUM(J35:J38)</f>
        <v>204000</v>
      </c>
      <c r="L39" s="136"/>
    </row>
    <row r="40" spans="1:12" ht="16.2" thickBot="1" x14ac:dyDescent="0.3">
      <c r="A40" s="146" t="s">
        <v>50</v>
      </c>
      <c r="B40" s="146"/>
      <c r="C40" s="146"/>
      <c r="D40" s="146"/>
      <c r="E40" s="146"/>
      <c r="F40" s="146"/>
      <c r="G40" s="146"/>
      <c r="H40" s="146"/>
      <c r="I40" s="146"/>
    </row>
    <row r="41" spans="1:12" ht="31.8" thickBot="1" x14ac:dyDescent="0.3">
      <c r="A41" s="144" t="s">
        <v>51</v>
      </c>
      <c r="B41" s="144"/>
      <c r="C41" s="144"/>
      <c r="D41" s="71"/>
      <c r="E41" s="71"/>
      <c r="F41" s="144"/>
      <c r="G41" s="144"/>
      <c r="H41" s="56"/>
      <c r="I41" s="144"/>
      <c r="J41" s="140"/>
    </row>
    <row r="42" spans="1:12" s="12" customFormat="1" ht="54" customHeight="1" thickBot="1" x14ac:dyDescent="0.3">
      <c r="A42" s="15" t="s">
        <v>52</v>
      </c>
      <c r="B42" s="51"/>
      <c r="C42" s="72">
        <v>120000</v>
      </c>
      <c r="D42" s="96">
        <v>-5000</v>
      </c>
      <c r="E42" s="96">
        <f>+C42+D42</f>
        <v>115000</v>
      </c>
      <c r="F42" s="112">
        <v>27500</v>
      </c>
      <c r="G42" s="72">
        <v>8000</v>
      </c>
      <c r="H42" s="137">
        <f>111004.13+5999.63</f>
        <v>117003.76000000001</v>
      </c>
      <c r="I42" s="139"/>
      <c r="J42" s="138" t="s">
        <v>35</v>
      </c>
    </row>
    <row r="43" spans="1:12" s="12" customFormat="1" ht="48" customHeight="1" thickBot="1" x14ac:dyDescent="0.3">
      <c r="A43" s="82" t="s">
        <v>53</v>
      </c>
      <c r="B43" s="113"/>
      <c r="C43" s="105"/>
      <c r="D43" s="114">
        <v>0</v>
      </c>
      <c r="E43" s="115"/>
      <c r="F43" s="95">
        <v>18770</v>
      </c>
      <c r="G43" s="95"/>
      <c r="H43" s="131">
        <v>4991.2299999999996</v>
      </c>
      <c r="I43" s="82"/>
      <c r="J43" s="141" t="s">
        <v>35</v>
      </c>
    </row>
    <row r="44" spans="1:12" ht="31.8" thickBot="1" x14ac:dyDescent="0.3">
      <c r="A44" s="144" t="s">
        <v>54</v>
      </c>
      <c r="B44" s="81"/>
      <c r="C44" s="64"/>
      <c r="D44" s="104"/>
      <c r="E44" s="104"/>
      <c r="F44" s="109"/>
      <c r="G44" s="64"/>
      <c r="H44" s="60"/>
      <c r="I44" s="1"/>
      <c r="J44" s="1"/>
    </row>
    <row r="45" spans="1:12" ht="47.4" thickBot="1" x14ac:dyDescent="0.3">
      <c r="A45" s="1" t="s">
        <v>55</v>
      </c>
      <c r="B45" s="81"/>
      <c r="C45" s="96">
        <v>63000</v>
      </c>
      <c r="D45" s="104">
        <v>187000</v>
      </c>
      <c r="E45" s="96">
        <f>+C45+D45</f>
        <v>250000</v>
      </c>
      <c r="F45" s="109"/>
      <c r="G45" s="64"/>
      <c r="H45" s="60">
        <f>39123.27+201736</f>
        <v>240859.27</v>
      </c>
      <c r="I45" s="1"/>
      <c r="J45" s="1"/>
    </row>
    <row r="46" spans="1:12" ht="31.8" thickBot="1" x14ac:dyDescent="0.3">
      <c r="A46" s="82" t="s">
        <v>56</v>
      </c>
      <c r="B46" s="81"/>
      <c r="C46" s="64">
        <v>90000</v>
      </c>
      <c r="D46" s="104">
        <v>40000</v>
      </c>
      <c r="E46" s="96">
        <f t="shared" ref="E46:E47" si="2">+C46+D46</f>
        <v>130000</v>
      </c>
      <c r="F46" s="62">
        <v>23000</v>
      </c>
      <c r="G46" s="64"/>
      <c r="H46" s="60">
        <f>1901.66+109739+20688.9</f>
        <v>132329.56</v>
      </c>
      <c r="I46" s="1"/>
      <c r="J46" s="142" t="s">
        <v>35</v>
      </c>
    </row>
    <row r="47" spans="1:12" ht="31.8" thickBot="1" x14ac:dyDescent="0.3">
      <c r="A47" s="1" t="s">
        <v>57</v>
      </c>
      <c r="B47" s="81"/>
      <c r="C47" s="64">
        <v>30000</v>
      </c>
      <c r="D47" s="104">
        <v>0</v>
      </c>
      <c r="E47" s="96">
        <f t="shared" si="2"/>
        <v>30000</v>
      </c>
      <c r="F47" s="95">
        <v>20000</v>
      </c>
      <c r="G47" s="105"/>
      <c r="H47" s="87">
        <v>28616.22</v>
      </c>
      <c r="I47" s="82"/>
      <c r="J47" s="82"/>
    </row>
    <row r="48" spans="1:12" ht="16.2" thickBot="1" x14ac:dyDescent="0.3">
      <c r="A48" s="144" t="s">
        <v>58</v>
      </c>
      <c r="B48" s="81"/>
      <c r="C48" s="59">
        <f>SUM(C42:C47)</f>
        <v>303000</v>
      </c>
      <c r="D48" s="59">
        <f>SUM(D42:D47)</f>
        <v>222000</v>
      </c>
      <c r="E48" s="110">
        <f>E42+E45+E46+E47</f>
        <v>525000</v>
      </c>
      <c r="F48" s="116">
        <f>SUM(F42:F47)</f>
        <v>89270</v>
      </c>
      <c r="G48" s="59">
        <f>SUM(G42:G47)</f>
        <v>8000</v>
      </c>
      <c r="H48" s="55">
        <f>SUM(H42:H47)</f>
        <v>523800.04000000004</v>
      </c>
      <c r="I48" s="66"/>
      <c r="J48" s="125"/>
    </row>
    <row r="49" spans="1:10" ht="30" customHeight="1" thickBot="1" x14ac:dyDescent="0.3">
      <c r="A49" s="146" t="s">
        <v>59</v>
      </c>
      <c r="B49" s="146"/>
      <c r="C49" s="146"/>
      <c r="D49" s="146"/>
      <c r="E49" s="146"/>
      <c r="F49" s="146"/>
      <c r="G49" s="146"/>
      <c r="H49" s="146"/>
      <c r="I49" s="146"/>
    </row>
    <row r="50" spans="1:10" ht="16.2" thickBot="1" x14ac:dyDescent="0.3">
      <c r="A50" s="144" t="s">
        <v>60</v>
      </c>
      <c r="B50" s="1"/>
      <c r="C50" s="1"/>
      <c r="D50" s="106"/>
      <c r="E50" s="106"/>
      <c r="F50" s="1"/>
      <c r="G50" s="1"/>
      <c r="H50" s="60"/>
      <c r="I50" s="1"/>
      <c r="J50" s="1"/>
    </row>
    <row r="51" spans="1:10" ht="32.1" customHeight="1" thickBot="1" x14ac:dyDescent="0.3">
      <c r="A51" s="1" t="s">
        <v>61</v>
      </c>
      <c r="B51" s="81"/>
      <c r="C51" s="72">
        <v>140000</v>
      </c>
      <c r="D51" s="104">
        <v>-40000</v>
      </c>
      <c r="E51" s="96">
        <f>+C51+D51</f>
        <v>100000</v>
      </c>
      <c r="F51" s="109"/>
      <c r="G51" s="74">
        <v>40000</v>
      </c>
      <c r="H51" s="60">
        <v>83355.899999999994</v>
      </c>
      <c r="I51" s="1"/>
      <c r="J51" s="1"/>
    </row>
    <row r="52" spans="1:10" ht="78.599999999999994" thickBot="1" x14ac:dyDescent="0.3">
      <c r="A52" s="144" t="s">
        <v>62</v>
      </c>
      <c r="B52" s="81"/>
      <c r="C52" s="64"/>
      <c r="D52" s="104"/>
      <c r="E52" s="104"/>
      <c r="F52" s="109"/>
      <c r="G52" s="74"/>
      <c r="H52" s="60"/>
      <c r="I52" s="1"/>
      <c r="J52" s="1"/>
    </row>
    <row r="53" spans="1:10" ht="31.8" thickBot="1" x14ac:dyDescent="0.3">
      <c r="A53" s="1" t="s">
        <v>63</v>
      </c>
      <c r="B53" s="81"/>
      <c r="C53" s="64">
        <v>55000</v>
      </c>
      <c r="D53" s="104">
        <v>40000</v>
      </c>
      <c r="E53" s="104">
        <f>+C53+D53</f>
        <v>95000</v>
      </c>
      <c r="F53" s="109"/>
      <c r="G53" s="74">
        <v>10000</v>
      </c>
      <c r="H53" s="60">
        <f>45197.64+8564.37</f>
        <v>53762.01</v>
      </c>
      <c r="I53" s="1"/>
      <c r="J53" s="1"/>
    </row>
    <row r="54" spans="1:10" ht="32.1" customHeight="1" thickBot="1" x14ac:dyDescent="0.3">
      <c r="A54" s="144" t="s">
        <v>64</v>
      </c>
      <c r="B54" s="81"/>
      <c r="C54" s="64"/>
      <c r="D54" s="104"/>
      <c r="E54" s="104"/>
      <c r="F54" s="109"/>
      <c r="G54" s="74"/>
      <c r="H54" s="60"/>
      <c r="I54" s="1"/>
      <c r="J54" s="1"/>
    </row>
    <row r="55" spans="1:10" ht="31.8" thickBot="1" x14ac:dyDescent="0.3">
      <c r="A55" s="1" t="s">
        <v>65</v>
      </c>
      <c r="B55" s="81"/>
      <c r="C55" s="72">
        <v>43000</v>
      </c>
      <c r="D55" s="96">
        <v>7000</v>
      </c>
      <c r="E55" s="96">
        <f>+C55+D55</f>
        <v>50000</v>
      </c>
      <c r="F55" s="109"/>
      <c r="G55" s="74">
        <v>20000</v>
      </c>
      <c r="H55" s="60">
        <v>46124.22</v>
      </c>
      <c r="I55" s="1"/>
      <c r="J55" s="1"/>
    </row>
    <row r="56" spans="1:10" ht="47.4" thickBot="1" x14ac:dyDescent="0.3">
      <c r="A56" s="1" t="s">
        <v>66</v>
      </c>
      <c r="B56" s="1"/>
      <c r="C56" s="72">
        <v>25000</v>
      </c>
      <c r="D56" s="96">
        <v>10000</v>
      </c>
      <c r="E56" s="96">
        <f t="shared" ref="E56:E57" si="3">+C56+D56</f>
        <v>35000</v>
      </c>
      <c r="F56" s="109"/>
      <c r="G56" s="74">
        <v>20000</v>
      </c>
      <c r="H56" s="60">
        <v>7760.14</v>
      </c>
      <c r="I56" s="1"/>
      <c r="J56" s="1"/>
    </row>
    <row r="57" spans="1:10" ht="31.8" thickBot="1" x14ac:dyDescent="0.3">
      <c r="A57" s="1" t="s">
        <v>67</v>
      </c>
      <c r="B57" s="1"/>
      <c r="C57" s="72">
        <v>50000</v>
      </c>
      <c r="D57" s="96">
        <v>0</v>
      </c>
      <c r="E57" s="96">
        <f t="shared" si="3"/>
        <v>50000</v>
      </c>
      <c r="F57" s="109"/>
      <c r="G57" s="74"/>
      <c r="H57" s="60">
        <v>39430.949999999997</v>
      </c>
      <c r="I57" s="1"/>
      <c r="J57" s="1"/>
    </row>
    <row r="58" spans="1:10" ht="47.4" thickBot="1" x14ac:dyDescent="0.3">
      <c r="A58" s="144" t="s">
        <v>68</v>
      </c>
      <c r="B58" s="1"/>
      <c r="C58" s="119"/>
      <c r="D58" s="120"/>
      <c r="E58" s="120"/>
      <c r="F58" s="109"/>
      <c r="G58" s="74"/>
      <c r="H58" s="60"/>
      <c r="I58" s="1"/>
      <c r="J58" s="1"/>
    </row>
    <row r="59" spans="1:10" ht="31.8" thickBot="1" x14ac:dyDescent="0.3">
      <c r="A59" s="1" t="s">
        <v>69</v>
      </c>
      <c r="B59" s="81"/>
      <c r="C59" s="72">
        <v>20000</v>
      </c>
      <c r="D59" s="96">
        <v>-19000</v>
      </c>
      <c r="E59" s="96">
        <f>+C59+D59</f>
        <v>1000</v>
      </c>
      <c r="F59" s="109"/>
      <c r="G59" s="74"/>
      <c r="H59" s="60">
        <v>940.29</v>
      </c>
      <c r="I59" s="1"/>
      <c r="J59" s="1"/>
    </row>
    <row r="60" spans="1:10" ht="31.8" thickBot="1" x14ac:dyDescent="0.3">
      <c r="A60" s="1" t="s">
        <v>70</v>
      </c>
      <c r="B60" s="1"/>
      <c r="C60" s="72">
        <v>30000</v>
      </c>
      <c r="D60" s="96">
        <v>-30000</v>
      </c>
      <c r="E60" s="96">
        <f t="shared" ref="E60:E62" si="4">+C60+D60</f>
        <v>0</v>
      </c>
      <c r="F60" s="109"/>
      <c r="G60" s="74"/>
      <c r="H60" s="60"/>
      <c r="I60" s="1"/>
      <c r="J60" s="1"/>
    </row>
    <row r="61" spans="1:10" ht="31.8" thickBot="1" x14ac:dyDescent="0.3">
      <c r="A61" s="1" t="s">
        <v>71</v>
      </c>
      <c r="B61" s="1"/>
      <c r="C61" s="72">
        <v>19000</v>
      </c>
      <c r="D61" s="96">
        <v>-19000</v>
      </c>
      <c r="E61" s="96">
        <f t="shared" si="4"/>
        <v>0</v>
      </c>
      <c r="F61" s="109"/>
      <c r="G61" s="74"/>
      <c r="H61" s="60"/>
      <c r="I61" s="1"/>
      <c r="J61" s="1"/>
    </row>
    <row r="62" spans="1:10" ht="31.8" thickBot="1" x14ac:dyDescent="0.3">
      <c r="A62" s="1" t="s">
        <v>72</v>
      </c>
      <c r="B62" s="81"/>
      <c r="C62" s="72">
        <v>30000</v>
      </c>
      <c r="D62" s="96">
        <v>-30000</v>
      </c>
      <c r="E62" s="96">
        <f t="shared" si="4"/>
        <v>0</v>
      </c>
      <c r="F62" s="109"/>
      <c r="G62" s="74"/>
      <c r="H62" s="60"/>
      <c r="I62" s="1"/>
      <c r="J62" s="1"/>
    </row>
    <row r="63" spans="1:10" ht="47.4" thickBot="1" x14ac:dyDescent="0.3">
      <c r="A63" s="144" t="s">
        <v>73</v>
      </c>
      <c r="B63" s="1"/>
      <c r="C63" s="1"/>
      <c r="D63" s="106"/>
      <c r="E63" s="106"/>
      <c r="F63" s="109"/>
      <c r="G63" s="74"/>
      <c r="H63" s="60"/>
      <c r="I63" s="1"/>
      <c r="J63" s="1"/>
    </row>
    <row r="64" spans="1:10" s="12" customFormat="1" ht="31.8" thickBot="1" x14ac:dyDescent="0.3">
      <c r="A64" s="82" t="s">
        <v>74</v>
      </c>
      <c r="B64" s="82"/>
      <c r="C64" s="82"/>
      <c r="D64" s="84">
        <v>0</v>
      </c>
      <c r="E64" s="92"/>
      <c r="F64" s="95">
        <v>10400</v>
      </c>
      <c r="G64" s="87"/>
      <c r="H64" s="95">
        <v>3563.4</v>
      </c>
      <c r="I64" s="82"/>
      <c r="J64" s="82" t="s">
        <v>35</v>
      </c>
    </row>
    <row r="65" spans="1:10" s="12" customFormat="1" ht="31.8" thickBot="1" x14ac:dyDescent="0.3">
      <c r="A65" s="82" t="s">
        <v>75</v>
      </c>
      <c r="B65" s="82"/>
      <c r="C65" s="89"/>
      <c r="D65" s="84">
        <v>0</v>
      </c>
      <c r="E65" s="90"/>
      <c r="F65" s="95">
        <v>25000</v>
      </c>
      <c r="G65" s="87"/>
      <c r="H65" s="95">
        <v>12784.92</v>
      </c>
      <c r="I65" s="82"/>
      <c r="J65" s="82" t="s">
        <v>35</v>
      </c>
    </row>
    <row r="66" spans="1:10" s="12" customFormat="1" ht="74.25" customHeight="1" thickBot="1" x14ac:dyDescent="0.3">
      <c r="A66" s="82" t="s">
        <v>76</v>
      </c>
      <c r="B66" s="82"/>
      <c r="C66" s="95">
        <v>30000</v>
      </c>
      <c r="D66" s="84">
        <v>0</v>
      </c>
      <c r="E66" s="90"/>
      <c r="F66" s="95">
        <v>30000</v>
      </c>
      <c r="G66" s="87"/>
      <c r="H66" s="95">
        <v>6586.99</v>
      </c>
      <c r="I66" s="82"/>
      <c r="J66" s="82" t="s">
        <v>77</v>
      </c>
    </row>
    <row r="67" spans="1:10" s="12" customFormat="1" ht="194.25" customHeight="1" thickBot="1" x14ac:dyDescent="0.3">
      <c r="A67" s="82" t="s">
        <v>78</v>
      </c>
      <c r="B67" s="82"/>
      <c r="C67" s="89"/>
      <c r="D67" s="84">
        <v>0</v>
      </c>
      <c r="E67" s="90"/>
      <c r="F67" s="95">
        <v>40650</v>
      </c>
      <c r="G67" s="130">
        <v>8130</v>
      </c>
      <c r="H67" s="95">
        <v>2053.12</v>
      </c>
      <c r="I67" s="82"/>
      <c r="J67" s="82" t="s">
        <v>35</v>
      </c>
    </row>
    <row r="68" spans="1:10" ht="16.2" thickBot="1" x14ac:dyDescent="0.3">
      <c r="A68" s="144" t="s">
        <v>79</v>
      </c>
      <c r="B68" s="117" t="s">
        <v>16</v>
      </c>
      <c r="C68" s="61">
        <f>SUM(C50:C67)</f>
        <v>442000</v>
      </c>
      <c r="D68" s="61">
        <f>SUM(D50:D67)</f>
        <v>-81000</v>
      </c>
      <c r="E68" s="54">
        <f>C68+D68</f>
        <v>361000</v>
      </c>
      <c r="F68" s="61">
        <f>SUM(F50:F67)</f>
        <v>106050</v>
      </c>
      <c r="G68" s="59">
        <f>+G52+G53+G55+G56+G67</f>
        <v>58130</v>
      </c>
      <c r="H68" s="52">
        <f>SUM(H50:H67)</f>
        <v>256361.94000000003</v>
      </c>
      <c r="I68" s="111"/>
      <c r="J68" s="124">
        <f>+I39+I48+I68</f>
        <v>0</v>
      </c>
    </row>
    <row r="69" spans="1:10" ht="31.8" thickBot="1" x14ac:dyDescent="0.3">
      <c r="A69" s="15" t="s">
        <v>80</v>
      </c>
      <c r="B69" s="51"/>
      <c r="C69" s="52">
        <v>288000</v>
      </c>
      <c r="D69" s="53">
        <v>0</v>
      </c>
      <c r="E69" s="54">
        <f>C69+D69</f>
        <v>288000</v>
      </c>
      <c r="F69" s="52">
        <f>(F39+F48+F68)*0.15</f>
        <v>76194.472500000003</v>
      </c>
      <c r="G69" s="55">
        <v>75600</v>
      </c>
      <c r="H69" s="56">
        <f>146791.17+104557.95</f>
        <v>251349.12</v>
      </c>
      <c r="I69" s="16"/>
      <c r="J69" s="15"/>
    </row>
    <row r="70" spans="1:10" ht="39.75" customHeight="1" thickBot="1" x14ac:dyDescent="0.3">
      <c r="A70" s="15" t="s">
        <v>81</v>
      </c>
      <c r="B70" s="16" t="s">
        <v>16</v>
      </c>
      <c r="C70" s="52">
        <v>136000</v>
      </c>
      <c r="D70" s="53">
        <v>114000</v>
      </c>
      <c r="E70" s="54">
        <f>C70+D70</f>
        <v>250000</v>
      </c>
      <c r="F70" s="52">
        <f>(F39+F48+F68)*0.05</f>
        <v>25398.157500000001</v>
      </c>
      <c r="G70" s="55"/>
      <c r="H70" s="56">
        <v>195706.9</v>
      </c>
      <c r="I70" s="16"/>
      <c r="J70" s="15"/>
    </row>
    <row r="71" spans="1:10" ht="16.2" thickBot="1" x14ac:dyDescent="0.35">
      <c r="A71" s="1" t="s">
        <v>82</v>
      </c>
      <c r="B71" s="1" t="s">
        <v>16</v>
      </c>
      <c r="C71" s="57">
        <v>95200</v>
      </c>
      <c r="D71" s="58">
        <v>0</v>
      </c>
      <c r="E71" s="54">
        <f t="shared" ref="E71:E75" si="5">C71+D71</f>
        <v>95200</v>
      </c>
      <c r="F71" s="57">
        <f>(F39+F48+F68)*0.07</f>
        <v>35557.420500000007</v>
      </c>
      <c r="G71" s="59"/>
      <c r="H71" s="60">
        <f>41032.77+45000+4880+30588.28</f>
        <v>121501.04999999999</v>
      </c>
      <c r="I71" s="1"/>
      <c r="J71" s="1"/>
    </row>
    <row r="72" spans="1:10" ht="16.2" thickBot="1" x14ac:dyDescent="0.3">
      <c r="A72" s="144" t="s">
        <v>83</v>
      </c>
      <c r="B72" s="144" t="s">
        <v>16</v>
      </c>
      <c r="C72" s="61">
        <f>+C39+C48+C68+C69+C70+C71</f>
        <v>1879200</v>
      </c>
      <c r="D72" s="53">
        <v>0</v>
      </c>
      <c r="E72" s="54">
        <f t="shared" si="5"/>
        <v>1879200</v>
      </c>
      <c r="F72" s="61">
        <f>F39+F48+F68+F69+F70+F71</f>
        <v>645113.20050000004</v>
      </c>
      <c r="G72" s="59"/>
      <c r="H72" s="52">
        <f>+H39+H48+H68+H69+H70+H71</f>
        <v>1953975.6154905583</v>
      </c>
      <c r="I72" s="144"/>
      <c r="J72" s="1"/>
    </row>
    <row r="73" spans="1:10" ht="16.2" thickBot="1" x14ac:dyDescent="0.3">
      <c r="A73" s="1" t="s">
        <v>84</v>
      </c>
      <c r="B73" s="1" t="s">
        <v>16</v>
      </c>
      <c r="C73" s="62">
        <f>C72*0.07</f>
        <v>131544</v>
      </c>
      <c r="D73" s="63">
        <v>0</v>
      </c>
      <c r="E73" s="54">
        <f t="shared" si="5"/>
        <v>131544</v>
      </c>
      <c r="F73" s="62">
        <f>F72*0.07</f>
        <v>45157.924035000004</v>
      </c>
      <c r="G73" s="64"/>
      <c r="H73" s="65">
        <f>H72*0.07</f>
        <v>136778.29308433909</v>
      </c>
      <c r="I73" s="1"/>
      <c r="J73" s="1"/>
    </row>
    <row r="74" spans="1:10" ht="31.8" thickBot="1" x14ac:dyDescent="0.3">
      <c r="A74" s="144" t="s">
        <v>85</v>
      </c>
      <c r="B74" s="144" t="s">
        <v>16</v>
      </c>
      <c r="C74" s="61">
        <f>+C72+C73</f>
        <v>2010744</v>
      </c>
      <c r="D74" s="53">
        <v>0</v>
      </c>
      <c r="E74" s="54">
        <f t="shared" si="5"/>
        <v>2010744</v>
      </c>
      <c r="F74" s="61">
        <f>+F72+F73</f>
        <v>690271.12453500007</v>
      </c>
      <c r="G74" s="59">
        <f>+G39+G48+G68+G69+G70+G71</f>
        <v>217030</v>
      </c>
      <c r="H74" s="56">
        <f>+H72+H73</f>
        <v>2090753.9085748973</v>
      </c>
      <c r="I74" s="66"/>
      <c r="J74" s="125"/>
    </row>
    <row r="75" spans="1:10" ht="16.2" thickBot="1" x14ac:dyDescent="0.3">
      <c r="A75" s="144" t="s">
        <v>86</v>
      </c>
      <c r="B75" s="67"/>
      <c r="C75" s="68">
        <f>+C74+F74</f>
        <v>2701015.124535</v>
      </c>
      <c r="D75" s="69">
        <v>0</v>
      </c>
      <c r="E75" s="54">
        <f t="shared" si="5"/>
        <v>2701015.124535</v>
      </c>
      <c r="F75" s="70"/>
      <c r="G75" s="59"/>
      <c r="H75" s="56"/>
      <c r="I75" s="144"/>
      <c r="J75" s="1"/>
    </row>
    <row r="77" spans="1:10" x14ac:dyDescent="0.25">
      <c r="F77" s="43"/>
      <c r="H77" s="35"/>
    </row>
    <row r="78" spans="1:10" x14ac:dyDescent="0.25">
      <c r="C78" s="13"/>
      <c r="D78" s="47"/>
      <c r="E78" s="47"/>
      <c r="F78" s="13"/>
      <c r="H78" s="35"/>
    </row>
    <row r="79" spans="1:10" x14ac:dyDescent="0.25">
      <c r="B79" s="13"/>
      <c r="C79" s="14"/>
      <c r="D79" s="48"/>
      <c r="E79" s="48"/>
      <c r="F79" s="43"/>
      <c r="G79" s="121" t="s">
        <v>87</v>
      </c>
      <c r="H79" s="122">
        <f>(H74/E74)*100</f>
        <v>103.979119598263</v>
      </c>
    </row>
    <row r="80" spans="1:10" ht="16.2" x14ac:dyDescent="0.35">
      <c r="A80" s="37"/>
      <c r="B80" s="38"/>
      <c r="C80" s="38"/>
      <c r="D80" s="49"/>
      <c r="E80" s="49"/>
      <c r="F80" s="39"/>
      <c r="G80" s="40"/>
      <c r="H80" s="41"/>
    </row>
    <row r="81" spans="1:8" ht="25.5" customHeight="1" x14ac:dyDescent="0.3">
      <c r="A81" s="38"/>
      <c r="B81" s="38"/>
      <c r="C81" s="38"/>
      <c r="D81" s="49"/>
      <c r="E81" s="49"/>
      <c r="F81" s="39"/>
      <c r="G81" s="42"/>
      <c r="H81" s="41"/>
    </row>
    <row r="83" spans="1:8" x14ac:dyDescent="0.25">
      <c r="F83" s="13"/>
    </row>
    <row r="84" spans="1:8" x14ac:dyDescent="0.25">
      <c r="H84" s="36"/>
    </row>
  </sheetData>
  <mergeCells count="8">
    <mergeCell ref="A40:I40"/>
    <mergeCell ref="A49:I49"/>
    <mergeCell ref="A9:I9"/>
    <mergeCell ref="A13:I13"/>
    <mergeCell ref="A20:I20"/>
    <mergeCell ref="A24:I24"/>
    <mergeCell ref="A28:I28"/>
    <mergeCell ref="A34:I34"/>
  </mergeCells>
  <pageMargins left="0.7" right="0.7" top="0.75" bottom="0.75" header="0.3" footer="0.3"/>
  <pageSetup scale="54" fitToHeight="0" orientation="landscape" r:id="rId1"/>
  <rowBreaks count="4" manualBreakCount="4">
    <brk id="19" max="16383" man="1"/>
    <brk id="31" max="16383" man="1"/>
    <brk id="48"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zoomScaleNormal="100" workbookViewId="0">
      <selection activeCell="H22" sqref="H22"/>
    </sheetView>
  </sheetViews>
  <sheetFormatPr baseColWidth="10" defaultColWidth="9.109375" defaultRowHeight="14.4" x14ac:dyDescent="0.3"/>
  <cols>
    <col min="1" max="1" width="15.44140625" customWidth="1"/>
    <col min="2" max="2" width="12.33203125" bestFit="1" customWidth="1"/>
    <col min="3" max="3" width="10.6640625" customWidth="1"/>
    <col min="4" max="4" width="11.33203125" bestFit="1" customWidth="1"/>
    <col min="5" max="5" width="12.33203125" customWidth="1"/>
    <col min="6" max="6" width="11.109375" customWidth="1"/>
    <col min="7" max="7" width="10.6640625" bestFit="1" customWidth="1"/>
    <col min="8" max="9" width="13.109375" customWidth="1"/>
    <col min="10" max="10" width="13.44140625" customWidth="1"/>
    <col min="11" max="11" width="12.6640625" customWidth="1"/>
    <col min="12" max="12" width="11" customWidth="1"/>
    <col min="13" max="13" width="11.109375" bestFit="1" customWidth="1"/>
  </cols>
  <sheetData>
    <row r="1" spans="1:14" ht="15.6" x14ac:dyDescent="0.3">
      <c r="A1" s="2" t="s">
        <v>88</v>
      </c>
      <c r="B1" s="2"/>
      <c r="C1" s="2"/>
      <c r="D1" s="2"/>
      <c r="E1" s="2"/>
      <c r="F1" s="2"/>
    </row>
    <row r="2" spans="1:14" ht="7.2" customHeight="1" x14ac:dyDescent="0.3">
      <c r="A2" s="4"/>
      <c r="B2" s="4"/>
      <c r="C2" s="4"/>
      <c r="D2" s="4"/>
      <c r="E2" s="4"/>
      <c r="F2" s="4"/>
    </row>
    <row r="3" spans="1:14" x14ac:dyDescent="0.3">
      <c r="A3" s="4" t="s">
        <v>89</v>
      </c>
      <c r="B3" s="4"/>
      <c r="C3" s="4"/>
      <c r="D3" s="4"/>
      <c r="E3" s="4"/>
      <c r="F3" s="4"/>
    </row>
    <row r="4" spans="1:14" ht="15" thickBot="1" x14ac:dyDescent="0.35"/>
    <row r="5" spans="1:14" ht="26.25" customHeight="1" thickBot="1" x14ac:dyDescent="0.35">
      <c r="A5" s="149" t="s">
        <v>90</v>
      </c>
      <c r="B5" s="151" t="s">
        <v>91</v>
      </c>
      <c r="C5" s="152"/>
      <c r="D5" s="153"/>
      <c r="E5" s="154" t="s">
        <v>92</v>
      </c>
      <c r="F5" s="155"/>
      <c r="G5" s="156"/>
      <c r="H5" s="133" t="s">
        <v>93</v>
      </c>
      <c r="I5" s="133" t="s">
        <v>94</v>
      </c>
      <c r="J5" s="134" t="s">
        <v>95</v>
      </c>
      <c r="K5" s="147" t="s">
        <v>96</v>
      </c>
    </row>
    <row r="6" spans="1:14" ht="28.2" thickBot="1" x14ac:dyDescent="0.35">
      <c r="A6" s="150"/>
      <c r="B6" s="3" t="s">
        <v>97</v>
      </c>
      <c r="C6" s="3" t="s">
        <v>98</v>
      </c>
      <c r="D6" s="3" t="s">
        <v>99</v>
      </c>
      <c r="E6" s="27" t="s">
        <v>97</v>
      </c>
      <c r="F6" s="27" t="s">
        <v>98</v>
      </c>
      <c r="G6" s="27" t="s">
        <v>99</v>
      </c>
      <c r="H6" s="3"/>
      <c r="I6" s="3"/>
      <c r="J6" s="135"/>
      <c r="K6" s="148"/>
    </row>
    <row r="7" spans="1:14" ht="28.2" thickBot="1" x14ac:dyDescent="0.35">
      <c r="A7" s="17"/>
      <c r="B7" s="18" t="s">
        <v>100</v>
      </c>
      <c r="C7" s="18" t="s">
        <v>98</v>
      </c>
      <c r="D7" s="18"/>
      <c r="E7" s="18" t="s">
        <v>100</v>
      </c>
      <c r="F7" s="18" t="s">
        <v>98</v>
      </c>
      <c r="G7" s="18"/>
      <c r="H7" s="18"/>
      <c r="I7" s="18"/>
      <c r="J7" s="28"/>
      <c r="K7" s="18"/>
    </row>
    <row r="8" spans="1:14" ht="32.4" customHeight="1" thickBot="1" x14ac:dyDescent="0.35">
      <c r="A8" s="19" t="s">
        <v>101</v>
      </c>
      <c r="B8" s="30">
        <f>201600*0.6</f>
        <v>120960</v>
      </c>
      <c r="C8" s="30">
        <f>201600*0.4</f>
        <v>80640</v>
      </c>
      <c r="D8" s="30">
        <v>0</v>
      </c>
      <c r="E8" s="22">
        <f>111751.89*0.6</f>
        <v>67051.133999999991</v>
      </c>
      <c r="F8" s="22">
        <f>111751.89*0.4</f>
        <v>44700.756000000001</v>
      </c>
      <c r="G8" s="22">
        <v>0</v>
      </c>
      <c r="H8" s="21">
        <f>B8+E8</f>
        <v>188011.13399999999</v>
      </c>
      <c r="I8" s="21">
        <f>C8+F8</f>
        <v>125340.75599999999</v>
      </c>
      <c r="J8" s="29">
        <f>D8+G8</f>
        <v>0</v>
      </c>
      <c r="K8" s="21">
        <f>H8+I8+J8</f>
        <v>313351.89</v>
      </c>
      <c r="M8" s="7"/>
      <c r="N8" t="s">
        <v>102</v>
      </c>
    </row>
    <row r="9" spans="1:14" ht="47.1" customHeight="1" thickBot="1" x14ac:dyDescent="0.35">
      <c r="A9" s="5" t="s">
        <v>103</v>
      </c>
      <c r="B9" s="31">
        <f>53650*0.4</f>
        <v>21460</v>
      </c>
      <c r="C9" s="31">
        <f>53650*0.4</f>
        <v>21460</v>
      </c>
      <c r="D9" s="31">
        <f>53650*0.2</f>
        <v>10730</v>
      </c>
      <c r="E9" s="23">
        <f>89242.15*0.4</f>
        <v>35696.86</v>
      </c>
      <c r="F9" s="23">
        <f>89242.15*0.4</f>
        <v>35696.86</v>
      </c>
      <c r="G9" s="23">
        <f>89242.15*0.2</f>
        <v>17848.43</v>
      </c>
      <c r="H9" s="21">
        <f t="shared" ref="H9:H17" si="0">B9+E9</f>
        <v>57156.86</v>
      </c>
      <c r="I9" s="21">
        <f t="shared" ref="I9:I17" si="1">C9+F9</f>
        <v>57156.86</v>
      </c>
      <c r="J9" s="29">
        <f>D9+G9</f>
        <v>28578.43</v>
      </c>
      <c r="K9" s="21">
        <f t="shared" ref="K9:K17" si="2">H9+I9+J9</f>
        <v>142892.15</v>
      </c>
      <c r="M9" s="7"/>
    </row>
    <row r="10" spans="1:14" ht="72" customHeight="1" thickBot="1" x14ac:dyDescent="0.35">
      <c r="A10" s="5" t="s">
        <v>104</v>
      </c>
      <c r="B10" s="31">
        <f>157748*0.4</f>
        <v>63099.200000000004</v>
      </c>
      <c r="C10" s="31">
        <f>157748*0.4</f>
        <v>63099.200000000004</v>
      </c>
      <c r="D10" s="31">
        <f>157748*0.2</f>
        <v>31549.600000000002</v>
      </c>
      <c r="E10" s="22">
        <f>43000*0.4</f>
        <v>17200</v>
      </c>
      <c r="F10" s="22">
        <f>43000*0.4</f>
        <v>17200</v>
      </c>
      <c r="G10" s="20">
        <f>43000*0.2</f>
        <v>8600</v>
      </c>
      <c r="H10" s="21">
        <f t="shared" si="0"/>
        <v>80299.200000000012</v>
      </c>
      <c r="I10" s="21">
        <f>C10+F10</f>
        <v>80299.200000000012</v>
      </c>
      <c r="J10" s="29">
        <f t="shared" ref="J10:J17" si="3">D10+G10</f>
        <v>40149.600000000006</v>
      </c>
      <c r="K10" s="21">
        <f t="shared" si="2"/>
        <v>200748.00000000003</v>
      </c>
      <c r="M10" s="7"/>
    </row>
    <row r="11" spans="1:14" ht="35.1" customHeight="1" thickBot="1" x14ac:dyDescent="0.35">
      <c r="A11" s="5" t="s">
        <v>105</v>
      </c>
      <c r="B11" s="31">
        <f>204000*0.4</f>
        <v>81600</v>
      </c>
      <c r="C11" s="31">
        <f>204000*0.4</f>
        <v>81600</v>
      </c>
      <c r="D11" s="31">
        <f>204000*0.2</f>
        <v>40800</v>
      </c>
      <c r="E11" s="20">
        <v>0</v>
      </c>
      <c r="F11" s="20">
        <v>0</v>
      </c>
      <c r="G11" s="20">
        <v>0</v>
      </c>
      <c r="H11" s="21">
        <f t="shared" si="0"/>
        <v>81600</v>
      </c>
      <c r="I11" s="21">
        <f t="shared" si="1"/>
        <v>81600</v>
      </c>
      <c r="J11" s="29">
        <f t="shared" si="3"/>
        <v>40800</v>
      </c>
      <c r="K11" s="21">
        <f t="shared" si="2"/>
        <v>204000</v>
      </c>
      <c r="M11" s="7"/>
    </row>
    <row r="12" spans="1:14" ht="27" thickBot="1" x14ac:dyDescent="0.35">
      <c r="A12" s="5" t="s">
        <v>106</v>
      </c>
      <c r="B12" s="31">
        <f>16000*0.4</f>
        <v>6400</v>
      </c>
      <c r="C12" s="31">
        <f>16000*0.4</f>
        <v>6400</v>
      </c>
      <c r="D12" s="31">
        <f>16000*0.2</f>
        <v>3200</v>
      </c>
      <c r="E12" s="20">
        <v>0</v>
      </c>
      <c r="F12" s="20">
        <v>0</v>
      </c>
      <c r="G12" s="20">
        <v>0</v>
      </c>
      <c r="H12" s="21">
        <f>B12+E12</f>
        <v>6400</v>
      </c>
      <c r="I12" s="21">
        <f t="shared" si="1"/>
        <v>6400</v>
      </c>
      <c r="J12" s="29">
        <f t="shared" si="3"/>
        <v>3200</v>
      </c>
      <c r="K12" s="21">
        <f t="shared" si="2"/>
        <v>16000</v>
      </c>
      <c r="M12" s="7"/>
    </row>
    <row r="13" spans="1:14" ht="51" customHeight="1" thickBot="1" x14ac:dyDescent="0.35">
      <c r="A13" s="5" t="s">
        <v>107</v>
      </c>
      <c r="B13" s="31">
        <f>845612.5*0.4</f>
        <v>338245</v>
      </c>
      <c r="C13" s="31">
        <f>845612.5*0.4</f>
        <v>338245</v>
      </c>
      <c r="D13" s="31">
        <f>845612.5*0.2</f>
        <v>169122.5</v>
      </c>
      <c r="E13" s="24">
        <f>375721*0.4</f>
        <v>150288.4</v>
      </c>
      <c r="F13" s="24">
        <f>375721*0.4</f>
        <v>150288.4</v>
      </c>
      <c r="G13" s="20">
        <f>375721*0.2</f>
        <v>75144.2</v>
      </c>
      <c r="H13" s="21">
        <f t="shared" si="0"/>
        <v>488533.4</v>
      </c>
      <c r="I13" s="21">
        <f t="shared" si="1"/>
        <v>488533.4</v>
      </c>
      <c r="J13" s="29">
        <f t="shared" si="3"/>
        <v>244266.7</v>
      </c>
      <c r="K13" s="21">
        <f t="shared" si="2"/>
        <v>1221333.5</v>
      </c>
      <c r="M13" s="7"/>
    </row>
    <row r="14" spans="1:14" ht="48.9" customHeight="1" thickBot="1" x14ac:dyDescent="0.35">
      <c r="A14" s="5" t="s">
        <v>108</v>
      </c>
      <c r="B14" s="31">
        <f>400679.5*0.4</f>
        <v>160271.80000000002</v>
      </c>
      <c r="C14" s="31">
        <f>400679.5*0.4</f>
        <v>160271.80000000002</v>
      </c>
      <c r="D14" s="31">
        <f>400679.5*0.2</f>
        <v>80135.900000000009</v>
      </c>
      <c r="E14" s="22">
        <f>25398.16*0.4</f>
        <v>10159.264000000001</v>
      </c>
      <c r="F14" s="22">
        <f>25398.16*0.4</f>
        <v>10159.264000000001</v>
      </c>
      <c r="G14" s="22">
        <f>25398.16*0.2</f>
        <v>5079.6320000000005</v>
      </c>
      <c r="H14" s="21">
        <f t="shared" si="0"/>
        <v>170431.06400000001</v>
      </c>
      <c r="I14" s="21">
        <f t="shared" si="1"/>
        <v>170431.06400000001</v>
      </c>
      <c r="J14" s="29">
        <f t="shared" si="3"/>
        <v>85215.532000000007</v>
      </c>
      <c r="K14" s="21">
        <f t="shared" si="2"/>
        <v>426077.66000000003</v>
      </c>
      <c r="M14" s="7"/>
    </row>
    <row r="15" spans="1:14" ht="39" customHeight="1" thickBot="1" x14ac:dyDescent="0.35">
      <c r="A15" s="6" t="s">
        <v>109</v>
      </c>
      <c r="B15" s="32">
        <f t="shared" ref="B15:G15" si="4">SUM(B8:B14)</f>
        <v>792036</v>
      </c>
      <c r="C15" s="32">
        <f t="shared" si="4"/>
        <v>751716</v>
      </c>
      <c r="D15" s="32">
        <f t="shared" si="4"/>
        <v>335538</v>
      </c>
      <c r="E15" s="22">
        <f t="shared" si="4"/>
        <v>280395.658</v>
      </c>
      <c r="F15" s="22">
        <f t="shared" si="4"/>
        <v>258045.28</v>
      </c>
      <c r="G15" s="22">
        <f t="shared" si="4"/>
        <v>106672.262</v>
      </c>
      <c r="H15" s="21">
        <f t="shared" si="0"/>
        <v>1072431.6580000001</v>
      </c>
      <c r="I15" s="21">
        <f t="shared" si="1"/>
        <v>1009761.28</v>
      </c>
      <c r="J15" s="29">
        <f t="shared" si="3"/>
        <v>442210.26199999999</v>
      </c>
      <c r="K15" s="21">
        <f t="shared" si="2"/>
        <v>2524403.2000000002</v>
      </c>
      <c r="M15" s="7"/>
    </row>
    <row r="16" spans="1:14" ht="15" thickBot="1" x14ac:dyDescent="0.35">
      <c r="A16" s="5" t="s">
        <v>110</v>
      </c>
      <c r="B16" s="31">
        <f t="shared" ref="B16:G16" si="5">B15*0.07</f>
        <v>55442.520000000004</v>
      </c>
      <c r="C16" s="31">
        <f t="shared" si="5"/>
        <v>52620.12</v>
      </c>
      <c r="D16" s="31">
        <f t="shared" si="5"/>
        <v>23487.660000000003</v>
      </c>
      <c r="E16" s="22">
        <f t="shared" si="5"/>
        <v>19627.696060000002</v>
      </c>
      <c r="F16" s="22">
        <f t="shared" si="5"/>
        <v>18063.169600000001</v>
      </c>
      <c r="G16" s="22">
        <f t="shared" si="5"/>
        <v>7467.0583400000005</v>
      </c>
      <c r="H16" s="21">
        <f t="shared" si="0"/>
        <v>75070.216060000006</v>
      </c>
      <c r="I16" s="21">
        <f t="shared" si="1"/>
        <v>70683.289600000004</v>
      </c>
      <c r="J16" s="29">
        <f t="shared" si="3"/>
        <v>30954.718340000003</v>
      </c>
      <c r="K16" s="21">
        <f t="shared" si="2"/>
        <v>176708.22400000002</v>
      </c>
      <c r="M16" s="7"/>
    </row>
    <row r="17" spans="1:13" ht="15" thickBot="1" x14ac:dyDescent="0.35">
      <c r="A17" s="6" t="s">
        <v>111</v>
      </c>
      <c r="B17" s="32">
        <f>SUM(B15:B16)</f>
        <v>847478.52</v>
      </c>
      <c r="C17" s="32">
        <f>SUM(C15:C16)</f>
        <v>804336.12</v>
      </c>
      <c r="D17" s="32">
        <f>SUM(D15:D16)</f>
        <v>359025.66000000003</v>
      </c>
      <c r="E17" s="22">
        <f>E15+E16</f>
        <v>300023.35405999998</v>
      </c>
      <c r="F17" s="22">
        <f>F15+F16</f>
        <v>276108.44959999999</v>
      </c>
      <c r="G17" s="22">
        <f>G15+G16</f>
        <v>114139.32034000001</v>
      </c>
      <c r="H17" s="21">
        <f t="shared" si="0"/>
        <v>1147501.8740600001</v>
      </c>
      <c r="I17" s="21">
        <f t="shared" si="1"/>
        <v>1080444.5696</v>
      </c>
      <c r="J17" s="29">
        <f t="shared" si="3"/>
        <v>473164.98034000001</v>
      </c>
      <c r="K17" s="21">
        <f t="shared" si="2"/>
        <v>2701111.4240000006</v>
      </c>
      <c r="M17" s="7"/>
    </row>
    <row r="18" spans="1:13" x14ac:dyDescent="0.3">
      <c r="B18" s="33">
        <f>+B17+C17+D17</f>
        <v>2010840.3000000003</v>
      </c>
      <c r="C18" s="33"/>
      <c r="D18" s="33" t="s">
        <v>16</v>
      </c>
      <c r="E18" s="25">
        <f>E17+F17+G17</f>
        <v>690271.12399999995</v>
      </c>
      <c r="F18" s="25"/>
      <c r="G18" s="26"/>
    </row>
    <row r="19" spans="1:13" x14ac:dyDescent="0.3">
      <c r="B19" t="s">
        <v>16</v>
      </c>
      <c r="D19" t="s">
        <v>16</v>
      </c>
    </row>
    <row r="20" spans="1:13" x14ac:dyDescent="0.3">
      <c r="B20" t="s">
        <v>112</v>
      </c>
      <c r="D20" t="s">
        <v>16</v>
      </c>
      <c r="E20" s="7">
        <f>+B18+E18</f>
        <v>2701111.4240000001</v>
      </c>
    </row>
  </sheetData>
  <mergeCells count="4">
    <mergeCell ref="K5:K6"/>
    <mergeCell ref="A5:A6"/>
    <mergeCell ref="B5:D5"/>
    <mergeCell ref="E5:G5"/>
  </mergeCells>
  <pageMargins left="0.70866141732283472" right="0.70866141732283472" top="0.74803149606299213" bottom="0.74803149606299213" header="0.31496062992125984" footer="0.31496062992125984"/>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2B4408-AA33-4EC1-9CE5-5DC41750B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46E883-8D34-4C64-95AF-EE13418C6B89}">
  <ds:schemaRefs>
    <ds:schemaRef ds:uri="http://schemas.microsoft.com/sharepoint/v3/contenttype/forms"/>
  </ds:schemaRefs>
</ds:datastoreItem>
</file>

<file path=customXml/itemProps3.xml><?xml version="1.0" encoding="utf-8"?>
<ds:datastoreItem xmlns:ds="http://schemas.openxmlformats.org/officeDocument/2006/customXml" ds:itemID="{11F0AA9C-8AFB-43D3-8395-791593319FB0}">
  <ds:schemaRefs>
    <ds:schemaRef ds:uri="http://schemas.microsoft.com/office/2006/documentManagement/types"/>
    <ds:schemaRef ds:uri="http://schemas.microsoft.com/office/2006/metadata/properties"/>
    <ds:schemaRef ds:uri="http://purl.org/dc/elements/1.1/"/>
    <ds:schemaRef ds:uri="3352a50b-fe51-4c0c-a9ac-ac90f8281031"/>
    <ds:schemaRef ds:uri="http://purl.org/dc/terms/"/>
    <ds:schemaRef ds:uri="http://schemas.microsoft.com/office/infopath/2007/PartnerControls"/>
    <ds:schemaRef ds:uri="http://purl.org/dc/dcmitype/"/>
    <ds:schemaRef ds:uri="http://schemas.openxmlformats.org/package/2006/metadata/core-properties"/>
    <ds:schemaRef ds:uri="9dc44b34-9e2b-42ea-86f7-9ee7f71036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Sheet1</vt:lpstr>
      <vt:lpstr>Eugène</vt:lpstr>
      <vt:lpstr>Sheet2</vt:lpstr>
      <vt:lpstr>Eugène!Impression_des_titres</vt:lpstr>
      <vt:lpstr>Sheet1!Impression_des_titres</vt:lpstr>
      <vt:lpstr>Eugène!Zone_d_impression</vt:lpstr>
      <vt:lpstr>Sheet1!Zone_d_impression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Idrissou Labande</cp:lastModifiedBy>
  <cp:revision/>
  <cp:lastPrinted>2020-12-08T17:03:32Z</cp:lastPrinted>
  <dcterms:created xsi:type="dcterms:W3CDTF">2017-11-15T21:17:43Z</dcterms:created>
  <dcterms:modified xsi:type="dcterms:W3CDTF">2020-12-17T16:34:42Z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8518200</vt:r8>
  </property>
</Properties>
</file>