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https://undp-my.sharepoint.com/personal/carlos_paredes_one_un_org/Documents/M&amp;E/2020/INFORMES/1. SEMI ANUAL/PBSO/2. MP II/"/>
    </mc:Choice>
  </mc:AlternateContent>
  <xr:revisionPtr revIDLastSave="74" documentId="11_97185F975018628C0DEA1927D73019E069C83647" xr6:coauthVersionLast="44" xr6:coauthVersionMax="44" xr10:uidLastSave="{7B428F4B-AEA4-48C2-B7A3-DBAFF6F2583E}"/>
  <bookViews>
    <workbookView xWindow="-120" yWindow="-120" windowWidth="20730" windowHeight="11160" activeTab="1"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4" l="1"/>
  <c r="G9" i="4"/>
  <c r="F10" i="4"/>
  <c r="F11" i="4"/>
  <c r="G11" i="4"/>
  <c r="G12" i="4"/>
  <c r="F13" i="4"/>
  <c r="G13" i="4"/>
  <c r="F14" i="4"/>
  <c r="G14" i="4"/>
  <c r="G8" i="4"/>
  <c r="F8" i="4"/>
  <c r="K39" i="1" l="1"/>
  <c r="K43" i="1"/>
  <c r="K42" i="1"/>
  <c r="K34" i="1"/>
  <c r="K67" i="1" l="1"/>
  <c r="K59" i="1"/>
  <c r="K56" i="1"/>
  <c r="K48" i="1"/>
  <c r="K44" i="1"/>
  <c r="K40" i="1"/>
  <c r="K35" i="1"/>
  <c r="K29" i="1"/>
  <c r="K25" i="1"/>
  <c r="K20" i="1"/>
  <c r="D118" i="5"/>
  <c r="D129" i="5" s="1"/>
  <c r="D119" i="5"/>
  <c r="D52" i="5"/>
  <c r="D130" i="5"/>
  <c r="D75" i="5"/>
  <c r="D64" i="5"/>
  <c r="D53" i="5"/>
  <c r="I53" i="5" s="1"/>
  <c r="D131" i="5"/>
  <c r="D76" i="5"/>
  <c r="D65" i="5"/>
  <c r="D54" i="5"/>
  <c r="D132" i="5"/>
  <c r="D133" i="5"/>
  <c r="D134" i="5"/>
  <c r="D135" i="5"/>
  <c r="C14" i="4" s="1"/>
  <c r="H14" i="4" s="1"/>
  <c r="E129" i="5"/>
  <c r="E130" i="5"/>
  <c r="E131" i="5"/>
  <c r="E136" i="5" s="1"/>
  <c r="E132" i="5"/>
  <c r="E133" i="5"/>
  <c r="E134" i="5"/>
  <c r="I134" i="5" s="1"/>
  <c r="E135" i="5"/>
  <c r="D14" i="4" s="1"/>
  <c r="F129" i="5"/>
  <c r="F40" i="5"/>
  <c r="F130" i="5" s="1"/>
  <c r="F131" i="5"/>
  <c r="F42" i="5"/>
  <c r="F132" i="5" s="1"/>
  <c r="F20" i="5"/>
  <c r="I20" i="5" s="1"/>
  <c r="F21" i="5"/>
  <c r="F133" i="5"/>
  <c r="F134" i="5"/>
  <c r="F135" i="5"/>
  <c r="G129" i="5"/>
  <c r="G130" i="5"/>
  <c r="F9" i="4" s="1"/>
  <c r="G30" i="5"/>
  <c r="G131" i="5"/>
  <c r="G31" i="5"/>
  <c r="G20" i="5"/>
  <c r="G132" i="5"/>
  <c r="G133" i="5"/>
  <c r="G134" i="5"/>
  <c r="G135" i="5"/>
  <c r="H129" i="5"/>
  <c r="H136" i="5" s="1"/>
  <c r="H130" i="5"/>
  <c r="H131" i="5"/>
  <c r="G10" i="4" s="1"/>
  <c r="G15" i="4" s="1"/>
  <c r="H132" i="5"/>
  <c r="H133" i="5"/>
  <c r="H134" i="5"/>
  <c r="H135" i="5"/>
  <c r="D117" i="5"/>
  <c r="I119" i="5"/>
  <c r="H125" i="5"/>
  <c r="G125" i="5"/>
  <c r="F125" i="5"/>
  <c r="E125" i="5"/>
  <c r="I124" i="5"/>
  <c r="I123" i="5"/>
  <c r="I122" i="5"/>
  <c r="I121" i="5"/>
  <c r="I120" i="5"/>
  <c r="H59" i="1"/>
  <c r="H117" i="5"/>
  <c r="G59" i="1"/>
  <c r="G117" i="5"/>
  <c r="F59" i="1"/>
  <c r="F117" i="5"/>
  <c r="E59" i="1"/>
  <c r="E117" i="5" s="1"/>
  <c r="I46" i="1"/>
  <c r="I47" i="1"/>
  <c r="J48" i="1" s="1"/>
  <c r="D42" i="1"/>
  <c r="I42" i="1" s="1"/>
  <c r="D43" i="1"/>
  <c r="I43" i="1"/>
  <c r="E20" i="1"/>
  <c r="E25" i="1"/>
  <c r="E78" i="1" s="1"/>
  <c r="E29" i="1"/>
  <c r="E38" i="5" s="1"/>
  <c r="E35" i="1"/>
  <c r="E50" i="5" s="1"/>
  <c r="E40" i="1"/>
  <c r="E44" i="1"/>
  <c r="E48" i="1"/>
  <c r="E56" i="1"/>
  <c r="D20" i="1"/>
  <c r="D25" i="1"/>
  <c r="D29" i="1"/>
  <c r="D33" i="1"/>
  <c r="D34" i="1"/>
  <c r="D35" i="1" s="1"/>
  <c r="D37" i="1"/>
  <c r="D38" i="1"/>
  <c r="D39" i="1"/>
  <c r="D40" i="1"/>
  <c r="D61" i="5" s="1"/>
  <c r="I61" i="5" s="1"/>
  <c r="D48" i="1"/>
  <c r="D56" i="1"/>
  <c r="D59" i="1"/>
  <c r="G28" i="1"/>
  <c r="G29" i="1" s="1"/>
  <c r="G38" i="5" s="1"/>
  <c r="F28" i="1"/>
  <c r="F29" i="1" s="1"/>
  <c r="F38" i="5" s="1"/>
  <c r="F27" i="1"/>
  <c r="G24" i="1"/>
  <c r="F23" i="1"/>
  <c r="G22" i="1"/>
  <c r="G19" i="1"/>
  <c r="F18" i="1"/>
  <c r="G17" i="1"/>
  <c r="I17" i="1" s="1"/>
  <c r="F16" i="1"/>
  <c r="I16" i="1" s="1"/>
  <c r="I55" i="1"/>
  <c r="I54" i="1"/>
  <c r="I53" i="1"/>
  <c r="I52" i="1"/>
  <c r="I51" i="1"/>
  <c r="I24" i="1"/>
  <c r="I23" i="1"/>
  <c r="I22" i="1"/>
  <c r="I25" i="1" s="1"/>
  <c r="I19" i="1"/>
  <c r="G25" i="1"/>
  <c r="G128" i="5"/>
  <c r="H128" i="5"/>
  <c r="I106" i="5"/>
  <c r="H105" i="5"/>
  <c r="G105" i="5"/>
  <c r="F105" i="5"/>
  <c r="I96" i="5"/>
  <c r="I97" i="5"/>
  <c r="I98" i="5"/>
  <c r="I99" i="5"/>
  <c r="I100" i="5"/>
  <c r="I101" i="5"/>
  <c r="I95" i="5"/>
  <c r="D94" i="5"/>
  <c r="I73" i="5"/>
  <c r="I63" i="5"/>
  <c r="I64" i="5"/>
  <c r="I65" i="5"/>
  <c r="I66" i="5"/>
  <c r="I67" i="5"/>
  <c r="I68" i="5"/>
  <c r="I62" i="5"/>
  <c r="I52" i="5"/>
  <c r="I54" i="5"/>
  <c r="I55" i="5"/>
  <c r="I56" i="5"/>
  <c r="I57" i="5"/>
  <c r="I51" i="5"/>
  <c r="I45" i="5"/>
  <c r="I40" i="5"/>
  <c r="I41" i="5"/>
  <c r="I43" i="5"/>
  <c r="I44" i="5"/>
  <c r="I39" i="5"/>
  <c r="I33" i="5"/>
  <c r="I28" i="5"/>
  <c r="I29" i="5"/>
  <c r="I30" i="5"/>
  <c r="I31" i="5"/>
  <c r="I32" i="5"/>
  <c r="I34" i="5"/>
  <c r="I18" i="5"/>
  <c r="I19" i="5"/>
  <c r="I21" i="5"/>
  <c r="I22" i="5"/>
  <c r="I23" i="5"/>
  <c r="I17" i="5"/>
  <c r="G13" i="5"/>
  <c r="H13" i="5"/>
  <c r="I84" i="5"/>
  <c r="I85" i="5"/>
  <c r="I86" i="5"/>
  <c r="I87" i="5"/>
  <c r="I88" i="5"/>
  <c r="I89" i="5"/>
  <c r="I90" i="5"/>
  <c r="I74" i="5"/>
  <c r="I75" i="5"/>
  <c r="I76" i="5"/>
  <c r="I77" i="5"/>
  <c r="I78" i="5"/>
  <c r="I79" i="5"/>
  <c r="H56" i="1"/>
  <c r="H94" i="5"/>
  <c r="G56" i="1"/>
  <c r="G94" i="5" s="1"/>
  <c r="I94" i="5" s="1"/>
  <c r="F56" i="1"/>
  <c r="F94" i="5"/>
  <c r="G48" i="1"/>
  <c r="H48" i="1"/>
  <c r="H20" i="1"/>
  <c r="H78" i="1" s="1"/>
  <c r="H25" i="1"/>
  <c r="H27" i="5" s="1"/>
  <c r="H29" i="1"/>
  <c r="H35" i="1"/>
  <c r="H40" i="1"/>
  <c r="H44" i="1"/>
  <c r="H72" i="5" s="1"/>
  <c r="F48" i="1"/>
  <c r="G113" i="5"/>
  <c r="H113" i="5"/>
  <c r="I113" i="5" s="1"/>
  <c r="G102" i="5"/>
  <c r="H102" i="5"/>
  <c r="G91" i="5"/>
  <c r="H91" i="5"/>
  <c r="G83" i="5"/>
  <c r="H83" i="5"/>
  <c r="G80" i="5"/>
  <c r="H80" i="5"/>
  <c r="G44" i="1"/>
  <c r="G72" i="5" s="1"/>
  <c r="G69" i="5"/>
  <c r="H69" i="5"/>
  <c r="G40" i="1"/>
  <c r="G61" i="5"/>
  <c r="H61" i="5"/>
  <c r="G58" i="5"/>
  <c r="H58" i="5"/>
  <c r="G35" i="1"/>
  <c r="G50" i="5"/>
  <c r="H50" i="5"/>
  <c r="G46" i="5"/>
  <c r="H46" i="5"/>
  <c r="H38" i="5"/>
  <c r="H35" i="5"/>
  <c r="G35" i="5"/>
  <c r="H24" i="5"/>
  <c r="G24" i="5"/>
  <c r="I24" i="5" s="1"/>
  <c r="E16" i="5"/>
  <c r="D27" i="5"/>
  <c r="I27" i="5" s="1"/>
  <c r="D94" i="1"/>
  <c r="I58" i="1"/>
  <c r="J59" i="1" s="1"/>
  <c r="I39" i="1"/>
  <c r="J40" i="1" s="1"/>
  <c r="I38" i="1"/>
  <c r="I37" i="1"/>
  <c r="I34" i="1"/>
  <c r="I33" i="1"/>
  <c r="I27" i="1"/>
  <c r="H24" i="4"/>
  <c r="H23" i="4"/>
  <c r="H22" i="4"/>
  <c r="F21" i="4"/>
  <c r="G21" i="4"/>
  <c r="F7" i="4"/>
  <c r="G7" i="4"/>
  <c r="G85" i="1"/>
  <c r="H85" i="1"/>
  <c r="G77" i="1"/>
  <c r="H77" i="1"/>
  <c r="I63" i="1"/>
  <c r="I64" i="1"/>
  <c r="J67" i="1" s="1"/>
  <c r="I65" i="1"/>
  <c r="I66" i="1"/>
  <c r="G67" i="1"/>
  <c r="H67" i="1"/>
  <c r="G27" i="5"/>
  <c r="I18" i="1"/>
  <c r="J89" i="1"/>
  <c r="D21" i="4"/>
  <c r="E21" i="4"/>
  <c r="C21" i="4"/>
  <c r="D7" i="4"/>
  <c r="E7" i="4"/>
  <c r="C7" i="4"/>
  <c r="F128" i="5"/>
  <c r="E128" i="5"/>
  <c r="D128" i="5"/>
  <c r="E8" i="4"/>
  <c r="D13" i="5"/>
  <c r="E85" i="1"/>
  <c r="F85" i="1"/>
  <c r="D85" i="1"/>
  <c r="E77" i="1"/>
  <c r="F77" i="1"/>
  <c r="D77" i="1"/>
  <c r="I61" i="1"/>
  <c r="E67" i="1"/>
  <c r="F67" i="1"/>
  <c r="D67" i="1"/>
  <c r="J35" i="1"/>
  <c r="J56" i="1"/>
  <c r="I35" i="1"/>
  <c r="I48" i="1"/>
  <c r="I56" i="1"/>
  <c r="E14" i="4"/>
  <c r="E13" i="4"/>
  <c r="E12" i="4"/>
  <c r="D10" i="4"/>
  <c r="E10" i="4"/>
  <c r="D9" i="4"/>
  <c r="C11" i="4"/>
  <c r="C12" i="4"/>
  <c r="H12" i="4" s="1"/>
  <c r="C13" i="4"/>
  <c r="C9" i="4"/>
  <c r="D8" i="4"/>
  <c r="F13" i="5"/>
  <c r="E13" i="5"/>
  <c r="I107" i="5"/>
  <c r="I108" i="5"/>
  <c r="I109" i="5"/>
  <c r="I110" i="5"/>
  <c r="I111" i="5"/>
  <c r="I112" i="5"/>
  <c r="D113" i="5"/>
  <c r="E113" i="5"/>
  <c r="F113" i="5"/>
  <c r="F102" i="5"/>
  <c r="I102" i="5" s="1"/>
  <c r="E102" i="5"/>
  <c r="D102" i="5"/>
  <c r="D69" i="5"/>
  <c r="E69" i="5"/>
  <c r="F69" i="5"/>
  <c r="D80" i="5"/>
  <c r="E80" i="5"/>
  <c r="I80" i="5" s="1"/>
  <c r="F80" i="5"/>
  <c r="D91" i="5"/>
  <c r="I91" i="5" s="1"/>
  <c r="E91" i="5"/>
  <c r="F91" i="5"/>
  <c r="E58" i="5"/>
  <c r="F58" i="5"/>
  <c r="D35" i="5"/>
  <c r="I35" i="5" s="1"/>
  <c r="E35" i="5"/>
  <c r="F35" i="5"/>
  <c r="D46" i="5"/>
  <c r="E46" i="5"/>
  <c r="E24" i="5"/>
  <c r="D24" i="5"/>
  <c r="I69" i="5"/>
  <c r="E94" i="5"/>
  <c r="E83" i="5"/>
  <c r="E72" i="5"/>
  <c r="F44" i="1"/>
  <c r="F72" i="5"/>
  <c r="E61" i="5"/>
  <c r="F40" i="1"/>
  <c r="F61" i="5" s="1"/>
  <c r="F35" i="1"/>
  <c r="F50" i="5" s="1"/>
  <c r="E27" i="5"/>
  <c r="F25" i="1"/>
  <c r="F27" i="5" s="1"/>
  <c r="F83" i="5"/>
  <c r="D105" i="5"/>
  <c r="D83" i="5"/>
  <c r="I83" i="5"/>
  <c r="D16" i="5"/>
  <c r="D38" i="5"/>
  <c r="I38" i="5" s="1"/>
  <c r="I133" i="5" l="1"/>
  <c r="F12" i="4"/>
  <c r="G136" i="5"/>
  <c r="G137" i="5" s="1"/>
  <c r="I131" i="5"/>
  <c r="H137" i="5"/>
  <c r="H138" i="5" s="1"/>
  <c r="I117" i="5"/>
  <c r="I130" i="5"/>
  <c r="E9" i="4"/>
  <c r="E15" i="4" s="1"/>
  <c r="F136" i="5"/>
  <c r="I46" i="5"/>
  <c r="H79" i="1"/>
  <c r="H80" i="1" s="1"/>
  <c r="J20" i="1"/>
  <c r="I20" i="1"/>
  <c r="I44" i="1"/>
  <c r="J44" i="1"/>
  <c r="E11" i="4"/>
  <c r="H11" i="4" s="1"/>
  <c r="I132" i="5"/>
  <c r="G16" i="4"/>
  <c r="G17" i="4" s="1"/>
  <c r="D50" i="5"/>
  <c r="I50" i="5" s="1"/>
  <c r="C18" i="6"/>
  <c r="E137" i="5"/>
  <c r="E138" i="5" s="1"/>
  <c r="E79" i="1"/>
  <c r="E80" i="1"/>
  <c r="D136" i="5"/>
  <c r="C8" i="4"/>
  <c r="I129" i="5"/>
  <c r="H16" i="5"/>
  <c r="I59" i="1"/>
  <c r="J25" i="1"/>
  <c r="I42" i="5"/>
  <c r="I135" i="5"/>
  <c r="F46" i="5"/>
  <c r="D58" i="5"/>
  <c r="I58" i="5" s="1"/>
  <c r="C10" i="4"/>
  <c r="H10" i="4" s="1"/>
  <c r="I67" i="1"/>
  <c r="I28" i="1"/>
  <c r="D78" i="1"/>
  <c r="I40" i="1"/>
  <c r="F24" i="5"/>
  <c r="F20" i="1"/>
  <c r="D13" i="4"/>
  <c r="D15" i="4" s="1"/>
  <c r="H15" i="4" s="1"/>
  <c r="D125" i="5"/>
  <c r="I125" i="5" s="1"/>
  <c r="E105" i="5"/>
  <c r="I105" i="5" s="1"/>
  <c r="G20" i="1"/>
  <c r="D44" i="1"/>
  <c r="D72" i="5" s="1"/>
  <c r="I72" i="5" s="1"/>
  <c r="I118" i="5"/>
  <c r="K91" i="1"/>
  <c r="G138" i="5" l="1"/>
  <c r="D16" i="4"/>
  <c r="D17" i="4" s="1"/>
  <c r="H87" i="1"/>
  <c r="G23" i="4" s="1"/>
  <c r="H88" i="1"/>
  <c r="G24" i="4" s="1"/>
  <c r="H86" i="1"/>
  <c r="G22" i="4" s="1"/>
  <c r="H89" i="1"/>
  <c r="D80" i="1"/>
  <c r="D79" i="1"/>
  <c r="D24" i="6"/>
  <c r="D25" i="6"/>
  <c r="D21" i="6"/>
  <c r="D22" i="6"/>
  <c r="D23" i="6"/>
  <c r="I29" i="1"/>
  <c r="C7" i="6" s="1"/>
  <c r="J29" i="1"/>
  <c r="E16" i="4"/>
  <c r="E17" i="4" s="1"/>
  <c r="E87" i="1"/>
  <c r="D23" i="4" s="1"/>
  <c r="E88" i="1"/>
  <c r="D24" i="4" s="1"/>
  <c r="E86" i="1"/>
  <c r="F15" i="4"/>
  <c r="H8" i="4"/>
  <c r="C15" i="4"/>
  <c r="F137" i="5"/>
  <c r="F138" i="5" s="1"/>
  <c r="H13" i="4"/>
  <c r="D137" i="5"/>
  <c r="I137" i="5" s="1"/>
  <c r="I136" i="5"/>
  <c r="D91" i="1"/>
  <c r="G16" i="5"/>
  <c r="G78" i="1"/>
  <c r="F78" i="1"/>
  <c r="F16" i="5"/>
  <c r="I16" i="5" s="1"/>
  <c r="H16" i="4" l="1"/>
  <c r="H17" i="4" s="1"/>
  <c r="I138" i="5"/>
  <c r="D88" i="1"/>
  <c r="D86" i="1"/>
  <c r="D87" i="1"/>
  <c r="C19" i="6"/>
  <c r="D11" i="6"/>
  <c r="D14" i="6"/>
  <c r="D13" i="6"/>
  <c r="D10" i="6"/>
  <c r="D12" i="6"/>
  <c r="E89" i="1"/>
  <c r="D22" i="4"/>
  <c r="D138" i="5"/>
  <c r="G79" i="1"/>
  <c r="G80" i="1" s="1"/>
  <c r="F80" i="1"/>
  <c r="F79" i="1"/>
  <c r="I78" i="1"/>
  <c r="F16" i="4"/>
  <c r="F17" i="4" s="1"/>
  <c r="C16" i="4"/>
  <c r="C17" i="4" s="1"/>
  <c r="G87" i="1" l="1"/>
  <c r="F23" i="4" s="1"/>
  <c r="G86" i="1"/>
  <c r="F22" i="4" s="1"/>
  <c r="G88" i="1"/>
  <c r="F24" i="4" s="1"/>
  <c r="G89" i="1"/>
  <c r="F86" i="1"/>
  <c r="F88" i="1"/>
  <c r="E24" i="4" s="1"/>
  <c r="F87" i="1"/>
  <c r="E23" i="4" s="1"/>
  <c r="C23" i="4"/>
  <c r="I87" i="1"/>
  <c r="D89" i="1"/>
  <c r="C22" i="4"/>
  <c r="I79" i="1"/>
  <c r="I80" i="1" s="1"/>
  <c r="K92" i="1"/>
  <c r="C24" i="4"/>
  <c r="C8" i="6"/>
  <c r="D95" i="1" l="1"/>
  <c r="D92" i="1"/>
  <c r="I88" i="1"/>
  <c r="F89" i="1"/>
  <c r="E22" i="4"/>
  <c r="I86" i="1"/>
  <c r="I89" i="1" s="1"/>
</calcChain>
</file>

<file path=xl/sharedStrings.xml><?xml version="1.0" encoding="utf-8"?>
<sst xmlns="http://schemas.openxmlformats.org/spreadsheetml/2006/main" count="654" uniqueCount="510">
  <si>
    <t xml:space="preserve">OUTCOME 1: </t>
  </si>
  <si>
    <t>Output 1.1:</t>
  </si>
  <si>
    <t>Activity 1.1.1:</t>
  </si>
  <si>
    <t>Activity 1.1.2:</t>
  </si>
  <si>
    <t>Activity 1.1.3:</t>
  </si>
  <si>
    <t>Output 1.2:</t>
  </si>
  <si>
    <t>Output 1.3:</t>
  </si>
  <si>
    <t xml:space="preserve">OUTCOME 2: </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</si>
  <si>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</si>
  <si>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</si>
  <si>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</si>
  <si>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</si>
  <si>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</si>
  <si>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</si>
  <si>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</si>
  <si>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</si>
  <si>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</si>
  <si>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</si>
  <si>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</si>
  <si>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</si>
  <si>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</si>
  <si>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</si>
  <si>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</si>
  <si>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</si>
  <si>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</si>
  <si>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</si>
  <si>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</si>
  <si>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</si>
  <si>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</si>
  <si>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</si>
  <si>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</si>
  <si>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</si>
  <si>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</si>
  <si>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</si>
  <si>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1.2.3</t>
  </si>
  <si>
    <t>Activity 1.2.1</t>
  </si>
  <si>
    <t>Activity 1.2.2</t>
  </si>
  <si>
    <t>Activity 1.3.1</t>
  </si>
  <si>
    <t>Activity 1.3.2</t>
  </si>
  <si>
    <t>Sub-Total Project Budget</t>
  </si>
  <si>
    <t>Total</t>
  </si>
  <si>
    <t>For MPTFO Use</t>
  </si>
  <si>
    <t>Outcome 2.1</t>
  </si>
  <si>
    <t>Activity 2.1.2</t>
  </si>
  <si>
    <t>Activity 2.1.1</t>
  </si>
  <si>
    <t>Output 2.2</t>
  </si>
  <si>
    <t>Activity 2.2.1</t>
  </si>
  <si>
    <t>Activity 2.2.2</t>
  </si>
  <si>
    <t>Activity 2.2.3</t>
  </si>
  <si>
    <t>Output 2.3</t>
  </si>
  <si>
    <t>Activity 2.3.1</t>
  </si>
  <si>
    <t>Activity 2.3.2</t>
  </si>
  <si>
    <t>Activity 2.4.1</t>
  </si>
  <si>
    <t>Activity 2.4.2</t>
  </si>
  <si>
    <t>Output 2.4</t>
  </si>
  <si>
    <t>Activity 3.3.1</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</si>
  <si>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</si>
  <si>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</si>
  <si>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</si>
  <si>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</si>
  <si>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</si>
  <si>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</si>
  <si>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</si>
  <si>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</si>
  <si>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</si>
  <si>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</si>
  <si>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</si>
  <si>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</si>
  <si>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</si>
  <si>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</si>
  <si>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</si>
  <si>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</si>
  <si>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OUTCOME 2</t>
  </si>
  <si>
    <t>Output 2.1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</si>
  <si>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</si>
  <si>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</si>
  <si>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</si>
  <si>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</si>
  <si>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</si>
  <si>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</si>
  <si>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</si>
  <si>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</si>
  <si>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</si>
  <si>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</si>
  <si>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</si>
  <si>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</si>
  <si>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</si>
  <si>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</si>
  <si>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</si>
  <si>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</si>
  <si>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</si>
  <si>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</si>
  <si>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</si>
  <si>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</si>
  <si>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</si>
  <si>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</si>
  <si>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</si>
  <si>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</si>
  <si>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</si>
  <si>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</si>
  <si>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</si>
  <si>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</si>
  <si>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</si>
  <si>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</si>
  <si>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</si>
  <si>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</si>
  <si>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</si>
  <si>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</si>
  <si>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</si>
  <si>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</si>
  <si>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</si>
  <si>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</si>
  <si>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</si>
  <si>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</si>
  <si>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</si>
  <si>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</si>
  <si>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</si>
  <si>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</si>
  <si>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</si>
  <si>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</si>
  <si>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</si>
  <si>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</si>
  <si>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</si>
  <si>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</si>
  <si>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</si>
  <si>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</si>
  <si>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</si>
  <si>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</si>
  <si>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</si>
  <si>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</si>
  <si>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</si>
  <si>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</si>
  <si>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</si>
  <si>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</si>
  <si>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</si>
  <si>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</si>
  <si>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</si>
  <si>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</si>
  <si>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</si>
  <si>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</si>
  <si>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</si>
  <si>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</si>
  <si>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</si>
  <si>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</si>
  <si>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</si>
  <si>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</si>
  <si>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</si>
  <si>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</si>
  <si>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</si>
  <si>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</si>
  <si>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</si>
  <si>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</si>
  <si>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</si>
  <si>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</si>
  <si>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</si>
  <si>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</si>
  <si>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</si>
  <si>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</si>
  <si>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</si>
  <si>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</si>
  <si>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</si>
  <si>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</si>
  <si>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</si>
  <si>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</si>
  <si>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</si>
  <si>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</si>
  <si>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</si>
  <si>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</si>
  <si>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</si>
  <si>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</si>
  <si>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</si>
  <si>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</si>
  <si>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</si>
  <si>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</si>
  <si>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</si>
  <si>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</si>
  <si>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</si>
  <si>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</si>
  <si>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</si>
  <si>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</si>
  <si>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</si>
  <si>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</si>
  <si>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</si>
  <si>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</si>
  <si>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</si>
  <si>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</si>
  <si>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</si>
  <si>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</si>
  <si>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</si>
  <si>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</si>
  <si>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</si>
  <si>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</si>
  <si>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</si>
  <si>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</si>
  <si>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</si>
  <si>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</si>
  <si>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</si>
  <si>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</si>
  <si>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</si>
  <si>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</si>
  <si>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</si>
  <si>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</si>
  <si>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</si>
  <si>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</si>
  <si>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</si>
  <si>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</si>
  <si>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</si>
  <si>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</si>
  <si>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</si>
  <si>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</si>
  <si>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</si>
  <si>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</si>
  <si>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</si>
  <si>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</si>
  <si>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</si>
  <si>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</si>
  <si>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</si>
  <si>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</si>
  <si>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</si>
  <si>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</si>
  <si>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</si>
  <si>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</si>
  <si>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</si>
  <si>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</si>
  <si>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</si>
  <si>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</si>
  <si>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</si>
  <si>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</si>
  <si>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</si>
  <si>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</si>
  <si>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</si>
  <si>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</si>
  <si>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</si>
  <si>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</si>
  <si>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</si>
  <si>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</si>
  <si>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</si>
  <si>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</si>
  <si>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</si>
  <si>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</si>
  <si>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</si>
  <si>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</si>
  <si>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</si>
  <si>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</si>
  <si>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</si>
  <si>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</si>
  <si>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</si>
  <si>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</si>
  <si>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</si>
  <si>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</si>
  <si>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</si>
  <si>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</si>
  <si>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</si>
  <si>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</si>
  <si>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</si>
  <si>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</si>
  <si>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</si>
  <si>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</si>
  <si>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</si>
  <si>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</si>
  <si>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</si>
  <si>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</si>
  <si>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</si>
  <si>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</si>
  <si>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</si>
  <si>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</si>
  <si>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</si>
  <si>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</si>
  <si>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</si>
  <si>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</si>
  <si>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</si>
  <si>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</si>
  <si>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</si>
  <si>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</si>
  <si>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</si>
  <si>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</si>
  <si>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</si>
  <si>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</si>
  <si>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</si>
  <si>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</si>
  <si>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</si>
  <si>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</si>
  <si>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</si>
  <si>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</si>
  <si>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</si>
  <si>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</si>
  <si>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</si>
  <si>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</si>
  <si>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</si>
  <si>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</si>
  <si>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</si>
  <si>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</si>
  <si>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</si>
  <si>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</si>
  <si>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</si>
  <si>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</si>
  <si>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</si>
  <si>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</si>
  <si>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</si>
  <si>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</si>
  <si>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</si>
  <si>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</si>
  <si>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</si>
  <si>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</si>
  <si>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</si>
  <si>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</si>
  <si>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</si>
  <si>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</si>
  <si>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</si>
  <si>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</si>
  <si>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</si>
  <si>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</si>
  <si>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</si>
  <si>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</si>
  <si>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</si>
  <si>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</si>
  <si>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</si>
  <si>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</si>
  <si>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</si>
  <si>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</si>
  <si>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</si>
  <si>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</si>
  <si>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</si>
  <si>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</si>
  <si>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</si>
  <si>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</si>
  <si>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</si>
  <si>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</si>
  <si>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</si>
  <si>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</si>
  <si>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</si>
  <si>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</si>
  <si>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</si>
  <si>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</si>
  <si>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</si>
  <si>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</si>
  <si>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</si>
  <si>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</si>
  <si>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</si>
  <si>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</si>
  <si>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</si>
  <si>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</si>
  <si>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</si>
  <si>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</si>
  <si>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</si>
  <si>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</si>
  <si>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</si>
  <si>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</si>
  <si>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</si>
  <si>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</si>
  <si>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</si>
  <si>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</si>
  <si>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</si>
  <si>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</si>
  <si>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</si>
  <si>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</si>
  <si>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</si>
  <si>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</si>
  <si>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</si>
  <si>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</si>
  <si>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</si>
  <si>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</si>
  <si>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</si>
  <si>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</si>
  <si>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</si>
  <si>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</si>
  <si>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</si>
  <si>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</si>
  <si>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</si>
  <si>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</si>
  <si>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</si>
  <si>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</si>
  <si>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</si>
  <si>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</si>
  <si>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</si>
  <si>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</si>
  <si>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</si>
  <si>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</si>
  <si>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</si>
  <si>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</si>
  <si>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</si>
  <si>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</si>
  <si>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</si>
  <si>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</si>
  <si>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</si>
  <si>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</si>
  <si>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</si>
  <si>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</si>
  <si>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</si>
  <si>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</si>
  <si>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</si>
  <si>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</si>
  <si>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</si>
  <si>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</si>
  <si>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</si>
  <si>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</si>
  <si>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</si>
  <si>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</si>
  <si>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</si>
  <si>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</si>
  <si>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</si>
  <si>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</si>
  <si>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</si>
  <si>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</si>
  <si>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</si>
  <si>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</si>
  <si>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</si>
  <si>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</si>
  <si>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</si>
  <si>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</si>
  <si>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</si>
  <si>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</si>
  <si>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</si>
  <si>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</si>
  <si>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</si>
  <si>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</si>
  <si>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</si>
  <si>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</si>
  <si>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</si>
  <si>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</si>
  <si>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</si>
  <si>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</si>
  <si>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</si>
  <si>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</si>
  <si>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</si>
  <si>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</si>
  <si>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</si>
  <si>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</si>
  <si>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</si>
  <si>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</si>
  <si>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</si>
  <si>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</si>
  <si>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</si>
  <si>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</si>
  <si>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</si>
  <si>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</si>
  <si>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</si>
  <si>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</si>
  <si>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</si>
  <si>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</si>
  <si>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</si>
  <si>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</si>
  <si>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</si>
  <si>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</si>
  <si>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</si>
  <si>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</si>
  <si>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</si>
  <si>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</si>
  <si>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</si>
  <si>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</si>
  <si>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</si>
  <si>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Incorporación del enfoque victimológico y los estándares internacionales de derechos humanos a la Política de atención a víctimas, a los servicios del modelo de atención integral con acompañamiento técnico</t>
  </si>
  <si>
    <t>Proceso de formación especializada en Derechos Humanos, género y criminología para operadores de justicia y funcionarios/as que prestan servicios de atención integral a mujeres, niñas.</t>
  </si>
  <si>
    <t>Fortalecimiento de los mecanismos de coordinación intra inter insticional para la atención integral a mujjeres y niñas victimas de violencia….</t>
  </si>
  <si>
    <t>Diseñar las herramientas (protocolos, guías, manuales, instrucciones, otros) y las medidas de autoprotección para mujeres y niñas víctimas de violencia por competencias institucionales</t>
  </si>
  <si>
    <t>Fortalecimiento de las redes de derivación tanto a nivel nacional como en los territorios priorizados</t>
  </si>
  <si>
    <t>Especializada y Descentralizada la Persecución Penal Estratégicva en el Ministerio Público a través de la investigación y análisis de fenómenos criminales incorporando la perspectiva de género y derechos humanos</t>
  </si>
  <si>
    <t>Consolidado el proceso de traslado de capacidades de la CICIG a la FECI y fortalecida la Unidad de Métodos Especiales UME a través de la figura de entregas vigiladas</t>
  </si>
  <si>
    <t>Fortalecidas y descentalizadas las capacidades de investigación criminal de la DICRI a 8 areas prioriozadas acorde a la reforma de la ley orgánikca del MP</t>
  </si>
  <si>
    <t>Fortalecidas las capacidades de generación de información y análisis de fenómenos criminales en la DAC y descentralización en 8 areas priorizadas incorporando la perspectiva de derechos humanos e igualdad de género</t>
  </si>
  <si>
    <t>2.7 Gestión y coordinación del Proyecto</t>
  </si>
  <si>
    <t>2.7.1 Gestión y Coordinación del Proyecto</t>
  </si>
  <si>
    <t>Desarrollo de capacidades para el abordaje e institucionalización de los estándares internacionales de derechos humanos en los modelos de atención integral, incluyendo el modelo de gestión, monitoreo y evaluacón</t>
  </si>
  <si>
    <t>Desarrollo de capacidades para la implementación del expediente único, en delitos priorizados análisis de la mora fiscal</t>
  </si>
  <si>
    <t>Especializado y descentralizado el modelo de atención integral a víctimas en el Ministerio Público, acorde a los estándares internacionales de derechos humanos</t>
  </si>
  <si>
    <t>Fortalecidas las capacidades del MP en proveer el acceso a la justicia a través de un modelo de atención integral diferenciado por el tipo de delito, condición etaria, de género y sexo, discapacidad, de personas de diversidad sexual, pertinencia cultural y territorial.</t>
  </si>
  <si>
    <r>
      <rPr>
        <b/>
        <sz val="12"/>
        <color theme="1"/>
        <rFont val="Calibri"/>
        <family val="2"/>
        <scheme val="minor"/>
      </rPr>
      <t>Recipient Organization</t>
    </r>
    <r>
      <rPr>
        <sz val="12"/>
        <color theme="1"/>
        <rFont val="Calibri"/>
        <family val="2"/>
        <scheme val="minor"/>
      </rPr>
      <t xml:space="preserve"> 4 Budget</t>
    </r>
  </si>
  <si>
    <r>
      <rPr>
        <b/>
        <sz val="12"/>
        <color theme="1"/>
        <rFont val="Calibri"/>
        <family val="2"/>
        <scheme val="minor"/>
      </rPr>
      <t>Recipient Organization 5</t>
    </r>
    <r>
      <rPr>
        <sz val="12"/>
        <color theme="1"/>
        <rFont val="Calibri"/>
        <family val="2"/>
        <scheme val="minor"/>
      </rPr>
      <t xml:space="preserve"> Budget</t>
    </r>
  </si>
  <si>
    <t>PNUD</t>
  </si>
  <si>
    <t>UNFPA</t>
  </si>
  <si>
    <t>ONUMUJERES</t>
  </si>
  <si>
    <t>UNICEF</t>
  </si>
  <si>
    <t>UNODC</t>
  </si>
  <si>
    <t>Establecimiento de criterios para promover la entrevista inicial como prueba anticipada</t>
  </si>
  <si>
    <t>Diseño e implementación de herramientas para promover medidas de auto protección y socialización del proceso penal a las víctimas</t>
  </si>
  <si>
    <t>Las redes de derivación coordinadas por el MP fortalecidas para brindar un acompañamiento y empoderamiento integral a víctimas sobre sus derechos en la atención integral</t>
  </si>
  <si>
    <t>Fortalecida la Oficina de Protección de Sujetos Procesales del Ministerio Público, incorporando una perspectiva de derechos humanos e igualdad de género</t>
  </si>
  <si>
    <t>Output 2.5</t>
  </si>
  <si>
    <t>Fortalecidas las capacides de la fiscalia contra el feminicio para la persecución penal de los delitos de su competencia y su descentralizzación en 8 fiscalias priorizadas</t>
  </si>
  <si>
    <t>Activity 2.5.1</t>
  </si>
  <si>
    <t>Activity 2.5.2</t>
  </si>
  <si>
    <t>Activity 2.5.3</t>
  </si>
  <si>
    <t>Activity 2.5.4</t>
  </si>
  <si>
    <t>Activity 2.5.5</t>
  </si>
  <si>
    <t>Output 2.6</t>
  </si>
  <si>
    <t>Activity 2.6.1</t>
  </si>
  <si>
    <t>Recipient Organization 4</t>
  </si>
  <si>
    <t>Recipient Organization 5</t>
  </si>
  <si>
    <t>Recipient Agency 4</t>
  </si>
  <si>
    <t>Recipient Agency 5</t>
  </si>
  <si>
    <t>Recip Agency 4</t>
  </si>
  <si>
    <t>Recip Agency 5</t>
  </si>
  <si>
    <t>Output 2.7</t>
  </si>
  <si>
    <t>Desarrolladas e implementadas herramientas institucionales que contribuyen a sustentar la investigación criminal a través de la atención integral a la víctima.</t>
  </si>
  <si>
    <t>Instalación de capacidades tecnológicas y formación especializada para la persecución penal (casos de alto impacto) en la Fiscalía Especial Contro la Impunidad de Guatemala y Quetzaltenango.</t>
  </si>
  <si>
    <t>Creación e implementación de la figura de entregas vigiladas dentro de la UME.</t>
  </si>
  <si>
    <t>Diseño y apuesta en marcha del sistema de investigación criminal (foto, planimetria, embalaje, etc.,) en la plataforma de SICOMP para el acceso de los fiscales y DAC a información en tiempo real.</t>
  </si>
  <si>
    <t>Diseño y aplicación de herramientas (protocolos, guías, instrucciones) de la DICRI en sintonía con las nuevas atribuciones.</t>
  </si>
  <si>
    <t>Descentralización y fortalecimiento de la DICRI en 8 fiscalías del interior, a través de procesos de formación, equipo y tecnología informática.</t>
  </si>
  <si>
    <t>Descentralización de la DAC en fiscalías distritales a través de las figuras de enlaces en 8 fiscalías priorizadas.</t>
  </si>
  <si>
    <t>Fortalecidas la DAC a nivel central con módulos de formación, sistemas informáticos de análisis estrategico del fenómeno criminal y financiero.</t>
  </si>
  <si>
    <t>Operativización de los protocolos de actuación de la Oficina de Protección de Sujetos Procesales en materia penal.</t>
  </si>
  <si>
    <t>Diseño y aplicación de herramientas para el análisis de riesgos y necesidades de apoyo psicosocial pre y post reubicación.</t>
  </si>
  <si>
    <t>Implementación de reglamentos, protocolos e instrucciones generales sobre el manejo de la escena del crimen, la investigación, el análisis y la persecución de los delitos contra la vida de las mujeres y descentralización a 8 áreas priorizadas.</t>
  </si>
  <si>
    <t>Elaboración e implementación de plan de formación especializada para la fiscalía de femicidio y las fiscalias distritales descentralizada a 8 areas priorizadas.</t>
  </si>
  <si>
    <t>Elaboración, validación y socialización de reglamento de la Fiscalía que incluya competencias, procedimientos y coordinación desde una perspectiva de género para la persecución penal estratégica para el delito de femicidio y conexos.</t>
  </si>
  <si>
    <t>Elaboración, validación y socialización del reglamento (Protocolos, manuales y herramientas) de la fiscalía contra el delito de femicidio.</t>
  </si>
  <si>
    <t>2.5.5 Realizados procesos formativos.</t>
  </si>
  <si>
    <t>Consolidados los mecanismos de observancia y denuncia de la sociedad civil en casos de alto impacto.</t>
  </si>
  <si>
    <t>Fortalecidos los mecanismos de denuncia ciudadana a través del ALAC.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</si>
</sst>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quot;$&quot;* #,##0.00_);_(&quot;$&quot;* \(#,##0.00\);_(&quot;$&quot;* &quot;-&quot;??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color theme="1"/>
      <name val="Arial"/>
      <family val="2"/>
    </font>
    <font>
      <b/>
      <sz val="14"/>
      <color theme="1"/>
      <name val="Calibri"/>
      <family val="2"/>
      <scheme val="minor"/>
    </font>
    <font>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s>
  <cellStyleXfs count="3">
    <xf numFmtId="0" fontId="0" fillId="0" borderId="0"/>
    <xf numFmtId="165" fontId="5" fillId="0" borderId="0" applyFont="0" applyFill="0" applyBorder="0" applyAlignment="0" applyProtection="0"/>
    <xf numFmtId="9" fontId="5" fillId="0" borderId="0" applyFont="0" applyFill="0" applyBorder="0" applyAlignment="0" applyProtection="0"/>
  </cellStyleXfs>
  <cellXfs count="333">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5"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5"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165" fontId="11" fillId="0" borderId="0" xfId="1" applyFont="1" applyFill="1" applyBorder="1" applyAlignment="1" applyProtection="1">
      <alignment vertical="center" wrapText="1"/>
    </xf>
    <xf numFmtId="165" fontId="6" fillId="0" borderId="3" xfId="1" applyNumberFormat="1" applyFont="1" applyBorder="1" applyAlignment="1" applyProtection="1">
      <alignment horizontal="center" vertical="center" wrapText="1"/>
      <protection locked="0"/>
    </xf>
    <xf numFmtId="165" fontId="6" fillId="3" borderId="3" xfId="1" applyNumberFormat="1" applyFont="1" applyFill="1" applyBorder="1" applyAlignment="1" applyProtection="1">
      <alignment horizontal="center" vertical="center" wrapText="1"/>
      <protection locked="0"/>
    </xf>
    <xf numFmtId="165"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5" fontId="8" fillId="3" borderId="0" xfId="1" applyFont="1" applyFill="1" applyBorder="1" applyAlignment="1" applyProtection="1">
      <alignment vertical="center" wrapText="1"/>
    </xf>
    <xf numFmtId="165" fontId="2" fillId="2" borderId="5" xfId="1" applyNumberFormat="1" applyFont="1" applyFill="1" applyBorder="1" applyAlignment="1" applyProtection="1">
      <alignment horizontal="center" vertical="center" wrapText="1"/>
    </xf>
    <xf numFmtId="165" fontId="6" fillId="3" borderId="0" xfId="1" applyFont="1" applyFill="1" applyBorder="1" applyAlignment="1" applyProtection="1">
      <alignment vertical="center" wrapText="1"/>
    </xf>
    <xf numFmtId="165"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5"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5" fontId="2" fillId="2" borderId="13" xfId="1" applyFont="1" applyFill="1" applyBorder="1" applyAlignment="1">
      <alignment vertical="center" wrapText="1"/>
    </xf>
    <xf numFmtId="165"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5"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5" fontId="2"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5" fontId="2" fillId="0" borderId="0" xfId="1" applyFont="1" applyFill="1" applyBorder="1" applyAlignment="1" applyProtection="1">
      <alignment vertical="center" wrapText="1"/>
    </xf>
    <xf numFmtId="165" fontId="6" fillId="0" borderId="0" xfId="1" applyNumberFormat="1" applyFont="1" applyFill="1" applyBorder="1" applyAlignment="1" applyProtection="1">
      <alignment horizontal="center" vertical="center" wrapText="1"/>
    </xf>
    <xf numFmtId="165" fontId="6" fillId="0" borderId="0" xfId="1" applyFont="1" applyFill="1" applyBorder="1" applyAlignment="1" applyProtection="1">
      <alignment horizontal="center" vertical="center" wrapText="1"/>
    </xf>
    <xf numFmtId="165"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5" fontId="2" fillId="2" borderId="3" xfId="0" applyNumberFormat="1" applyFont="1" applyFill="1" applyBorder="1" applyAlignment="1">
      <alignment horizontal="center" wrapText="1"/>
    </xf>
    <xf numFmtId="0" fontId="6" fillId="3" borderId="0" xfId="0" applyFont="1" applyFill="1" applyBorder="1" applyAlignment="1">
      <alignment wrapText="1"/>
    </xf>
    <xf numFmtId="165" fontId="2" fillId="4" borderId="3" xfId="1" applyFont="1" applyFill="1" applyBorder="1" applyAlignment="1" applyProtection="1">
      <alignment wrapText="1"/>
    </xf>
    <xf numFmtId="0" fontId="6" fillId="0" borderId="0" xfId="0" applyFont="1" applyFill="1" applyBorder="1" applyAlignment="1">
      <alignment wrapText="1"/>
    </xf>
    <xf numFmtId="165" fontId="6" fillId="3" borderId="0" xfId="0" applyNumberFormat="1" applyFont="1" applyFill="1" applyBorder="1" applyAlignment="1">
      <alignment vertical="center" wrapText="1"/>
    </xf>
    <xf numFmtId="165" fontId="2" fillId="0" borderId="0" xfId="0" applyNumberFormat="1" applyFont="1" applyFill="1" applyBorder="1" applyAlignment="1">
      <alignment wrapText="1"/>
    </xf>
    <xf numFmtId="165"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5"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5" fontId="2" fillId="2" borderId="39" xfId="0" applyNumberFormat="1" applyFont="1" applyFill="1" applyBorder="1" applyAlignment="1">
      <alignment wrapText="1"/>
    </xf>
    <xf numFmtId="0" fontId="2" fillId="2" borderId="13" xfId="0" applyFont="1" applyFill="1" applyBorder="1" applyAlignment="1">
      <alignment horizontal="left" wrapText="1"/>
    </xf>
    <xf numFmtId="165" fontId="2" fillId="2" borderId="13" xfId="0" applyNumberFormat="1" applyFont="1" applyFill="1" applyBorder="1" applyAlignment="1">
      <alignment horizontal="center" wrapText="1"/>
    </xf>
    <xf numFmtId="165" fontId="2" fillId="2" borderId="13" xfId="0" applyNumberFormat="1" applyFont="1" applyFill="1" applyBorder="1" applyAlignment="1">
      <alignment wrapText="1"/>
    </xf>
    <xf numFmtId="165" fontId="2" fillId="4" borderId="3" xfId="1" applyNumberFormat="1" applyFont="1" applyFill="1" applyBorder="1" applyAlignment="1">
      <alignment wrapText="1"/>
    </xf>
    <xf numFmtId="165" fontId="2" fillId="3" borderId="4" xfId="1" applyFont="1" applyFill="1" applyBorder="1" applyAlignment="1" applyProtection="1">
      <alignment wrapText="1"/>
    </xf>
    <xf numFmtId="165" fontId="2" fillId="3" borderId="1" xfId="1" applyNumberFormat="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5" fontId="2" fillId="2" borderId="38" xfId="0" applyNumberFormat="1" applyFont="1" applyFill="1" applyBorder="1" applyAlignment="1">
      <alignment wrapText="1"/>
    </xf>
    <xf numFmtId="0" fontId="2" fillId="2" borderId="11" xfId="0" applyFont="1" applyFill="1" applyBorder="1" applyAlignment="1">
      <alignment horizontal="center" wrapText="1"/>
    </xf>
    <xf numFmtId="165" fontId="6" fillId="2" borderId="39" xfId="0" applyNumberFormat="1" applyFont="1" applyFill="1" applyBorder="1" applyAlignment="1">
      <alignment wrapText="1"/>
    </xf>
    <xf numFmtId="165" fontId="2" fillId="2" borderId="34" xfId="0" applyNumberFormat="1" applyFont="1" applyFill="1" applyBorder="1" applyAlignment="1">
      <alignment wrapText="1"/>
    </xf>
    <xf numFmtId="165"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165" fontId="6" fillId="0" borderId="39" xfId="0" applyNumberFormat="1" applyFont="1" applyBorder="1" applyAlignment="1" applyProtection="1">
      <alignment wrapText="1"/>
      <protection locked="0"/>
    </xf>
    <xf numFmtId="165" fontId="6" fillId="3" borderId="39" xfId="1" applyNumberFormat="1" applyFont="1" applyFill="1" applyBorder="1" applyAlignment="1" applyProtection="1">
      <alignment horizontal="center" vertical="center" wrapText="1"/>
      <protection locked="0"/>
    </xf>
    <xf numFmtId="165"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5"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5" fontId="2" fillId="2" borderId="3" xfId="1" applyFont="1" applyFill="1" applyBorder="1" applyAlignment="1" applyProtection="1">
      <alignment vertical="center" wrapText="1"/>
    </xf>
    <xf numFmtId="165" fontId="2" fillId="2" borderId="4" xfId="1" applyFont="1" applyFill="1" applyBorder="1" applyAlignment="1" applyProtection="1">
      <alignment vertical="center" wrapText="1"/>
    </xf>
    <xf numFmtId="165"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5"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5" fontId="2" fillId="2" borderId="9" xfId="2" applyNumberFormat="1" applyFont="1" applyFill="1" applyBorder="1" applyAlignment="1" applyProtection="1">
      <alignment wrapText="1"/>
    </xf>
    <xf numFmtId="165"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5" fontId="2" fillId="2" borderId="3" xfId="1" applyFont="1" applyFill="1" applyBorder="1" applyAlignment="1" applyProtection="1">
      <alignment horizontal="center" vertical="center" wrapText="1"/>
    </xf>
    <xf numFmtId="165"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5" fontId="6" fillId="2" borderId="9" xfId="0" applyNumberFormat="1" applyFont="1" applyFill="1" applyBorder="1" applyAlignment="1" applyProtection="1">
      <alignment vertical="center" wrapText="1"/>
    </xf>
    <xf numFmtId="165"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5"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5" fontId="6" fillId="2" borderId="3" xfId="1" applyNumberFormat="1" applyFont="1" applyFill="1" applyBorder="1" applyAlignment="1" applyProtection="1">
      <alignment horizontal="center" vertical="center" wrapText="1"/>
    </xf>
    <xf numFmtId="165" fontId="2" fillId="4" borderId="3" xfId="1" applyFont="1" applyFill="1" applyBorder="1" applyAlignment="1" applyProtection="1">
      <alignment vertical="center" wrapText="1"/>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165" fontId="6" fillId="2" borderId="3" xfId="1" applyNumberFormat="1" applyFont="1" applyFill="1" applyBorder="1" applyAlignment="1">
      <alignment wrapText="1"/>
    </xf>
    <xf numFmtId="165" fontId="6" fillId="2" borderId="8" xfId="1" applyFont="1" applyFill="1" applyBorder="1" applyAlignment="1" applyProtection="1">
      <alignment wrapText="1"/>
    </xf>
    <xf numFmtId="0" fontId="2" fillId="2" borderId="32" xfId="0" applyFont="1" applyFill="1" applyBorder="1" applyAlignment="1">
      <alignment wrapText="1"/>
    </xf>
    <xf numFmtId="165" fontId="2" fillId="2" borderId="33" xfId="0" applyNumberFormat="1" applyFont="1" applyFill="1" applyBorder="1" applyAlignment="1">
      <alignment wrapText="1"/>
    </xf>
    <xf numFmtId="0" fontId="6" fillId="2" borderId="12"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5"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5" fontId="2" fillId="2" borderId="38" xfId="0" applyNumberFormat="1" applyFont="1" applyFill="1" applyBorder="1" applyAlignment="1">
      <alignment wrapText="1"/>
    </xf>
    <xf numFmtId="165" fontId="2" fillId="2" borderId="9" xfId="0" applyNumberFormat="1" applyFont="1" applyFill="1" applyBorder="1" applyAlignment="1">
      <alignment wrapText="1"/>
    </xf>
    <xf numFmtId="165" fontId="2" fillId="2" borderId="14" xfId="0" applyNumberFormat="1" applyFont="1" applyFill="1" applyBorder="1" applyAlignment="1">
      <alignment wrapText="1"/>
    </xf>
    <xf numFmtId="0" fontId="2" fillId="2" borderId="11" xfId="0" applyFont="1" applyFill="1" applyBorder="1" applyAlignment="1">
      <alignment horizontal="center" wrapText="1"/>
    </xf>
    <xf numFmtId="165" fontId="6" fillId="2" borderId="39" xfId="0" applyNumberFormat="1" applyFont="1" applyFill="1" applyBorder="1" applyAlignment="1">
      <alignment wrapText="1"/>
    </xf>
    <xf numFmtId="165" fontId="6" fillId="2" borderId="13" xfId="0" applyNumberFormat="1" applyFont="1" applyFill="1" applyBorder="1" applyAlignment="1">
      <alignment wrapText="1"/>
    </xf>
    <xf numFmtId="0" fontId="6" fillId="0" borderId="0" xfId="0" applyFont="1"/>
    <xf numFmtId="165" fontId="6" fillId="2" borderId="8" xfId="1" applyFont="1" applyFill="1" applyBorder="1" applyAlignment="1" applyProtection="1">
      <alignment wrapText="1"/>
    </xf>
    <xf numFmtId="165" fontId="6" fillId="2" borderId="52" xfId="1" applyFont="1" applyFill="1" applyBorder="1" applyAlignment="1" applyProtection="1">
      <alignment wrapText="1"/>
    </xf>
    <xf numFmtId="165" fontId="2" fillId="2" borderId="53" xfId="1" applyNumberFormat="1" applyFont="1" applyFill="1" applyBorder="1" applyAlignment="1">
      <alignment wrapText="1"/>
    </xf>
    <xf numFmtId="165" fontId="2" fillId="2" borderId="29" xfId="0" applyNumberFormat="1" applyFont="1" applyFill="1" applyBorder="1" applyAlignment="1">
      <alignment wrapText="1"/>
    </xf>
    <xf numFmtId="165" fontId="2" fillId="2" borderId="3" xfId="1" applyNumberFormat="1" applyFont="1" applyFill="1" applyBorder="1" applyAlignment="1">
      <alignment wrapText="1"/>
    </xf>
    <xf numFmtId="165" fontId="2" fillId="2" borderId="12" xfId="1" applyFont="1" applyFill="1" applyBorder="1" applyAlignment="1" applyProtection="1">
      <alignment wrapText="1"/>
    </xf>
    <xf numFmtId="165"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5" fontId="16" fillId="0" borderId="0" xfId="1" applyFont="1" applyBorder="1" applyAlignment="1">
      <alignment wrapText="1"/>
    </xf>
    <xf numFmtId="165" fontId="0" fillId="0" borderId="0" xfId="1" applyFont="1" applyBorder="1" applyAlignment="1">
      <alignment wrapText="1"/>
    </xf>
    <xf numFmtId="165" fontId="0" fillId="6" borderId="15" xfId="1" applyFont="1" applyFill="1" applyBorder="1" applyAlignment="1">
      <alignment wrapText="1"/>
    </xf>
    <xf numFmtId="165" fontId="0" fillId="0" borderId="0" xfId="1" applyFont="1" applyFill="1" applyBorder="1" applyAlignment="1">
      <alignment wrapText="1"/>
    </xf>
    <xf numFmtId="165" fontId="6" fillId="2" borderId="3" xfId="1" applyFont="1" applyFill="1" applyBorder="1" applyAlignment="1" applyProtection="1">
      <alignment horizontal="center" vertical="center" wrapText="1"/>
    </xf>
    <xf numFmtId="165" fontId="2" fillId="3" borderId="0" xfId="1" applyFont="1" applyFill="1" applyBorder="1" applyAlignment="1" applyProtection="1">
      <alignment vertical="center" wrapText="1"/>
      <protection locked="0"/>
    </xf>
    <xf numFmtId="165" fontId="6" fillId="0" borderId="0" xfId="1" applyFont="1" applyFill="1" applyBorder="1" applyAlignment="1" applyProtection="1">
      <alignment vertical="center" wrapText="1"/>
      <protection locked="0"/>
    </xf>
    <xf numFmtId="165" fontId="2" fillId="3" borderId="0" xfId="1" applyFont="1" applyFill="1" applyBorder="1" applyAlignment="1">
      <alignment vertical="center" wrapText="1"/>
    </xf>
    <xf numFmtId="165" fontId="2" fillId="3" borderId="0" xfId="1" applyFont="1" applyFill="1" applyBorder="1" applyAlignment="1" applyProtection="1">
      <alignment horizontal="right" vertical="center" wrapText="1"/>
      <protection locked="0"/>
    </xf>
    <xf numFmtId="165" fontId="2" fillId="0" borderId="0" xfId="1" applyFont="1" applyFill="1" applyBorder="1" applyAlignment="1">
      <alignment vertical="center" wrapText="1"/>
    </xf>
    <xf numFmtId="165" fontId="21" fillId="8" borderId="3" xfId="0" applyNumberFormat="1" applyFont="1" applyFill="1" applyBorder="1" applyAlignment="1">
      <alignment horizontal="center" vertical="center" wrapText="1"/>
    </xf>
    <xf numFmtId="165" fontId="2" fillId="3" borderId="0" xfId="1" applyFont="1" applyFill="1" applyBorder="1" applyAlignment="1" applyProtection="1">
      <alignment horizontal="center" vertical="center" wrapText="1"/>
    </xf>
    <xf numFmtId="165" fontId="2" fillId="3" borderId="0" xfId="1" applyFont="1" applyFill="1" applyBorder="1" applyAlignment="1" applyProtection="1">
      <alignment vertical="center" wrapText="1"/>
    </xf>
    <xf numFmtId="165"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5" fontId="2" fillId="2" borderId="28" xfId="0" applyNumberFormat="1" applyFont="1" applyFill="1" applyBorder="1" applyAlignment="1">
      <alignment vertical="center" wrapText="1"/>
    </xf>
    <xf numFmtId="165"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5" fontId="1" fillId="0" borderId="3" xfId="1" applyNumberFormat="1" applyFont="1" applyBorder="1" applyAlignment="1" applyProtection="1">
      <alignment horizontal="center" vertical="center" wrapText="1"/>
      <protection locked="0"/>
    </xf>
    <xf numFmtId="0" fontId="0" fillId="3" borderId="0" xfId="0" applyFont="1" applyFill="1" applyBorder="1" applyAlignment="1">
      <alignment vertical="center" wrapText="1"/>
    </xf>
    <xf numFmtId="0" fontId="1" fillId="0" borderId="3" xfId="0" applyFont="1" applyBorder="1" applyAlignment="1" applyProtection="1">
      <alignment horizontal="left" vertical="center" wrapText="1"/>
      <protection locked="0"/>
    </xf>
    <xf numFmtId="49" fontId="6" fillId="0" borderId="3" xfId="1" applyNumberFormat="1" applyFont="1" applyBorder="1" applyAlignment="1" applyProtection="1">
      <alignment horizontal="left" vertical="center" wrapText="1"/>
      <protection locked="0"/>
    </xf>
    <xf numFmtId="0" fontId="0" fillId="0" borderId="0" xfId="0" applyFont="1" applyBorder="1" applyAlignment="1">
      <alignment vertical="center" wrapText="1"/>
    </xf>
    <xf numFmtId="0" fontId="19" fillId="0" borderId="0" xfId="0" applyFont="1" applyBorder="1" applyAlignment="1">
      <alignment horizontal="left" vertical="top" wrapText="1"/>
    </xf>
    <xf numFmtId="0" fontId="1" fillId="2" borderId="3" xfId="0" applyFont="1" applyFill="1" applyBorder="1" applyAlignment="1" applyProtection="1">
      <alignment vertical="center" wrapText="1"/>
    </xf>
    <xf numFmtId="0" fontId="6" fillId="0" borderId="4" xfId="0" applyFont="1" applyBorder="1" applyAlignment="1">
      <alignment wrapText="1"/>
    </xf>
    <xf numFmtId="0" fontId="6" fillId="0" borderId="1" xfId="0" applyFont="1" applyFill="1" applyBorder="1" applyAlignment="1">
      <alignment wrapText="1"/>
    </xf>
    <xf numFmtId="0" fontId="6" fillId="0" borderId="2" xfId="0" applyFont="1" applyFill="1" applyBorder="1" applyAlignment="1">
      <alignment wrapText="1"/>
    </xf>
    <xf numFmtId="9" fontId="6" fillId="0" borderId="3" xfId="2" applyFont="1" applyFill="1" applyBorder="1" applyAlignment="1" applyProtection="1">
      <alignment horizontal="center" vertical="center" wrapText="1"/>
      <protection locked="0"/>
    </xf>
    <xf numFmtId="165" fontId="6" fillId="0" borderId="3" xfId="1" applyFont="1" applyFill="1" applyBorder="1" applyAlignment="1" applyProtection="1">
      <alignment horizontal="center" vertical="center" wrapText="1"/>
      <protection locked="0"/>
    </xf>
    <xf numFmtId="165" fontId="6" fillId="0" borderId="3" xfId="1" applyNumberFormat="1" applyFont="1" applyFill="1" applyBorder="1" applyAlignment="1" applyProtection="1">
      <alignment horizontal="center" vertical="center" wrapText="1"/>
      <protection locked="0"/>
    </xf>
    <xf numFmtId="165" fontId="6" fillId="0" borderId="3" xfId="1" applyNumberFormat="1" applyFont="1" applyFill="1" applyBorder="1" applyAlignment="1" applyProtection="1">
      <alignment horizontal="center" vertical="center" wrapText="1"/>
    </xf>
    <xf numFmtId="49" fontId="6" fillId="0" borderId="3" xfId="1" applyNumberFormat="1" applyFont="1" applyFill="1" applyBorder="1" applyAlignment="1" applyProtection="1">
      <alignment horizontal="left" wrapText="1"/>
      <protection locked="0"/>
    </xf>
    <xf numFmtId="164" fontId="22" fillId="0" borderId="3" xfId="0" applyNumberFormat="1" applyFont="1" applyFill="1" applyBorder="1" applyAlignment="1">
      <alignment horizontal="right" vertical="center" wrapText="1"/>
    </xf>
    <xf numFmtId="165" fontId="1" fillId="0" borderId="3" xfId="1" applyFont="1" applyFill="1" applyBorder="1" applyAlignment="1" applyProtection="1">
      <alignment horizontal="center" vertical="center" wrapText="1"/>
      <protection locked="0"/>
    </xf>
    <xf numFmtId="165" fontId="24" fillId="0" borderId="3" xfId="1" applyFont="1" applyFill="1" applyBorder="1" applyAlignment="1" applyProtection="1">
      <alignment horizontal="center" vertical="center" wrapText="1"/>
      <protection locked="0"/>
    </xf>
    <xf numFmtId="165" fontId="2" fillId="3" borderId="0" xfId="1" applyFont="1" applyFill="1" applyBorder="1" applyAlignment="1" applyProtection="1">
      <alignment wrapText="1"/>
    </xf>
    <xf numFmtId="165" fontId="2" fillId="3" borderId="0" xfId="1" applyNumberFormat="1" applyFont="1" applyFill="1" applyBorder="1" applyAlignment="1">
      <alignment wrapText="1"/>
    </xf>
    <xf numFmtId="165" fontId="2" fillId="3" borderId="0" xfId="0" applyNumberFormat="1" applyFont="1" applyFill="1" applyBorder="1" applyAlignment="1">
      <alignment wrapText="1"/>
    </xf>
    <xf numFmtId="0" fontId="2" fillId="9" borderId="3" xfId="0" applyFont="1" applyFill="1" applyBorder="1" applyAlignment="1" applyProtection="1">
      <alignment vertical="center" wrapText="1"/>
    </xf>
    <xf numFmtId="165" fontId="2" fillId="9" borderId="5" xfId="1" applyNumberFormat="1" applyFont="1" applyFill="1" applyBorder="1" applyAlignment="1" applyProtection="1">
      <alignment horizontal="center" vertical="center" wrapText="1"/>
    </xf>
    <xf numFmtId="165" fontId="2" fillId="9" borderId="3" xfId="1" applyFont="1" applyFill="1" applyBorder="1" applyAlignment="1" applyProtection="1">
      <alignment horizontal="center" vertical="center" wrapText="1"/>
    </xf>
    <xf numFmtId="165" fontId="21" fillId="9" borderId="3" xfId="0" applyNumberFormat="1" applyFont="1" applyFill="1" applyBorder="1" applyAlignment="1">
      <alignment horizontal="center" vertical="center" wrapText="1"/>
    </xf>
    <xf numFmtId="165" fontId="2" fillId="9" borderId="3" xfId="1" applyNumberFormat="1" applyFont="1" applyFill="1" applyBorder="1" applyAlignment="1" applyProtection="1">
      <alignment horizontal="center" vertical="center" wrapText="1"/>
    </xf>
    <xf numFmtId="165" fontId="6" fillId="9" borderId="3" xfId="1" applyNumberFormat="1" applyFont="1" applyFill="1" applyBorder="1" applyAlignment="1" applyProtection="1">
      <alignment horizontal="center" vertical="center" wrapText="1"/>
      <protection locked="0"/>
    </xf>
    <xf numFmtId="165" fontId="6" fillId="9" borderId="3" xfId="1" applyNumberFormat="1" applyFont="1" applyFill="1" applyBorder="1" applyAlignment="1" applyProtection="1">
      <alignment horizontal="center" vertical="center" wrapText="1"/>
    </xf>
    <xf numFmtId="9" fontId="6" fillId="9" borderId="3" xfId="2" applyFont="1" applyFill="1" applyBorder="1" applyAlignment="1" applyProtection="1">
      <alignment horizontal="center" vertical="center" wrapText="1"/>
      <protection locked="0"/>
    </xf>
    <xf numFmtId="165" fontId="6" fillId="9" borderId="3" xfId="1" applyFont="1" applyFill="1" applyBorder="1" applyAlignment="1" applyProtection="1">
      <alignment horizontal="center" vertical="center" wrapText="1"/>
      <protection locked="0"/>
    </xf>
    <xf numFmtId="43" fontId="0" fillId="0" borderId="0" xfId="0" applyNumberFormat="1" applyFont="1" applyBorder="1" applyAlignment="1">
      <alignment wrapText="1"/>
    </xf>
    <xf numFmtId="165" fontId="6" fillId="3" borderId="3" xfId="1" applyFont="1" applyFill="1" applyBorder="1" applyAlignment="1" applyProtection="1">
      <alignment horizontal="center" vertical="center" wrapText="1"/>
      <protection locked="0"/>
    </xf>
    <xf numFmtId="0" fontId="6" fillId="0" borderId="3" xfId="0" applyFont="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3" xfId="0" applyFont="1" applyFill="1" applyBorder="1" applyAlignment="1">
      <alignment horizontal="left" vertical="center" wrapText="1"/>
    </xf>
    <xf numFmtId="0" fontId="1" fillId="9" borderId="3" xfId="0" applyFont="1" applyFill="1" applyBorder="1" applyAlignment="1" applyProtection="1">
      <alignment horizontal="left" vertical="center" wrapText="1"/>
      <protection locked="0"/>
    </xf>
    <xf numFmtId="165" fontId="2" fillId="2" borderId="54" xfId="1" applyFont="1" applyFill="1" applyBorder="1" applyAlignment="1" applyProtection="1">
      <alignment vertical="center" wrapText="1"/>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5" fontId="2" fillId="2" borderId="31" xfId="1" applyFont="1" applyFill="1" applyBorder="1" applyAlignment="1" applyProtection="1">
      <alignment horizontal="center" vertical="center" wrapText="1"/>
    </xf>
    <xf numFmtId="165"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49" fontId="23" fillId="3" borderId="3" xfId="0" applyNumberFormat="1" applyFont="1" applyFill="1" applyBorder="1" applyAlignment="1" applyProtection="1">
      <alignment horizontal="left" vertical="center" wrapText="1"/>
      <protection locked="0"/>
    </xf>
    <xf numFmtId="165" fontId="23" fillId="3" borderId="3" xfId="1" applyFont="1" applyFill="1" applyBorder="1" applyAlignment="1" applyProtection="1">
      <alignment horizontal="left" vertical="center"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5" fontId="4" fillId="6" borderId="25" xfId="1" applyFont="1" applyFill="1" applyBorder="1" applyAlignment="1">
      <alignment horizontal="left" wrapText="1"/>
    </xf>
    <xf numFmtId="0" fontId="4" fillId="6" borderId="20" xfId="0" applyFont="1" applyFill="1" applyBorder="1" applyAlignment="1">
      <alignment horizontal="left" wrapText="1"/>
    </xf>
    <xf numFmtId="0" fontId="23" fillId="3" borderId="3" xfId="0" applyNumberFormat="1" applyFont="1" applyFill="1" applyBorder="1" applyAlignment="1" applyProtection="1">
      <alignment horizontal="left" vertical="center"/>
      <protection locked="0"/>
    </xf>
    <xf numFmtId="165" fontId="23" fillId="3" borderId="3" xfId="1"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wrapText="1"/>
      <protection locked="0"/>
    </xf>
    <xf numFmtId="165" fontId="1" fillId="3" borderId="3" xfId="1"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165" fontId="6" fillId="3" borderId="3" xfId="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protection locked="0"/>
    </xf>
    <xf numFmtId="165" fontId="1" fillId="3" borderId="3" xfId="1"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wrapText="1"/>
      <protection locked="0"/>
    </xf>
    <xf numFmtId="165" fontId="1" fillId="0" borderId="3" xfId="1" applyFont="1" applyFill="1" applyBorder="1" applyAlignment="1" applyProtection="1">
      <alignment horizontal="left" vertical="center"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1" fillId="3" borderId="3" xfId="0" applyNumberFormat="1" applyFont="1" applyFill="1" applyBorder="1" applyAlignment="1" applyProtection="1">
      <alignment horizontal="left" vertical="center" wrapText="1"/>
      <protection locked="0"/>
    </xf>
    <xf numFmtId="49" fontId="6" fillId="3" borderId="3" xfId="0" applyNumberFormat="1" applyFont="1" applyFill="1" applyBorder="1" applyAlignment="1" applyProtection="1">
      <alignment horizontal="left" vertical="center" wrapText="1"/>
      <protection locked="0"/>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2"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1" xfId="0" applyFont="1" applyFill="1" applyBorder="1" applyAlignment="1">
      <alignment horizontal="left" wrapText="1"/>
    </xf>
    <xf numFmtId="0" fontId="2" fillId="6" borderId="26" xfId="0" applyFont="1" applyFill="1" applyBorder="1" applyAlignment="1">
      <alignment horizontal="center" wrapText="1"/>
    </xf>
    <xf numFmtId="0" fontId="2" fillId="6" borderId="27" xfId="0" applyFont="1" applyFill="1" applyBorder="1" applyAlignment="1">
      <alignment horizontal="center" wrapText="1"/>
    </xf>
    <xf numFmtId="0" fontId="2" fillId="6" borderId="21" xfId="0" applyFont="1" applyFill="1" applyBorder="1" applyAlignment="1">
      <alignment horizontal="center" wrapText="1"/>
    </xf>
    <xf numFmtId="165" fontId="3" fillId="2" borderId="4" xfId="0" applyNumberFormat="1" applyFont="1" applyFill="1" applyBorder="1" applyAlignment="1">
      <alignment horizontal="center"/>
    </xf>
    <xf numFmtId="165" fontId="3" fillId="2" borderId="36" xfId="0" applyNumberFormat="1" applyFont="1" applyFill="1" applyBorder="1" applyAlignment="1">
      <alignment horizontal="center"/>
    </xf>
    <xf numFmtId="0" fontId="3" fillId="2" borderId="44" xfId="0" applyFont="1" applyFill="1" applyBorder="1" applyAlignment="1">
      <alignment horizontal="left"/>
    </xf>
    <xf numFmtId="0" fontId="3" fillId="2" borderId="45" xfId="0" applyFont="1" applyFill="1" applyBorder="1" applyAlignment="1">
      <alignment horizontal="left"/>
    </xf>
    <xf numFmtId="0" fontId="3" fillId="2" borderId="46" xfId="0" applyFont="1" applyFill="1" applyBorder="1" applyAlignment="1">
      <alignment horizontal="left"/>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0" fillId="2" borderId="51" xfId="0" applyNumberFormat="1" applyFill="1" applyBorder="1" applyAlignment="1">
      <alignment horizontal="center" wrapText="1"/>
    </xf>
    <xf numFmtId="165" fontId="3" fillId="2" borderId="47" xfId="0" applyNumberFormat="1" applyFont="1" applyFill="1" applyBorder="1" applyAlignment="1">
      <alignment horizontal="center"/>
    </xf>
    <xf numFmtId="165" fontId="3" fillId="2" borderId="48" xfId="0" applyNumberFormat="1" applyFont="1" applyFill="1" applyBorder="1" applyAlignment="1">
      <alignment horizontal="center"/>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49" fontId="0" fillId="2" borderId="51"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A7A7"/>
      <color rgb="FFFF979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N110"/>
  <sheetViews>
    <sheetView showGridLines="0" showZeros="0" topLeftCell="C1" zoomScale="70" zoomScaleNormal="70" workbookViewId="0">
      <pane ySplit="1" topLeftCell="A85" activePane="bottomLeft" state="frozen"/>
      <selection pane="bottomLeft" activeCell="I87" sqref="I87"/>
    </sheetView>
  </sheetViews>
  <sheetFormatPr defaultColWidth="9.140625" defaultRowHeight="15" x14ac:dyDescent="0.25"/>
  <cols>
    <col min="1" max="1" width="9.140625" style="44"/>
    <col min="2" max="2" width="30.7109375" style="44" customWidth="1"/>
    <col min="3" max="3" width="45.42578125" style="44" customWidth="1"/>
    <col min="4" max="9" width="23.140625" style="44" customWidth="1"/>
    <col min="10" max="10" width="22.42578125" style="44" customWidth="1"/>
    <col min="11" max="11" width="22.42578125" style="185" customWidth="1"/>
    <col min="12" max="12" width="30.28515625" style="44" customWidth="1"/>
    <col min="13" max="13" width="18.85546875" style="44" customWidth="1"/>
    <col min="14" max="14" width="13.140625" style="44" bestFit="1" customWidth="1"/>
    <col min="15" max="15" width="17.7109375" style="44" customWidth="1"/>
    <col min="16" max="16" width="26.42578125" style="44" customWidth="1"/>
    <col min="17" max="17" width="22.42578125" style="44" customWidth="1"/>
    <col min="18" max="18" width="29.7109375" style="44" customWidth="1"/>
    <col min="19" max="19" width="23.42578125" style="44" customWidth="1"/>
    <col min="20" max="20" width="18.42578125" style="44" customWidth="1"/>
    <col min="21" max="21" width="17.42578125" style="44" customWidth="1"/>
    <col min="22" max="22" width="25.140625" style="44" customWidth="1"/>
    <col min="23" max="16384" width="9.140625" style="44"/>
  </cols>
  <sheetData>
    <row r="2" spans="2:14" ht="47.25" customHeight="1" x14ac:dyDescent="0.7">
      <c r="B2" s="276" t="s">
        <v>420</v>
      </c>
      <c r="C2" s="276"/>
      <c r="D2" s="276"/>
      <c r="E2" s="276"/>
      <c r="F2" s="42"/>
      <c r="G2" s="42"/>
      <c r="H2" s="42"/>
      <c r="I2" s="42"/>
      <c r="J2" s="43"/>
      <c r="K2" s="184"/>
      <c r="L2" s="43"/>
    </row>
    <row r="3" spans="2:14" ht="15.75" x14ac:dyDescent="0.25">
      <c r="B3" s="47"/>
    </row>
    <row r="4" spans="2:14" ht="16.5" thickBot="1" x14ac:dyDescent="0.3">
      <c r="B4" s="47"/>
    </row>
    <row r="5" spans="2:14" ht="36.75" customHeight="1" x14ac:dyDescent="0.55000000000000004">
      <c r="B5" s="129" t="s">
        <v>14</v>
      </c>
      <c r="C5" s="130"/>
      <c r="D5" s="130"/>
      <c r="E5" s="130"/>
      <c r="F5" s="130"/>
      <c r="G5" s="130"/>
      <c r="H5" s="130"/>
      <c r="I5" s="130"/>
      <c r="J5" s="131"/>
      <c r="K5" s="186"/>
      <c r="L5" s="132"/>
    </row>
    <row r="6" spans="2:14" ht="175.5" customHeight="1" thickBot="1" x14ac:dyDescent="0.4">
      <c r="B6" s="262" t="s">
        <v>441</v>
      </c>
      <c r="C6" s="263"/>
      <c r="D6" s="263"/>
      <c r="E6" s="263"/>
      <c r="F6" s="263"/>
      <c r="G6" s="263"/>
      <c r="H6" s="263"/>
      <c r="I6" s="263"/>
      <c r="J6" s="263"/>
      <c r="K6" s="264"/>
      <c r="L6" s="265"/>
    </row>
    <row r="7" spans="2:14" x14ac:dyDescent="0.25">
      <c r="B7" s="48"/>
    </row>
    <row r="8" spans="2:14" ht="15.75" thickBot="1" x14ac:dyDescent="0.3"/>
    <row r="9" spans="2:14" ht="27" customHeight="1" thickBot="1" x14ac:dyDescent="0.45">
      <c r="B9" s="277" t="s">
        <v>57</v>
      </c>
      <c r="C9" s="278"/>
      <c r="D9" s="278"/>
      <c r="E9" s="278"/>
      <c r="F9" s="278"/>
      <c r="G9" s="278"/>
      <c r="H9" s="278"/>
      <c r="I9" s="278"/>
      <c r="J9" s="279"/>
      <c r="K9" s="197"/>
    </row>
    <row r="11" spans="2:14" ht="25.5" customHeight="1" x14ac:dyDescent="0.25">
      <c r="D11" s="49"/>
      <c r="E11" s="49"/>
      <c r="F11" s="49"/>
      <c r="G11" s="49"/>
      <c r="H11" s="49"/>
      <c r="I11" s="49"/>
      <c r="J11" s="46"/>
      <c r="K11" s="187"/>
      <c r="L11" s="45"/>
      <c r="M11" s="45"/>
    </row>
    <row r="12" spans="2:14" ht="99.75" customHeight="1" x14ac:dyDescent="0.25">
      <c r="B12" s="55" t="s">
        <v>435</v>
      </c>
      <c r="C12" s="55" t="s">
        <v>436</v>
      </c>
      <c r="D12" s="55" t="s">
        <v>437</v>
      </c>
      <c r="E12" s="55" t="s">
        <v>438</v>
      </c>
      <c r="F12" s="55" t="s">
        <v>439</v>
      </c>
      <c r="G12" s="198" t="s">
        <v>466</v>
      </c>
      <c r="H12" s="198" t="s">
        <v>467</v>
      </c>
      <c r="I12" s="113" t="s">
        <v>40</v>
      </c>
      <c r="J12" s="55" t="s">
        <v>440</v>
      </c>
      <c r="K12" s="198" t="s">
        <v>445</v>
      </c>
      <c r="L12" s="55" t="s">
        <v>19</v>
      </c>
      <c r="M12" s="54"/>
    </row>
    <row r="13" spans="2:14" ht="18.75" customHeight="1" x14ac:dyDescent="0.25">
      <c r="B13" s="55"/>
      <c r="C13" s="55"/>
      <c r="D13" s="83" t="s">
        <v>468</v>
      </c>
      <c r="E13" s="83" t="s">
        <v>470</v>
      </c>
      <c r="F13" s="83" t="s">
        <v>469</v>
      </c>
      <c r="G13" s="83" t="s">
        <v>471</v>
      </c>
      <c r="H13" s="83" t="s">
        <v>472</v>
      </c>
      <c r="I13" s="113"/>
      <c r="J13" s="55"/>
      <c r="K13" s="188"/>
      <c r="L13" s="55"/>
      <c r="M13" s="54"/>
    </row>
    <row r="14" spans="2:14" ht="51" customHeight="1" x14ac:dyDescent="0.25">
      <c r="B14" s="110" t="s">
        <v>0</v>
      </c>
      <c r="C14" s="260" t="s">
        <v>464</v>
      </c>
      <c r="D14" s="260"/>
      <c r="E14" s="260"/>
      <c r="F14" s="260"/>
      <c r="G14" s="260"/>
      <c r="H14" s="260"/>
      <c r="I14" s="260"/>
      <c r="J14" s="260"/>
      <c r="K14" s="261"/>
      <c r="L14" s="260"/>
      <c r="M14" s="19"/>
    </row>
    <row r="15" spans="2:14" ht="51" customHeight="1" x14ac:dyDescent="0.25">
      <c r="B15" s="110" t="s">
        <v>1</v>
      </c>
      <c r="C15" s="280" t="s">
        <v>465</v>
      </c>
      <c r="D15" s="281"/>
      <c r="E15" s="281"/>
      <c r="F15" s="281"/>
      <c r="G15" s="281"/>
      <c r="H15" s="281"/>
      <c r="I15" s="281"/>
      <c r="J15" s="281"/>
      <c r="K15" s="271"/>
      <c r="L15" s="281"/>
      <c r="M15" s="57"/>
    </row>
    <row r="16" spans="2:14" ht="108.75" customHeight="1" x14ac:dyDescent="0.25">
      <c r="B16" s="163" t="s">
        <v>2</v>
      </c>
      <c r="C16" s="205" t="s">
        <v>451</v>
      </c>
      <c r="D16" s="20">
        <v>0</v>
      </c>
      <c r="E16" s="203">
        <v>0</v>
      </c>
      <c r="F16" s="203">
        <f>114490/1.07</f>
        <v>107000</v>
      </c>
      <c r="G16" s="20">
        <v>0</v>
      </c>
      <c r="H16" s="20">
        <v>0</v>
      </c>
      <c r="I16" s="146">
        <f>SUM(D16:H16)</f>
        <v>107000</v>
      </c>
      <c r="J16" s="144">
        <v>0.85</v>
      </c>
      <c r="K16" s="234">
        <v>73522</v>
      </c>
      <c r="L16" s="127"/>
      <c r="M16" s="58"/>
      <c r="N16" s="233"/>
    </row>
    <row r="17" spans="1:14" ht="105.75" customHeight="1" x14ac:dyDescent="0.25">
      <c r="B17" s="163" t="s">
        <v>3</v>
      </c>
      <c r="C17" s="235" t="s">
        <v>462</v>
      </c>
      <c r="D17" s="20">
        <v>0</v>
      </c>
      <c r="E17" s="203">
        <v>0</v>
      </c>
      <c r="F17" s="20">
        <v>0</v>
      </c>
      <c r="G17" s="203">
        <f>129869.01/1.07</f>
        <v>121372.90654205607</v>
      </c>
      <c r="H17" s="20">
        <v>0</v>
      </c>
      <c r="I17" s="146">
        <f>SUM(D17:H17)</f>
        <v>121372.90654205607</v>
      </c>
      <c r="J17" s="213">
        <v>0.74</v>
      </c>
      <c r="K17" s="214">
        <v>105301</v>
      </c>
      <c r="L17" s="127"/>
      <c r="M17" s="58"/>
      <c r="N17" s="233"/>
    </row>
    <row r="18" spans="1:14" ht="90.75" customHeight="1" x14ac:dyDescent="0.25">
      <c r="B18" s="163" t="s">
        <v>4</v>
      </c>
      <c r="C18" s="205" t="s">
        <v>452</v>
      </c>
      <c r="D18" s="20">
        <v>0</v>
      </c>
      <c r="E18" s="20">
        <v>0</v>
      </c>
      <c r="F18" s="20">
        <f>96300/1.07</f>
        <v>90000</v>
      </c>
      <c r="G18" s="20">
        <v>0</v>
      </c>
      <c r="H18" s="20">
        <v>0</v>
      </c>
      <c r="I18" s="146">
        <f>SUM(D18:H18)</f>
        <v>90000</v>
      </c>
      <c r="J18" s="213">
        <v>0.85</v>
      </c>
      <c r="K18" s="234">
        <v>86874.26</v>
      </c>
      <c r="L18" s="127"/>
      <c r="M18" s="58"/>
      <c r="N18" s="233"/>
    </row>
    <row r="19" spans="1:14" ht="77.25" customHeight="1" x14ac:dyDescent="0.25">
      <c r="B19" s="163" t="s">
        <v>33</v>
      </c>
      <c r="C19" s="235" t="s">
        <v>463</v>
      </c>
      <c r="D19" s="20">
        <v>0</v>
      </c>
      <c r="E19" s="20">
        <v>0</v>
      </c>
      <c r="F19" s="20"/>
      <c r="G19" s="203">
        <f>96300/1.07</f>
        <v>90000</v>
      </c>
      <c r="H19" s="20">
        <v>0</v>
      </c>
      <c r="I19" s="146">
        <f>SUM(D19:H19)</f>
        <v>90000</v>
      </c>
      <c r="J19" s="213">
        <v>0.28000000000000003</v>
      </c>
      <c r="K19" s="214">
        <v>62620</v>
      </c>
      <c r="L19" s="127"/>
      <c r="M19" s="58"/>
      <c r="N19" s="233"/>
    </row>
    <row r="20" spans="1:14" ht="15.75" x14ac:dyDescent="0.25">
      <c r="A20" s="45"/>
      <c r="C20" s="110" t="s">
        <v>56</v>
      </c>
      <c r="D20" s="22">
        <f t="shared" ref="D20:I20" si="0">SUM(D16:D19)</f>
        <v>0</v>
      </c>
      <c r="E20" s="22">
        <f t="shared" si="0"/>
        <v>0</v>
      </c>
      <c r="F20" s="22">
        <f t="shared" si="0"/>
        <v>197000</v>
      </c>
      <c r="G20" s="22">
        <f t="shared" si="0"/>
        <v>211372.90654205607</v>
      </c>
      <c r="H20" s="22">
        <f t="shared" si="0"/>
        <v>0</v>
      </c>
      <c r="I20" s="22">
        <f t="shared" si="0"/>
        <v>408372.90654205607</v>
      </c>
      <c r="J20" s="133">
        <f>(J16*I16)+(J17*I17)+(J18*I18)+(J19*I19)</f>
        <v>282465.95084112149</v>
      </c>
      <c r="K20" s="133">
        <f>SUM(K16:K19)</f>
        <v>328317.26</v>
      </c>
      <c r="L20" s="128"/>
      <c r="M20" s="60"/>
      <c r="N20" s="233"/>
    </row>
    <row r="21" spans="1:14" ht="51" customHeight="1" x14ac:dyDescent="0.25">
      <c r="A21" s="45"/>
      <c r="B21" s="110" t="s">
        <v>5</v>
      </c>
      <c r="C21" s="268" t="s">
        <v>493</v>
      </c>
      <c r="D21" s="268"/>
      <c r="E21" s="268"/>
      <c r="F21" s="268"/>
      <c r="G21" s="268"/>
      <c r="H21" s="268"/>
      <c r="I21" s="268"/>
      <c r="J21" s="268"/>
      <c r="K21" s="269"/>
      <c r="L21" s="268"/>
      <c r="M21" s="57"/>
    </row>
    <row r="22" spans="1:14" ht="54.75" customHeight="1" x14ac:dyDescent="0.25">
      <c r="A22" s="45"/>
      <c r="B22" s="163" t="s">
        <v>35</v>
      </c>
      <c r="C22" s="205" t="s">
        <v>473</v>
      </c>
      <c r="D22" s="20">
        <v>0</v>
      </c>
      <c r="E22" s="20">
        <v>0</v>
      </c>
      <c r="F22" s="20"/>
      <c r="G22" s="203">
        <f>136425/1.07</f>
        <v>127499.99999999999</v>
      </c>
      <c r="H22" s="20">
        <v>0</v>
      </c>
      <c r="I22" s="146">
        <f>SUM(D22:H22)</f>
        <v>127499.99999999999</v>
      </c>
      <c r="J22" s="213">
        <v>0.74</v>
      </c>
      <c r="K22" s="214">
        <v>122500</v>
      </c>
      <c r="L22" s="127"/>
      <c r="M22" s="58"/>
    </row>
    <row r="23" spans="1:14" ht="77.25" customHeight="1" x14ac:dyDescent="0.25">
      <c r="A23" s="45"/>
      <c r="B23" s="163" t="s">
        <v>36</v>
      </c>
      <c r="C23" s="205" t="s">
        <v>453</v>
      </c>
      <c r="D23" s="20">
        <v>0</v>
      </c>
      <c r="E23" s="20">
        <v>0</v>
      </c>
      <c r="F23" s="203">
        <f>90950/1.07</f>
        <v>85000</v>
      </c>
      <c r="G23" s="20">
        <v>0</v>
      </c>
      <c r="H23" s="20">
        <v>0</v>
      </c>
      <c r="I23" s="146">
        <f>SUM(D23:H23)</f>
        <v>85000</v>
      </c>
      <c r="J23" s="213">
        <v>0.85</v>
      </c>
      <c r="K23" s="234">
        <v>85650.27</v>
      </c>
      <c r="L23" s="127"/>
      <c r="M23" s="58"/>
    </row>
    <row r="24" spans="1:14" ht="54.75" customHeight="1" x14ac:dyDescent="0.25">
      <c r="A24" s="45"/>
      <c r="B24" s="163" t="s">
        <v>34</v>
      </c>
      <c r="C24" s="205" t="s">
        <v>474</v>
      </c>
      <c r="D24" s="20">
        <v>0</v>
      </c>
      <c r="E24" s="20">
        <v>0</v>
      </c>
      <c r="F24" s="20"/>
      <c r="G24" s="203">
        <f>90998.15/1.07</f>
        <v>85044.999999999985</v>
      </c>
      <c r="H24" s="20">
        <v>0</v>
      </c>
      <c r="I24" s="146">
        <f>SUM(D24:H24)</f>
        <v>85044.999999999985</v>
      </c>
      <c r="J24" s="213">
        <v>0.41</v>
      </c>
      <c r="K24" s="214">
        <v>65000</v>
      </c>
      <c r="L24" s="127"/>
      <c r="M24" s="58"/>
    </row>
    <row r="25" spans="1:14" ht="15.75" x14ac:dyDescent="0.25">
      <c r="A25" s="45"/>
      <c r="C25" s="110" t="s">
        <v>56</v>
      </c>
      <c r="D25" s="25">
        <f t="shared" ref="D25:I25" si="1">SUM(D22:D24)</f>
        <v>0</v>
      </c>
      <c r="E25" s="25">
        <f t="shared" si="1"/>
        <v>0</v>
      </c>
      <c r="F25" s="25">
        <f t="shared" si="1"/>
        <v>85000</v>
      </c>
      <c r="G25" s="25">
        <f t="shared" si="1"/>
        <v>212544.99999999997</v>
      </c>
      <c r="H25" s="25">
        <f t="shared" si="1"/>
        <v>0</v>
      </c>
      <c r="I25" s="25">
        <f t="shared" si="1"/>
        <v>297545</v>
      </c>
      <c r="J25" s="133">
        <f>(J22*I22)+(J23*I23)+(J24*I24)</f>
        <v>201468.44999999998</v>
      </c>
      <c r="K25" s="133">
        <f>SUM(K22:K24)</f>
        <v>273150.27</v>
      </c>
      <c r="L25" s="128"/>
      <c r="M25" s="60"/>
    </row>
    <row r="26" spans="1:14" ht="43.5" customHeight="1" x14ac:dyDescent="0.25">
      <c r="A26" s="45"/>
      <c r="B26" s="110" t="s">
        <v>6</v>
      </c>
      <c r="C26" s="268" t="s">
        <v>475</v>
      </c>
      <c r="D26" s="268"/>
      <c r="E26" s="268"/>
      <c r="F26" s="268"/>
      <c r="G26" s="268"/>
      <c r="H26" s="268"/>
      <c r="I26" s="268"/>
      <c r="J26" s="268"/>
      <c r="K26" s="269"/>
      <c r="L26" s="268"/>
      <c r="M26" s="57"/>
    </row>
    <row r="27" spans="1:14" s="207" customFormat="1" ht="96.75" customHeight="1" x14ac:dyDescent="0.25">
      <c r="A27" s="204"/>
      <c r="B27" s="163" t="s">
        <v>37</v>
      </c>
      <c r="C27" s="205" t="s">
        <v>454</v>
      </c>
      <c r="D27" s="20">
        <v>0</v>
      </c>
      <c r="E27" s="20">
        <v>0</v>
      </c>
      <c r="F27" s="20">
        <f>107000/1.07</f>
        <v>100000</v>
      </c>
      <c r="G27" s="20">
        <v>0</v>
      </c>
      <c r="H27" s="20">
        <v>0</v>
      </c>
      <c r="I27" s="146">
        <f>SUM(D27:H27)</f>
        <v>100000</v>
      </c>
      <c r="J27" s="144">
        <v>0.85</v>
      </c>
      <c r="K27" s="234">
        <v>93442.63</v>
      </c>
      <c r="L27" s="206"/>
      <c r="M27" s="58"/>
    </row>
    <row r="28" spans="1:14" s="207" customFormat="1" ht="66.75" customHeight="1" x14ac:dyDescent="0.25">
      <c r="A28" s="204"/>
      <c r="B28" s="163" t="s">
        <v>38</v>
      </c>
      <c r="C28" s="205" t="s">
        <v>455</v>
      </c>
      <c r="D28" s="20">
        <v>0</v>
      </c>
      <c r="E28" s="20">
        <v>0</v>
      </c>
      <c r="F28" s="20">
        <f>66813.19/1.07</f>
        <v>62442.233644859814</v>
      </c>
      <c r="G28" s="20">
        <f>21961.03/1.07</f>
        <v>20524.327102803734</v>
      </c>
      <c r="H28" s="20">
        <v>0</v>
      </c>
      <c r="I28" s="146">
        <f>SUM(D28:H28)</f>
        <v>82966.560747663549</v>
      </c>
      <c r="J28" s="213">
        <v>0.78</v>
      </c>
      <c r="K28" s="234">
        <v>64290</v>
      </c>
      <c r="L28" s="206"/>
      <c r="M28" s="58"/>
    </row>
    <row r="29" spans="1:14" ht="30.75" customHeight="1" x14ac:dyDescent="0.25">
      <c r="C29" s="110" t="s">
        <v>56</v>
      </c>
      <c r="D29" s="22">
        <f t="shared" ref="D29:I29" si="2">SUM(D27:D28)</f>
        <v>0</v>
      </c>
      <c r="E29" s="22">
        <f t="shared" si="2"/>
        <v>0</v>
      </c>
      <c r="F29" s="22">
        <f t="shared" si="2"/>
        <v>162442.23364485981</v>
      </c>
      <c r="G29" s="22">
        <f t="shared" si="2"/>
        <v>20524.327102803734</v>
      </c>
      <c r="H29" s="22">
        <f t="shared" si="2"/>
        <v>0</v>
      </c>
      <c r="I29" s="22">
        <f t="shared" si="2"/>
        <v>182966.56074766355</v>
      </c>
      <c r="J29" s="133">
        <f>(J27*I27)+(J28*I28)</f>
        <v>149713.91738317756</v>
      </c>
      <c r="K29" s="133">
        <f>SUM(K27:K28)</f>
        <v>157732.63</v>
      </c>
      <c r="L29" s="128"/>
      <c r="M29" s="60"/>
    </row>
    <row r="30" spans="1:14" ht="15.75" x14ac:dyDescent="0.25">
      <c r="B30" s="13"/>
      <c r="C30" s="14"/>
      <c r="D30" s="12"/>
      <c r="E30" s="12"/>
      <c r="F30" s="12"/>
      <c r="G30" s="12"/>
      <c r="H30" s="12"/>
      <c r="I30" s="12"/>
      <c r="J30" s="12"/>
      <c r="K30" s="12"/>
      <c r="L30" s="12"/>
      <c r="M30" s="59"/>
    </row>
    <row r="31" spans="1:14" ht="51" customHeight="1" x14ac:dyDescent="0.25">
      <c r="B31" s="110" t="s">
        <v>7</v>
      </c>
      <c r="C31" s="266" t="s">
        <v>456</v>
      </c>
      <c r="D31" s="266"/>
      <c r="E31" s="266"/>
      <c r="F31" s="266"/>
      <c r="G31" s="266"/>
      <c r="H31" s="266"/>
      <c r="I31" s="266"/>
      <c r="J31" s="266"/>
      <c r="K31" s="267"/>
      <c r="L31" s="266"/>
      <c r="M31" s="19"/>
    </row>
    <row r="32" spans="1:14" ht="51" customHeight="1" x14ac:dyDescent="0.25">
      <c r="B32" s="110" t="s">
        <v>42</v>
      </c>
      <c r="C32" s="268" t="s">
        <v>457</v>
      </c>
      <c r="D32" s="268"/>
      <c r="E32" s="268"/>
      <c r="F32" s="268"/>
      <c r="G32" s="268"/>
      <c r="H32" s="268"/>
      <c r="I32" s="268"/>
      <c r="J32" s="268"/>
      <c r="K32" s="269"/>
      <c r="L32" s="268"/>
      <c r="M32" s="57"/>
    </row>
    <row r="33" spans="1:13" ht="114" customHeight="1" x14ac:dyDescent="0.25">
      <c r="B33" s="163" t="s">
        <v>44</v>
      </c>
      <c r="C33" s="205" t="s">
        <v>494</v>
      </c>
      <c r="D33" s="20">
        <f>86794.6/1.07</f>
        <v>81116.448598130839</v>
      </c>
      <c r="E33" s="20">
        <v>0</v>
      </c>
      <c r="F33" s="20">
        <v>0</v>
      </c>
      <c r="G33" s="20">
        <v>0</v>
      </c>
      <c r="H33" s="20">
        <v>0</v>
      </c>
      <c r="I33" s="146">
        <f>SUM(D33:H33)</f>
        <v>81116.448598130839</v>
      </c>
      <c r="J33" s="213">
        <v>0.25</v>
      </c>
      <c r="K33" s="214">
        <v>55743.03</v>
      </c>
      <c r="L33" s="127"/>
      <c r="M33" s="58"/>
    </row>
    <row r="34" spans="1:13" ht="48.95" customHeight="1" x14ac:dyDescent="0.25">
      <c r="B34" s="163" t="s">
        <v>43</v>
      </c>
      <c r="C34" s="205" t="s">
        <v>495</v>
      </c>
      <c r="D34" s="20">
        <f>83384.94/1.07</f>
        <v>77929.850467289711</v>
      </c>
      <c r="E34" s="20">
        <v>0</v>
      </c>
      <c r="F34" s="20">
        <v>0</v>
      </c>
      <c r="G34" s="20">
        <v>0</v>
      </c>
      <c r="H34" s="20">
        <v>0</v>
      </c>
      <c r="I34" s="146">
        <f>SUM(D34:H34)</f>
        <v>77929.850467289711</v>
      </c>
      <c r="J34" s="213">
        <v>0.25</v>
      </c>
      <c r="K34" s="214">
        <f>43010.62+2842.92</f>
        <v>45853.54</v>
      </c>
      <c r="L34" s="127"/>
      <c r="M34" s="58"/>
    </row>
    <row r="35" spans="1:13" s="45" customFormat="1" ht="35.25" customHeight="1" x14ac:dyDescent="0.25">
      <c r="A35" s="44"/>
      <c r="B35" s="44"/>
      <c r="C35" s="110" t="s">
        <v>56</v>
      </c>
      <c r="D35" s="22">
        <f t="shared" ref="D35:I35" si="3">SUM(D33:D34)</f>
        <v>159046.29906542055</v>
      </c>
      <c r="E35" s="22">
        <f t="shared" si="3"/>
        <v>0</v>
      </c>
      <c r="F35" s="22">
        <f t="shared" si="3"/>
        <v>0</v>
      </c>
      <c r="G35" s="22">
        <f t="shared" si="3"/>
        <v>0</v>
      </c>
      <c r="H35" s="22">
        <f t="shared" si="3"/>
        <v>0</v>
      </c>
      <c r="I35" s="25">
        <f t="shared" si="3"/>
        <v>159046.29906542055</v>
      </c>
      <c r="J35" s="133">
        <f>(J33*I33)+(J34*I34)</f>
        <v>39761.574766355137</v>
      </c>
      <c r="K35" s="133">
        <f>SUM(K33:K34)</f>
        <v>101596.57</v>
      </c>
      <c r="L35" s="128"/>
      <c r="M35" s="60"/>
    </row>
    <row r="36" spans="1:13" ht="51" customHeight="1" x14ac:dyDescent="0.25">
      <c r="B36" s="110" t="s">
        <v>45</v>
      </c>
      <c r="C36" s="268" t="s">
        <v>458</v>
      </c>
      <c r="D36" s="270"/>
      <c r="E36" s="270"/>
      <c r="F36" s="270"/>
      <c r="G36" s="270"/>
      <c r="H36" s="270"/>
      <c r="I36" s="270"/>
      <c r="J36" s="270"/>
      <c r="K36" s="271"/>
      <c r="L36" s="270"/>
      <c r="M36" s="57"/>
    </row>
    <row r="37" spans="1:13" ht="90" customHeight="1" x14ac:dyDescent="0.25">
      <c r="B37" s="163" t="s">
        <v>46</v>
      </c>
      <c r="C37" s="236" t="s">
        <v>496</v>
      </c>
      <c r="D37" s="215">
        <f>85600/1.07</f>
        <v>80000</v>
      </c>
      <c r="E37" s="215">
        <v>0</v>
      </c>
      <c r="F37" s="215">
        <v>0</v>
      </c>
      <c r="G37" s="215">
        <v>0</v>
      </c>
      <c r="H37" s="215">
        <v>0</v>
      </c>
      <c r="I37" s="216">
        <f>SUM(D37:H37)</f>
        <v>80000</v>
      </c>
      <c r="J37" s="213">
        <v>0.45</v>
      </c>
      <c r="K37" s="214">
        <v>80000</v>
      </c>
      <c r="L37" s="217"/>
      <c r="M37" s="58"/>
    </row>
    <row r="38" spans="1:13" ht="61.5" customHeight="1" x14ac:dyDescent="0.25">
      <c r="B38" s="163" t="s">
        <v>47</v>
      </c>
      <c r="C38" s="236" t="s">
        <v>497</v>
      </c>
      <c r="D38" s="215">
        <f>67410/1.07</f>
        <v>62999.999999999993</v>
      </c>
      <c r="E38" s="215">
        <v>0</v>
      </c>
      <c r="F38" s="215">
        <v>0</v>
      </c>
      <c r="G38" s="215">
        <v>0</v>
      </c>
      <c r="H38" s="215">
        <v>0</v>
      </c>
      <c r="I38" s="216">
        <f>SUM(D38:H38)</f>
        <v>62999.999999999993</v>
      </c>
      <c r="J38" s="213">
        <v>0.45</v>
      </c>
      <c r="K38" s="214">
        <v>46000</v>
      </c>
      <c r="L38" s="217"/>
      <c r="M38" s="58"/>
    </row>
    <row r="39" spans="1:13" ht="67.5" customHeight="1" x14ac:dyDescent="0.25">
      <c r="B39" s="163" t="s">
        <v>48</v>
      </c>
      <c r="C39" s="236" t="s">
        <v>498</v>
      </c>
      <c r="D39" s="215">
        <f>369150/1.07</f>
        <v>345000</v>
      </c>
      <c r="E39" s="215">
        <v>0</v>
      </c>
      <c r="F39" s="215">
        <v>0</v>
      </c>
      <c r="G39" s="215">
        <v>0</v>
      </c>
      <c r="H39" s="215">
        <v>0</v>
      </c>
      <c r="I39" s="216">
        <f>SUM(D39:H39)</f>
        <v>345000</v>
      </c>
      <c r="J39" s="213">
        <v>0.45</v>
      </c>
      <c r="K39" s="214">
        <f>23849.05+70203.32+100000+58659.73</f>
        <v>252712.1</v>
      </c>
      <c r="L39" s="217"/>
      <c r="M39" s="58"/>
    </row>
    <row r="40" spans="1:13" ht="33.75" customHeight="1" x14ac:dyDescent="0.25">
      <c r="C40" s="224" t="s">
        <v>56</v>
      </c>
      <c r="D40" s="225">
        <f t="shared" ref="D40:I40" si="4">SUM(D37:D39)</f>
        <v>488000</v>
      </c>
      <c r="E40" s="225">
        <f t="shared" si="4"/>
        <v>0</v>
      </c>
      <c r="F40" s="225">
        <f t="shared" si="4"/>
        <v>0</v>
      </c>
      <c r="G40" s="225">
        <f t="shared" si="4"/>
        <v>0</v>
      </c>
      <c r="H40" s="225">
        <f t="shared" si="4"/>
        <v>0</v>
      </c>
      <c r="I40" s="225">
        <f t="shared" si="4"/>
        <v>488000</v>
      </c>
      <c r="J40" s="226">
        <f>(J37*I37)+(J38*I38)+(J39*I39)</f>
        <v>219600</v>
      </c>
      <c r="K40" s="227">
        <f>SUM(K37:K39)</f>
        <v>378712.1</v>
      </c>
      <c r="L40" s="217"/>
      <c r="M40" s="60"/>
    </row>
    <row r="41" spans="1:13" ht="51" customHeight="1" x14ac:dyDescent="0.25">
      <c r="B41" s="110" t="s">
        <v>49</v>
      </c>
      <c r="C41" s="268" t="s">
        <v>459</v>
      </c>
      <c r="D41" s="268"/>
      <c r="E41" s="268"/>
      <c r="F41" s="268"/>
      <c r="G41" s="268"/>
      <c r="H41" s="268"/>
      <c r="I41" s="268"/>
      <c r="J41" s="268"/>
      <c r="K41" s="269"/>
      <c r="L41" s="268"/>
      <c r="M41" s="57"/>
    </row>
    <row r="42" spans="1:13" ht="54.95" customHeight="1" x14ac:dyDescent="0.25">
      <c r="B42" s="163" t="s">
        <v>50</v>
      </c>
      <c r="C42" s="236" t="s">
        <v>499</v>
      </c>
      <c r="D42" s="215">
        <f>395019.39/1.07</f>
        <v>369177</v>
      </c>
      <c r="E42" s="215">
        <v>0</v>
      </c>
      <c r="F42" s="215">
        <v>0</v>
      </c>
      <c r="G42" s="215">
        <v>0</v>
      </c>
      <c r="H42" s="215">
        <v>0</v>
      </c>
      <c r="I42" s="216">
        <f>SUM(D42:H42)</f>
        <v>369177</v>
      </c>
      <c r="J42" s="213">
        <v>0.6</v>
      </c>
      <c r="K42" s="214">
        <f>325000+25000</f>
        <v>350000</v>
      </c>
      <c r="L42" s="217"/>
      <c r="M42" s="58"/>
    </row>
    <row r="43" spans="1:13" ht="72.95" customHeight="1" x14ac:dyDescent="0.25">
      <c r="B43" s="163" t="s">
        <v>51</v>
      </c>
      <c r="C43" s="236" t="s">
        <v>500</v>
      </c>
      <c r="D43" s="215">
        <f>355465.98/1.07</f>
        <v>332211.1962616822</v>
      </c>
      <c r="E43" s="215">
        <v>0</v>
      </c>
      <c r="F43" s="215">
        <v>0</v>
      </c>
      <c r="G43" s="215">
        <v>0</v>
      </c>
      <c r="H43" s="215">
        <v>0</v>
      </c>
      <c r="I43" s="216">
        <f>SUM(D43:H43)</f>
        <v>332211.1962616822</v>
      </c>
      <c r="J43" s="213">
        <v>0.5</v>
      </c>
      <c r="K43" s="219">
        <f>153515.25+150000</f>
        <v>303515.25</v>
      </c>
      <c r="L43" s="217"/>
      <c r="M43" s="58"/>
    </row>
    <row r="44" spans="1:13" ht="32.25" customHeight="1" x14ac:dyDescent="0.25">
      <c r="C44" s="224" t="s">
        <v>56</v>
      </c>
      <c r="D44" s="225">
        <f t="shared" ref="D44:I44" si="5">SUM(D42:D43)</f>
        <v>701388.1962616822</v>
      </c>
      <c r="E44" s="225">
        <f t="shared" si="5"/>
        <v>0</v>
      </c>
      <c r="F44" s="225">
        <f t="shared" si="5"/>
        <v>0</v>
      </c>
      <c r="G44" s="225">
        <f t="shared" si="5"/>
        <v>0</v>
      </c>
      <c r="H44" s="225">
        <f t="shared" si="5"/>
        <v>0</v>
      </c>
      <c r="I44" s="225">
        <f t="shared" si="5"/>
        <v>701388.1962616822</v>
      </c>
      <c r="J44" s="226">
        <f>(J42*I42)+(J43*I43)</f>
        <v>387611.79813084111</v>
      </c>
      <c r="K44" s="227">
        <f>SUM(K42:K43)</f>
        <v>653515.25</v>
      </c>
      <c r="L44" s="217"/>
      <c r="M44" s="60"/>
    </row>
    <row r="45" spans="1:13" ht="51" customHeight="1" x14ac:dyDescent="0.25">
      <c r="B45" s="110" t="s">
        <v>54</v>
      </c>
      <c r="C45" s="272" t="s">
        <v>476</v>
      </c>
      <c r="D45" s="272"/>
      <c r="E45" s="272"/>
      <c r="F45" s="272"/>
      <c r="G45" s="272"/>
      <c r="H45" s="272"/>
      <c r="I45" s="272"/>
      <c r="J45" s="272"/>
      <c r="K45" s="273"/>
      <c r="L45" s="272"/>
      <c r="M45" s="57"/>
    </row>
    <row r="46" spans="1:13" ht="60.6" customHeight="1" x14ac:dyDescent="0.25">
      <c r="B46" s="163" t="s">
        <v>52</v>
      </c>
      <c r="C46" s="237" t="s">
        <v>501</v>
      </c>
      <c r="D46" s="218">
        <v>0</v>
      </c>
      <c r="E46" s="215">
        <v>0</v>
      </c>
      <c r="F46" s="215">
        <v>0</v>
      </c>
      <c r="G46" s="215">
        <v>0</v>
      </c>
      <c r="H46" s="215">
        <v>125000</v>
      </c>
      <c r="I46" s="216">
        <f>SUM(D46:H46)</f>
        <v>125000</v>
      </c>
      <c r="J46" s="213">
        <v>0.3</v>
      </c>
      <c r="K46" s="214">
        <v>176557.72</v>
      </c>
      <c r="L46" s="217"/>
      <c r="M46" s="58"/>
    </row>
    <row r="47" spans="1:13" ht="55.5" customHeight="1" x14ac:dyDescent="0.25">
      <c r="B47" s="163" t="s">
        <v>53</v>
      </c>
      <c r="C47" s="237" t="s">
        <v>502</v>
      </c>
      <c r="D47" s="218">
        <v>0</v>
      </c>
      <c r="E47" s="215">
        <v>0</v>
      </c>
      <c r="F47" s="215">
        <v>0</v>
      </c>
      <c r="G47" s="215">
        <v>0</v>
      </c>
      <c r="H47" s="215">
        <v>144978.85999999999</v>
      </c>
      <c r="I47" s="216">
        <f>SUM(D47:H47)</f>
        <v>144978.85999999999</v>
      </c>
      <c r="J47" s="213">
        <v>0.35</v>
      </c>
      <c r="K47" s="214">
        <v>73417.94</v>
      </c>
      <c r="L47" s="217"/>
      <c r="M47" s="58"/>
    </row>
    <row r="48" spans="1:13" ht="35.25" customHeight="1" x14ac:dyDescent="0.25">
      <c r="C48" s="224" t="s">
        <v>56</v>
      </c>
      <c r="D48" s="228">
        <f t="shared" ref="D48:I48" si="6">SUM(D46:D47)</f>
        <v>0</v>
      </c>
      <c r="E48" s="228">
        <f t="shared" si="6"/>
        <v>0</v>
      </c>
      <c r="F48" s="228">
        <f t="shared" si="6"/>
        <v>0</v>
      </c>
      <c r="G48" s="228">
        <f t="shared" si="6"/>
        <v>0</v>
      </c>
      <c r="H48" s="228">
        <f t="shared" si="6"/>
        <v>269978.86</v>
      </c>
      <c r="I48" s="228">
        <f t="shared" si="6"/>
        <v>269978.86</v>
      </c>
      <c r="J48" s="226">
        <f>(J46*I46)+(J47*I47)</f>
        <v>88242.600999999995</v>
      </c>
      <c r="K48" s="227">
        <f>SUM(K46:K47)</f>
        <v>249975.66</v>
      </c>
      <c r="L48" s="217"/>
      <c r="M48" s="60"/>
    </row>
    <row r="49" spans="2:13" ht="15.75" customHeight="1" x14ac:dyDescent="0.25">
      <c r="B49" s="7"/>
      <c r="C49" s="5"/>
      <c r="D49" s="190"/>
      <c r="E49" s="190"/>
      <c r="F49" s="190"/>
      <c r="G49" s="190"/>
      <c r="H49" s="190"/>
      <c r="I49" s="190"/>
      <c r="J49" s="190"/>
      <c r="K49" s="190"/>
      <c r="L49" s="5"/>
      <c r="M49" s="4"/>
    </row>
    <row r="50" spans="2:13" ht="51" customHeight="1" x14ac:dyDescent="0.25">
      <c r="B50" s="110" t="s">
        <v>477</v>
      </c>
      <c r="C50" s="274" t="s">
        <v>478</v>
      </c>
      <c r="D50" s="274"/>
      <c r="E50" s="274"/>
      <c r="F50" s="274"/>
      <c r="G50" s="274"/>
      <c r="H50" s="274"/>
      <c r="I50" s="274"/>
      <c r="J50" s="274"/>
      <c r="K50" s="275"/>
      <c r="L50" s="274"/>
      <c r="M50" s="57"/>
    </row>
    <row r="51" spans="2:13" ht="141.75" customHeight="1" x14ac:dyDescent="0.25">
      <c r="B51" s="209" t="s">
        <v>479</v>
      </c>
      <c r="C51" s="236" t="s">
        <v>503</v>
      </c>
      <c r="D51" s="215"/>
      <c r="E51" s="215">
        <v>158000</v>
      </c>
      <c r="F51" s="215"/>
      <c r="G51" s="215"/>
      <c r="H51" s="215"/>
      <c r="I51" s="216">
        <f>SUM(D51:H51)</f>
        <v>158000</v>
      </c>
      <c r="J51" s="213">
        <v>1</v>
      </c>
      <c r="K51" s="219">
        <v>142395.26999999999</v>
      </c>
      <c r="L51" s="217"/>
      <c r="M51" s="58"/>
    </row>
    <row r="52" spans="2:13" ht="88.5" customHeight="1" x14ac:dyDescent="0.25">
      <c r="B52" s="209" t="s">
        <v>480</v>
      </c>
      <c r="C52" s="236" t="s">
        <v>504</v>
      </c>
      <c r="D52" s="215"/>
      <c r="E52" s="215">
        <v>30104.85</v>
      </c>
      <c r="F52" s="215"/>
      <c r="G52" s="215"/>
      <c r="H52" s="215"/>
      <c r="I52" s="216">
        <f>SUM(D52:H52)</f>
        <v>30104.85</v>
      </c>
      <c r="J52" s="213">
        <v>1</v>
      </c>
      <c r="K52" s="220">
        <v>30104.82</v>
      </c>
      <c r="L52" s="217"/>
      <c r="M52" s="58"/>
    </row>
    <row r="53" spans="2:13" ht="115.5" customHeight="1" x14ac:dyDescent="0.25">
      <c r="B53" s="209" t="s">
        <v>481</v>
      </c>
      <c r="C53" s="236" t="s">
        <v>505</v>
      </c>
      <c r="D53" s="215"/>
      <c r="E53" s="215">
        <v>60500</v>
      </c>
      <c r="F53" s="215"/>
      <c r="G53" s="215"/>
      <c r="H53" s="215"/>
      <c r="I53" s="216">
        <f>SUM(D53:H53)</f>
        <v>60500</v>
      </c>
      <c r="J53" s="213">
        <v>1</v>
      </c>
      <c r="K53" s="220">
        <v>50659.73</v>
      </c>
      <c r="L53" s="217"/>
      <c r="M53" s="58"/>
    </row>
    <row r="54" spans="2:13" ht="74.25" customHeight="1" x14ac:dyDescent="0.25">
      <c r="B54" s="209" t="s">
        <v>482</v>
      </c>
      <c r="C54" s="236" t="s">
        <v>506</v>
      </c>
      <c r="D54" s="215"/>
      <c r="E54" s="215">
        <v>15000</v>
      </c>
      <c r="F54" s="215"/>
      <c r="G54" s="215"/>
      <c r="H54" s="215"/>
      <c r="I54" s="216">
        <f>SUM(D54:H54)</f>
        <v>15000</v>
      </c>
      <c r="J54" s="213">
        <v>1</v>
      </c>
      <c r="K54" s="220">
        <v>15000</v>
      </c>
      <c r="L54" s="217"/>
      <c r="M54" s="58"/>
    </row>
    <row r="55" spans="2:13" ht="32.25" customHeight="1" x14ac:dyDescent="0.25">
      <c r="B55" s="209" t="s">
        <v>483</v>
      </c>
      <c r="C55" s="236" t="s">
        <v>507</v>
      </c>
      <c r="D55" s="215"/>
      <c r="E55" s="215">
        <v>6374</v>
      </c>
      <c r="F55" s="215"/>
      <c r="G55" s="215"/>
      <c r="H55" s="215"/>
      <c r="I55" s="216">
        <f>SUM(D55:H55)</f>
        <v>6374</v>
      </c>
      <c r="J55" s="213">
        <v>1</v>
      </c>
      <c r="K55" s="220">
        <v>6374</v>
      </c>
      <c r="L55" s="217"/>
      <c r="M55" s="58"/>
    </row>
    <row r="56" spans="2:13" ht="30.75" customHeight="1" x14ac:dyDescent="0.25">
      <c r="C56" s="224" t="s">
        <v>56</v>
      </c>
      <c r="D56" s="228">
        <f t="shared" ref="D56:I56" si="7">SUM(D51:D55)</f>
        <v>0</v>
      </c>
      <c r="E56" s="228">
        <f t="shared" si="7"/>
        <v>269978.84999999998</v>
      </c>
      <c r="F56" s="228">
        <f t="shared" si="7"/>
        <v>0</v>
      </c>
      <c r="G56" s="228">
        <f t="shared" si="7"/>
        <v>0</v>
      </c>
      <c r="H56" s="228">
        <f t="shared" si="7"/>
        <v>0</v>
      </c>
      <c r="I56" s="225">
        <f t="shared" si="7"/>
        <v>269978.84999999998</v>
      </c>
      <c r="J56" s="226">
        <f>(J51*I51)+(J52*I52)+(J53*I53)+(J54*I54)+(J55*I55)</f>
        <v>269978.84999999998</v>
      </c>
      <c r="K56" s="227">
        <f>SUM(K51:K55)</f>
        <v>244533.82</v>
      </c>
      <c r="L56" s="217"/>
      <c r="M56" s="60"/>
    </row>
    <row r="57" spans="2:13" ht="39.75" customHeight="1" x14ac:dyDescent="0.25">
      <c r="B57" s="110" t="s">
        <v>484</v>
      </c>
      <c r="C57" s="268" t="s">
        <v>508</v>
      </c>
      <c r="D57" s="270"/>
      <c r="E57" s="270"/>
      <c r="F57" s="270"/>
      <c r="G57" s="270"/>
      <c r="H57" s="270"/>
      <c r="I57" s="270"/>
      <c r="J57" s="270"/>
      <c r="K57" s="271"/>
      <c r="L57" s="270"/>
      <c r="M57" s="57"/>
    </row>
    <row r="58" spans="2:13" ht="44.45" customHeight="1" x14ac:dyDescent="0.25">
      <c r="B58" s="209" t="s">
        <v>485</v>
      </c>
      <c r="C58" s="236" t="s">
        <v>509</v>
      </c>
      <c r="D58" s="215">
        <v>43000</v>
      </c>
      <c r="E58" s="215">
        <v>0</v>
      </c>
      <c r="F58" s="215">
        <v>0</v>
      </c>
      <c r="G58" s="215">
        <v>0</v>
      </c>
      <c r="H58" s="215">
        <v>0</v>
      </c>
      <c r="I58" s="216">
        <f>SUM(D58:H58)</f>
        <v>43000</v>
      </c>
      <c r="J58" s="213">
        <v>0.5</v>
      </c>
      <c r="K58" s="214">
        <v>21189.86</v>
      </c>
      <c r="L58" s="217"/>
      <c r="M58" s="58"/>
    </row>
    <row r="59" spans="2:13" ht="29.25" customHeight="1" x14ac:dyDescent="0.25">
      <c r="C59" s="224" t="s">
        <v>56</v>
      </c>
      <c r="D59" s="225">
        <f t="shared" ref="D59:I59" si="8">SUM(D58:D58)</f>
        <v>43000</v>
      </c>
      <c r="E59" s="225">
        <f t="shared" si="8"/>
        <v>0</v>
      </c>
      <c r="F59" s="225">
        <f t="shared" si="8"/>
        <v>0</v>
      </c>
      <c r="G59" s="225">
        <f t="shared" si="8"/>
        <v>0</v>
      </c>
      <c r="H59" s="225">
        <f t="shared" si="8"/>
        <v>0</v>
      </c>
      <c r="I59" s="225">
        <f t="shared" si="8"/>
        <v>43000</v>
      </c>
      <c r="J59" s="226">
        <f>(J58*I58)</f>
        <v>21500</v>
      </c>
      <c r="K59" s="227">
        <f>SUM(K58:K58)</f>
        <v>21189.86</v>
      </c>
      <c r="L59" s="217"/>
      <c r="M59" s="60"/>
    </row>
    <row r="60" spans="2:13" ht="27.95" customHeight="1" x14ac:dyDescent="0.25">
      <c r="B60" s="110" t="s">
        <v>492</v>
      </c>
      <c r="C60" s="268" t="s">
        <v>460</v>
      </c>
      <c r="D60" s="270"/>
      <c r="E60" s="270"/>
      <c r="F60" s="270"/>
      <c r="G60" s="270"/>
      <c r="H60" s="270"/>
      <c r="I60" s="270"/>
      <c r="J60" s="270"/>
      <c r="K60" s="271"/>
      <c r="L60" s="270"/>
      <c r="M60" s="57"/>
    </row>
    <row r="61" spans="2:13" ht="32.1" customHeight="1" x14ac:dyDescent="0.25">
      <c r="B61" s="163" t="s">
        <v>55</v>
      </c>
      <c r="C61" s="238" t="s">
        <v>461</v>
      </c>
      <c r="D61" s="229">
        <v>287200</v>
      </c>
      <c r="E61" s="229"/>
      <c r="F61" s="229"/>
      <c r="G61" s="229"/>
      <c r="H61" s="229"/>
      <c r="I61" s="230">
        <f>SUM(D61:F61)</f>
        <v>287200</v>
      </c>
      <c r="J61" s="231">
        <v>0.75</v>
      </c>
      <c r="K61" s="232">
        <v>302000</v>
      </c>
      <c r="L61" s="217"/>
      <c r="M61" s="58"/>
    </row>
    <row r="62" spans="2:13" ht="15.75" customHeight="1" x14ac:dyDescent="0.25">
      <c r="B62" s="7"/>
      <c r="C62" s="13"/>
      <c r="D62" s="27"/>
      <c r="E62" s="27"/>
      <c r="F62" s="27"/>
      <c r="G62" s="27"/>
      <c r="H62" s="27"/>
      <c r="I62" s="27"/>
      <c r="J62" s="27"/>
      <c r="K62" s="27"/>
      <c r="L62" s="13"/>
      <c r="M62" s="4"/>
    </row>
    <row r="63" spans="2:13" ht="63.75" customHeight="1" x14ac:dyDescent="0.25">
      <c r="B63" s="110" t="s">
        <v>427</v>
      </c>
      <c r="C63" s="18"/>
      <c r="D63" s="35"/>
      <c r="E63" s="35"/>
      <c r="F63" s="35"/>
      <c r="G63" s="35"/>
      <c r="H63" s="35"/>
      <c r="I63" s="134">
        <f>SUM(D63:F63)</f>
        <v>0</v>
      </c>
      <c r="J63" s="145"/>
      <c r="K63" s="35"/>
      <c r="L63" s="138"/>
      <c r="M63" s="60"/>
    </row>
    <row r="64" spans="2:13" ht="69.75" customHeight="1" x14ac:dyDescent="0.25">
      <c r="B64" s="110" t="s">
        <v>425</v>
      </c>
      <c r="C64" s="18"/>
      <c r="D64" s="35"/>
      <c r="E64" s="35"/>
      <c r="F64" s="35"/>
      <c r="G64" s="35"/>
      <c r="H64" s="35"/>
      <c r="I64" s="134">
        <f>SUM(D64:F64)</f>
        <v>0</v>
      </c>
      <c r="J64" s="145"/>
      <c r="K64" s="35"/>
      <c r="L64" s="138"/>
      <c r="M64" s="60"/>
    </row>
    <row r="65" spans="2:13" ht="57" customHeight="1" x14ac:dyDescent="0.25">
      <c r="B65" s="110" t="s">
        <v>428</v>
      </c>
      <c r="C65" s="139"/>
      <c r="D65" s="35"/>
      <c r="E65" s="35"/>
      <c r="F65" s="35"/>
      <c r="G65" s="35"/>
      <c r="H65" s="35"/>
      <c r="I65" s="134">
        <f>SUM(D65:F65)</f>
        <v>0</v>
      </c>
      <c r="J65" s="145"/>
      <c r="K65" s="35"/>
      <c r="L65" s="138"/>
      <c r="M65" s="60"/>
    </row>
    <row r="66" spans="2:13" ht="65.25" customHeight="1" x14ac:dyDescent="0.25">
      <c r="B66" s="140" t="s">
        <v>430</v>
      </c>
      <c r="C66" s="18"/>
      <c r="D66" s="35"/>
      <c r="E66" s="35"/>
      <c r="F66" s="35"/>
      <c r="G66" s="35"/>
      <c r="H66" s="35"/>
      <c r="I66" s="134">
        <f>SUM(D66:F66)</f>
        <v>0</v>
      </c>
      <c r="J66" s="145"/>
      <c r="K66" s="35"/>
      <c r="L66" s="138"/>
      <c r="M66" s="60"/>
    </row>
    <row r="67" spans="2:13" ht="21.75" customHeight="1" x14ac:dyDescent="0.25">
      <c r="B67" s="7"/>
      <c r="C67" s="141" t="s">
        <v>426</v>
      </c>
      <c r="D67" s="147">
        <f t="shared" ref="D67:I67" si="9">SUM(D63:D66)</f>
        <v>0</v>
      </c>
      <c r="E67" s="147">
        <f t="shared" si="9"/>
        <v>0</v>
      </c>
      <c r="F67" s="147">
        <f t="shared" si="9"/>
        <v>0</v>
      </c>
      <c r="G67" s="147">
        <f t="shared" si="9"/>
        <v>0</v>
      </c>
      <c r="H67" s="147">
        <f t="shared" si="9"/>
        <v>0</v>
      </c>
      <c r="I67" s="147">
        <f t="shared" si="9"/>
        <v>0</v>
      </c>
      <c r="J67" s="133">
        <f>(J63*I63)+(J64*I64)+(J65*I65)+(J66*I66)</f>
        <v>0</v>
      </c>
      <c r="K67" s="194">
        <f>SUM(K63:K66)</f>
        <v>0</v>
      </c>
      <c r="L67" s="18"/>
      <c r="M67" s="16"/>
    </row>
    <row r="68" spans="2:13" ht="15.75" customHeight="1" x14ac:dyDescent="0.25">
      <c r="B68" s="7"/>
      <c r="C68" s="13"/>
      <c r="D68" s="27"/>
      <c r="E68" s="27"/>
      <c r="F68" s="27"/>
      <c r="G68" s="27"/>
      <c r="H68" s="27"/>
      <c r="I68" s="27"/>
      <c r="J68" s="27"/>
      <c r="K68" s="27"/>
      <c r="L68" s="13"/>
      <c r="M68" s="16"/>
    </row>
    <row r="69" spans="2:13" ht="15.75" customHeight="1" x14ac:dyDescent="0.25">
      <c r="B69" s="7"/>
      <c r="C69" s="13"/>
      <c r="D69" s="27"/>
      <c r="E69" s="27"/>
      <c r="F69" s="27"/>
      <c r="G69" s="27"/>
      <c r="H69" s="27"/>
      <c r="I69" s="27"/>
      <c r="J69" s="27"/>
      <c r="K69" s="27"/>
      <c r="L69" s="13"/>
      <c r="M69" s="16"/>
    </row>
    <row r="70" spans="2:13" ht="15.75" customHeight="1" x14ac:dyDescent="0.25">
      <c r="B70" s="7"/>
      <c r="C70" s="13"/>
      <c r="D70" s="27"/>
      <c r="E70" s="27"/>
      <c r="F70" s="27"/>
      <c r="G70" s="27"/>
      <c r="H70" s="27"/>
      <c r="I70" s="27"/>
      <c r="J70" s="27"/>
      <c r="K70" s="27"/>
      <c r="L70" s="13"/>
      <c r="M70" s="16"/>
    </row>
    <row r="71" spans="2:13" ht="15.75" customHeight="1" x14ac:dyDescent="0.25">
      <c r="B71" s="7"/>
      <c r="C71" s="13"/>
      <c r="D71" s="27"/>
      <c r="E71" s="27"/>
      <c r="F71" s="27"/>
      <c r="G71" s="27"/>
      <c r="H71" s="27"/>
      <c r="I71" s="27"/>
      <c r="J71" s="27"/>
      <c r="K71" s="27"/>
      <c r="L71" s="13"/>
      <c r="M71" s="16"/>
    </row>
    <row r="72" spans="2:13" ht="15.75" customHeight="1" x14ac:dyDescent="0.25">
      <c r="B72" s="7"/>
      <c r="C72" s="13"/>
      <c r="D72" s="27"/>
      <c r="E72" s="27"/>
      <c r="F72" s="27"/>
      <c r="G72" s="27"/>
      <c r="H72" s="27"/>
      <c r="I72" s="27"/>
      <c r="J72" s="27"/>
      <c r="K72" s="27"/>
      <c r="L72" s="13"/>
      <c r="M72" s="16"/>
    </row>
    <row r="73" spans="2:13" ht="15.75" customHeight="1" x14ac:dyDescent="0.25">
      <c r="B73" s="7"/>
      <c r="C73" s="13"/>
      <c r="D73" s="27"/>
      <c r="E73" s="27"/>
      <c r="F73" s="27"/>
      <c r="G73" s="27"/>
      <c r="H73" s="27"/>
      <c r="I73" s="27"/>
      <c r="J73" s="27"/>
      <c r="K73" s="27"/>
      <c r="L73" s="13"/>
      <c r="M73" s="16"/>
    </row>
    <row r="74" spans="2:13" ht="15.75" customHeight="1" thickBot="1" x14ac:dyDescent="0.3">
      <c r="B74" s="7"/>
      <c r="C74" s="13"/>
      <c r="D74" s="27"/>
      <c r="E74" s="27"/>
      <c r="F74" s="27"/>
      <c r="G74" s="27"/>
      <c r="H74" s="27"/>
      <c r="I74" s="27"/>
      <c r="J74" s="27"/>
      <c r="K74" s="27"/>
      <c r="L74" s="13"/>
      <c r="M74" s="16"/>
    </row>
    <row r="75" spans="2:13" ht="15.75" x14ac:dyDescent="0.25">
      <c r="B75" s="7"/>
      <c r="C75" s="257" t="s">
        <v>18</v>
      </c>
      <c r="D75" s="258"/>
      <c r="E75" s="258"/>
      <c r="F75" s="258"/>
      <c r="G75" s="258"/>
      <c r="H75" s="258"/>
      <c r="I75" s="259"/>
      <c r="J75" s="16"/>
      <c r="K75" s="27"/>
      <c r="L75" s="16"/>
    </row>
    <row r="76" spans="2:13" ht="40.5" customHeight="1" x14ac:dyDescent="0.25">
      <c r="B76" s="7"/>
      <c r="C76" s="247"/>
      <c r="D76" s="133" t="s">
        <v>422</v>
      </c>
      <c r="E76" s="133" t="s">
        <v>423</v>
      </c>
      <c r="F76" s="133" t="s">
        <v>424</v>
      </c>
      <c r="G76" s="133" t="s">
        <v>486</v>
      </c>
      <c r="H76" s="133" t="s">
        <v>487</v>
      </c>
      <c r="I76" s="249" t="s">
        <v>40</v>
      </c>
      <c r="J76" s="13"/>
      <c r="K76" s="27"/>
      <c r="L76" s="16"/>
    </row>
    <row r="77" spans="2:13" ht="24.75" customHeight="1" x14ac:dyDescent="0.25">
      <c r="B77" s="7"/>
      <c r="C77" s="248"/>
      <c r="D77" s="123" t="str">
        <f>D13</f>
        <v>PNUD</v>
      </c>
      <c r="E77" s="123" t="str">
        <f>E13</f>
        <v>ONUMUJERES</v>
      </c>
      <c r="F77" s="123" t="str">
        <f>F13</f>
        <v>UNFPA</v>
      </c>
      <c r="G77" s="123" t="str">
        <f>G13</f>
        <v>UNICEF</v>
      </c>
      <c r="H77" s="123" t="str">
        <f>H13</f>
        <v>UNODC</v>
      </c>
      <c r="I77" s="250"/>
      <c r="J77" s="13"/>
      <c r="K77" s="27"/>
      <c r="L77" s="16"/>
    </row>
    <row r="78" spans="2:13" ht="41.25" customHeight="1" x14ac:dyDescent="0.25">
      <c r="B78" s="28"/>
      <c r="C78" s="135" t="s">
        <v>39</v>
      </c>
      <c r="D78" s="111">
        <f>SUM(D20,D25,D29,D35,D40,D44,D48,D56,D59,D61,D63,D64,D65,D66)</f>
        <v>1678634.4953271027</v>
      </c>
      <c r="E78" s="111">
        <f>SUM(E20,E25,E29,E35,E40,E44,E48,E56,E59,E63,E64,E65,E66)</f>
        <v>269978.84999999998</v>
      </c>
      <c r="F78" s="111">
        <f>SUM(F20,F25,F29,F35,F40,F44,F48,F56,F59,F63,F64,F65,F66)</f>
        <v>444442.23364485981</v>
      </c>
      <c r="G78" s="111">
        <f>SUM(G20,G25,G29,G35,G40,G44,G48,G56,G59,G63,G64,G65,G66)</f>
        <v>444442.23364485975</v>
      </c>
      <c r="H78" s="111">
        <f>SUM(H20,H25,H29,H35,H40,H44,H48,H56,H59,H63,H64,H65,H66)</f>
        <v>269978.86</v>
      </c>
      <c r="I78" s="136">
        <f>SUM(D78:H78)</f>
        <v>3107476.6726168222</v>
      </c>
      <c r="J78" s="13"/>
      <c r="K78" s="190"/>
      <c r="L78" s="17"/>
    </row>
    <row r="79" spans="2:13" ht="51.75" customHeight="1" x14ac:dyDescent="0.25">
      <c r="B79" s="5"/>
      <c r="C79" s="135" t="s">
        <v>8</v>
      </c>
      <c r="D79" s="111">
        <f>D78*0.07-0.01</f>
        <v>117504.4046728972</v>
      </c>
      <c r="E79" s="111">
        <f>E78*0.07-0.01</f>
        <v>18898.5095</v>
      </c>
      <c r="F79" s="111">
        <f t="shared" ref="F79:H79" si="10">F78*0.07</f>
        <v>31110.956355140188</v>
      </c>
      <c r="G79" s="111">
        <f t="shared" si="10"/>
        <v>31110.956355140184</v>
      </c>
      <c r="H79" s="111">
        <f t="shared" si="10"/>
        <v>18898.520199999999</v>
      </c>
      <c r="I79" s="136">
        <f>I78*0.07-0.03</f>
        <v>217523.33708317758</v>
      </c>
      <c r="J79" s="5"/>
      <c r="K79" s="190"/>
      <c r="L79" s="2"/>
    </row>
    <row r="80" spans="2:13" ht="51.75" customHeight="1" thickBot="1" x14ac:dyDescent="0.3">
      <c r="B80" s="5"/>
      <c r="C80" s="37" t="s">
        <v>40</v>
      </c>
      <c r="D80" s="116">
        <f t="shared" ref="D80:I80" si="11">SUM(D78:D79)</f>
        <v>1796138.9</v>
      </c>
      <c r="E80" s="116">
        <f t="shared" si="11"/>
        <v>288877.35949999996</v>
      </c>
      <c r="F80" s="116">
        <f t="shared" si="11"/>
        <v>475553.19</v>
      </c>
      <c r="G80" s="116">
        <f t="shared" si="11"/>
        <v>475553.18999999994</v>
      </c>
      <c r="H80" s="116">
        <f t="shared" si="11"/>
        <v>288877.38020000001</v>
      </c>
      <c r="I80" s="137">
        <f t="shared" si="11"/>
        <v>3325000.0096999998</v>
      </c>
      <c r="J80" s="5"/>
      <c r="L80" s="2"/>
    </row>
    <row r="81" spans="2:13" ht="42" customHeight="1" x14ac:dyDescent="0.25">
      <c r="B81" s="5"/>
      <c r="K81" s="191"/>
      <c r="L81" s="4"/>
      <c r="M81" s="2"/>
    </row>
    <row r="82" spans="2:13" s="45" customFormat="1" ht="29.25" customHeight="1" thickBot="1" x14ac:dyDescent="0.3">
      <c r="B82" s="13"/>
      <c r="C82" s="39"/>
      <c r="D82" s="40"/>
      <c r="E82" s="40"/>
      <c r="F82" s="40"/>
      <c r="G82" s="40"/>
      <c r="H82" s="40"/>
      <c r="I82" s="40"/>
      <c r="J82" s="40"/>
      <c r="K82" s="195"/>
      <c r="L82" s="16"/>
      <c r="M82" s="17"/>
    </row>
    <row r="83" spans="2:13" ht="23.25" customHeight="1" x14ac:dyDescent="0.25">
      <c r="B83" s="2"/>
      <c r="C83" s="241" t="s">
        <v>28</v>
      </c>
      <c r="D83" s="242"/>
      <c r="E83" s="243"/>
      <c r="F83" s="243"/>
      <c r="G83" s="243"/>
      <c r="H83" s="243"/>
      <c r="I83" s="243"/>
      <c r="J83" s="244"/>
      <c r="K83" s="195"/>
      <c r="L83" s="2"/>
      <c r="M83" s="46"/>
    </row>
    <row r="84" spans="2:13" ht="41.25" customHeight="1" x14ac:dyDescent="0.25">
      <c r="B84" s="2"/>
      <c r="C84" s="112"/>
      <c r="D84" s="113" t="s">
        <v>422</v>
      </c>
      <c r="E84" s="113" t="s">
        <v>423</v>
      </c>
      <c r="F84" s="113" t="s">
        <v>424</v>
      </c>
      <c r="G84" s="113" t="s">
        <v>486</v>
      </c>
      <c r="H84" s="113" t="s">
        <v>487</v>
      </c>
      <c r="I84" s="251" t="s">
        <v>40</v>
      </c>
      <c r="J84" s="253" t="s">
        <v>30</v>
      </c>
      <c r="K84" s="195"/>
      <c r="L84" s="2"/>
      <c r="M84" s="46"/>
    </row>
    <row r="85" spans="2:13" ht="27.75" customHeight="1" x14ac:dyDescent="0.25">
      <c r="B85" s="2"/>
      <c r="C85" s="112"/>
      <c r="D85" s="113" t="str">
        <f>D13</f>
        <v>PNUD</v>
      </c>
      <c r="E85" s="113" t="str">
        <f>E13</f>
        <v>ONUMUJERES</v>
      </c>
      <c r="F85" s="113" t="str">
        <f>F13</f>
        <v>UNFPA</v>
      </c>
      <c r="G85" s="113" t="str">
        <f>G13</f>
        <v>UNICEF</v>
      </c>
      <c r="H85" s="113" t="str">
        <f>H13</f>
        <v>UNODC</v>
      </c>
      <c r="I85" s="252"/>
      <c r="J85" s="254"/>
      <c r="K85" s="189"/>
      <c r="L85" s="2"/>
      <c r="M85" s="46"/>
    </row>
    <row r="86" spans="2:13" ht="55.5" customHeight="1" x14ac:dyDescent="0.25">
      <c r="B86" s="2"/>
      <c r="C86" s="36" t="s">
        <v>29</v>
      </c>
      <c r="D86" s="114">
        <f>$D$80*J86</f>
        <v>1257297.2299999997</v>
      </c>
      <c r="E86" s="115">
        <f>$E$80*J86</f>
        <v>202214.15164999996</v>
      </c>
      <c r="F86" s="115">
        <f>$F$80*J86</f>
        <v>332887.23300000001</v>
      </c>
      <c r="G86" s="115">
        <f>$G$80*J86</f>
        <v>332887.23299999995</v>
      </c>
      <c r="H86" s="115">
        <f>$H$80*J86</f>
        <v>202214.16613999999</v>
      </c>
      <c r="I86" s="115">
        <f>SUM(D86:H86)</f>
        <v>2327500.0137899993</v>
      </c>
      <c r="J86" s="155">
        <v>0.7</v>
      </c>
      <c r="K86" s="189"/>
      <c r="L86" s="2"/>
      <c r="M86" s="46"/>
    </row>
    <row r="87" spans="2:13" ht="57.75" customHeight="1" x14ac:dyDescent="0.25">
      <c r="B87" s="240"/>
      <c r="C87" s="142" t="s">
        <v>31</v>
      </c>
      <c r="D87" s="114">
        <f>$D$80*J87</f>
        <v>538841.66999999993</v>
      </c>
      <c r="E87" s="115">
        <f>$E$80*J87</f>
        <v>86663.207849999992</v>
      </c>
      <c r="F87" s="115">
        <f>$F$80*J87</f>
        <v>142665.95699999999</v>
      </c>
      <c r="G87" s="115">
        <f>$G$80*J87</f>
        <v>142665.95699999997</v>
      </c>
      <c r="H87" s="115">
        <f>$H$80*J87</f>
        <v>86663.214059999998</v>
      </c>
      <c r="I87" s="143">
        <f>SUM(D87:H87)</f>
        <v>997500.00590999995</v>
      </c>
      <c r="J87" s="156">
        <v>0.3</v>
      </c>
      <c r="K87" s="192"/>
      <c r="L87" s="46"/>
      <c r="M87" s="46"/>
    </row>
    <row r="88" spans="2:13" ht="57.75" customHeight="1" x14ac:dyDescent="0.25">
      <c r="B88" s="240"/>
      <c r="C88" s="142" t="s">
        <v>434</v>
      </c>
      <c r="D88" s="114">
        <f>$D$80*J88</f>
        <v>0</v>
      </c>
      <c r="E88" s="115">
        <f>$E$80*J88</f>
        <v>0</v>
      </c>
      <c r="F88" s="115">
        <f>$F$80*J88</f>
        <v>0</v>
      </c>
      <c r="G88" s="115">
        <f>$G$80*J88</f>
        <v>0</v>
      </c>
      <c r="H88" s="115">
        <f>$H$80*J88</f>
        <v>0</v>
      </c>
      <c r="I88" s="143">
        <f>SUM(D88:F88)</f>
        <v>0</v>
      </c>
      <c r="J88" s="157">
        <v>0</v>
      </c>
      <c r="K88" s="196"/>
      <c r="L88" s="46"/>
      <c r="M88" s="46"/>
    </row>
    <row r="89" spans="2:13" ht="38.25" customHeight="1" thickBot="1" x14ac:dyDescent="0.3">
      <c r="B89" s="240"/>
      <c r="C89" s="37" t="s">
        <v>429</v>
      </c>
      <c r="D89" s="116">
        <f>SUM(D86:D88)</f>
        <v>1796138.8999999997</v>
      </c>
      <c r="E89" s="116">
        <f>SUM(E86:E88)</f>
        <v>288877.35949999996</v>
      </c>
      <c r="F89" s="116">
        <f>SUM(F86:F88)</f>
        <v>475553.19</v>
      </c>
      <c r="G89" s="239">
        <f>$G$80*J89</f>
        <v>475553.18999999994</v>
      </c>
      <c r="H89" s="116">
        <f>$H$80*J89</f>
        <v>288877.38020000001</v>
      </c>
      <c r="I89" s="116">
        <f>SUM(I86:I88)</f>
        <v>3325000.0196999991</v>
      </c>
      <c r="J89" s="117">
        <f>SUM(J86:J88)</f>
        <v>1</v>
      </c>
      <c r="K89" s="193"/>
      <c r="L89" s="46"/>
      <c r="M89" s="46"/>
    </row>
    <row r="90" spans="2:13" ht="21.75" customHeight="1" thickBot="1" x14ac:dyDescent="0.3">
      <c r="B90" s="240"/>
      <c r="C90" s="3"/>
      <c r="D90" s="8"/>
      <c r="E90" s="8"/>
      <c r="F90" s="8"/>
      <c r="G90" s="8"/>
      <c r="H90" s="8"/>
      <c r="I90" s="8"/>
      <c r="J90" s="8"/>
      <c r="K90" s="193"/>
      <c r="L90" s="46"/>
      <c r="M90" s="46"/>
    </row>
    <row r="91" spans="2:13" ht="49.5" customHeight="1" x14ac:dyDescent="0.25">
      <c r="B91" s="240"/>
      <c r="C91" s="118" t="s">
        <v>446</v>
      </c>
      <c r="D91" s="119">
        <f>SUM(J20,J25,J29,J35,J40,J44,I95,J56,J59,J67)*1.07</f>
        <v>1682147.5790000001</v>
      </c>
      <c r="E91" s="40"/>
      <c r="F91" s="40"/>
      <c r="G91" s="40"/>
      <c r="H91" s="40"/>
      <c r="I91" s="40"/>
      <c r="J91" s="199" t="s">
        <v>448</v>
      </c>
      <c r="K91" s="200">
        <f>SUM(K67,K61,K59,K56,K48,K44,K40,K35,K29,K25,K20)</f>
        <v>2710723.42</v>
      </c>
      <c r="L91" s="46"/>
      <c r="M91" s="46"/>
    </row>
    <row r="92" spans="2:13" ht="28.5" customHeight="1" thickBot="1" x14ac:dyDescent="0.3">
      <c r="B92" s="240"/>
      <c r="C92" s="120" t="s">
        <v>15</v>
      </c>
      <c r="D92" s="183">
        <f>D91/I80</f>
        <v>0.50590904483990451</v>
      </c>
      <c r="E92" s="51"/>
      <c r="F92" s="51"/>
      <c r="G92" s="51"/>
      <c r="H92" s="51"/>
      <c r="I92" s="51"/>
      <c r="J92" s="201" t="s">
        <v>449</v>
      </c>
      <c r="K92" s="202">
        <f>K91/I78</f>
        <v>0.87232301496805309</v>
      </c>
      <c r="L92" s="46"/>
      <c r="M92" s="46"/>
    </row>
    <row r="93" spans="2:13" ht="28.5" customHeight="1" x14ac:dyDescent="0.25">
      <c r="B93" s="240"/>
      <c r="C93" s="255"/>
      <c r="D93" s="256"/>
      <c r="E93" s="52"/>
      <c r="F93" s="52"/>
      <c r="G93" s="52"/>
      <c r="H93" s="52"/>
      <c r="I93" s="52"/>
      <c r="L93" s="46"/>
      <c r="M93" s="46"/>
    </row>
    <row r="94" spans="2:13" ht="32.25" customHeight="1" x14ac:dyDescent="0.25">
      <c r="B94" s="240"/>
      <c r="C94" s="120" t="s">
        <v>447</v>
      </c>
      <c r="D94" s="121">
        <f>SUM(D65:H66)*1.07</f>
        <v>0</v>
      </c>
      <c r="E94" s="53"/>
      <c r="F94" s="53"/>
      <c r="G94" s="53"/>
      <c r="H94" s="53"/>
      <c r="I94" s="53"/>
      <c r="L94" s="46"/>
      <c r="M94" s="46"/>
    </row>
    <row r="95" spans="2:13" ht="23.25" customHeight="1" x14ac:dyDescent="0.25">
      <c r="B95" s="240"/>
      <c r="C95" s="120" t="s">
        <v>16</v>
      </c>
      <c r="D95" s="183">
        <f>IFERROR(D94/I80,0)</f>
        <v>0</v>
      </c>
      <c r="E95" s="53"/>
      <c r="F95" s="53"/>
      <c r="G95" s="53"/>
      <c r="H95" s="53"/>
      <c r="I95" s="53"/>
      <c r="K95" s="187"/>
      <c r="L95" s="46"/>
      <c r="M95" s="46"/>
    </row>
    <row r="96" spans="2:13" ht="66.75" customHeight="1" thickBot="1" x14ac:dyDescent="0.3">
      <c r="B96" s="240"/>
      <c r="C96" s="245" t="s">
        <v>443</v>
      </c>
      <c r="D96" s="246"/>
      <c r="E96" s="41"/>
      <c r="F96" s="41"/>
      <c r="G96" s="41"/>
      <c r="H96" s="41"/>
      <c r="I96" s="41"/>
      <c r="J96" s="46"/>
      <c r="L96" s="46"/>
      <c r="M96" s="46"/>
    </row>
    <row r="97" spans="1:13" ht="55.5" customHeight="1" x14ac:dyDescent="0.25">
      <c r="B97" s="240"/>
      <c r="M97" s="45"/>
    </row>
    <row r="98" spans="1:13" ht="42.75" customHeight="1" x14ac:dyDescent="0.25">
      <c r="B98" s="240"/>
      <c r="L98" s="46"/>
    </row>
    <row r="99" spans="1:13" ht="21.75" customHeight="1" x14ac:dyDescent="0.25">
      <c r="B99" s="240"/>
      <c r="L99" s="46"/>
    </row>
    <row r="100" spans="1:13" ht="21.75" customHeight="1" x14ac:dyDescent="0.25">
      <c r="A100" s="46"/>
      <c r="B100" s="240"/>
    </row>
    <row r="101" spans="1:13" s="46" customFormat="1" ht="23.25" customHeight="1" x14ac:dyDescent="0.25">
      <c r="A101" s="44"/>
      <c r="B101" s="240"/>
      <c r="C101" s="44"/>
      <c r="D101" s="44"/>
      <c r="E101" s="44"/>
      <c r="F101" s="44"/>
      <c r="G101" s="44"/>
      <c r="H101" s="44"/>
      <c r="I101" s="44"/>
      <c r="J101" s="44"/>
      <c r="K101" s="185"/>
      <c r="L101" s="44"/>
      <c r="M101" s="44"/>
    </row>
    <row r="102" spans="1:13" ht="23.25" customHeight="1" x14ac:dyDescent="0.25"/>
    <row r="103" spans="1:13" ht="21.75" customHeight="1" x14ac:dyDescent="0.25"/>
    <row r="104" spans="1:13" ht="16.5" customHeight="1" x14ac:dyDescent="0.25"/>
    <row r="105" spans="1:13" ht="29.25" customHeight="1" x14ac:dyDescent="0.25"/>
    <row r="106" spans="1:13" ht="24.75" customHeight="1" x14ac:dyDescent="0.25"/>
    <row r="107" spans="1:13" ht="33" customHeight="1" x14ac:dyDescent="0.25"/>
    <row r="109" spans="1:13" ht="15" customHeight="1" x14ac:dyDescent="0.25"/>
    <row r="110" spans="1:13" ht="25.5" customHeight="1" x14ac:dyDescent="0.25"/>
  </sheetData>
  <sheetProtection formatCells="0" formatColumns="0" formatRows="0"/>
  <mergeCells count="24">
    <mergeCell ref="B2:E2"/>
    <mergeCell ref="B9:J9"/>
    <mergeCell ref="C21:L21"/>
    <mergeCell ref="C15:L15"/>
    <mergeCell ref="C26:L26"/>
    <mergeCell ref="C75:I75"/>
    <mergeCell ref="C14:L14"/>
    <mergeCell ref="B6:L6"/>
    <mergeCell ref="C31:L31"/>
    <mergeCell ref="C32:L32"/>
    <mergeCell ref="C36:L36"/>
    <mergeCell ref="C41:L41"/>
    <mergeCell ref="C45:L45"/>
    <mergeCell ref="C50:L50"/>
    <mergeCell ref="C57:L57"/>
    <mergeCell ref="C60:L60"/>
    <mergeCell ref="B87:B101"/>
    <mergeCell ref="C83:J83"/>
    <mergeCell ref="C96:D96"/>
    <mergeCell ref="C76:C77"/>
    <mergeCell ref="I76:I77"/>
    <mergeCell ref="I84:I85"/>
    <mergeCell ref="J84:J85"/>
    <mergeCell ref="C93:D93"/>
  </mergeCells>
  <conditionalFormatting sqref="D92">
    <cfRule type="cellIs" dxfId="16" priority="46" operator="lessThan">
      <formula>0.15</formula>
    </cfRule>
  </conditionalFormatting>
  <conditionalFormatting sqref="D95">
    <cfRule type="cellIs" dxfId="15" priority="44" operator="lessThan">
      <formula>0.05</formula>
    </cfRule>
  </conditionalFormatting>
  <conditionalFormatting sqref="J89 K88">
    <cfRule type="cellIs" dxfId="14" priority="1" operator="greaterThan">
      <formula>1</formula>
    </cfRule>
  </conditionalFormatting>
  <dataValidations xWindow="431" yWindow="475" count="7">
    <dataValidation allowBlank="1" showInputMessage="1" showErrorMessage="1" prompt="% Towards Gender Equality and Women's Empowerment Must be Higher than 15%_x000a_" sqref="D92:I92" xr:uid="{00000000-0002-0000-0000-000000000000}"/>
    <dataValidation allowBlank="1" showInputMessage="1" showErrorMessage="1" prompt="M&amp;E Budget Cannot be Less than 5%_x000a_" sqref="D95:I95" xr:uid="{00000000-0002-0000-0000-000001000000}"/>
    <dataValidation allowBlank="1" showInputMessage="1" showErrorMessage="1" prompt="Insert *text* description of Outcome here" sqref="C14:L14 C31:L31" xr:uid="{00000000-0002-0000-0000-000002000000}"/>
    <dataValidation allowBlank="1" showInputMessage="1" showErrorMessage="1" prompt="Insert *text* description of Output here" sqref="C15 C21 C26 C32 C36 C41 C45 C50 C57 C60" xr:uid="{00000000-0002-0000-0000-000003000000}"/>
    <dataValidation allowBlank="1" showInputMessage="1" showErrorMessage="1" prompt="Insert *text* description of Activity here" sqref="C16 C22 C27 C33 C37 C42 C46 C51 C58 C61" xr:uid="{00000000-0002-0000-0000-000004000000}"/>
    <dataValidation allowBlank="1" showInputMessage="1" showErrorMessage="1" prompt="Insert name of recipient agency here _x000a_" sqref="D13:I13" xr:uid="{00000000-0002-0000-0000-000005000000}"/>
    <dataValidation allowBlank="1" showErrorMessage="1" prompt="% Towards Gender Equality and Women's Empowerment Must be Higher than 15%_x000a_" sqref="D94:I94" xr:uid="{00000000-0002-0000-0000-000006000000}"/>
  </dataValidations>
  <pageMargins left="0.7" right="0.7" top="0.75" bottom="0.75" header="0.3" footer="0.3"/>
  <pageSetup scale="38" fitToHeight="0" orientation="landscape"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P175"/>
  <sheetViews>
    <sheetView showGridLines="0" showZeros="0" tabSelected="1" zoomScale="70" zoomScaleNormal="70" workbookViewId="0">
      <selection activeCell="G41" sqref="G41"/>
    </sheetView>
  </sheetViews>
  <sheetFormatPr defaultColWidth="9.140625" defaultRowHeight="15.75" x14ac:dyDescent="0.25"/>
  <cols>
    <col min="1" max="1" width="4.42578125" style="63" customWidth="1"/>
    <col min="2" max="2" width="3.28515625" style="63" customWidth="1"/>
    <col min="3" max="3" width="51.42578125" style="63" customWidth="1"/>
    <col min="4" max="4" width="34.28515625" style="65" customWidth="1"/>
    <col min="5" max="5" width="35" style="65" customWidth="1"/>
    <col min="6" max="8" width="34" style="65" customWidth="1"/>
    <col min="9" max="9" width="25.7109375" style="63" customWidth="1"/>
    <col min="10" max="10" width="21.42578125" style="63" customWidth="1"/>
    <col min="11" max="11" width="16.85546875" style="63" customWidth="1"/>
    <col min="12" max="12" width="19.42578125" style="63" customWidth="1"/>
    <col min="13" max="13" width="19" style="63" customWidth="1"/>
    <col min="14" max="14" width="26" style="63" customWidth="1"/>
    <col min="15" max="15" width="21.140625" style="63" customWidth="1"/>
    <col min="16" max="16" width="7" style="67" customWidth="1"/>
    <col min="17" max="17" width="24.28515625" style="63" customWidth="1"/>
    <col min="18" max="18" width="26.42578125" style="63" customWidth="1"/>
    <col min="19" max="19" width="30.140625" style="63" customWidth="1"/>
    <col min="20" max="20" width="33" style="63" customWidth="1"/>
    <col min="21" max="22" width="22.7109375" style="63" customWidth="1"/>
    <col min="23" max="23" width="23.42578125" style="63" customWidth="1"/>
    <col min="24" max="24" width="32.140625" style="63" customWidth="1"/>
    <col min="25" max="25" width="9.140625" style="63"/>
    <col min="26" max="26" width="17.7109375" style="63" customWidth="1"/>
    <col min="27" max="27" width="26.42578125" style="63" customWidth="1"/>
    <col min="28" max="28" width="22.42578125" style="63" customWidth="1"/>
    <col min="29" max="29" width="29.7109375" style="63" customWidth="1"/>
    <col min="30" max="30" width="23.42578125" style="63" customWidth="1"/>
    <col min="31" max="31" width="18.42578125" style="63" customWidth="1"/>
    <col min="32" max="32" width="17.42578125" style="63" customWidth="1"/>
    <col min="33" max="33" width="25.140625" style="63" customWidth="1"/>
    <col min="34" max="16384" width="9.140625" style="63"/>
  </cols>
  <sheetData>
    <row r="1" spans="2:16" ht="24" customHeight="1" x14ac:dyDescent="0.25">
      <c r="N1" s="24"/>
      <c r="O1" s="6"/>
      <c r="P1" s="63"/>
    </row>
    <row r="2" spans="2:16" ht="46.5" x14ac:dyDescent="0.7">
      <c r="C2" s="276" t="s">
        <v>420</v>
      </c>
      <c r="D2" s="276"/>
      <c r="E2" s="276"/>
      <c r="F2" s="276"/>
      <c r="G2" s="208"/>
      <c r="H2" s="208"/>
      <c r="I2" s="42"/>
      <c r="J2" s="43"/>
      <c r="K2" s="43"/>
      <c r="N2" s="24"/>
      <c r="O2" s="6"/>
      <c r="P2" s="63"/>
    </row>
    <row r="3" spans="2:16" ht="24" customHeight="1" x14ac:dyDescent="0.25">
      <c r="C3" s="47"/>
      <c r="D3" s="44"/>
      <c r="E3" s="44"/>
      <c r="F3" s="44"/>
      <c r="G3" s="44"/>
      <c r="H3" s="44"/>
      <c r="I3" s="44"/>
      <c r="J3" s="44"/>
      <c r="K3" s="44"/>
      <c r="N3" s="24"/>
      <c r="O3" s="6"/>
      <c r="P3" s="63"/>
    </row>
    <row r="4" spans="2:16" ht="24" customHeight="1" thickBot="1" x14ac:dyDescent="0.3">
      <c r="C4" s="47"/>
      <c r="D4" s="44"/>
      <c r="E4" s="44"/>
      <c r="F4" s="44"/>
      <c r="G4" s="44"/>
      <c r="H4" s="44"/>
      <c r="I4" s="44"/>
      <c r="J4" s="44"/>
      <c r="K4" s="44"/>
      <c r="N4" s="24"/>
      <c r="O4" s="6"/>
      <c r="P4" s="63"/>
    </row>
    <row r="5" spans="2:16" ht="30" customHeight="1" x14ac:dyDescent="0.55000000000000004">
      <c r="C5" s="295" t="s">
        <v>14</v>
      </c>
      <c r="D5" s="296"/>
      <c r="E5" s="296"/>
      <c r="F5" s="296"/>
      <c r="G5" s="296"/>
      <c r="H5" s="296"/>
      <c r="I5" s="297"/>
      <c r="L5" s="24"/>
      <c r="M5" s="6"/>
      <c r="P5" s="63"/>
    </row>
    <row r="6" spans="2:16" ht="24" customHeight="1" x14ac:dyDescent="0.25">
      <c r="C6" s="284" t="s">
        <v>421</v>
      </c>
      <c r="D6" s="285"/>
      <c r="E6" s="285"/>
      <c r="F6" s="285"/>
      <c r="G6" s="285"/>
      <c r="H6" s="285"/>
      <c r="I6" s="286"/>
      <c r="L6" s="24"/>
      <c r="M6" s="6"/>
      <c r="P6" s="63"/>
    </row>
    <row r="7" spans="2:16" ht="24" customHeight="1" x14ac:dyDescent="0.25">
      <c r="C7" s="284"/>
      <c r="D7" s="285"/>
      <c r="E7" s="285"/>
      <c r="F7" s="285"/>
      <c r="G7" s="285"/>
      <c r="H7" s="285"/>
      <c r="I7" s="286"/>
      <c r="L7" s="24"/>
      <c r="M7" s="6"/>
      <c r="P7" s="63"/>
    </row>
    <row r="8" spans="2:16" ht="24" customHeight="1" thickBot="1" x14ac:dyDescent="0.3">
      <c r="C8" s="287"/>
      <c r="D8" s="288"/>
      <c r="E8" s="288"/>
      <c r="F8" s="288"/>
      <c r="G8" s="288"/>
      <c r="H8" s="288"/>
      <c r="I8" s="289"/>
      <c r="L8" s="24"/>
      <c r="M8" s="6"/>
      <c r="P8" s="63"/>
    </row>
    <row r="9" spans="2:16" ht="24" customHeight="1" thickBot="1" x14ac:dyDescent="0.3">
      <c r="C9" s="56"/>
      <c r="D9" s="56"/>
      <c r="E9" s="56"/>
      <c r="F9" s="56"/>
      <c r="G9" s="56"/>
      <c r="H9" s="56"/>
      <c r="N9" s="24"/>
      <c r="O9" s="6"/>
      <c r="P9" s="63"/>
    </row>
    <row r="10" spans="2:16" ht="24" customHeight="1" thickBot="1" x14ac:dyDescent="0.3">
      <c r="C10" s="298" t="s">
        <v>58</v>
      </c>
      <c r="D10" s="299"/>
      <c r="E10" s="299"/>
      <c r="F10" s="299"/>
      <c r="G10" s="299"/>
      <c r="H10" s="300"/>
      <c r="N10" s="24"/>
      <c r="O10" s="6"/>
      <c r="P10" s="63"/>
    </row>
    <row r="11" spans="2:16" ht="24" customHeight="1" x14ac:dyDescent="0.25">
      <c r="C11" s="56"/>
      <c r="D11" s="56"/>
      <c r="E11" s="56"/>
      <c r="F11" s="56"/>
      <c r="G11" s="56"/>
      <c r="H11" s="56"/>
      <c r="N11" s="24"/>
      <c r="O11" s="6"/>
      <c r="P11" s="63"/>
    </row>
    <row r="12" spans="2:16" ht="24" customHeight="1" x14ac:dyDescent="0.25">
      <c r="C12" s="56"/>
      <c r="D12" s="122" t="s">
        <v>32</v>
      </c>
      <c r="E12" s="122" t="s">
        <v>59</v>
      </c>
      <c r="F12" s="122" t="s">
        <v>60</v>
      </c>
      <c r="G12" s="122" t="s">
        <v>488</v>
      </c>
      <c r="H12" s="122" t="s">
        <v>489</v>
      </c>
      <c r="I12" s="293" t="s">
        <v>40</v>
      </c>
      <c r="N12" s="24"/>
      <c r="O12" s="6"/>
      <c r="P12" s="63"/>
    </row>
    <row r="13" spans="2:16" ht="24" customHeight="1" x14ac:dyDescent="0.25">
      <c r="C13" s="56"/>
      <c r="D13" s="123" t="str">
        <f>'1) Budget Table'!D13</f>
        <v>PNUD</v>
      </c>
      <c r="E13" s="123" t="str">
        <f>'1) Budget Table'!E13</f>
        <v>ONUMUJERES</v>
      </c>
      <c r="F13" s="123" t="str">
        <f>'1) Budget Table'!F13</f>
        <v>UNFPA</v>
      </c>
      <c r="G13" s="123" t="str">
        <f>'1) Budget Table'!G13</f>
        <v>UNICEF</v>
      </c>
      <c r="H13" s="123" t="str">
        <f>'1) Budget Table'!H13</f>
        <v>UNODC</v>
      </c>
      <c r="I13" s="294"/>
      <c r="N13" s="24"/>
      <c r="O13" s="6"/>
      <c r="P13" s="63"/>
    </row>
    <row r="14" spans="2:16" ht="24" customHeight="1" x14ac:dyDescent="0.25">
      <c r="B14" s="290" t="s">
        <v>69</v>
      </c>
      <c r="C14" s="291"/>
      <c r="D14" s="291"/>
      <c r="E14" s="291"/>
      <c r="F14" s="291"/>
      <c r="G14" s="291"/>
      <c r="H14" s="291"/>
      <c r="I14" s="292"/>
      <c r="N14" s="24"/>
      <c r="O14" s="6"/>
      <c r="P14" s="63"/>
    </row>
    <row r="15" spans="2:16" ht="22.5" customHeight="1" x14ac:dyDescent="0.25">
      <c r="C15" s="290" t="s">
        <v>66</v>
      </c>
      <c r="D15" s="291"/>
      <c r="E15" s="291"/>
      <c r="F15" s="291"/>
      <c r="G15" s="291"/>
      <c r="H15" s="291"/>
      <c r="I15" s="292"/>
      <c r="N15" s="24"/>
      <c r="O15" s="6"/>
      <c r="P15" s="63"/>
    </row>
    <row r="16" spans="2:16" ht="24.75" customHeight="1" thickBot="1" x14ac:dyDescent="0.3">
      <c r="C16" s="75" t="s">
        <v>65</v>
      </c>
      <c r="D16" s="76">
        <f>'1) Budget Table'!D20</f>
        <v>0</v>
      </c>
      <c r="E16" s="76">
        <f>'1) Budget Table'!E20</f>
        <v>0</v>
      </c>
      <c r="F16" s="76">
        <f>'1) Budget Table'!F20</f>
        <v>197000</v>
      </c>
      <c r="G16" s="76">
        <f>'1) Budget Table'!G20</f>
        <v>211372.90654205607</v>
      </c>
      <c r="H16" s="76">
        <f>'1) Budget Table'!H20</f>
        <v>0</v>
      </c>
      <c r="I16" s="77">
        <f>SUM(D16:H16)</f>
        <v>408372.90654205607</v>
      </c>
      <c r="N16" s="24"/>
      <c r="O16" s="6"/>
      <c r="P16" s="63"/>
    </row>
    <row r="17" spans="3:16" ht="21.75" customHeight="1" x14ac:dyDescent="0.25">
      <c r="C17" s="73" t="s">
        <v>9</v>
      </c>
      <c r="D17" s="107"/>
      <c r="E17" s="108"/>
      <c r="F17" s="108"/>
      <c r="G17" s="108"/>
      <c r="H17" s="108"/>
      <c r="I17" s="74">
        <f>SUM(D17:H17)</f>
        <v>0</v>
      </c>
      <c r="P17" s="63"/>
    </row>
    <row r="18" spans="3:16" x14ac:dyDescent="0.25">
      <c r="C18" s="61" t="s">
        <v>10</v>
      </c>
      <c r="D18" s="109"/>
      <c r="E18" s="21"/>
      <c r="F18" s="21"/>
      <c r="G18" s="21"/>
      <c r="H18" s="21"/>
      <c r="I18" s="74">
        <f t="shared" ref="I18:I23" si="0">SUM(D18:H18)</f>
        <v>0</v>
      </c>
      <c r="P18" s="63"/>
    </row>
    <row r="19" spans="3:16" ht="15.75" customHeight="1" x14ac:dyDescent="0.25">
      <c r="C19" s="61" t="s">
        <v>11</v>
      </c>
      <c r="D19" s="109"/>
      <c r="E19" s="109"/>
      <c r="F19" s="109"/>
      <c r="G19" s="109"/>
      <c r="H19" s="109"/>
      <c r="I19" s="74">
        <f t="shared" si="0"/>
        <v>0</v>
      </c>
      <c r="P19" s="63"/>
    </row>
    <row r="20" spans="3:16" x14ac:dyDescent="0.25">
      <c r="C20" s="62" t="s">
        <v>12</v>
      </c>
      <c r="D20" s="109"/>
      <c r="E20" s="109"/>
      <c r="F20" s="109">
        <f>100000+80000</f>
        <v>180000</v>
      </c>
      <c r="G20" s="109">
        <f>100000+90000</f>
        <v>190000</v>
      </c>
      <c r="H20" s="109"/>
      <c r="I20" s="74">
        <f t="shared" si="0"/>
        <v>370000</v>
      </c>
      <c r="P20" s="63"/>
    </row>
    <row r="21" spans="3:16" x14ac:dyDescent="0.25">
      <c r="C21" s="61" t="s">
        <v>17</v>
      </c>
      <c r="D21" s="109"/>
      <c r="E21" s="109"/>
      <c r="F21" s="109">
        <f>7000+10000</f>
        <v>17000</v>
      </c>
      <c r="G21" s="109">
        <v>21372.91</v>
      </c>
      <c r="H21" s="109"/>
      <c r="I21" s="74">
        <f t="shared" si="0"/>
        <v>38372.910000000003</v>
      </c>
      <c r="P21" s="63"/>
    </row>
    <row r="22" spans="3:16" ht="21.75" customHeight="1" x14ac:dyDescent="0.25">
      <c r="C22" s="61" t="s">
        <v>13</v>
      </c>
      <c r="D22" s="109"/>
      <c r="E22" s="109"/>
      <c r="F22" s="109"/>
      <c r="G22" s="109"/>
      <c r="H22" s="109"/>
      <c r="I22" s="74">
        <f t="shared" si="0"/>
        <v>0</v>
      </c>
      <c r="P22" s="63"/>
    </row>
    <row r="23" spans="3:16" ht="21.75" customHeight="1" x14ac:dyDescent="0.25">
      <c r="C23" s="61" t="s">
        <v>64</v>
      </c>
      <c r="D23" s="109"/>
      <c r="E23" s="109"/>
      <c r="F23" s="109"/>
      <c r="G23" s="109"/>
      <c r="H23" s="109"/>
      <c r="I23" s="74">
        <f t="shared" si="0"/>
        <v>0</v>
      </c>
      <c r="P23" s="63"/>
    </row>
    <row r="24" spans="3:16" ht="15.75" customHeight="1" x14ac:dyDescent="0.25">
      <c r="C24" s="66" t="s">
        <v>67</v>
      </c>
      <c r="D24" s="78">
        <f>SUM(D17:D23)</f>
        <v>0</v>
      </c>
      <c r="E24" s="78">
        <f>SUM(E17:E23)</f>
        <v>0</v>
      </c>
      <c r="F24" s="78">
        <f>SUM(F17:F23)</f>
        <v>197000</v>
      </c>
      <c r="G24" s="78">
        <f>SUM(G17:G23)</f>
        <v>211372.91</v>
      </c>
      <c r="H24" s="78">
        <f>SUM(H17:H23)</f>
        <v>0</v>
      </c>
      <c r="I24" s="148">
        <f>SUM(D24:H24)</f>
        <v>408372.91000000003</v>
      </c>
      <c r="P24" s="63"/>
    </row>
    <row r="25" spans="3:16" s="65" customFormat="1" x14ac:dyDescent="0.25">
      <c r="C25" s="79"/>
      <c r="D25" s="80"/>
      <c r="E25" s="80"/>
      <c r="F25" s="80"/>
      <c r="G25" s="80"/>
      <c r="H25" s="80"/>
      <c r="I25" s="149"/>
    </row>
    <row r="26" spans="3:16" x14ac:dyDescent="0.25">
      <c r="C26" s="290" t="s">
        <v>70</v>
      </c>
      <c r="D26" s="291"/>
      <c r="E26" s="291"/>
      <c r="F26" s="291"/>
      <c r="G26" s="291"/>
      <c r="H26" s="291"/>
      <c r="I26" s="292"/>
      <c r="P26" s="63"/>
    </row>
    <row r="27" spans="3:16" ht="27" customHeight="1" thickBot="1" x14ac:dyDescent="0.3">
      <c r="C27" s="75" t="s">
        <v>65</v>
      </c>
      <c r="D27" s="76">
        <f>'1) Budget Table'!D25</f>
        <v>0</v>
      </c>
      <c r="E27" s="76">
        <f>'1) Budget Table'!E25</f>
        <v>0</v>
      </c>
      <c r="F27" s="76">
        <f>'1) Budget Table'!F25</f>
        <v>85000</v>
      </c>
      <c r="G27" s="76">
        <f>'1) Budget Table'!G25</f>
        <v>212544.99999999997</v>
      </c>
      <c r="H27" s="76">
        <f>'1) Budget Table'!H25</f>
        <v>0</v>
      </c>
      <c r="I27" s="77">
        <f>SUM(D27:H27)</f>
        <v>297545</v>
      </c>
      <c r="P27" s="63"/>
    </row>
    <row r="28" spans="3:16" x14ac:dyDescent="0.25">
      <c r="C28" s="73" t="s">
        <v>9</v>
      </c>
      <c r="D28" s="107"/>
      <c r="E28" s="108"/>
      <c r="F28" s="108"/>
      <c r="G28" s="108"/>
      <c r="H28" s="108"/>
      <c r="I28" s="74">
        <f>SUM(D28:H28)</f>
        <v>0</v>
      </c>
      <c r="P28" s="63"/>
    </row>
    <row r="29" spans="3:16" x14ac:dyDescent="0.25">
      <c r="C29" s="61" t="s">
        <v>10</v>
      </c>
      <c r="D29" s="109"/>
      <c r="E29" s="21"/>
      <c r="F29" s="21">
        <v>40000</v>
      </c>
      <c r="G29" s="21">
        <v>10000</v>
      </c>
      <c r="H29" s="21"/>
      <c r="I29" s="74">
        <f t="shared" ref="I29:I34" si="1">SUM(D29:H29)</f>
        <v>50000</v>
      </c>
      <c r="P29" s="63"/>
    </row>
    <row r="30" spans="3:16" ht="31.5" x14ac:dyDescent="0.25">
      <c r="C30" s="61" t="s">
        <v>11</v>
      </c>
      <c r="D30" s="109"/>
      <c r="E30" s="109"/>
      <c r="F30" s="109"/>
      <c r="G30" s="109">
        <f>27500+15000</f>
        <v>42500</v>
      </c>
      <c r="H30" s="109"/>
      <c r="I30" s="74">
        <f t="shared" si="1"/>
        <v>42500</v>
      </c>
      <c r="P30" s="63"/>
    </row>
    <row r="31" spans="3:16" x14ac:dyDescent="0.25">
      <c r="C31" s="62" t="s">
        <v>12</v>
      </c>
      <c r="D31" s="109"/>
      <c r="E31" s="109"/>
      <c r="F31" s="109">
        <v>45000</v>
      </c>
      <c r="G31" s="109">
        <f>100000+60045</f>
        <v>160045</v>
      </c>
      <c r="H31" s="109"/>
      <c r="I31" s="74">
        <f t="shared" si="1"/>
        <v>205045</v>
      </c>
      <c r="P31" s="63"/>
    </row>
    <row r="32" spans="3:16" x14ac:dyDescent="0.25">
      <c r="C32" s="61" t="s">
        <v>17</v>
      </c>
      <c r="D32" s="109"/>
      <c r="E32" s="109"/>
      <c r="F32" s="109"/>
      <c r="G32" s="109"/>
      <c r="H32" s="109"/>
      <c r="I32" s="74">
        <f t="shared" si="1"/>
        <v>0</v>
      </c>
      <c r="P32" s="63"/>
    </row>
    <row r="33" spans="2:16" x14ac:dyDescent="0.25">
      <c r="C33" s="61" t="s">
        <v>13</v>
      </c>
      <c r="D33" s="109"/>
      <c r="E33" s="109"/>
      <c r="F33" s="109"/>
      <c r="G33" s="109"/>
      <c r="H33" s="109"/>
      <c r="I33" s="74">
        <f>SUM(D33:H33)</f>
        <v>0</v>
      </c>
      <c r="P33" s="63"/>
    </row>
    <row r="34" spans="2:16" x14ac:dyDescent="0.25">
      <c r="C34" s="61" t="s">
        <v>64</v>
      </c>
      <c r="D34" s="109"/>
      <c r="E34" s="109"/>
      <c r="F34" s="109"/>
      <c r="G34" s="109"/>
      <c r="H34" s="109"/>
      <c r="I34" s="74">
        <f t="shared" si="1"/>
        <v>0</v>
      </c>
      <c r="P34" s="63"/>
    </row>
    <row r="35" spans="2:16" x14ac:dyDescent="0.25">
      <c r="C35" s="66" t="s">
        <v>67</v>
      </c>
      <c r="D35" s="78">
        <f>SUM(D28:D34)</f>
        <v>0</v>
      </c>
      <c r="E35" s="78">
        <f>SUM(E28:E34)</f>
        <v>0</v>
      </c>
      <c r="F35" s="78">
        <f>SUM(F28:F34)</f>
        <v>85000</v>
      </c>
      <c r="G35" s="78">
        <f>SUM(G28:G34)</f>
        <v>212545</v>
      </c>
      <c r="H35" s="78">
        <f>SUM(H28:H34)</f>
        <v>0</v>
      </c>
      <c r="I35" s="72">
        <f>SUM(D35:H35)</f>
        <v>297545</v>
      </c>
      <c r="P35" s="63"/>
    </row>
    <row r="36" spans="2:16" s="65" customFormat="1" x14ac:dyDescent="0.25">
      <c r="C36" s="79"/>
      <c r="D36" s="80"/>
      <c r="E36" s="80"/>
      <c r="F36" s="80"/>
      <c r="G36" s="80"/>
      <c r="H36" s="80"/>
      <c r="I36" s="81"/>
    </row>
    <row r="37" spans="2:16" x14ac:dyDescent="0.25">
      <c r="C37" s="290" t="s">
        <v>71</v>
      </c>
      <c r="D37" s="291"/>
      <c r="E37" s="291"/>
      <c r="F37" s="291"/>
      <c r="G37" s="291"/>
      <c r="H37" s="291"/>
      <c r="I37" s="292"/>
      <c r="P37" s="63"/>
    </row>
    <row r="38" spans="2:16" ht="21.75" customHeight="1" thickBot="1" x14ac:dyDescent="0.3">
      <c r="C38" s="75" t="s">
        <v>65</v>
      </c>
      <c r="D38" s="76">
        <f>'1) Budget Table'!D29</f>
        <v>0</v>
      </c>
      <c r="E38" s="76">
        <f>'1) Budget Table'!E29</f>
        <v>0</v>
      </c>
      <c r="F38" s="76">
        <f>'1) Budget Table'!F29</f>
        <v>162442.23364485981</v>
      </c>
      <c r="G38" s="76">
        <f>'1) Budget Table'!G29</f>
        <v>20524.327102803734</v>
      </c>
      <c r="H38" s="76">
        <f>'1) Budget Table'!H29</f>
        <v>0</v>
      </c>
      <c r="I38" s="77">
        <f t="shared" ref="I38:I46" si="2">SUM(D38:H38)</f>
        <v>182966.56074766355</v>
      </c>
      <c r="P38" s="63"/>
    </row>
    <row r="39" spans="2:16" x14ac:dyDescent="0.25">
      <c r="C39" s="73" t="s">
        <v>9</v>
      </c>
      <c r="D39" s="107"/>
      <c r="E39" s="108"/>
      <c r="F39" s="108"/>
      <c r="G39" s="108"/>
      <c r="H39" s="108"/>
      <c r="I39" s="74">
        <f t="shared" si="2"/>
        <v>0</v>
      </c>
      <c r="P39" s="63"/>
    </row>
    <row r="40" spans="2:16" s="65" customFormat="1" ht="15.75" customHeight="1" x14ac:dyDescent="0.25">
      <c r="C40" s="61" t="s">
        <v>10</v>
      </c>
      <c r="D40" s="109"/>
      <c r="E40" s="21"/>
      <c r="F40" s="21">
        <f>40000+37442.23</f>
        <v>77442.23000000001</v>
      </c>
      <c r="G40" s="21">
        <v>20524.330000000002</v>
      </c>
      <c r="H40" s="21"/>
      <c r="I40" s="74">
        <f t="shared" si="2"/>
        <v>97966.560000000012</v>
      </c>
    </row>
    <row r="41" spans="2:16" s="65" customFormat="1" ht="31.5" x14ac:dyDescent="0.25">
      <c r="C41" s="61" t="s">
        <v>11</v>
      </c>
      <c r="D41" s="109"/>
      <c r="E41" s="109"/>
      <c r="F41" s="109"/>
      <c r="G41" s="109"/>
      <c r="H41" s="109"/>
      <c r="I41" s="74">
        <f t="shared" si="2"/>
        <v>0</v>
      </c>
    </row>
    <row r="42" spans="2:16" s="65" customFormat="1" x14ac:dyDescent="0.25">
      <c r="C42" s="62" t="s">
        <v>12</v>
      </c>
      <c r="D42" s="109">
        <v>0</v>
      </c>
      <c r="E42" s="109"/>
      <c r="F42" s="109">
        <f>60000+20000</f>
        <v>80000</v>
      </c>
      <c r="G42" s="109"/>
      <c r="H42" s="109"/>
      <c r="I42" s="74">
        <f t="shared" si="2"/>
        <v>80000</v>
      </c>
    </row>
    <row r="43" spans="2:16" x14ac:dyDescent="0.25">
      <c r="C43" s="61" t="s">
        <v>17</v>
      </c>
      <c r="D43" s="109">
        <v>0</v>
      </c>
      <c r="E43" s="109"/>
      <c r="F43" s="109">
        <v>5000</v>
      </c>
      <c r="G43" s="109"/>
      <c r="H43" s="109"/>
      <c r="I43" s="74">
        <f t="shared" si="2"/>
        <v>5000</v>
      </c>
      <c r="P43" s="63"/>
    </row>
    <row r="44" spans="2:16" x14ac:dyDescent="0.25">
      <c r="C44" s="61" t="s">
        <v>13</v>
      </c>
      <c r="D44" s="109"/>
      <c r="E44" s="109"/>
      <c r="F44" s="109"/>
      <c r="G44" s="109"/>
      <c r="H44" s="109"/>
      <c r="I44" s="74">
        <f t="shared" si="2"/>
        <v>0</v>
      </c>
      <c r="P44" s="63"/>
    </row>
    <row r="45" spans="2:16" x14ac:dyDescent="0.25">
      <c r="C45" s="61" t="s">
        <v>64</v>
      </c>
      <c r="D45" s="109"/>
      <c r="E45" s="109"/>
      <c r="F45" s="109"/>
      <c r="G45" s="109"/>
      <c r="H45" s="109"/>
      <c r="I45" s="74">
        <f t="shared" si="2"/>
        <v>0</v>
      </c>
      <c r="P45" s="63"/>
    </row>
    <row r="46" spans="2:16" x14ac:dyDescent="0.25">
      <c r="C46" s="66" t="s">
        <v>67</v>
      </c>
      <c r="D46" s="78">
        <f>SUM(D39:D45)</f>
        <v>0</v>
      </c>
      <c r="E46" s="78">
        <f>SUM(E39:E45)</f>
        <v>0</v>
      </c>
      <c r="F46" s="78">
        <f>SUM(F39:F45)</f>
        <v>162442.23000000001</v>
      </c>
      <c r="G46" s="78">
        <f>SUM(G39:G45)</f>
        <v>20524.330000000002</v>
      </c>
      <c r="H46" s="78">
        <f>SUM(H39:H45)</f>
        <v>0</v>
      </c>
      <c r="I46" s="72">
        <f t="shared" si="2"/>
        <v>182966.56</v>
      </c>
      <c r="P46" s="63"/>
    </row>
    <row r="47" spans="2:16" s="65" customFormat="1" ht="22.5" customHeight="1" x14ac:dyDescent="0.25">
      <c r="C47" s="82"/>
      <c r="D47" s="80"/>
      <c r="E47" s="80"/>
      <c r="F47" s="80"/>
      <c r="G47" s="80"/>
      <c r="H47" s="80"/>
      <c r="I47" s="81"/>
    </row>
    <row r="48" spans="2:16" x14ac:dyDescent="0.25">
      <c r="B48" s="290" t="s">
        <v>72</v>
      </c>
      <c r="C48" s="291"/>
      <c r="D48" s="291"/>
      <c r="E48" s="291"/>
      <c r="F48" s="291"/>
      <c r="G48" s="291"/>
      <c r="H48" s="291"/>
      <c r="I48" s="292"/>
      <c r="P48" s="63"/>
    </row>
    <row r="49" spans="2:16" x14ac:dyDescent="0.25">
      <c r="C49" s="290" t="s">
        <v>73</v>
      </c>
      <c r="D49" s="291"/>
      <c r="E49" s="291"/>
      <c r="F49" s="291"/>
      <c r="G49" s="291"/>
      <c r="H49" s="291"/>
      <c r="I49" s="292"/>
      <c r="P49" s="63"/>
    </row>
    <row r="50" spans="2:16" ht="24" customHeight="1" thickBot="1" x14ac:dyDescent="0.3">
      <c r="C50" s="75" t="s">
        <v>65</v>
      </c>
      <c r="D50" s="76">
        <f>'1) Budget Table'!D35</f>
        <v>159046.29906542055</v>
      </c>
      <c r="E50" s="76">
        <f>'1) Budget Table'!E35</f>
        <v>0</v>
      </c>
      <c r="F50" s="76">
        <f>'1) Budget Table'!F35</f>
        <v>0</v>
      </c>
      <c r="G50" s="76">
        <f>'1) Budget Table'!G35</f>
        <v>0</v>
      </c>
      <c r="H50" s="76">
        <f>'1) Budget Table'!H35</f>
        <v>0</v>
      </c>
      <c r="I50" s="77">
        <f>SUM(D50:H50)</f>
        <v>159046.29906542055</v>
      </c>
      <c r="P50" s="63"/>
    </row>
    <row r="51" spans="2:16" ht="15.75" customHeight="1" x14ac:dyDescent="0.25">
      <c r="C51" s="73" t="s">
        <v>9</v>
      </c>
      <c r="D51" s="107"/>
      <c r="E51" s="108"/>
      <c r="F51" s="108"/>
      <c r="G51" s="108"/>
      <c r="H51" s="108"/>
      <c r="I51" s="74">
        <f>SUM(D51:H51)</f>
        <v>0</v>
      </c>
      <c r="P51" s="63"/>
    </row>
    <row r="52" spans="2:16" ht="15.75" customHeight="1" x14ac:dyDescent="0.25">
      <c r="C52" s="61" t="s">
        <v>10</v>
      </c>
      <c r="D52" s="109">
        <f>12016.45+22929.85</f>
        <v>34946.300000000003</v>
      </c>
      <c r="E52" s="21"/>
      <c r="F52" s="21"/>
      <c r="G52" s="21"/>
      <c r="H52" s="21"/>
      <c r="I52" s="74">
        <f t="shared" ref="I52:I57" si="3">SUM(D52:H52)</f>
        <v>34946.300000000003</v>
      </c>
      <c r="P52" s="63"/>
    </row>
    <row r="53" spans="2:16" ht="15.75" customHeight="1" x14ac:dyDescent="0.25">
      <c r="C53" s="61" t="s">
        <v>11</v>
      </c>
      <c r="D53" s="109">
        <f>15000+15000</f>
        <v>30000</v>
      </c>
      <c r="E53" s="109"/>
      <c r="F53" s="109"/>
      <c r="G53" s="109"/>
      <c r="H53" s="109"/>
      <c r="I53" s="74">
        <f t="shared" si="3"/>
        <v>30000</v>
      </c>
      <c r="P53" s="63"/>
    </row>
    <row r="54" spans="2:16" ht="18.75" customHeight="1" x14ac:dyDescent="0.25">
      <c r="C54" s="62" t="s">
        <v>12</v>
      </c>
      <c r="D54" s="109">
        <f>26100+28000+40000</f>
        <v>94100</v>
      </c>
      <c r="E54" s="109"/>
      <c r="F54" s="109"/>
      <c r="G54" s="109"/>
      <c r="H54" s="109"/>
      <c r="I54" s="74">
        <f t="shared" si="3"/>
        <v>94100</v>
      </c>
      <c r="P54" s="63"/>
    </row>
    <row r="55" spans="2:16" x14ac:dyDescent="0.25">
      <c r="C55" s="61" t="s">
        <v>17</v>
      </c>
      <c r="D55" s="109"/>
      <c r="E55" s="109"/>
      <c r="F55" s="109"/>
      <c r="G55" s="109"/>
      <c r="H55" s="109"/>
      <c r="I55" s="74">
        <f t="shared" si="3"/>
        <v>0</v>
      </c>
      <c r="P55" s="63"/>
    </row>
    <row r="56" spans="2:16" s="65" customFormat="1" ht="21.75" customHeight="1" x14ac:dyDescent="0.25">
      <c r="B56" s="63"/>
      <c r="C56" s="61" t="s">
        <v>13</v>
      </c>
      <c r="D56" s="109"/>
      <c r="E56" s="109"/>
      <c r="F56" s="109"/>
      <c r="G56" s="109"/>
      <c r="H56" s="109"/>
      <c r="I56" s="74">
        <f t="shared" si="3"/>
        <v>0</v>
      </c>
    </row>
    <row r="57" spans="2:16" s="65" customFormat="1" x14ac:dyDescent="0.25">
      <c r="B57" s="63"/>
      <c r="C57" s="61" t="s">
        <v>64</v>
      </c>
      <c r="D57" s="109"/>
      <c r="E57" s="109"/>
      <c r="F57" s="109"/>
      <c r="G57" s="109"/>
      <c r="H57" s="109"/>
      <c r="I57" s="74">
        <f t="shared" si="3"/>
        <v>0</v>
      </c>
    </row>
    <row r="58" spans="2:16" x14ac:dyDescent="0.25">
      <c r="C58" s="66" t="s">
        <v>67</v>
      </c>
      <c r="D58" s="78">
        <f>SUM(D51:D57)</f>
        <v>159046.29999999999</v>
      </c>
      <c r="E58" s="78">
        <f>SUM(E51:E57)</f>
        <v>0</v>
      </c>
      <c r="F58" s="78">
        <f>SUM(F51:F57)</f>
        <v>0</v>
      </c>
      <c r="G58" s="78">
        <f>SUM(G51:G57)</f>
        <v>0</v>
      </c>
      <c r="H58" s="78">
        <f>SUM(H51:H57)</f>
        <v>0</v>
      </c>
      <c r="I58" s="72">
        <f>SUM(D58:H58)</f>
        <v>159046.29999999999</v>
      </c>
      <c r="P58" s="63"/>
    </row>
    <row r="59" spans="2:16" s="65" customFormat="1" x14ac:dyDescent="0.25">
      <c r="C59" s="79"/>
      <c r="D59" s="80"/>
      <c r="E59" s="80"/>
      <c r="F59" s="80"/>
      <c r="G59" s="80"/>
      <c r="H59" s="80"/>
      <c r="I59" s="81"/>
    </row>
    <row r="60" spans="2:16" x14ac:dyDescent="0.25">
      <c r="B60" s="65"/>
      <c r="C60" s="290" t="s">
        <v>45</v>
      </c>
      <c r="D60" s="291"/>
      <c r="E60" s="291"/>
      <c r="F60" s="291"/>
      <c r="G60" s="291"/>
      <c r="H60" s="291"/>
      <c r="I60" s="292"/>
      <c r="P60" s="63"/>
    </row>
    <row r="61" spans="2:16" ht="21.75" customHeight="1" thickBot="1" x14ac:dyDescent="0.3">
      <c r="C61" s="75" t="s">
        <v>65</v>
      </c>
      <c r="D61" s="76">
        <f>'1) Budget Table'!D40</f>
        <v>488000</v>
      </c>
      <c r="E61" s="76">
        <f>'1) Budget Table'!E40</f>
        <v>0</v>
      </c>
      <c r="F61" s="76">
        <f>'1) Budget Table'!F40</f>
        <v>0</v>
      </c>
      <c r="G61" s="76">
        <f>'1) Budget Table'!G40</f>
        <v>0</v>
      </c>
      <c r="H61" s="76">
        <f>'1) Budget Table'!H40</f>
        <v>0</v>
      </c>
      <c r="I61" s="77">
        <f>SUM(D61:H61)</f>
        <v>488000</v>
      </c>
      <c r="P61" s="63"/>
    </row>
    <row r="62" spans="2:16" ht="15.75" customHeight="1" x14ac:dyDescent="0.25">
      <c r="C62" s="73" t="s">
        <v>9</v>
      </c>
      <c r="D62" s="107"/>
      <c r="E62" s="108"/>
      <c r="F62" s="108"/>
      <c r="G62" s="108"/>
      <c r="H62" s="108"/>
      <c r="I62" s="74">
        <f>SUM(D62:H62)</f>
        <v>0</v>
      </c>
      <c r="P62" s="63"/>
    </row>
    <row r="63" spans="2:16" ht="15.75" customHeight="1" x14ac:dyDescent="0.25">
      <c r="C63" s="61" t="s">
        <v>10</v>
      </c>
      <c r="D63" s="109">
        <v>25000</v>
      </c>
      <c r="E63" s="21"/>
      <c r="F63" s="21"/>
      <c r="G63" s="21"/>
      <c r="H63" s="21"/>
      <c r="I63" s="74">
        <f t="shared" ref="I63:I68" si="4">SUM(D63:H63)</f>
        <v>25000</v>
      </c>
      <c r="P63" s="63"/>
    </row>
    <row r="64" spans="2:16" ht="15.75" customHeight="1" x14ac:dyDescent="0.25">
      <c r="C64" s="61" t="s">
        <v>11</v>
      </c>
      <c r="D64" s="109">
        <f>25000+320000</f>
        <v>345000</v>
      </c>
      <c r="E64" s="109"/>
      <c r="F64" s="109"/>
      <c r="G64" s="109"/>
      <c r="H64" s="109"/>
      <c r="I64" s="74">
        <f t="shared" si="4"/>
        <v>345000</v>
      </c>
      <c r="P64" s="63"/>
    </row>
    <row r="65" spans="2:16" x14ac:dyDescent="0.25">
      <c r="C65" s="62" t="s">
        <v>12</v>
      </c>
      <c r="D65" s="109">
        <f>55000+35000+28000</f>
        <v>118000</v>
      </c>
      <c r="E65" s="109"/>
      <c r="F65" s="109"/>
      <c r="G65" s="109"/>
      <c r="H65" s="109"/>
      <c r="I65" s="74">
        <f t="shared" si="4"/>
        <v>118000</v>
      </c>
      <c r="P65" s="63"/>
    </row>
    <row r="66" spans="2:16" x14ac:dyDescent="0.25">
      <c r="C66" s="61" t="s">
        <v>17</v>
      </c>
      <c r="D66" s="109"/>
      <c r="E66" s="109"/>
      <c r="F66" s="109"/>
      <c r="G66" s="109"/>
      <c r="H66" s="109"/>
      <c r="I66" s="74">
        <f t="shared" si="4"/>
        <v>0</v>
      </c>
      <c r="P66" s="63"/>
    </row>
    <row r="67" spans="2:16" x14ac:dyDescent="0.25">
      <c r="C67" s="61" t="s">
        <v>13</v>
      </c>
      <c r="D67" s="109"/>
      <c r="E67" s="109"/>
      <c r="F67" s="109"/>
      <c r="G67" s="109"/>
      <c r="H67" s="109"/>
      <c r="I67" s="74">
        <f t="shared" si="4"/>
        <v>0</v>
      </c>
      <c r="P67" s="63"/>
    </row>
    <row r="68" spans="2:16" x14ac:dyDescent="0.25">
      <c r="C68" s="61" t="s">
        <v>64</v>
      </c>
      <c r="D68" s="109"/>
      <c r="E68" s="109"/>
      <c r="F68" s="109"/>
      <c r="G68" s="109"/>
      <c r="H68" s="109"/>
      <c r="I68" s="74">
        <f t="shared" si="4"/>
        <v>0</v>
      </c>
      <c r="P68" s="63"/>
    </row>
    <row r="69" spans="2:16" x14ac:dyDescent="0.25">
      <c r="C69" s="66" t="s">
        <v>67</v>
      </c>
      <c r="D69" s="78">
        <f>SUM(D62:D68)</f>
        <v>488000</v>
      </c>
      <c r="E69" s="78">
        <f>SUM(E62:E68)</f>
        <v>0</v>
      </c>
      <c r="F69" s="78">
        <f>SUM(F62:F68)</f>
        <v>0</v>
      </c>
      <c r="G69" s="78">
        <f>SUM(G62:G68)</f>
        <v>0</v>
      </c>
      <c r="H69" s="78">
        <f>SUM(H62:H68)</f>
        <v>0</v>
      </c>
      <c r="I69" s="72">
        <f>SUM(D69:H69)</f>
        <v>488000</v>
      </c>
      <c r="P69" s="63"/>
    </row>
    <row r="70" spans="2:16" s="65" customFormat="1" x14ac:dyDescent="0.25">
      <c r="C70" s="79"/>
      <c r="D70" s="80"/>
      <c r="E70" s="80"/>
      <c r="F70" s="80"/>
      <c r="G70" s="80"/>
      <c r="H70" s="80"/>
      <c r="I70" s="81"/>
    </row>
    <row r="71" spans="2:16" x14ac:dyDescent="0.25">
      <c r="C71" s="290" t="s">
        <v>49</v>
      </c>
      <c r="D71" s="291"/>
      <c r="E71" s="291"/>
      <c r="F71" s="291"/>
      <c r="G71" s="291"/>
      <c r="H71" s="291"/>
      <c r="I71" s="292"/>
      <c r="P71" s="63"/>
    </row>
    <row r="72" spans="2:16" ht="21.75" customHeight="1" thickBot="1" x14ac:dyDescent="0.3">
      <c r="B72" s="65"/>
      <c r="C72" s="75" t="s">
        <v>65</v>
      </c>
      <c r="D72" s="76">
        <f>'1) Budget Table'!D44</f>
        <v>701388.1962616822</v>
      </c>
      <c r="E72" s="76">
        <f>'1) Budget Table'!E44</f>
        <v>0</v>
      </c>
      <c r="F72" s="76">
        <f>'1) Budget Table'!F44</f>
        <v>0</v>
      </c>
      <c r="G72" s="76">
        <f>'1) Budget Table'!G44</f>
        <v>0</v>
      </c>
      <c r="H72" s="76">
        <f>'1) Budget Table'!H44</f>
        <v>0</v>
      </c>
      <c r="I72" s="77">
        <f>SUM(D72:H72)</f>
        <v>701388.1962616822</v>
      </c>
      <c r="P72" s="63"/>
    </row>
    <row r="73" spans="2:16" ht="18" customHeight="1" x14ac:dyDescent="0.25">
      <c r="C73" s="73" t="s">
        <v>9</v>
      </c>
      <c r="D73" s="107"/>
      <c r="E73" s="108"/>
      <c r="F73" s="108"/>
      <c r="G73" s="108"/>
      <c r="H73" s="108"/>
      <c r="I73" s="74">
        <f>SUM(D73:H73)</f>
        <v>0</v>
      </c>
      <c r="P73" s="63"/>
    </row>
    <row r="74" spans="2:16" ht="15.75" customHeight="1" x14ac:dyDescent="0.25">
      <c r="C74" s="61" t="s">
        <v>10</v>
      </c>
      <c r="D74" s="109">
        <v>35000</v>
      </c>
      <c r="E74" s="21"/>
      <c r="F74" s="21"/>
      <c r="G74" s="21"/>
      <c r="H74" s="21"/>
      <c r="I74" s="74">
        <f t="shared" ref="I74:I79" si="5">SUM(D74:H74)</f>
        <v>35000</v>
      </c>
      <c r="P74" s="63"/>
    </row>
    <row r="75" spans="2:16" s="65" customFormat="1" ht="15.75" customHeight="1" x14ac:dyDescent="0.25">
      <c r="B75" s="63"/>
      <c r="C75" s="61" t="s">
        <v>11</v>
      </c>
      <c r="D75" s="109">
        <f>40000+114000</f>
        <v>154000</v>
      </c>
      <c r="E75" s="109"/>
      <c r="F75" s="109"/>
      <c r="G75" s="109"/>
      <c r="H75" s="109"/>
      <c r="I75" s="74">
        <f t="shared" si="5"/>
        <v>154000</v>
      </c>
    </row>
    <row r="76" spans="2:16" x14ac:dyDescent="0.25">
      <c r="B76" s="65"/>
      <c r="C76" s="62" t="s">
        <v>12</v>
      </c>
      <c r="D76" s="109">
        <f>301177+28000+108211.2+75000</f>
        <v>512388.2</v>
      </c>
      <c r="E76" s="109"/>
      <c r="F76" s="109"/>
      <c r="G76" s="109"/>
      <c r="H76" s="109"/>
      <c r="I76" s="74">
        <f t="shared" si="5"/>
        <v>512388.2</v>
      </c>
      <c r="P76" s="63"/>
    </row>
    <row r="77" spans="2:16" x14ac:dyDescent="0.25">
      <c r="B77" s="65"/>
      <c r="C77" s="61" t="s">
        <v>17</v>
      </c>
      <c r="D77" s="109"/>
      <c r="E77" s="109"/>
      <c r="F77" s="109"/>
      <c r="G77" s="109"/>
      <c r="H77" s="109"/>
      <c r="I77" s="74">
        <f t="shared" si="5"/>
        <v>0</v>
      </c>
      <c r="P77" s="63"/>
    </row>
    <row r="78" spans="2:16" x14ac:dyDescent="0.25">
      <c r="B78" s="65"/>
      <c r="C78" s="61" t="s">
        <v>13</v>
      </c>
      <c r="D78" s="109"/>
      <c r="E78" s="109"/>
      <c r="F78" s="109"/>
      <c r="G78" s="109"/>
      <c r="H78" s="109"/>
      <c r="I78" s="74">
        <f t="shared" si="5"/>
        <v>0</v>
      </c>
      <c r="P78" s="63"/>
    </row>
    <row r="79" spans="2:16" x14ac:dyDescent="0.25">
      <c r="C79" s="61" t="s">
        <v>64</v>
      </c>
      <c r="D79" s="109"/>
      <c r="E79" s="109"/>
      <c r="F79" s="109"/>
      <c r="G79" s="109"/>
      <c r="H79" s="109"/>
      <c r="I79" s="74">
        <f t="shared" si="5"/>
        <v>0</v>
      </c>
      <c r="P79" s="63"/>
    </row>
    <row r="80" spans="2:16" x14ac:dyDescent="0.25">
      <c r="C80" s="66" t="s">
        <v>67</v>
      </c>
      <c r="D80" s="78">
        <f>SUM(D73:D79)</f>
        <v>701388.2</v>
      </c>
      <c r="E80" s="78">
        <f>SUM(E73:E79)</f>
        <v>0</v>
      </c>
      <c r="F80" s="78">
        <f>SUM(F73:F79)</f>
        <v>0</v>
      </c>
      <c r="G80" s="78">
        <f>SUM(G73:G79)</f>
        <v>0</v>
      </c>
      <c r="H80" s="78">
        <f>SUM(H73:H79)</f>
        <v>0</v>
      </c>
      <c r="I80" s="72">
        <f>SUM(D80:H80)</f>
        <v>701388.2</v>
      </c>
      <c r="P80" s="63"/>
    </row>
    <row r="81" spans="2:16" s="65" customFormat="1" x14ac:dyDescent="0.25">
      <c r="C81" s="79"/>
      <c r="D81" s="80"/>
      <c r="E81" s="80"/>
      <c r="F81" s="80"/>
      <c r="G81" s="80"/>
      <c r="H81" s="80"/>
      <c r="I81" s="81"/>
    </row>
    <row r="82" spans="2:16" x14ac:dyDescent="0.25">
      <c r="C82" s="290" t="s">
        <v>54</v>
      </c>
      <c r="D82" s="291"/>
      <c r="E82" s="291"/>
      <c r="F82" s="291"/>
      <c r="G82" s="291"/>
      <c r="H82" s="291"/>
      <c r="I82" s="292"/>
      <c r="P82" s="63"/>
    </row>
    <row r="83" spans="2:16" ht="21.75" customHeight="1" thickBot="1" x14ac:dyDescent="0.3">
      <c r="C83" s="75" t="s">
        <v>65</v>
      </c>
      <c r="D83" s="76">
        <f>'1) Budget Table'!D48</f>
        <v>0</v>
      </c>
      <c r="E83" s="76">
        <f>'1) Budget Table'!E48</f>
        <v>0</v>
      </c>
      <c r="F83" s="76">
        <f>'1) Budget Table'!F48</f>
        <v>0</v>
      </c>
      <c r="G83" s="76">
        <f>'1) Budget Table'!G48</f>
        <v>0</v>
      </c>
      <c r="H83" s="76">
        <f>'1) Budget Table'!H48</f>
        <v>269978.86</v>
      </c>
      <c r="I83" s="77">
        <f>SUM(D83:H83)</f>
        <v>269978.86</v>
      </c>
      <c r="P83" s="63"/>
    </row>
    <row r="84" spans="2:16" ht="15.75" customHeight="1" x14ac:dyDescent="0.25">
      <c r="C84" s="73" t="s">
        <v>9</v>
      </c>
      <c r="D84" s="107"/>
      <c r="E84" s="108"/>
      <c r="F84" s="108"/>
      <c r="G84" s="108"/>
      <c r="H84" s="108"/>
      <c r="I84" s="74">
        <f>SUM(D84:H84)</f>
        <v>0</v>
      </c>
      <c r="P84" s="63"/>
    </row>
    <row r="85" spans="2:16" ht="15.75" customHeight="1" x14ac:dyDescent="0.25">
      <c r="B85" s="65"/>
      <c r="C85" s="61" t="s">
        <v>10</v>
      </c>
      <c r="D85" s="109"/>
      <c r="E85" s="21"/>
      <c r="F85" s="21"/>
      <c r="G85" s="21"/>
      <c r="H85" s="21">
        <v>20000</v>
      </c>
      <c r="I85" s="74">
        <f t="shared" ref="I85:I90" si="6">SUM(D85:H85)</f>
        <v>20000</v>
      </c>
      <c r="P85" s="63"/>
    </row>
    <row r="86" spans="2:16" ht="15.75" customHeight="1" x14ac:dyDescent="0.25">
      <c r="C86" s="61" t="s">
        <v>11</v>
      </c>
      <c r="D86" s="109"/>
      <c r="E86" s="109"/>
      <c r="F86" s="109"/>
      <c r="G86" s="109"/>
      <c r="H86" s="109">
        <v>104978.86</v>
      </c>
      <c r="I86" s="74">
        <f t="shared" si="6"/>
        <v>104978.86</v>
      </c>
      <c r="P86" s="63"/>
    </row>
    <row r="87" spans="2:16" x14ac:dyDescent="0.25">
      <c r="C87" s="62" t="s">
        <v>12</v>
      </c>
      <c r="D87" s="109">
        <v>0</v>
      </c>
      <c r="E87" s="109"/>
      <c r="F87" s="109"/>
      <c r="G87" s="109"/>
      <c r="H87" s="109">
        <v>100000</v>
      </c>
      <c r="I87" s="74">
        <f t="shared" si="6"/>
        <v>100000</v>
      </c>
      <c r="P87" s="63"/>
    </row>
    <row r="88" spans="2:16" x14ac:dyDescent="0.25">
      <c r="C88" s="61" t="s">
        <v>17</v>
      </c>
      <c r="D88" s="109"/>
      <c r="E88" s="109"/>
      <c r="F88" s="109"/>
      <c r="G88" s="109"/>
      <c r="H88" s="109">
        <v>20000</v>
      </c>
      <c r="I88" s="74">
        <f t="shared" si="6"/>
        <v>20000</v>
      </c>
      <c r="P88" s="63"/>
    </row>
    <row r="89" spans="2:16" ht="25.5" customHeight="1" x14ac:dyDescent="0.25">
      <c r="C89" s="61" t="s">
        <v>13</v>
      </c>
      <c r="D89" s="109"/>
      <c r="E89" s="109"/>
      <c r="F89" s="109"/>
      <c r="G89" s="109"/>
      <c r="H89" s="109"/>
      <c r="I89" s="74">
        <f t="shared" si="6"/>
        <v>0</v>
      </c>
      <c r="P89" s="63"/>
    </row>
    <row r="90" spans="2:16" x14ac:dyDescent="0.25">
      <c r="B90" s="65"/>
      <c r="C90" s="61" t="s">
        <v>64</v>
      </c>
      <c r="D90" s="109"/>
      <c r="E90" s="109"/>
      <c r="F90" s="109"/>
      <c r="G90" s="109"/>
      <c r="H90" s="109">
        <v>25000</v>
      </c>
      <c r="I90" s="74">
        <f t="shared" si="6"/>
        <v>25000</v>
      </c>
      <c r="P90" s="63"/>
    </row>
    <row r="91" spans="2:16" ht="15.75" customHeight="1" x14ac:dyDescent="0.25">
      <c r="C91" s="66" t="s">
        <v>67</v>
      </c>
      <c r="D91" s="78">
        <f>SUM(D84:D90)</f>
        <v>0</v>
      </c>
      <c r="E91" s="78">
        <f>SUM(E84:E90)</f>
        <v>0</v>
      </c>
      <c r="F91" s="78">
        <f>SUM(F84:F90)</f>
        <v>0</v>
      </c>
      <c r="G91" s="78">
        <f>SUM(G84:G90)</f>
        <v>0</v>
      </c>
      <c r="H91" s="78">
        <f>SUM(H84:H90)</f>
        <v>269978.86</v>
      </c>
      <c r="I91" s="72">
        <f>SUM(D91:H91)</f>
        <v>269978.86</v>
      </c>
      <c r="P91" s="63"/>
    </row>
    <row r="92" spans="2:16" ht="25.5" customHeight="1" x14ac:dyDescent="0.25">
      <c r="C92" s="210"/>
      <c r="D92" s="211"/>
      <c r="E92" s="211"/>
      <c r="F92" s="211"/>
      <c r="G92" s="211"/>
      <c r="H92" s="211"/>
      <c r="I92" s="212"/>
      <c r="P92" s="63"/>
    </row>
    <row r="93" spans="2:16" x14ac:dyDescent="0.25">
      <c r="C93" s="290" t="s">
        <v>477</v>
      </c>
      <c r="D93" s="291"/>
      <c r="E93" s="291"/>
      <c r="F93" s="291"/>
      <c r="G93" s="291"/>
      <c r="H93" s="291"/>
      <c r="I93" s="292"/>
      <c r="P93" s="63"/>
    </row>
    <row r="94" spans="2:16" ht="22.5" customHeight="1" thickBot="1" x14ac:dyDescent="0.3">
      <c r="C94" s="75" t="s">
        <v>65</v>
      </c>
      <c r="D94" s="76">
        <f>'1) Budget Table'!$D$56</f>
        <v>0</v>
      </c>
      <c r="E94" s="76">
        <f>'1) Budget Table'!$E$56</f>
        <v>269978.84999999998</v>
      </c>
      <c r="F94" s="76">
        <f>'1) Budget Table'!$F$56</f>
        <v>0</v>
      </c>
      <c r="G94" s="76">
        <f>'1) Budget Table'!$G$56</f>
        <v>0</v>
      </c>
      <c r="H94" s="76">
        <f>'1) Budget Table'!$H$56</f>
        <v>0</v>
      </c>
      <c r="I94" s="77">
        <f>SUM(D94:H94)</f>
        <v>269978.84999999998</v>
      </c>
      <c r="P94" s="63"/>
    </row>
    <row r="95" spans="2:16" x14ac:dyDescent="0.25">
      <c r="C95" s="73" t="s">
        <v>9</v>
      </c>
      <c r="D95" s="107"/>
      <c r="E95" s="108">
        <v>75000</v>
      </c>
      <c r="F95" s="108"/>
      <c r="G95" s="108"/>
      <c r="H95" s="108"/>
      <c r="I95" s="74">
        <f>SUM(D95:H95)</f>
        <v>75000</v>
      </c>
      <c r="P95" s="63"/>
    </row>
    <row r="96" spans="2:16" x14ac:dyDescent="0.25">
      <c r="C96" s="61" t="s">
        <v>10</v>
      </c>
      <c r="D96" s="109"/>
      <c r="E96" s="21">
        <v>30000</v>
      </c>
      <c r="F96" s="21"/>
      <c r="G96" s="21"/>
      <c r="H96" s="21"/>
      <c r="I96" s="74">
        <f t="shared" ref="I96:I101" si="7">SUM(D96:H96)</f>
        <v>30000</v>
      </c>
      <c r="P96" s="63"/>
    </row>
    <row r="97" spans="3:16" ht="15.75" customHeight="1" x14ac:dyDescent="0.25">
      <c r="C97" s="61" t="s">
        <v>11</v>
      </c>
      <c r="D97" s="109"/>
      <c r="E97" s="109">
        <v>16000</v>
      </c>
      <c r="F97" s="109"/>
      <c r="G97" s="109"/>
      <c r="H97" s="109"/>
      <c r="I97" s="74">
        <f t="shared" si="7"/>
        <v>16000</v>
      </c>
      <c r="P97" s="63"/>
    </row>
    <row r="98" spans="3:16" x14ac:dyDescent="0.25">
      <c r="C98" s="62" t="s">
        <v>12</v>
      </c>
      <c r="D98" s="109"/>
      <c r="E98" s="109">
        <v>93604.85</v>
      </c>
      <c r="F98" s="109"/>
      <c r="G98" s="109"/>
      <c r="H98" s="109"/>
      <c r="I98" s="74">
        <f t="shared" si="7"/>
        <v>93604.85</v>
      </c>
      <c r="P98" s="63"/>
    </row>
    <row r="99" spans="3:16" x14ac:dyDescent="0.25">
      <c r="C99" s="61" t="s">
        <v>17</v>
      </c>
      <c r="D99" s="109"/>
      <c r="E99" s="109">
        <v>16000</v>
      </c>
      <c r="F99" s="109"/>
      <c r="G99" s="109"/>
      <c r="H99" s="109"/>
      <c r="I99" s="74">
        <f t="shared" si="7"/>
        <v>16000</v>
      </c>
      <c r="P99" s="63"/>
    </row>
    <row r="100" spans="3:16" x14ac:dyDescent="0.25">
      <c r="C100" s="61" t="s">
        <v>13</v>
      </c>
      <c r="D100" s="109"/>
      <c r="E100" s="109">
        <v>33000</v>
      </c>
      <c r="F100" s="109"/>
      <c r="G100" s="109"/>
      <c r="H100" s="109"/>
      <c r="I100" s="74">
        <f t="shared" si="7"/>
        <v>33000</v>
      </c>
      <c r="P100" s="63"/>
    </row>
    <row r="101" spans="3:16" x14ac:dyDescent="0.25">
      <c r="C101" s="61" t="s">
        <v>64</v>
      </c>
      <c r="D101" s="109"/>
      <c r="E101" s="109">
        <v>6374</v>
      </c>
      <c r="F101" s="109"/>
      <c r="G101" s="109"/>
      <c r="H101" s="109"/>
      <c r="I101" s="74">
        <f t="shared" si="7"/>
        <v>6374</v>
      </c>
      <c r="P101" s="63"/>
    </row>
    <row r="102" spans="3:16" x14ac:dyDescent="0.25">
      <c r="C102" s="66" t="s">
        <v>67</v>
      </c>
      <c r="D102" s="78">
        <f>SUM(D95:D101)</f>
        <v>0</v>
      </c>
      <c r="E102" s="78">
        <f>SUM(E95:E101)</f>
        <v>269978.84999999998</v>
      </c>
      <c r="F102" s="78">
        <f>SUM(F95:F101)</f>
        <v>0</v>
      </c>
      <c r="G102" s="78">
        <f>SUM(G95:G101)</f>
        <v>0</v>
      </c>
      <c r="H102" s="78">
        <f>SUM(H95:H101)</f>
        <v>0</v>
      </c>
      <c r="I102" s="72">
        <f>SUM(D102:H102)</f>
        <v>269978.84999999998</v>
      </c>
      <c r="P102" s="63"/>
    </row>
    <row r="103" spans="3:16" s="65" customFormat="1" x14ac:dyDescent="0.25">
      <c r="C103" s="79"/>
      <c r="D103" s="80"/>
      <c r="E103" s="80"/>
      <c r="F103" s="80"/>
      <c r="G103" s="80"/>
      <c r="H103" s="80"/>
      <c r="I103" s="81"/>
    </row>
    <row r="104" spans="3:16" ht="15.75" customHeight="1" x14ac:dyDescent="0.25">
      <c r="C104" s="290" t="s">
        <v>484</v>
      </c>
      <c r="D104" s="291"/>
      <c r="E104" s="291"/>
      <c r="F104" s="291"/>
      <c r="G104" s="291"/>
      <c r="H104" s="291"/>
      <c r="I104" s="292"/>
      <c r="P104" s="63"/>
    </row>
    <row r="105" spans="3:16" ht="21.75" customHeight="1" thickBot="1" x14ac:dyDescent="0.3">
      <c r="C105" s="75" t="s">
        <v>65</v>
      </c>
      <c r="D105" s="76">
        <f>'1) Budget Table'!$D$59</f>
        <v>43000</v>
      </c>
      <c r="E105" s="76">
        <f>'1) Budget Table'!$E$59</f>
        <v>0</v>
      </c>
      <c r="F105" s="76">
        <f>'1) Budget Table'!$F$59</f>
        <v>0</v>
      </c>
      <c r="G105" s="76">
        <f>'1) Budget Table'!$G$59</f>
        <v>0</v>
      </c>
      <c r="H105" s="76">
        <f>'1) Budget Table'!$H$59</f>
        <v>0</v>
      </c>
      <c r="I105" s="77">
        <f>SUM(D105:H105)</f>
        <v>43000</v>
      </c>
      <c r="P105" s="63"/>
    </row>
    <row r="106" spans="3:16" x14ac:dyDescent="0.25">
      <c r="C106" s="73" t="s">
        <v>9</v>
      </c>
      <c r="D106" s="107"/>
      <c r="E106" s="108"/>
      <c r="F106" s="108"/>
      <c r="G106" s="108"/>
      <c r="H106" s="108"/>
      <c r="I106" s="74">
        <f>SUM(D106:H106)</f>
        <v>0</v>
      </c>
      <c r="P106" s="63"/>
    </row>
    <row r="107" spans="3:16" x14ac:dyDescent="0.25">
      <c r="C107" s="61" t="s">
        <v>10</v>
      </c>
      <c r="D107" s="109"/>
      <c r="E107" s="21"/>
      <c r="F107" s="21"/>
      <c r="G107" s="21"/>
      <c r="H107" s="21"/>
      <c r="I107" s="72">
        <f t="shared" ref="I107:I112" si="8">SUM(D107:F107)</f>
        <v>0</v>
      </c>
      <c r="P107" s="63"/>
    </row>
    <row r="108" spans="3:16" ht="31.5" x14ac:dyDescent="0.25">
      <c r="C108" s="61" t="s">
        <v>11</v>
      </c>
      <c r="D108" s="109"/>
      <c r="E108" s="109"/>
      <c r="F108" s="109"/>
      <c r="G108" s="109"/>
      <c r="H108" s="109"/>
      <c r="I108" s="72">
        <f t="shared" si="8"/>
        <v>0</v>
      </c>
      <c r="P108" s="63"/>
    </row>
    <row r="109" spans="3:16" x14ac:dyDescent="0.25">
      <c r="C109" s="62" t="s">
        <v>12</v>
      </c>
      <c r="D109" s="109"/>
      <c r="E109" s="109"/>
      <c r="F109" s="109"/>
      <c r="G109" s="109"/>
      <c r="H109" s="109"/>
      <c r="I109" s="72">
        <f t="shared" si="8"/>
        <v>0</v>
      </c>
      <c r="P109" s="63"/>
    </row>
    <row r="110" spans="3:16" x14ac:dyDescent="0.25">
      <c r="C110" s="61" t="s">
        <v>17</v>
      </c>
      <c r="D110" s="109"/>
      <c r="E110" s="109"/>
      <c r="F110" s="109"/>
      <c r="G110" s="109"/>
      <c r="H110" s="109"/>
      <c r="I110" s="72">
        <f t="shared" si="8"/>
        <v>0</v>
      </c>
      <c r="P110" s="63"/>
    </row>
    <row r="111" spans="3:16" x14ac:dyDescent="0.25">
      <c r="C111" s="61" t="s">
        <v>13</v>
      </c>
      <c r="D111" s="109">
        <v>43000</v>
      </c>
      <c r="E111" s="109"/>
      <c r="F111" s="109"/>
      <c r="G111" s="109"/>
      <c r="H111" s="109"/>
      <c r="I111" s="72">
        <f t="shared" si="8"/>
        <v>43000</v>
      </c>
      <c r="P111" s="63"/>
    </row>
    <row r="112" spans="3:16" x14ac:dyDescent="0.25">
      <c r="C112" s="61" t="s">
        <v>64</v>
      </c>
      <c r="D112" s="109"/>
      <c r="E112" s="109"/>
      <c r="F112" s="109"/>
      <c r="G112" s="109"/>
      <c r="H112" s="109"/>
      <c r="I112" s="72">
        <f t="shared" si="8"/>
        <v>0</v>
      </c>
      <c r="P112" s="63"/>
    </row>
    <row r="113" spans="3:16" x14ac:dyDescent="0.25">
      <c r="C113" s="66" t="s">
        <v>67</v>
      </c>
      <c r="D113" s="78">
        <f>SUM(D106:D112)</f>
        <v>43000</v>
      </c>
      <c r="E113" s="78">
        <f>SUM(E106:E112)</f>
        <v>0</v>
      </c>
      <c r="F113" s="78">
        <f>SUM(F106:F112)</f>
        <v>0</v>
      </c>
      <c r="G113" s="78">
        <f>SUM(G106:G112)</f>
        <v>0</v>
      </c>
      <c r="H113" s="78">
        <f>SUM(H106:H112)</f>
        <v>0</v>
      </c>
      <c r="I113" s="72">
        <f>SUM(D113:H113)</f>
        <v>43000</v>
      </c>
      <c r="P113" s="63"/>
    </row>
    <row r="114" spans="3:16" s="65" customFormat="1" x14ac:dyDescent="0.25">
      <c r="C114" s="79"/>
      <c r="D114" s="80"/>
      <c r="E114" s="80"/>
      <c r="F114" s="80"/>
      <c r="G114" s="80"/>
      <c r="H114" s="80"/>
      <c r="I114" s="81"/>
    </row>
    <row r="115" spans="3:16" s="65" customFormat="1" x14ac:dyDescent="0.25">
      <c r="C115" s="221"/>
      <c r="D115" s="222"/>
      <c r="E115" s="222"/>
      <c r="F115" s="222"/>
      <c r="G115" s="222"/>
      <c r="H115" s="222"/>
      <c r="I115" s="223"/>
    </row>
    <row r="116" spans="3:16" s="65" customFormat="1" x14ac:dyDescent="0.25">
      <c r="C116" s="290" t="s">
        <v>492</v>
      </c>
      <c r="D116" s="291"/>
      <c r="E116" s="291"/>
      <c r="F116" s="291"/>
      <c r="G116" s="291"/>
      <c r="H116" s="291"/>
      <c r="I116" s="292"/>
    </row>
    <row r="117" spans="3:16" s="65" customFormat="1" ht="16.5" thickBot="1" x14ac:dyDescent="0.3">
      <c r="C117" s="75" t="s">
        <v>65</v>
      </c>
      <c r="D117" s="76">
        <f>'1) Budget Table'!$D$61</f>
        <v>287200</v>
      </c>
      <c r="E117" s="76">
        <f>'1) Budget Table'!$E$59</f>
        <v>0</v>
      </c>
      <c r="F117" s="76">
        <f>'1) Budget Table'!$F$59</f>
        <v>0</v>
      </c>
      <c r="G117" s="76">
        <f>'1) Budget Table'!$G$59</f>
        <v>0</v>
      </c>
      <c r="H117" s="76">
        <f>'1) Budget Table'!$H$59</f>
        <v>0</v>
      </c>
      <c r="I117" s="77">
        <f>SUM(D117:H117)</f>
        <v>287200</v>
      </c>
    </row>
    <row r="118" spans="3:16" s="65" customFormat="1" x14ac:dyDescent="0.25">
      <c r="C118" s="73" t="s">
        <v>9</v>
      </c>
      <c r="D118" s="107">
        <f>124800+43200+31200</f>
        <v>199200</v>
      </c>
      <c r="E118" s="108"/>
      <c r="F118" s="108"/>
      <c r="G118" s="108"/>
      <c r="H118" s="108"/>
      <c r="I118" s="74">
        <f>SUM(D118:H118)</f>
        <v>199200</v>
      </c>
    </row>
    <row r="119" spans="3:16" s="65" customFormat="1" x14ac:dyDescent="0.25">
      <c r="C119" s="61" t="s">
        <v>10</v>
      </c>
      <c r="D119" s="109">
        <f>8000+5000</f>
        <v>13000</v>
      </c>
      <c r="E119" s="21"/>
      <c r="F119" s="21"/>
      <c r="G119" s="21"/>
      <c r="H119" s="21"/>
      <c r="I119" s="72">
        <f t="shared" ref="I119:I124" si="9">SUM(D119:F119)</f>
        <v>13000</v>
      </c>
    </row>
    <row r="120" spans="3:16" s="65" customFormat="1" ht="31.5" x14ac:dyDescent="0.25">
      <c r="C120" s="61" t="s">
        <v>11</v>
      </c>
      <c r="D120" s="109"/>
      <c r="E120" s="109"/>
      <c r="F120" s="109"/>
      <c r="G120" s="109"/>
      <c r="H120" s="109"/>
      <c r="I120" s="72">
        <f t="shared" si="9"/>
        <v>0</v>
      </c>
    </row>
    <row r="121" spans="3:16" s="65" customFormat="1" x14ac:dyDescent="0.25">
      <c r="C121" s="62" t="s">
        <v>12</v>
      </c>
      <c r="D121" s="109"/>
      <c r="E121" s="109"/>
      <c r="F121" s="109"/>
      <c r="G121" s="109"/>
      <c r="H121" s="109"/>
      <c r="I121" s="72">
        <f t="shared" si="9"/>
        <v>0</v>
      </c>
    </row>
    <row r="122" spans="3:16" s="65" customFormat="1" x14ac:dyDescent="0.25">
      <c r="C122" s="61" t="s">
        <v>17</v>
      </c>
      <c r="D122" s="109">
        <v>15000</v>
      </c>
      <c r="E122" s="109"/>
      <c r="F122" s="109"/>
      <c r="G122" s="109"/>
      <c r="H122" s="109"/>
      <c r="I122" s="72">
        <f t="shared" si="9"/>
        <v>15000</v>
      </c>
    </row>
    <row r="123" spans="3:16" s="65" customFormat="1" x14ac:dyDescent="0.25">
      <c r="C123" s="61" t="s">
        <v>13</v>
      </c>
      <c r="D123" s="109"/>
      <c r="E123" s="109"/>
      <c r="F123" s="109"/>
      <c r="G123" s="109"/>
      <c r="H123" s="109"/>
      <c r="I123" s="72">
        <f t="shared" si="9"/>
        <v>0</v>
      </c>
    </row>
    <row r="124" spans="3:16" s="65" customFormat="1" x14ac:dyDescent="0.25">
      <c r="C124" s="61" t="s">
        <v>64</v>
      </c>
      <c r="D124" s="109">
        <v>60000</v>
      </c>
      <c r="E124" s="109"/>
      <c r="F124" s="109"/>
      <c r="G124" s="109"/>
      <c r="H124" s="109"/>
      <c r="I124" s="72">
        <f t="shared" si="9"/>
        <v>60000</v>
      </c>
    </row>
    <row r="125" spans="3:16" s="67" customFormat="1" ht="15.75" customHeight="1" x14ac:dyDescent="0.25">
      <c r="C125" s="66" t="s">
        <v>67</v>
      </c>
      <c r="D125" s="78">
        <f>SUM(D118:D124)</f>
        <v>287200</v>
      </c>
      <c r="E125" s="78">
        <f>SUM(E118:E124)</f>
        <v>0</v>
      </c>
      <c r="F125" s="78">
        <f>SUM(F118:F124)</f>
        <v>0</v>
      </c>
      <c r="G125" s="78">
        <f>SUM(G118:G124)</f>
        <v>0</v>
      </c>
      <c r="H125" s="78">
        <f>SUM(H118:H124)</f>
        <v>0</v>
      </c>
      <c r="I125" s="72">
        <f>SUM(D125:H125)</f>
        <v>287200</v>
      </c>
    </row>
    <row r="126" spans="3:16" s="67" customFormat="1" ht="19.5" customHeight="1" x14ac:dyDescent="0.25">
      <c r="C126" s="79"/>
      <c r="D126" s="80"/>
      <c r="E126" s="80"/>
      <c r="F126" s="80"/>
      <c r="G126" s="80"/>
      <c r="H126" s="80"/>
      <c r="I126" s="81"/>
    </row>
    <row r="127" spans="3:16" s="67" customFormat="1" ht="19.5" customHeight="1" x14ac:dyDescent="0.25">
      <c r="C127" s="85"/>
      <c r="D127" s="71" t="s">
        <v>422</v>
      </c>
      <c r="E127" s="71" t="s">
        <v>423</v>
      </c>
      <c r="F127" s="71" t="s">
        <v>424</v>
      </c>
      <c r="G127" s="168" t="s">
        <v>486</v>
      </c>
      <c r="H127" s="168" t="s">
        <v>487</v>
      </c>
      <c r="I127" s="282" t="s">
        <v>18</v>
      </c>
    </row>
    <row r="128" spans="3:16" s="67" customFormat="1" ht="19.5" customHeight="1" x14ac:dyDescent="0.25">
      <c r="C128" s="85"/>
      <c r="D128" s="64" t="str">
        <f>'1) Budget Table'!D13</f>
        <v>PNUD</v>
      </c>
      <c r="E128" s="64" t="str">
        <f>'1) Budget Table'!E13</f>
        <v>ONUMUJERES</v>
      </c>
      <c r="F128" s="64" t="str">
        <f>'1) Budget Table'!F13</f>
        <v>UNFPA</v>
      </c>
      <c r="G128" s="167" t="str">
        <f>'1) Budget Table'!G13</f>
        <v>UNICEF</v>
      </c>
      <c r="H128" s="167" t="str">
        <f>'1) Budget Table'!H13</f>
        <v>UNODC</v>
      </c>
      <c r="I128" s="283"/>
    </row>
    <row r="129" spans="3:15" s="67" customFormat="1" ht="19.5" customHeight="1" x14ac:dyDescent="0.25">
      <c r="C129" s="23" t="s">
        <v>9</v>
      </c>
      <c r="D129" s="86">
        <f t="shared" ref="D129:D135" si="10">SUM(D118,D106,D95,D84,D73,D62,D51,D39,D28,D17,)</f>
        <v>199200</v>
      </c>
      <c r="E129" s="173">
        <f t="shared" ref="E129:H135" si="11">SUM(E106,E95,E84,E73,E62,E51,E39,E28,E17,)</f>
        <v>75000</v>
      </c>
      <c r="F129" s="173">
        <f t="shared" si="11"/>
        <v>0</v>
      </c>
      <c r="G129" s="173">
        <f t="shared" si="11"/>
        <v>0</v>
      </c>
      <c r="H129" s="173">
        <f t="shared" si="11"/>
        <v>0</v>
      </c>
      <c r="I129" s="84">
        <f>SUM(D129:H129)</f>
        <v>274200</v>
      </c>
    </row>
    <row r="130" spans="3:15" s="67" customFormat="1" ht="34.5" customHeight="1" x14ac:dyDescent="0.25">
      <c r="C130" s="23" t="s">
        <v>10</v>
      </c>
      <c r="D130" s="173">
        <f t="shared" si="10"/>
        <v>107946.3</v>
      </c>
      <c r="E130" s="173">
        <f t="shared" si="11"/>
        <v>30000</v>
      </c>
      <c r="F130" s="173">
        <f t="shared" si="11"/>
        <v>117442.23000000001</v>
      </c>
      <c r="G130" s="173">
        <f t="shared" si="11"/>
        <v>30524.33</v>
      </c>
      <c r="H130" s="173">
        <f t="shared" si="11"/>
        <v>20000</v>
      </c>
      <c r="I130" s="169">
        <f t="shared" ref="I130:I136" si="12">SUM(D130:H130)</f>
        <v>305912.86</v>
      </c>
    </row>
    <row r="131" spans="3:15" s="67" customFormat="1" ht="48" customHeight="1" x14ac:dyDescent="0.25">
      <c r="C131" s="23" t="s">
        <v>11</v>
      </c>
      <c r="D131" s="173">
        <f t="shared" si="10"/>
        <v>529000</v>
      </c>
      <c r="E131" s="173">
        <f t="shared" si="11"/>
        <v>16000</v>
      </c>
      <c r="F131" s="173">
        <f t="shared" si="11"/>
        <v>0</v>
      </c>
      <c r="G131" s="173">
        <f t="shared" si="11"/>
        <v>42500</v>
      </c>
      <c r="H131" s="173">
        <f t="shared" si="11"/>
        <v>104978.86</v>
      </c>
      <c r="I131" s="169">
        <f t="shared" si="12"/>
        <v>692478.86</v>
      </c>
    </row>
    <row r="132" spans="3:15" s="67" customFormat="1" ht="33" customHeight="1" x14ac:dyDescent="0.25">
      <c r="C132" s="38" t="s">
        <v>12</v>
      </c>
      <c r="D132" s="173">
        <f t="shared" si="10"/>
        <v>724488.2</v>
      </c>
      <c r="E132" s="173">
        <f t="shared" si="11"/>
        <v>93604.85</v>
      </c>
      <c r="F132" s="173">
        <f t="shared" si="11"/>
        <v>305000</v>
      </c>
      <c r="G132" s="173">
        <f t="shared" si="11"/>
        <v>350045</v>
      </c>
      <c r="H132" s="173">
        <f t="shared" si="11"/>
        <v>100000</v>
      </c>
      <c r="I132" s="169">
        <f t="shared" si="12"/>
        <v>1573138.0499999998</v>
      </c>
    </row>
    <row r="133" spans="3:15" s="67" customFormat="1" ht="21" customHeight="1" x14ac:dyDescent="0.25">
      <c r="C133" s="23" t="s">
        <v>17</v>
      </c>
      <c r="D133" s="173">
        <f t="shared" si="10"/>
        <v>15000</v>
      </c>
      <c r="E133" s="173">
        <f t="shared" si="11"/>
        <v>16000</v>
      </c>
      <c r="F133" s="173">
        <f t="shared" si="11"/>
        <v>22000</v>
      </c>
      <c r="G133" s="173">
        <f t="shared" si="11"/>
        <v>21372.91</v>
      </c>
      <c r="H133" s="173">
        <f t="shared" si="11"/>
        <v>20000</v>
      </c>
      <c r="I133" s="169">
        <f t="shared" si="12"/>
        <v>94372.91</v>
      </c>
      <c r="J133" s="27"/>
      <c r="K133" s="27"/>
      <c r="L133" s="27"/>
      <c r="M133" s="27"/>
      <c r="N133" s="27"/>
      <c r="O133" s="26"/>
    </row>
    <row r="134" spans="3:15" s="67" customFormat="1" ht="39.75" customHeight="1" x14ac:dyDescent="0.25">
      <c r="C134" s="23" t="s">
        <v>13</v>
      </c>
      <c r="D134" s="173">
        <f t="shared" si="10"/>
        <v>43000</v>
      </c>
      <c r="E134" s="173">
        <f t="shared" si="11"/>
        <v>33000</v>
      </c>
      <c r="F134" s="173">
        <f t="shared" si="11"/>
        <v>0</v>
      </c>
      <c r="G134" s="173">
        <f t="shared" si="11"/>
        <v>0</v>
      </c>
      <c r="H134" s="173">
        <f t="shared" si="11"/>
        <v>0</v>
      </c>
      <c r="I134" s="169">
        <f t="shared" si="12"/>
        <v>76000</v>
      </c>
      <c r="J134" s="27"/>
      <c r="K134" s="27"/>
      <c r="L134" s="27"/>
      <c r="M134" s="27"/>
      <c r="N134" s="27"/>
      <c r="O134" s="26"/>
    </row>
    <row r="135" spans="3:15" s="67" customFormat="1" ht="23.25" customHeight="1" x14ac:dyDescent="0.25">
      <c r="C135" s="23" t="s">
        <v>64</v>
      </c>
      <c r="D135" s="173">
        <f t="shared" si="10"/>
        <v>60000</v>
      </c>
      <c r="E135" s="173">
        <f t="shared" si="11"/>
        <v>6374</v>
      </c>
      <c r="F135" s="173">
        <f t="shared" si="11"/>
        <v>0</v>
      </c>
      <c r="G135" s="173">
        <f t="shared" si="11"/>
        <v>0</v>
      </c>
      <c r="H135" s="173">
        <f t="shared" si="11"/>
        <v>25000</v>
      </c>
      <c r="I135" s="169">
        <f>SUM(D135:H135)</f>
        <v>91374</v>
      </c>
      <c r="J135" s="27"/>
      <c r="K135" s="27"/>
      <c r="L135" s="27"/>
      <c r="M135" s="27"/>
      <c r="N135" s="27"/>
      <c r="O135" s="26"/>
    </row>
    <row r="136" spans="3:15" s="67" customFormat="1" ht="22.5" customHeight="1" x14ac:dyDescent="0.25">
      <c r="C136" s="151" t="s">
        <v>433</v>
      </c>
      <c r="D136" s="150">
        <f>SUM(D129:D135)</f>
        <v>1678634.5</v>
      </c>
      <c r="E136" s="150">
        <f>SUM(E129:E135)</f>
        <v>269978.84999999998</v>
      </c>
      <c r="F136" s="150">
        <f>SUM(F129:F135)</f>
        <v>444442.23</v>
      </c>
      <c r="G136" s="150">
        <f>SUM(G129:G135)</f>
        <v>444442.24</v>
      </c>
      <c r="H136" s="150">
        <f>SUM(H129:H135)</f>
        <v>269978.86</v>
      </c>
      <c r="I136" s="169">
        <f t="shared" si="12"/>
        <v>3107476.68</v>
      </c>
      <c r="J136" s="27"/>
      <c r="K136" s="27"/>
      <c r="L136" s="27"/>
      <c r="M136" s="27"/>
      <c r="N136" s="27"/>
      <c r="O136" s="26"/>
    </row>
    <row r="137" spans="3:15" s="67" customFormat="1" ht="26.25" customHeight="1" thickBot="1" x14ac:dyDescent="0.3">
      <c r="C137" s="154" t="s">
        <v>431</v>
      </c>
      <c r="D137" s="88">
        <f>D136*0.07-0.02</f>
        <v>117504.395</v>
      </c>
      <c r="E137" s="88">
        <f>E136*0.07-0.01</f>
        <v>18898.5095</v>
      </c>
      <c r="F137" s="150">
        <f>+F136*0.07</f>
        <v>31110.956100000003</v>
      </c>
      <c r="G137" s="150">
        <f>+G136*0.07</f>
        <v>31110.956800000004</v>
      </c>
      <c r="H137" s="150">
        <f>+H136*0.07-0.01</f>
        <v>18898.510200000001</v>
      </c>
      <c r="I137" s="169">
        <f>SUM(D137:H137)+0.01</f>
        <v>217523.33760000003</v>
      </c>
      <c r="J137" s="40"/>
      <c r="K137" s="40"/>
      <c r="L137" s="40"/>
      <c r="M137" s="40"/>
      <c r="N137" s="68"/>
      <c r="O137" s="65"/>
    </row>
    <row r="138" spans="3:15" s="67" customFormat="1" ht="23.25" customHeight="1" thickBot="1" x14ac:dyDescent="0.3">
      <c r="C138" s="152" t="s">
        <v>432</v>
      </c>
      <c r="D138" s="153">
        <f t="shared" ref="D138:I138" si="13">SUM(D136:D137)</f>
        <v>1796138.895</v>
      </c>
      <c r="E138" s="153">
        <f t="shared" si="13"/>
        <v>288877.35949999996</v>
      </c>
      <c r="F138" s="153">
        <f t="shared" si="13"/>
        <v>475553.18609999999</v>
      </c>
      <c r="G138" s="153">
        <f t="shared" si="13"/>
        <v>475553.19679999998</v>
      </c>
      <c r="H138" s="153">
        <f t="shared" si="13"/>
        <v>288877.3702</v>
      </c>
      <c r="I138" s="87">
        <f t="shared" si="13"/>
        <v>3325000.0176000004</v>
      </c>
      <c r="J138" s="40"/>
      <c r="K138" s="40"/>
      <c r="L138" s="40"/>
      <c r="M138" s="40"/>
      <c r="N138" s="68"/>
      <c r="O138" s="65"/>
    </row>
    <row r="139" spans="3:15" ht="15.75" customHeight="1" x14ac:dyDescent="0.25">
      <c r="N139" s="69"/>
    </row>
    <row r="140" spans="3:15" ht="15.75" customHeight="1" x14ac:dyDescent="0.25">
      <c r="J140" s="50"/>
      <c r="K140" s="50"/>
      <c r="N140" s="69"/>
    </row>
    <row r="141" spans="3:15" ht="15.75" customHeight="1" x14ac:dyDescent="0.25">
      <c r="J141" s="50"/>
      <c r="K141" s="50"/>
      <c r="N141" s="67"/>
    </row>
    <row r="142" spans="3:15" ht="40.5" customHeight="1" x14ac:dyDescent="0.25">
      <c r="J142" s="50"/>
      <c r="K142" s="50"/>
      <c r="N142" s="70"/>
    </row>
    <row r="143" spans="3:15" ht="24.75" customHeight="1" x14ac:dyDescent="0.25">
      <c r="J143" s="50"/>
      <c r="K143" s="50"/>
      <c r="N143" s="70"/>
    </row>
    <row r="144" spans="3:15" ht="41.25" customHeight="1" x14ac:dyDescent="0.25">
      <c r="J144" s="15"/>
      <c r="K144" s="50"/>
      <c r="N144" s="70"/>
    </row>
    <row r="145" spans="3:16" ht="51.75" customHeight="1" x14ac:dyDescent="0.25">
      <c r="J145" s="15"/>
      <c r="K145" s="50"/>
      <c r="N145" s="70"/>
      <c r="P145" s="63"/>
    </row>
    <row r="146" spans="3:16" ht="42" customHeight="1" x14ac:dyDescent="0.25">
      <c r="J146" s="50"/>
      <c r="K146" s="50"/>
      <c r="N146" s="70"/>
      <c r="P146" s="63"/>
    </row>
    <row r="147" spans="3:16" s="65" customFormat="1" ht="42" customHeight="1" x14ac:dyDescent="0.25">
      <c r="C147" s="63"/>
      <c r="I147" s="63"/>
      <c r="J147" s="67"/>
      <c r="K147" s="50"/>
      <c r="L147" s="63"/>
      <c r="M147" s="63"/>
      <c r="N147" s="70"/>
      <c r="O147" s="63"/>
    </row>
    <row r="148" spans="3:16" s="65" customFormat="1" ht="42" customHeight="1" x14ac:dyDescent="0.25">
      <c r="C148" s="63"/>
      <c r="I148" s="63"/>
      <c r="J148" s="63"/>
      <c r="K148" s="50"/>
      <c r="L148" s="63"/>
      <c r="M148" s="63"/>
      <c r="N148" s="63"/>
      <c r="O148" s="63"/>
    </row>
    <row r="149" spans="3:16" s="65" customFormat="1" ht="63.75" customHeight="1" x14ac:dyDescent="0.25">
      <c r="C149" s="63"/>
      <c r="I149" s="63"/>
      <c r="J149" s="63"/>
      <c r="K149" s="69"/>
      <c r="L149" s="67"/>
      <c r="M149" s="67"/>
      <c r="N149" s="63"/>
      <c r="O149" s="63"/>
    </row>
    <row r="150" spans="3:16" s="65" customFormat="1" ht="42" customHeight="1" x14ac:dyDescent="0.25">
      <c r="C150" s="63"/>
      <c r="I150" s="63"/>
      <c r="J150" s="63"/>
      <c r="K150" s="63"/>
      <c r="L150" s="63"/>
      <c r="M150" s="63"/>
      <c r="N150" s="63"/>
      <c r="O150" s="69"/>
    </row>
    <row r="151" spans="3:16" ht="23.25" customHeight="1" x14ac:dyDescent="0.25">
      <c r="P151" s="63"/>
    </row>
    <row r="152" spans="3:16" ht="27.75" customHeight="1" x14ac:dyDescent="0.25">
      <c r="N152" s="67"/>
      <c r="P152" s="63"/>
    </row>
    <row r="153" spans="3:16" ht="55.5" customHeight="1" x14ac:dyDescent="0.25">
      <c r="P153" s="63"/>
    </row>
    <row r="154" spans="3:16" ht="57.75" customHeight="1" x14ac:dyDescent="0.25">
      <c r="O154" s="67"/>
      <c r="P154" s="63"/>
    </row>
    <row r="155" spans="3:16" ht="21.75" customHeight="1" x14ac:dyDescent="0.25">
      <c r="P155" s="63"/>
    </row>
    <row r="156" spans="3:16" ht="49.5" customHeight="1" x14ac:dyDescent="0.25">
      <c r="P156" s="63"/>
    </row>
    <row r="157" spans="3:16" ht="28.5" customHeight="1" x14ac:dyDescent="0.25">
      <c r="P157" s="63"/>
    </row>
    <row r="158" spans="3:16" ht="28.5" customHeight="1" x14ac:dyDescent="0.25">
      <c r="P158" s="63"/>
    </row>
    <row r="159" spans="3:16" ht="28.5" customHeight="1" x14ac:dyDescent="0.25">
      <c r="P159" s="63"/>
    </row>
    <row r="160" spans="3:16" ht="23.25" customHeight="1" x14ac:dyDescent="0.25">
      <c r="P160" s="69"/>
    </row>
    <row r="161" spans="3:16" ht="43.5" customHeight="1" x14ac:dyDescent="0.25">
      <c r="P161" s="69"/>
    </row>
    <row r="162" spans="3:16" ht="55.5" customHeight="1" x14ac:dyDescent="0.25">
      <c r="P162" s="63"/>
    </row>
    <row r="163" spans="3:16" ht="42.75" customHeight="1" x14ac:dyDescent="0.25">
      <c r="P163" s="69"/>
    </row>
    <row r="164" spans="3:16" ht="21.75" customHeight="1" x14ac:dyDescent="0.25">
      <c r="P164" s="69"/>
    </row>
    <row r="165" spans="3:16" ht="21.75" customHeight="1" x14ac:dyDescent="0.25">
      <c r="P165" s="69"/>
    </row>
    <row r="166" spans="3:16" s="67" customFormat="1" ht="23.25" customHeight="1" x14ac:dyDescent="0.25">
      <c r="C166" s="63"/>
      <c r="D166" s="65"/>
      <c r="E166" s="65"/>
      <c r="F166" s="65"/>
      <c r="G166" s="65"/>
      <c r="H166" s="65"/>
      <c r="I166" s="63"/>
      <c r="J166" s="63"/>
      <c r="K166" s="63"/>
      <c r="L166" s="63"/>
      <c r="M166" s="63"/>
      <c r="N166" s="63"/>
      <c r="O166" s="63"/>
    </row>
    <row r="167" spans="3:16" ht="23.25" customHeight="1" x14ac:dyDescent="0.25"/>
    <row r="168" spans="3:16" ht="21.75" customHeight="1" x14ac:dyDescent="0.25"/>
    <row r="169" spans="3:16" ht="16.5" customHeight="1" x14ac:dyDescent="0.25"/>
    <row r="170" spans="3:16" ht="29.25" customHeight="1" x14ac:dyDescent="0.25"/>
    <row r="171" spans="3:16" ht="24.75" customHeight="1" x14ac:dyDescent="0.25"/>
    <row r="172" spans="3:16" ht="33" customHeight="1" x14ac:dyDescent="0.25"/>
    <row r="174" spans="3:16" ht="15" customHeight="1" x14ac:dyDescent="0.25"/>
    <row r="175" spans="3:16" ht="25.5" customHeight="1" x14ac:dyDescent="0.25"/>
  </sheetData>
  <sheetProtection insertColumns="0" insertRows="0" deleteRows="0"/>
  <mergeCells count="18">
    <mergeCell ref="C2:F2"/>
    <mergeCell ref="B14:I14"/>
    <mergeCell ref="C15:I15"/>
    <mergeCell ref="B48:I48"/>
    <mergeCell ref="I12:I13"/>
    <mergeCell ref="C5:I5"/>
    <mergeCell ref="C26:I26"/>
    <mergeCell ref="C37:I37"/>
    <mergeCell ref="C10:H10"/>
    <mergeCell ref="I127:I128"/>
    <mergeCell ref="C6:I8"/>
    <mergeCell ref="C49:I49"/>
    <mergeCell ref="C93:I93"/>
    <mergeCell ref="C104:I104"/>
    <mergeCell ref="C60:I60"/>
    <mergeCell ref="C71:I71"/>
    <mergeCell ref="C82:I82"/>
    <mergeCell ref="C116:I116"/>
  </mergeCells>
  <conditionalFormatting sqref="I24">
    <cfRule type="cellIs" dxfId="13" priority="19" operator="notEqual">
      <formula>$I$16</formula>
    </cfRule>
  </conditionalFormatting>
  <conditionalFormatting sqref="I35">
    <cfRule type="cellIs" dxfId="12" priority="18" operator="notEqual">
      <formula>$I$27</formula>
    </cfRule>
  </conditionalFormatting>
  <conditionalFormatting sqref="I46">
    <cfRule type="cellIs" dxfId="11" priority="17" operator="notEqual">
      <formula>$I$38</formula>
    </cfRule>
  </conditionalFormatting>
  <conditionalFormatting sqref="I58">
    <cfRule type="cellIs" dxfId="10" priority="15" operator="notEqual">
      <formula>$I$50</formula>
    </cfRule>
  </conditionalFormatting>
  <conditionalFormatting sqref="I69">
    <cfRule type="cellIs" dxfId="9" priority="14" operator="notEqual">
      <formula>$I$61</formula>
    </cfRule>
  </conditionalFormatting>
  <conditionalFormatting sqref="I80">
    <cfRule type="cellIs" dxfId="8" priority="13" operator="notEqual">
      <formula>$I$72</formula>
    </cfRule>
  </conditionalFormatting>
  <conditionalFormatting sqref="I91">
    <cfRule type="cellIs" dxfId="7" priority="12" operator="notEqual">
      <formula>$I$83</formula>
    </cfRule>
  </conditionalFormatting>
  <conditionalFormatting sqref="I102">
    <cfRule type="cellIs" dxfId="6" priority="11" operator="notEqual">
      <formula>$I$94</formula>
    </cfRule>
  </conditionalFormatting>
  <conditionalFormatting sqref="I113">
    <cfRule type="cellIs" dxfId="5" priority="10" operator="notEqual">
      <formula>$I$105</formula>
    </cfRule>
  </conditionalFormatting>
  <conditionalFormatting sqref="I125">
    <cfRule type="cellIs" dxfId="4" priority="1" operator="notEqual">
      <formula>$I$105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7 C68 C79 C90 C101 C112 C135 C12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6 C67 C78 C89 C100 C111 C134 C123" xr:uid="{00000000-0002-0000-0100-000001000000}"/>
    <dataValidation allowBlank="1" showInputMessage="1" showErrorMessage="1" prompt="Services contracted by an organization which follow the normal procurement processes." sqref="C20 C31 C42 C54 C65 C76 C87 C98 C109 C132 C121" xr:uid="{00000000-0002-0000-0100-000002000000}"/>
    <dataValidation allowBlank="1" showInputMessage="1" showErrorMessage="1" prompt="Includes staff and non-staff travel paid for by the organization directly related to a project." sqref="C21 C32 C43 C55 C66 C77 C88 C99 C110 C133 C12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3 C64 C75 C86 C97 C108 C131 C12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2 C63 C74 C85 C96 C107 C130 C119" xr:uid="{00000000-0002-0000-0100-000005000000}"/>
    <dataValidation allowBlank="1" showInputMessage="1" showErrorMessage="1" prompt="Includes all related staff and temporary staff costs including base salary, post adjustment and all staff entitlements." sqref="C17 C28 C39 C51 C62 C73 C84 C95 C106 C129 C118" xr:uid="{00000000-0002-0000-0100-000006000000}"/>
    <dataValidation allowBlank="1" showInputMessage="1" showErrorMessage="1" prompt="Output totals must match the original total from Table 1, and will show as red if not. " sqref="I24" xr:uid="{00000000-0002-0000-0100-000007000000}"/>
  </dataValidations>
  <pageMargins left="0.7" right="0.7" top="0.75" bottom="0.75" header="0.3" footer="0.3"/>
  <pageSetup scale="74" orientation="landscape" r:id="rId1"/>
  <rowBreaks count="1" manualBreakCount="1">
    <brk id="59" max="16383" man="1"/>
  </rowBreaks>
  <extLst>
    <ext xmlns:x14="http://schemas.microsoft.com/office/spreadsheetml/2009/9/main" uri="{78C0D931-6437-407d-A8EE-F0AAD7539E65}">
      <x14:conditionalFormattings>
        <x14:conditionalFormatting xmlns:xm="http://schemas.microsoft.com/office/excel/2006/main">
          <x14:cfRule type="cellIs" priority="2" operator="notEqual" id="{9BB3355D-65E3-41AD-A658-41150B167F0C}">
            <xm:f>'1) Budget Table'!$I$80</xm:f>
            <x14:dxf>
              <font>
                <color rgb="FF9C0006"/>
              </font>
              <fill>
                <patternFill>
                  <bgColor rgb="FFFFC7CE"/>
                </patternFill>
              </fill>
            </x14:dxf>
          </x14:cfRule>
          <xm:sqref>I138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workbookViewId="0">
      <selection activeCell="B37" sqref="B37"/>
    </sheetView>
  </sheetViews>
  <sheetFormatPr defaultColWidth="8.85546875" defaultRowHeight="15" x14ac:dyDescent="0.25"/>
  <cols>
    <col min="2" max="2" width="73.28515625" customWidth="1"/>
  </cols>
  <sheetData>
    <row r="1" spans="2:6" ht="15.75" thickBot="1" x14ac:dyDescent="0.3"/>
    <row r="2" spans="2:6" ht="15.75" thickBot="1" x14ac:dyDescent="0.3">
      <c r="B2" s="159" t="s">
        <v>27</v>
      </c>
      <c r="C2" s="1"/>
      <c r="D2" s="1"/>
      <c r="E2" s="1"/>
      <c r="F2" s="1"/>
    </row>
    <row r="3" spans="2:6" x14ac:dyDescent="0.25">
      <c r="B3" s="160"/>
    </row>
    <row r="4" spans="2:6" ht="30.75" customHeight="1" x14ac:dyDescent="0.25">
      <c r="B4" s="161" t="s">
        <v>20</v>
      </c>
    </row>
    <row r="5" spans="2:6" ht="30.75" customHeight="1" x14ac:dyDescent="0.25">
      <c r="B5" s="161"/>
    </row>
    <row r="6" spans="2:6" ht="60" x14ac:dyDescent="0.25">
      <c r="B6" s="161" t="s">
        <v>21</v>
      </c>
    </row>
    <row r="7" spans="2:6" x14ac:dyDescent="0.25">
      <c r="B7" s="161"/>
    </row>
    <row r="8" spans="2:6" ht="60" x14ac:dyDescent="0.25">
      <c r="B8" s="161" t="s">
        <v>22</v>
      </c>
    </row>
    <row r="9" spans="2:6" x14ac:dyDescent="0.25">
      <c r="B9" s="161"/>
    </row>
    <row r="10" spans="2:6" ht="60" x14ac:dyDescent="0.25">
      <c r="B10" s="161" t="s">
        <v>23</v>
      </c>
    </row>
    <row r="11" spans="2:6" x14ac:dyDescent="0.25">
      <c r="B11" s="161"/>
    </row>
    <row r="12" spans="2:6" ht="30" x14ac:dyDescent="0.25">
      <c r="B12" s="161" t="s">
        <v>24</v>
      </c>
    </row>
    <row r="13" spans="2:6" x14ac:dyDescent="0.25">
      <c r="B13" s="161"/>
    </row>
    <row r="14" spans="2:6" ht="60" x14ac:dyDescent="0.25">
      <c r="B14" s="161" t="s">
        <v>25</v>
      </c>
    </row>
    <row r="15" spans="2:6" x14ac:dyDescent="0.25">
      <c r="B15" s="161"/>
    </row>
    <row r="16" spans="2:6" ht="45.75" thickBot="1" x14ac:dyDescent="0.3">
      <c r="B16" s="162" t="s">
        <v>26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25"/>
  <sheetViews>
    <sheetView showGridLines="0" showZeros="0" topLeftCell="A16" zoomScale="80" zoomScaleNormal="80" zoomScaleSheetLayoutView="70" workbookViewId="0">
      <selection activeCell="G13" sqref="G13"/>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11" t="s">
        <v>442</v>
      </c>
      <c r="C2" s="312"/>
      <c r="D2" s="313"/>
    </row>
    <row r="3" spans="2:4" ht="15.75" thickBot="1" x14ac:dyDescent="0.3">
      <c r="B3" s="314"/>
      <c r="C3" s="315"/>
      <c r="D3" s="316"/>
    </row>
    <row r="4" spans="2:4" ht="15.75" thickBot="1" x14ac:dyDescent="0.3"/>
    <row r="5" spans="2:4" x14ac:dyDescent="0.25">
      <c r="B5" s="303" t="s">
        <v>68</v>
      </c>
      <c r="C5" s="304"/>
      <c r="D5" s="305"/>
    </row>
    <row r="6" spans="2:4" ht="15.75" thickBot="1" x14ac:dyDescent="0.3">
      <c r="B6" s="317"/>
      <c r="C6" s="318"/>
      <c r="D6" s="319"/>
    </row>
    <row r="7" spans="2:4" x14ac:dyDescent="0.25">
      <c r="B7" s="96" t="s">
        <v>74</v>
      </c>
      <c r="C7" s="309">
        <f>SUM('1) Budget Table'!D20:H20,'1) Budget Table'!D25:H25,'1) Budget Table'!D29:K29,)</f>
        <v>1379297.5754205608</v>
      </c>
      <c r="D7" s="310"/>
    </row>
    <row r="8" spans="2:4" x14ac:dyDescent="0.25">
      <c r="B8" s="96" t="s">
        <v>419</v>
      </c>
      <c r="C8" s="301">
        <f>SUM(D10:D14)</f>
        <v>0</v>
      </c>
      <c r="D8" s="302"/>
    </row>
    <row r="9" spans="2:4" x14ac:dyDescent="0.25">
      <c r="B9" s="97" t="s">
        <v>415</v>
      </c>
      <c r="C9" s="98" t="s">
        <v>416</v>
      </c>
      <c r="D9" s="99" t="s">
        <v>417</v>
      </c>
    </row>
    <row r="10" spans="2:4" ht="35.1" customHeight="1" x14ac:dyDescent="0.25">
      <c r="B10" s="124"/>
      <c r="C10" s="101"/>
      <c r="D10" s="102">
        <f>$C$7*C10</f>
        <v>0</v>
      </c>
    </row>
    <row r="11" spans="2:4" ht="35.1" customHeight="1" x14ac:dyDescent="0.25">
      <c r="B11" s="124"/>
      <c r="C11" s="101"/>
      <c r="D11" s="102">
        <f>C7*C11</f>
        <v>0</v>
      </c>
    </row>
    <row r="12" spans="2:4" ht="35.1" customHeight="1" x14ac:dyDescent="0.25">
      <c r="B12" s="125"/>
      <c r="C12" s="101"/>
      <c r="D12" s="102">
        <f>C7*C12</f>
        <v>0</v>
      </c>
    </row>
    <row r="13" spans="2:4" ht="35.1" customHeight="1" x14ac:dyDescent="0.25">
      <c r="B13" s="125"/>
      <c r="C13" s="101"/>
      <c r="D13" s="102">
        <f>C7*C13</f>
        <v>0</v>
      </c>
    </row>
    <row r="14" spans="2:4" ht="35.1" customHeight="1" thickBot="1" x14ac:dyDescent="0.3">
      <c r="B14" s="126"/>
      <c r="C14" s="101"/>
      <c r="D14" s="106">
        <f>C7*C14</f>
        <v>0</v>
      </c>
    </row>
    <row r="15" spans="2:4" ht="15.75" thickBot="1" x14ac:dyDescent="0.3"/>
    <row r="16" spans="2:4" x14ac:dyDescent="0.25">
      <c r="B16" s="303" t="s">
        <v>418</v>
      </c>
      <c r="C16" s="304"/>
      <c r="D16" s="305"/>
    </row>
    <row r="17" spans="2:4" ht="15.75" thickBot="1" x14ac:dyDescent="0.3">
      <c r="B17" s="306"/>
      <c r="C17" s="307"/>
      <c r="D17" s="308"/>
    </row>
    <row r="18" spans="2:4" x14ac:dyDescent="0.25">
      <c r="B18" s="96" t="s">
        <v>74</v>
      </c>
      <c r="C18" s="309">
        <f>SUM('1) Budget Table'!D35:F35,'1) Budget Table'!D40:F40,'1) Budget Table'!D44:F44,'1) Budget Table'!D48:F48)</f>
        <v>1348434.4953271027</v>
      </c>
      <c r="D18" s="310"/>
    </row>
    <row r="19" spans="2:4" x14ac:dyDescent="0.25">
      <c r="B19" s="96" t="s">
        <v>419</v>
      </c>
      <c r="C19" s="301">
        <f>SUM(D21:D25)</f>
        <v>0</v>
      </c>
      <c r="D19" s="302"/>
    </row>
    <row r="20" spans="2:4" x14ac:dyDescent="0.25">
      <c r="B20" s="97" t="s">
        <v>415</v>
      </c>
      <c r="C20" s="98" t="s">
        <v>416</v>
      </c>
      <c r="D20" s="99" t="s">
        <v>417</v>
      </c>
    </row>
    <row r="21" spans="2:4" ht="35.1" customHeight="1" x14ac:dyDescent="0.25">
      <c r="B21" s="100"/>
      <c r="C21" s="101"/>
      <c r="D21" s="102">
        <f>$C$18*C21</f>
        <v>0</v>
      </c>
    </row>
    <row r="22" spans="2:4" ht="35.1" customHeight="1" x14ac:dyDescent="0.25">
      <c r="B22" s="103"/>
      <c r="C22" s="101"/>
      <c r="D22" s="102">
        <f>$C$18*C22</f>
        <v>0</v>
      </c>
    </row>
    <row r="23" spans="2:4" ht="35.1" customHeight="1" x14ac:dyDescent="0.25">
      <c r="B23" s="104"/>
      <c r="C23" s="101"/>
      <c r="D23" s="102">
        <f>$C$18*C23</f>
        <v>0</v>
      </c>
    </row>
    <row r="24" spans="2:4" ht="35.1" customHeight="1" x14ac:dyDescent="0.25">
      <c r="B24" s="104"/>
      <c r="C24" s="101"/>
      <c r="D24" s="102">
        <f>$C$18*C24</f>
        <v>0</v>
      </c>
    </row>
    <row r="25" spans="2:4" ht="35.1" customHeight="1" thickBot="1" x14ac:dyDescent="0.3">
      <c r="B25" s="105"/>
      <c r="C25" s="101"/>
      <c r="D25" s="102">
        <f>$C$18*C25</f>
        <v>0</v>
      </c>
    </row>
  </sheetData>
  <mergeCells count="9">
    <mergeCell ref="C19:D19"/>
    <mergeCell ref="B16:D16"/>
    <mergeCell ref="B17:D17"/>
    <mergeCell ref="C18:D18"/>
    <mergeCell ref="B2:D3"/>
    <mergeCell ref="C7:D7"/>
    <mergeCell ref="B6:D6"/>
    <mergeCell ref="B5:D5"/>
    <mergeCell ref="C8:D8"/>
  </mergeCells>
  <conditionalFormatting sqref="C8:D8">
    <cfRule type="cellIs" dxfId="2" priority="4" operator="greaterThan">
      <formula>$C$7</formula>
    </cfRule>
  </conditionalFormatting>
  <conditionalFormatting sqref="C19:D19">
    <cfRule type="cellIs" dxfId="1" priority="3" operator="greaterThan">
      <formula>$C$18</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xm:sqref>
        </x14:dataValidation>
        <x14:dataValidation type="list" allowBlank="1" showInputMessage="1" showErrorMessage="1" xr:uid="{00000000-0002-0000-0300-000001000000}">
          <x14:formula1>
            <xm:f>Dropdowns!$A$1:$A$6</xm:f>
          </x14:formula1>
          <xm:sqref>C10:C14 C21:C25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I24"/>
  <sheetViews>
    <sheetView showGridLines="0" topLeftCell="A16" zoomScale="80" zoomScaleNormal="80" workbookViewId="0">
      <selection activeCell="D12" sqref="D12"/>
    </sheetView>
  </sheetViews>
  <sheetFormatPr defaultColWidth="8.85546875" defaultRowHeight="15" x14ac:dyDescent="0.25"/>
  <cols>
    <col min="1" max="1" width="12.42578125" customWidth="1"/>
    <col min="2" max="2" width="20.42578125" customWidth="1"/>
    <col min="3" max="7" width="25.42578125" customWidth="1"/>
    <col min="8" max="8" width="24.42578125" customWidth="1"/>
    <col min="9" max="9" width="18.42578125" customWidth="1"/>
    <col min="10" max="10" width="21.7109375" customWidth="1"/>
    <col min="11" max="12" width="15.85546875" bestFit="1" customWidth="1"/>
    <col min="13" max="13" width="11.140625" bestFit="1" customWidth="1"/>
  </cols>
  <sheetData>
    <row r="1" spans="2:9" ht="15.75" thickBot="1" x14ac:dyDescent="0.3"/>
    <row r="2" spans="2:9" s="89" customFormat="1" ht="15.75" x14ac:dyDescent="0.25">
      <c r="B2" s="327" t="s">
        <v>41</v>
      </c>
      <c r="C2" s="328"/>
      <c r="D2" s="328"/>
      <c r="E2" s="328"/>
      <c r="F2" s="328"/>
      <c r="G2" s="328"/>
      <c r="H2" s="329"/>
    </row>
    <row r="3" spans="2:9" s="89" customFormat="1" ht="16.5" thickBot="1" x14ac:dyDescent="0.3">
      <c r="B3" s="330"/>
      <c r="C3" s="331"/>
      <c r="D3" s="331"/>
      <c r="E3" s="331"/>
      <c r="F3" s="331"/>
      <c r="G3" s="331"/>
      <c r="H3" s="332"/>
    </row>
    <row r="4" spans="2:9" s="89" customFormat="1" ht="16.5" thickBot="1" x14ac:dyDescent="0.3">
      <c r="F4" s="175"/>
      <c r="G4" s="175"/>
    </row>
    <row r="5" spans="2:9" s="89" customFormat="1" ht="16.5" thickBot="1" x14ac:dyDescent="0.3">
      <c r="B5" s="324" t="s">
        <v>18</v>
      </c>
      <c r="C5" s="325"/>
      <c r="D5" s="325"/>
      <c r="E5" s="325"/>
      <c r="F5" s="325"/>
      <c r="G5" s="325"/>
      <c r="H5" s="326"/>
    </row>
    <row r="6" spans="2:9" s="89" customFormat="1" ht="15.75" x14ac:dyDescent="0.25">
      <c r="B6" s="172"/>
      <c r="C6" s="168" t="s">
        <v>32</v>
      </c>
      <c r="D6" s="168" t="s">
        <v>59</v>
      </c>
      <c r="E6" s="168" t="s">
        <v>60</v>
      </c>
      <c r="F6" s="168" t="s">
        <v>488</v>
      </c>
      <c r="G6" s="168" t="s">
        <v>489</v>
      </c>
      <c r="H6" s="282" t="s">
        <v>18</v>
      </c>
    </row>
    <row r="7" spans="2:9" s="89" customFormat="1" ht="15.75" x14ac:dyDescent="0.25">
      <c r="B7" s="172"/>
      <c r="C7" s="167" t="str">
        <f>'1) Budget Table'!D13</f>
        <v>PNUD</v>
      </c>
      <c r="D7" s="167" t="str">
        <f>'1) Budget Table'!E13</f>
        <v>ONUMUJERES</v>
      </c>
      <c r="E7" s="167" t="str">
        <f>'1) Budget Table'!F13</f>
        <v>UNFPA</v>
      </c>
      <c r="F7" s="167" t="str">
        <f>'1) Budget Table'!G13</f>
        <v>UNICEF</v>
      </c>
      <c r="G7" s="167" t="str">
        <f>'1) Budget Table'!H13</f>
        <v>UNODC</v>
      </c>
      <c r="H7" s="283"/>
    </row>
    <row r="8" spans="2:9" s="89" customFormat="1" ht="31.5" x14ac:dyDescent="0.25">
      <c r="B8" s="164" t="s">
        <v>9</v>
      </c>
      <c r="C8" s="173">
        <f>'2) By Category'!D129</f>
        <v>199200</v>
      </c>
      <c r="D8" s="173">
        <f>'2) By Category'!E129</f>
        <v>75000</v>
      </c>
      <c r="E8" s="173">
        <f>'2) By Category'!F129</f>
        <v>0</v>
      </c>
      <c r="F8" s="173">
        <f>'2) By Category'!G129</f>
        <v>0</v>
      </c>
      <c r="G8" s="173">
        <f>'2) By Category'!H129</f>
        <v>0</v>
      </c>
      <c r="H8" s="169">
        <f>SUM(C8:E8)</f>
        <v>274200</v>
      </c>
    </row>
    <row r="9" spans="2:9" s="89" customFormat="1" ht="47.25" x14ac:dyDescent="0.25">
      <c r="B9" s="164" t="s">
        <v>10</v>
      </c>
      <c r="C9" s="173">
        <f>'2) By Category'!D130</f>
        <v>107946.3</v>
      </c>
      <c r="D9" s="173">
        <f>'2) By Category'!E130</f>
        <v>30000</v>
      </c>
      <c r="E9" s="173">
        <f>'2) By Category'!F130</f>
        <v>117442.23000000001</v>
      </c>
      <c r="F9" s="173">
        <f>'2) By Category'!G130</f>
        <v>30524.33</v>
      </c>
      <c r="G9" s="173">
        <f>'2) By Category'!H130</f>
        <v>20000</v>
      </c>
      <c r="H9" s="170">
        <v>255388.53</v>
      </c>
      <c r="I9" s="89">
        <v>255388.5</v>
      </c>
    </row>
    <row r="10" spans="2:9" s="89" customFormat="1" ht="78.75" x14ac:dyDescent="0.25">
      <c r="B10" s="164" t="s">
        <v>11</v>
      </c>
      <c r="C10" s="173">
        <f>'2) By Category'!D131</f>
        <v>529000</v>
      </c>
      <c r="D10" s="173">
        <f>'2) By Category'!E131</f>
        <v>16000</v>
      </c>
      <c r="E10" s="173">
        <f>'2) By Category'!F131</f>
        <v>0</v>
      </c>
      <c r="F10" s="173">
        <f>'2) By Category'!G131</f>
        <v>42500</v>
      </c>
      <c r="G10" s="173">
        <f>'2) By Category'!H131</f>
        <v>104978.86</v>
      </c>
      <c r="H10" s="170">
        <f t="shared" ref="H10:H14" si="0">SUM(C10:E10)</f>
        <v>545000</v>
      </c>
    </row>
    <row r="11" spans="2:9" s="89" customFormat="1" ht="31.5" x14ac:dyDescent="0.25">
      <c r="B11" s="166" t="s">
        <v>12</v>
      </c>
      <c r="C11" s="173">
        <f>'2) By Category'!D132</f>
        <v>724488.2</v>
      </c>
      <c r="D11" s="173">
        <v>93604.819000000003</v>
      </c>
      <c r="E11" s="173">
        <f>'2) By Category'!F132</f>
        <v>305000</v>
      </c>
      <c r="F11" s="173">
        <f>'2) By Category'!G132</f>
        <v>350045</v>
      </c>
      <c r="G11" s="173">
        <f>'2) By Category'!H132</f>
        <v>100000</v>
      </c>
      <c r="H11" s="170">
        <f t="shared" si="0"/>
        <v>1123093.0189999999</v>
      </c>
      <c r="I11" s="89">
        <v>93604.85</v>
      </c>
    </row>
    <row r="12" spans="2:9" s="89" customFormat="1" ht="15.75" x14ac:dyDescent="0.25">
      <c r="B12" s="164" t="s">
        <v>17</v>
      </c>
      <c r="C12" s="173">
        <f>'2) By Category'!D133</f>
        <v>15000</v>
      </c>
      <c r="D12" s="173">
        <f>'2) By Category'!E133</f>
        <v>16000</v>
      </c>
      <c r="E12" s="173">
        <f>'2) By Category'!F133</f>
        <v>22000</v>
      </c>
      <c r="F12" s="173">
        <f>'2) By Category'!G133</f>
        <v>21372.91</v>
      </c>
      <c r="G12" s="173">
        <f>'2) By Category'!H133</f>
        <v>20000</v>
      </c>
      <c r="H12" s="170">
        <f t="shared" si="0"/>
        <v>53000</v>
      </c>
    </row>
    <row r="13" spans="2:9" s="89" customFormat="1" ht="47.25" x14ac:dyDescent="0.25">
      <c r="B13" s="164" t="s">
        <v>13</v>
      </c>
      <c r="C13" s="173">
        <f>'2) By Category'!D134</f>
        <v>43000</v>
      </c>
      <c r="D13" s="173">
        <f>'2) By Category'!E134</f>
        <v>33000</v>
      </c>
      <c r="E13" s="173">
        <f>'2) By Category'!F134</f>
        <v>0</v>
      </c>
      <c r="F13" s="173">
        <f>'2) By Category'!G134</f>
        <v>0</v>
      </c>
      <c r="G13" s="173">
        <f>'2) By Category'!H134</f>
        <v>0</v>
      </c>
      <c r="H13" s="170">
        <f t="shared" si="0"/>
        <v>76000</v>
      </c>
    </row>
    <row r="14" spans="2:9" s="89" customFormat="1" ht="48" thickBot="1" x14ac:dyDescent="0.3">
      <c r="B14" s="165" t="s">
        <v>64</v>
      </c>
      <c r="C14" s="174">
        <f>'2) By Category'!D135</f>
        <v>60000</v>
      </c>
      <c r="D14" s="174">
        <f>'2) By Category'!E135</f>
        <v>6374</v>
      </c>
      <c r="E14" s="174">
        <f>'2) By Category'!F135</f>
        <v>0</v>
      </c>
      <c r="F14" s="173">
        <f>'2) By Category'!G135</f>
        <v>0</v>
      </c>
      <c r="G14" s="173">
        <f>'2) By Category'!H135</f>
        <v>25000</v>
      </c>
      <c r="H14" s="171">
        <f t="shared" si="0"/>
        <v>66374</v>
      </c>
    </row>
    <row r="15" spans="2:9" s="89" customFormat="1" ht="30" customHeight="1" x14ac:dyDescent="0.25">
      <c r="B15" s="177" t="s">
        <v>444</v>
      </c>
      <c r="C15" s="178">
        <f>SUM(C8:C14)</f>
        <v>1678634.5</v>
      </c>
      <c r="D15" s="178">
        <f>SUM(D8:D14)</f>
        <v>269978.81900000002</v>
      </c>
      <c r="E15" s="178">
        <f>SUM(E8:E14)</f>
        <v>444442.23</v>
      </c>
      <c r="F15" s="178">
        <f>SUM(F8:F14)</f>
        <v>444442.24</v>
      </c>
      <c r="G15" s="178">
        <f>SUM(G8:G14)</f>
        <v>269978.86</v>
      </c>
      <c r="H15" s="179">
        <f>SUM(C15:G15)</f>
        <v>3107476.6489999997</v>
      </c>
    </row>
    <row r="16" spans="2:9" s="175" customFormat="1" ht="19.5" customHeight="1" x14ac:dyDescent="0.25">
      <c r="B16" s="176" t="s">
        <v>431</v>
      </c>
      <c r="C16" s="180">
        <f t="shared" ref="C16:G16" si="1">C15*0.07</f>
        <v>117504.41500000001</v>
      </c>
      <c r="D16" s="180">
        <f t="shared" si="1"/>
        <v>18898.517330000002</v>
      </c>
      <c r="E16" s="180">
        <f t="shared" si="1"/>
        <v>31110.956100000003</v>
      </c>
      <c r="F16" s="180">
        <f t="shared" si="1"/>
        <v>31110.956800000004</v>
      </c>
      <c r="G16" s="180">
        <f t="shared" si="1"/>
        <v>18898.520199999999</v>
      </c>
      <c r="H16" s="180">
        <f>H15*0.07</f>
        <v>217523.36543000001</v>
      </c>
    </row>
    <row r="17" spans="2:8" s="175" customFormat="1" ht="25.5" customHeight="1" thickBot="1" x14ac:dyDescent="0.3">
      <c r="B17" s="181" t="s">
        <v>40</v>
      </c>
      <c r="C17" s="182">
        <f t="shared" ref="C17:G17" si="2">C15+C16</f>
        <v>1796138.915</v>
      </c>
      <c r="D17" s="182">
        <f t="shared" si="2"/>
        <v>288877.33633000002</v>
      </c>
      <c r="E17" s="182">
        <f t="shared" si="2"/>
        <v>475553.18609999999</v>
      </c>
      <c r="F17" s="182">
        <f t="shared" si="2"/>
        <v>475553.19679999998</v>
      </c>
      <c r="G17" s="182">
        <f t="shared" si="2"/>
        <v>288877.38020000001</v>
      </c>
      <c r="H17" s="182">
        <f>H15+H16</f>
        <v>3325000.0144299995</v>
      </c>
    </row>
    <row r="18" spans="2:8" s="89" customFormat="1" ht="16.5" thickBot="1" x14ac:dyDescent="0.3">
      <c r="F18" s="175"/>
      <c r="G18" s="175"/>
    </row>
    <row r="19" spans="2:8" s="89" customFormat="1" ht="15.75" customHeight="1" x14ac:dyDescent="0.25">
      <c r="B19" s="320" t="s">
        <v>28</v>
      </c>
      <c r="C19" s="321"/>
      <c r="D19" s="321"/>
      <c r="E19" s="321"/>
      <c r="F19" s="322"/>
      <c r="G19" s="322"/>
      <c r="H19" s="323"/>
    </row>
    <row r="20" spans="2:8" ht="15.75" x14ac:dyDescent="0.25">
      <c r="B20" s="32"/>
      <c r="C20" s="30" t="s">
        <v>61</v>
      </c>
      <c r="D20" s="30" t="s">
        <v>62</v>
      </c>
      <c r="E20" s="30" t="s">
        <v>63</v>
      </c>
      <c r="F20" s="30" t="s">
        <v>490</v>
      </c>
      <c r="G20" s="30" t="s">
        <v>491</v>
      </c>
      <c r="H20" s="33" t="s">
        <v>30</v>
      </c>
    </row>
    <row r="21" spans="2:8" ht="15.75" x14ac:dyDescent="0.25">
      <c r="B21" s="32"/>
      <c r="C21" s="30" t="str">
        <f>'1) Budget Table'!D13</f>
        <v>PNUD</v>
      </c>
      <c r="D21" s="30" t="str">
        <f>'1) Budget Table'!E13</f>
        <v>ONUMUJERES</v>
      </c>
      <c r="E21" s="30" t="str">
        <f>'1) Budget Table'!F13</f>
        <v>UNFPA</v>
      </c>
      <c r="F21" s="30" t="str">
        <f>'1) Budget Table'!G13</f>
        <v>UNICEF</v>
      </c>
      <c r="G21" s="30" t="str">
        <f>'1) Budget Table'!H13</f>
        <v>UNODC</v>
      </c>
      <c r="H21" s="33"/>
    </row>
    <row r="22" spans="2:8" ht="23.25" customHeight="1" x14ac:dyDescent="0.25">
      <c r="B22" s="31" t="s">
        <v>29</v>
      </c>
      <c r="C22" s="29">
        <f>'1) Budget Table'!D86</f>
        <v>1257297.2299999997</v>
      </c>
      <c r="D22" s="29">
        <f>'1) Budget Table'!E86</f>
        <v>202214.15164999996</v>
      </c>
      <c r="E22" s="29">
        <f>'1) Budget Table'!F86</f>
        <v>332887.23300000001</v>
      </c>
      <c r="F22" s="29">
        <f>'1) Budget Table'!G86</f>
        <v>332887.23299999995</v>
      </c>
      <c r="G22" s="29">
        <f>'1) Budget Table'!H86</f>
        <v>202214.16613999999</v>
      </c>
      <c r="H22" s="9">
        <f>'1) Budget Table'!J86</f>
        <v>0.7</v>
      </c>
    </row>
    <row r="23" spans="2:8" ht="24.75" customHeight="1" x14ac:dyDescent="0.25">
      <c r="B23" s="31" t="s">
        <v>31</v>
      </c>
      <c r="C23" s="29">
        <f>'1) Budget Table'!D87</f>
        <v>538841.66999999993</v>
      </c>
      <c r="D23" s="29">
        <f>'1) Budget Table'!E87</f>
        <v>86663.207849999992</v>
      </c>
      <c r="E23" s="29">
        <f>'1) Budget Table'!F87</f>
        <v>142665.95699999999</v>
      </c>
      <c r="F23" s="29">
        <f>'1) Budget Table'!G87</f>
        <v>142665.95699999997</v>
      </c>
      <c r="G23" s="29">
        <f>'1) Budget Table'!H87</f>
        <v>86663.214059999998</v>
      </c>
      <c r="H23" s="9">
        <f>'1) Budget Table'!J87</f>
        <v>0.3</v>
      </c>
    </row>
    <row r="24" spans="2:8" ht="24.75" customHeight="1" thickBot="1" x14ac:dyDescent="0.3">
      <c r="B24" s="10" t="s">
        <v>450</v>
      </c>
      <c r="C24" s="34">
        <f>'1) Budget Table'!D88</f>
        <v>0</v>
      </c>
      <c r="D24" s="34">
        <f>'1) Budget Table'!E88</f>
        <v>0</v>
      </c>
      <c r="E24" s="34">
        <f>'1) Budget Table'!F88</f>
        <v>0</v>
      </c>
      <c r="F24" s="34">
        <f>'1) Budget Table'!G88</f>
        <v>0</v>
      </c>
      <c r="G24" s="34">
        <f>'1) Budget Table'!H88</f>
        <v>0</v>
      </c>
      <c r="H24" s="11">
        <f>'1) Budget Table'!J88</f>
        <v>0</v>
      </c>
    </row>
  </sheetData>
  <sheetProtection formatCells="0" formatColumns="0" formatRows="0"/>
  <mergeCells count="4">
    <mergeCell ref="B19:H19"/>
    <mergeCell ref="B5:H5"/>
    <mergeCell ref="H6:H7"/>
    <mergeCell ref="B2:H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Table'!$I$80</xm:f>
            <x14:dxf>
              <font>
                <color rgb="FF9C0006"/>
              </font>
              <fill>
                <patternFill>
                  <bgColor rgb="FFFFC7CE"/>
                </patternFill>
              </fill>
            </x14:dxf>
          </x14:cfRule>
          <xm:sqref>H17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58">
        <v>0</v>
      </c>
    </row>
    <row r="2" spans="1:1" x14ac:dyDescent="0.25">
      <c r="A2" s="158">
        <v>0.2</v>
      </c>
    </row>
    <row r="3" spans="1:1" x14ac:dyDescent="0.25">
      <c r="A3" s="158">
        <v>0.4</v>
      </c>
    </row>
    <row r="4" spans="1:1" x14ac:dyDescent="0.25">
      <c r="A4" s="158">
        <v>0.6</v>
      </c>
    </row>
    <row r="5" spans="1:1" x14ac:dyDescent="0.25">
      <c r="A5" s="158">
        <v>0.8</v>
      </c>
    </row>
    <row r="6" spans="1:1" x14ac:dyDescent="0.25">
      <c r="A6" s="158">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5" x14ac:dyDescent="0.25"/>
  <sheetData>
    <row r="1" spans="1:2" x14ac:dyDescent="0.25">
      <c r="A1" s="90" t="s">
        <v>75</v>
      </c>
      <c r="B1" s="91" t="s">
        <v>76</v>
      </c>
    </row>
    <row r="2" spans="1:2" x14ac:dyDescent="0.25">
      <c r="A2" s="92" t="s">
        <v>77</v>
      </c>
      <c r="B2" s="93" t="s">
        <v>78</v>
      </c>
    </row>
    <row r="3" spans="1:2" x14ac:dyDescent="0.25">
      <c r="A3" s="92" t="s">
        <v>79</v>
      </c>
      <c r="B3" s="93" t="s">
        <v>80</v>
      </c>
    </row>
    <row r="4" spans="1:2" x14ac:dyDescent="0.25">
      <c r="A4" s="92" t="s">
        <v>81</v>
      </c>
      <c r="B4" s="93" t="s">
        <v>82</v>
      </c>
    </row>
    <row r="5" spans="1:2" x14ac:dyDescent="0.25">
      <c r="A5" s="92" t="s">
        <v>83</v>
      </c>
      <c r="B5" s="93" t="s">
        <v>84</v>
      </c>
    </row>
    <row r="6" spans="1:2" x14ac:dyDescent="0.25">
      <c r="A6" s="92" t="s">
        <v>85</v>
      </c>
      <c r="B6" s="93" t="s">
        <v>86</v>
      </c>
    </row>
    <row r="7" spans="1:2" x14ac:dyDescent="0.25">
      <c r="A7" s="92" t="s">
        <v>87</v>
      </c>
      <c r="B7" s="93" t="s">
        <v>88</v>
      </c>
    </row>
    <row r="8" spans="1:2" x14ac:dyDescent="0.25">
      <c r="A8" s="92" t="s">
        <v>89</v>
      </c>
      <c r="B8" s="93" t="s">
        <v>90</v>
      </c>
    </row>
    <row r="9" spans="1:2" x14ac:dyDescent="0.25">
      <c r="A9" s="92" t="s">
        <v>91</v>
      </c>
      <c r="B9" s="93" t="s">
        <v>92</v>
      </c>
    </row>
    <row r="10" spans="1:2" x14ac:dyDescent="0.25">
      <c r="A10" s="92" t="s">
        <v>93</v>
      </c>
      <c r="B10" s="93" t="s">
        <v>94</v>
      </c>
    </row>
    <row r="11" spans="1:2" x14ac:dyDescent="0.25">
      <c r="A11" s="92" t="s">
        <v>95</v>
      </c>
      <c r="B11" s="93" t="s">
        <v>96</v>
      </c>
    </row>
    <row r="12" spans="1:2" x14ac:dyDescent="0.25">
      <c r="A12" s="92" t="s">
        <v>97</v>
      </c>
      <c r="B12" s="93" t="s">
        <v>98</v>
      </c>
    </row>
    <row r="13" spans="1:2" x14ac:dyDescent="0.25">
      <c r="A13" s="92" t="s">
        <v>99</v>
      </c>
      <c r="B13" s="93" t="s">
        <v>100</v>
      </c>
    </row>
    <row r="14" spans="1:2" x14ac:dyDescent="0.25">
      <c r="A14" s="92" t="s">
        <v>101</v>
      </c>
      <c r="B14" s="93" t="s">
        <v>102</v>
      </c>
    </row>
    <row r="15" spans="1:2" x14ac:dyDescent="0.25">
      <c r="A15" s="92" t="s">
        <v>103</v>
      </c>
      <c r="B15" s="93" t="s">
        <v>104</v>
      </c>
    </row>
    <row r="16" spans="1:2" x14ac:dyDescent="0.25">
      <c r="A16" s="92" t="s">
        <v>105</v>
      </c>
      <c r="B16" s="93" t="s">
        <v>106</v>
      </c>
    </row>
    <row r="17" spans="1:2" x14ac:dyDescent="0.25">
      <c r="A17" s="92" t="s">
        <v>107</v>
      </c>
      <c r="B17" s="93" t="s">
        <v>108</v>
      </c>
    </row>
    <row r="18" spans="1:2" x14ac:dyDescent="0.25">
      <c r="A18" s="92" t="s">
        <v>109</v>
      </c>
      <c r="B18" s="93" t="s">
        <v>110</v>
      </c>
    </row>
    <row r="19" spans="1:2" x14ac:dyDescent="0.25">
      <c r="A19" s="92" t="s">
        <v>111</v>
      </c>
      <c r="B19" s="93" t="s">
        <v>112</v>
      </c>
    </row>
    <row r="20" spans="1:2" x14ac:dyDescent="0.25">
      <c r="A20" s="92" t="s">
        <v>113</v>
      </c>
      <c r="B20" s="93" t="s">
        <v>114</v>
      </c>
    </row>
    <row r="21" spans="1:2" x14ac:dyDescent="0.25">
      <c r="A21" s="92" t="s">
        <v>115</v>
      </c>
      <c r="B21" s="93" t="s">
        <v>116</v>
      </c>
    </row>
    <row r="22" spans="1:2" x14ac:dyDescent="0.25">
      <c r="A22" s="92" t="s">
        <v>117</v>
      </c>
      <c r="B22" s="93" t="s">
        <v>118</v>
      </c>
    </row>
    <row r="23" spans="1:2" x14ac:dyDescent="0.25">
      <c r="A23" s="92" t="s">
        <v>119</v>
      </c>
      <c r="B23" s="93" t="s">
        <v>120</v>
      </c>
    </row>
    <row r="24" spans="1:2" x14ac:dyDescent="0.25">
      <c r="A24" s="92" t="s">
        <v>121</v>
      </c>
      <c r="B24" s="93" t="s">
        <v>122</v>
      </c>
    </row>
    <row r="25" spans="1:2" x14ac:dyDescent="0.25">
      <c r="A25" s="92" t="s">
        <v>123</v>
      </c>
      <c r="B25" s="93" t="s">
        <v>124</v>
      </c>
    </row>
    <row r="26" spans="1:2" x14ac:dyDescent="0.25">
      <c r="A26" s="92" t="s">
        <v>125</v>
      </c>
      <c r="B26" s="93" t="s">
        <v>126</v>
      </c>
    </row>
    <row r="27" spans="1:2" x14ac:dyDescent="0.25">
      <c r="A27" s="92" t="s">
        <v>127</v>
      </c>
      <c r="B27" s="93" t="s">
        <v>128</v>
      </c>
    </row>
    <row r="28" spans="1:2" x14ac:dyDescent="0.25">
      <c r="A28" s="92" t="s">
        <v>129</v>
      </c>
      <c r="B28" s="93" t="s">
        <v>130</v>
      </c>
    </row>
    <row r="29" spans="1:2" x14ac:dyDescent="0.25">
      <c r="A29" s="92" t="s">
        <v>131</v>
      </c>
      <c r="B29" s="93" t="s">
        <v>132</v>
      </c>
    </row>
    <row r="30" spans="1:2" x14ac:dyDescent="0.25">
      <c r="A30" s="92" t="s">
        <v>133</v>
      </c>
      <c r="B30" s="93" t="s">
        <v>134</v>
      </c>
    </row>
    <row r="31" spans="1:2" x14ac:dyDescent="0.25">
      <c r="A31" s="92" t="s">
        <v>135</v>
      </c>
      <c r="B31" s="93" t="s">
        <v>136</v>
      </c>
    </row>
    <row r="32" spans="1:2" x14ac:dyDescent="0.25">
      <c r="A32" s="92" t="s">
        <v>137</v>
      </c>
      <c r="B32" s="93" t="s">
        <v>138</v>
      </c>
    </row>
    <row r="33" spans="1:2" x14ac:dyDescent="0.25">
      <c r="A33" s="92" t="s">
        <v>139</v>
      </c>
      <c r="B33" s="93" t="s">
        <v>140</v>
      </c>
    </row>
    <row r="34" spans="1:2" x14ac:dyDescent="0.25">
      <c r="A34" s="92" t="s">
        <v>141</v>
      </c>
      <c r="B34" s="93" t="s">
        <v>142</v>
      </c>
    </row>
    <row r="35" spans="1:2" x14ac:dyDescent="0.25">
      <c r="A35" s="92" t="s">
        <v>143</v>
      </c>
      <c r="B35" s="93" t="s">
        <v>144</v>
      </c>
    </row>
    <row r="36" spans="1:2" x14ac:dyDescent="0.25">
      <c r="A36" s="92" t="s">
        <v>145</v>
      </c>
      <c r="B36" s="93" t="s">
        <v>146</v>
      </c>
    </row>
    <row r="37" spans="1:2" x14ac:dyDescent="0.25">
      <c r="A37" s="92" t="s">
        <v>147</v>
      </c>
      <c r="B37" s="93" t="s">
        <v>148</v>
      </c>
    </row>
    <row r="38" spans="1:2" x14ac:dyDescent="0.25">
      <c r="A38" s="92" t="s">
        <v>149</v>
      </c>
      <c r="B38" s="93" t="s">
        <v>150</v>
      </c>
    </row>
    <row r="39" spans="1:2" x14ac:dyDescent="0.25">
      <c r="A39" s="92" t="s">
        <v>151</v>
      </c>
      <c r="B39" s="93" t="s">
        <v>152</v>
      </c>
    </row>
    <row r="40" spans="1:2" x14ac:dyDescent="0.25">
      <c r="A40" s="92" t="s">
        <v>153</v>
      </c>
      <c r="B40" s="93" t="s">
        <v>154</v>
      </c>
    </row>
    <row r="41" spans="1:2" x14ac:dyDescent="0.25">
      <c r="A41" s="92" t="s">
        <v>155</v>
      </c>
      <c r="B41" s="93" t="s">
        <v>156</v>
      </c>
    </row>
    <row r="42" spans="1:2" x14ac:dyDescent="0.25">
      <c r="A42" s="92" t="s">
        <v>157</v>
      </c>
      <c r="B42" s="93" t="s">
        <v>158</v>
      </c>
    </row>
    <row r="43" spans="1:2" x14ac:dyDescent="0.25">
      <c r="A43" s="92" t="s">
        <v>159</v>
      </c>
      <c r="B43" s="93" t="s">
        <v>160</v>
      </c>
    </row>
    <row r="44" spans="1:2" x14ac:dyDescent="0.25">
      <c r="A44" s="92" t="s">
        <v>161</v>
      </c>
      <c r="B44" s="93" t="s">
        <v>162</v>
      </c>
    </row>
    <row r="45" spans="1:2" x14ac:dyDescent="0.25">
      <c r="A45" s="92" t="s">
        <v>163</v>
      </c>
      <c r="B45" s="93" t="s">
        <v>164</v>
      </c>
    </row>
    <row r="46" spans="1:2" x14ac:dyDescent="0.25">
      <c r="A46" s="92" t="s">
        <v>165</v>
      </c>
      <c r="B46" s="93" t="s">
        <v>166</v>
      </c>
    </row>
    <row r="47" spans="1:2" x14ac:dyDescent="0.25">
      <c r="A47" s="92" t="s">
        <v>167</v>
      </c>
      <c r="B47" s="93" t="s">
        <v>168</v>
      </c>
    </row>
    <row r="48" spans="1:2" x14ac:dyDescent="0.25">
      <c r="A48" s="92" t="s">
        <v>169</v>
      </c>
      <c r="B48" s="93" t="s">
        <v>170</v>
      </c>
    </row>
    <row r="49" spans="1:2" x14ac:dyDescent="0.25">
      <c r="A49" s="92" t="s">
        <v>171</v>
      </c>
      <c r="B49" s="93" t="s">
        <v>172</v>
      </c>
    </row>
    <row r="50" spans="1:2" x14ac:dyDescent="0.25">
      <c r="A50" s="92" t="s">
        <v>173</v>
      </c>
      <c r="B50" s="93" t="s">
        <v>174</v>
      </c>
    </row>
    <row r="51" spans="1:2" x14ac:dyDescent="0.25">
      <c r="A51" s="92" t="s">
        <v>175</v>
      </c>
      <c r="B51" s="93" t="s">
        <v>176</v>
      </c>
    </row>
    <row r="52" spans="1:2" x14ac:dyDescent="0.25">
      <c r="A52" s="92" t="s">
        <v>177</v>
      </c>
      <c r="B52" s="93" t="s">
        <v>178</v>
      </c>
    </row>
    <row r="53" spans="1:2" x14ac:dyDescent="0.25">
      <c r="A53" s="92" t="s">
        <v>179</v>
      </c>
      <c r="B53" s="93" t="s">
        <v>180</v>
      </c>
    </row>
    <row r="54" spans="1:2" x14ac:dyDescent="0.25">
      <c r="A54" s="92" t="s">
        <v>181</v>
      </c>
      <c r="B54" s="93" t="s">
        <v>182</v>
      </c>
    </row>
    <row r="55" spans="1:2" x14ac:dyDescent="0.25">
      <c r="A55" s="92" t="s">
        <v>183</v>
      </c>
      <c r="B55" s="93" t="s">
        <v>184</v>
      </c>
    </row>
    <row r="56" spans="1:2" x14ac:dyDescent="0.25">
      <c r="A56" s="92" t="s">
        <v>185</v>
      </c>
      <c r="B56" s="93" t="s">
        <v>186</v>
      </c>
    </row>
    <row r="57" spans="1:2" x14ac:dyDescent="0.25">
      <c r="A57" s="92" t="s">
        <v>187</v>
      </c>
      <c r="B57" s="93" t="s">
        <v>188</v>
      </c>
    </row>
    <row r="58" spans="1:2" x14ac:dyDescent="0.25">
      <c r="A58" s="92" t="s">
        <v>189</v>
      </c>
      <c r="B58" s="93" t="s">
        <v>190</v>
      </c>
    </row>
    <row r="59" spans="1:2" x14ac:dyDescent="0.25">
      <c r="A59" s="92" t="s">
        <v>191</v>
      </c>
      <c r="B59" s="93" t="s">
        <v>192</v>
      </c>
    </row>
    <row r="60" spans="1:2" x14ac:dyDescent="0.25">
      <c r="A60" s="92" t="s">
        <v>193</v>
      </c>
      <c r="B60" s="93" t="s">
        <v>194</v>
      </c>
    </row>
    <row r="61" spans="1:2" x14ac:dyDescent="0.25">
      <c r="A61" s="92" t="s">
        <v>195</v>
      </c>
      <c r="B61" s="93" t="s">
        <v>196</v>
      </c>
    </row>
    <row r="62" spans="1:2" x14ac:dyDescent="0.25">
      <c r="A62" s="92" t="s">
        <v>197</v>
      </c>
      <c r="B62" s="93" t="s">
        <v>198</v>
      </c>
    </row>
    <row r="63" spans="1:2" x14ac:dyDescent="0.25">
      <c r="A63" s="92" t="s">
        <v>199</v>
      </c>
      <c r="B63" s="93" t="s">
        <v>200</v>
      </c>
    </row>
    <row r="64" spans="1:2" x14ac:dyDescent="0.25">
      <c r="A64" s="92" t="s">
        <v>201</v>
      </c>
      <c r="B64" s="93" t="s">
        <v>202</v>
      </c>
    </row>
    <row r="65" spans="1:2" x14ac:dyDescent="0.25">
      <c r="A65" s="92" t="s">
        <v>203</v>
      </c>
      <c r="B65" s="93" t="s">
        <v>204</v>
      </c>
    </row>
    <row r="66" spans="1:2" x14ac:dyDescent="0.25">
      <c r="A66" s="92" t="s">
        <v>205</v>
      </c>
      <c r="B66" s="93" t="s">
        <v>206</v>
      </c>
    </row>
    <row r="67" spans="1:2" x14ac:dyDescent="0.25">
      <c r="A67" s="92" t="s">
        <v>207</v>
      </c>
      <c r="B67" s="93" t="s">
        <v>208</v>
      </c>
    </row>
    <row r="68" spans="1:2" x14ac:dyDescent="0.25">
      <c r="A68" s="92" t="s">
        <v>209</v>
      </c>
      <c r="B68" s="93" t="s">
        <v>210</v>
      </c>
    </row>
    <row r="69" spans="1:2" x14ac:dyDescent="0.25">
      <c r="A69" s="92" t="s">
        <v>211</v>
      </c>
      <c r="B69" s="93" t="s">
        <v>212</v>
      </c>
    </row>
    <row r="70" spans="1:2" x14ac:dyDescent="0.25">
      <c r="A70" s="92" t="s">
        <v>213</v>
      </c>
      <c r="B70" s="93" t="s">
        <v>214</v>
      </c>
    </row>
    <row r="71" spans="1:2" x14ac:dyDescent="0.25">
      <c r="A71" s="92" t="s">
        <v>215</v>
      </c>
      <c r="B71" s="93" t="s">
        <v>216</v>
      </c>
    </row>
    <row r="72" spans="1:2" x14ac:dyDescent="0.25">
      <c r="A72" s="92" t="s">
        <v>217</v>
      </c>
      <c r="B72" s="93" t="s">
        <v>218</v>
      </c>
    </row>
    <row r="73" spans="1:2" x14ac:dyDescent="0.25">
      <c r="A73" s="92" t="s">
        <v>219</v>
      </c>
      <c r="B73" s="93" t="s">
        <v>220</v>
      </c>
    </row>
    <row r="74" spans="1:2" x14ac:dyDescent="0.25">
      <c r="A74" s="92" t="s">
        <v>221</v>
      </c>
      <c r="B74" s="93" t="s">
        <v>222</v>
      </c>
    </row>
    <row r="75" spans="1:2" x14ac:dyDescent="0.25">
      <c r="A75" s="92" t="s">
        <v>223</v>
      </c>
      <c r="B75" s="94" t="s">
        <v>224</v>
      </c>
    </row>
    <row r="76" spans="1:2" x14ac:dyDescent="0.25">
      <c r="A76" s="92" t="s">
        <v>225</v>
      </c>
      <c r="B76" s="94" t="s">
        <v>226</v>
      </c>
    </row>
    <row r="77" spans="1:2" x14ac:dyDescent="0.25">
      <c r="A77" s="92" t="s">
        <v>227</v>
      </c>
      <c r="B77" s="94" t="s">
        <v>228</v>
      </c>
    </row>
    <row r="78" spans="1:2" x14ac:dyDescent="0.25">
      <c r="A78" s="92" t="s">
        <v>229</v>
      </c>
      <c r="B78" s="94" t="s">
        <v>230</v>
      </c>
    </row>
    <row r="79" spans="1:2" x14ac:dyDescent="0.25">
      <c r="A79" s="92" t="s">
        <v>231</v>
      </c>
      <c r="B79" s="94" t="s">
        <v>232</v>
      </c>
    </row>
    <row r="80" spans="1:2" x14ac:dyDescent="0.25">
      <c r="A80" s="92" t="s">
        <v>233</v>
      </c>
      <c r="B80" s="94" t="s">
        <v>234</v>
      </c>
    </row>
    <row r="81" spans="1:2" x14ac:dyDescent="0.25">
      <c r="A81" s="92" t="s">
        <v>235</v>
      </c>
      <c r="B81" s="94" t="s">
        <v>236</v>
      </c>
    </row>
    <row r="82" spans="1:2" x14ac:dyDescent="0.25">
      <c r="A82" s="92" t="s">
        <v>237</v>
      </c>
      <c r="B82" s="94" t="s">
        <v>238</v>
      </c>
    </row>
    <row r="83" spans="1:2" x14ac:dyDescent="0.25">
      <c r="A83" s="92" t="s">
        <v>239</v>
      </c>
      <c r="B83" s="94" t="s">
        <v>240</v>
      </c>
    </row>
    <row r="84" spans="1:2" x14ac:dyDescent="0.25">
      <c r="A84" s="92" t="s">
        <v>241</v>
      </c>
      <c r="B84" s="94" t="s">
        <v>242</v>
      </c>
    </row>
    <row r="85" spans="1:2" x14ac:dyDescent="0.25">
      <c r="A85" s="92" t="s">
        <v>243</v>
      </c>
      <c r="B85" s="94" t="s">
        <v>244</v>
      </c>
    </row>
    <row r="86" spans="1:2" x14ac:dyDescent="0.25">
      <c r="A86" s="92" t="s">
        <v>245</v>
      </c>
      <c r="B86" s="94" t="s">
        <v>246</v>
      </c>
    </row>
    <row r="87" spans="1:2" x14ac:dyDescent="0.25">
      <c r="A87" s="92" t="s">
        <v>247</v>
      </c>
      <c r="B87" s="94" t="s">
        <v>248</v>
      </c>
    </row>
    <row r="88" spans="1:2" x14ac:dyDescent="0.25">
      <c r="A88" s="92" t="s">
        <v>249</v>
      </c>
      <c r="B88" s="94" t="s">
        <v>250</v>
      </c>
    </row>
    <row r="89" spans="1:2" x14ac:dyDescent="0.25">
      <c r="A89" s="92" t="s">
        <v>251</v>
      </c>
      <c r="B89" s="94" t="s">
        <v>252</v>
      </c>
    </row>
    <row r="90" spans="1:2" x14ac:dyDescent="0.25">
      <c r="A90" s="92" t="s">
        <v>253</v>
      </c>
      <c r="B90" s="94" t="s">
        <v>254</v>
      </c>
    </row>
    <row r="91" spans="1:2" x14ac:dyDescent="0.25">
      <c r="A91" s="92" t="s">
        <v>255</v>
      </c>
      <c r="B91" s="94" t="s">
        <v>256</v>
      </c>
    </row>
    <row r="92" spans="1:2" x14ac:dyDescent="0.25">
      <c r="A92" s="92" t="s">
        <v>257</v>
      </c>
      <c r="B92" s="94" t="s">
        <v>258</v>
      </c>
    </row>
    <row r="93" spans="1:2" x14ac:dyDescent="0.25">
      <c r="A93" s="92" t="s">
        <v>259</v>
      </c>
      <c r="B93" s="94" t="s">
        <v>260</v>
      </c>
    </row>
    <row r="94" spans="1:2" x14ac:dyDescent="0.25">
      <c r="A94" s="92" t="s">
        <v>261</v>
      </c>
      <c r="B94" s="94" t="s">
        <v>262</v>
      </c>
    </row>
    <row r="95" spans="1:2" x14ac:dyDescent="0.25">
      <c r="A95" s="92" t="s">
        <v>263</v>
      </c>
      <c r="B95" s="94" t="s">
        <v>264</v>
      </c>
    </row>
    <row r="96" spans="1:2" x14ac:dyDescent="0.25">
      <c r="A96" s="92" t="s">
        <v>265</v>
      </c>
      <c r="B96" s="94" t="s">
        <v>266</v>
      </c>
    </row>
    <row r="97" spans="1:2" x14ac:dyDescent="0.25">
      <c r="A97" s="92" t="s">
        <v>267</v>
      </c>
      <c r="B97" s="94" t="s">
        <v>268</v>
      </c>
    </row>
    <row r="98" spans="1:2" x14ac:dyDescent="0.25">
      <c r="A98" s="92" t="s">
        <v>269</v>
      </c>
      <c r="B98" s="94" t="s">
        <v>270</v>
      </c>
    </row>
    <row r="99" spans="1:2" x14ac:dyDescent="0.25">
      <c r="A99" s="92" t="s">
        <v>271</v>
      </c>
      <c r="B99" s="94" t="s">
        <v>272</v>
      </c>
    </row>
    <row r="100" spans="1:2" x14ac:dyDescent="0.25">
      <c r="A100" s="92" t="s">
        <v>273</v>
      </c>
      <c r="B100" s="94" t="s">
        <v>274</v>
      </c>
    </row>
    <row r="101" spans="1:2" x14ac:dyDescent="0.25">
      <c r="A101" s="92" t="s">
        <v>275</v>
      </c>
      <c r="B101" s="94" t="s">
        <v>276</v>
      </c>
    </row>
    <row r="102" spans="1:2" x14ac:dyDescent="0.25">
      <c r="A102" s="92" t="s">
        <v>277</v>
      </c>
      <c r="B102" s="94" t="s">
        <v>278</v>
      </c>
    </row>
    <row r="103" spans="1:2" x14ac:dyDescent="0.25">
      <c r="A103" s="92" t="s">
        <v>279</v>
      </c>
      <c r="B103" s="94" t="s">
        <v>280</v>
      </c>
    </row>
    <row r="104" spans="1:2" x14ac:dyDescent="0.25">
      <c r="A104" s="92" t="s">
        <v>281</v>
      </c>
      <c r="B104" s="94" t="s">
        <v>282</v>
      </c>
    </row>
    <row r="105" spans="1:2" x14ac:dyDescent="0.25">
      <c r="A105" s="92" t="s">
        <v>283</v>
      </c>
      <c r="B105" s="94" t="s">
        <v>284</v>
      </c>
    </row>
    <row r="106" spans="1:2" x14ac:dyDescent="0.25">
      <c r="A106" s="92" t="s">
        <v>285</v>
      </c>
      <c r="B106" s="94" t="s">
        <v>286</v>
      </c>
    </row>
    <row r="107" spans="1:2" x14ac:dyDescent="0.25">
      <c r="A107" s="92" t="s">
        <v>287</v>
      </c>
      <c r="B107" s="94" t="s">
        <v>288</v>
      </c>
    </row>
    <row r="108" spans="1:2" x14ac:dyDescent="0.25">
      <c r="A108" s="92" t="s">
        <v>289</v>
      </c>
      <c r="B108" s="94" t="s">
        <v>290</v>
      </c>
    </row>
    <row r="109" spans="1:2" x14ac:dyDescent="0.25">
      <c r="A109" s="92" t="s">
        <v>291</v>
      </c>
      <c r="B109" s="94" t="s">
        <v>292</v>
      </c>
    </row>
    <row r="110" spans="1:2" x14ac:dyDescent="0.25">
      <c r="A110" s="92" t="s">
        <v>293</v>
      </c>
      <c r="B110" s="94" t="s">
        <v>294</v>
      </c>
    </row>
    <row r="111" spans="1:2" x14ac:dyDescent="0.25">
      <c r="A111" s="92" t="s">
        <v>295</v>
      </c>
      <c r="B111" s="94" t="s">
        <v>296</v>
      </c>
    </row>
    <row r="112" spans="1:2" x14ac:dyDescent="0.25">
      <c r="A112" s="92" t="s">
        <v>297</v>
      </c>
      <c r="B112" s="94" t="s">
        <v>298</v>
      </c>
    </row>
    <row r="113" spans="1:2" x14ac:dyDescent="0.25">
      <c r="A113" s="92" t="s">
        <v>299</v>
      </c>
      <c r="B113" s="94" t="s">
        <v>300</v>
      </c>
    </row>
    <row r="114" spans="1:2" x14ac:dyDescent="0.25">
      <c r="A114" s="92" t="s">
        <v>301</v>
      </c>
      <c r="B114" s="94" t="s">
        <v>302</v>
      </c>
    </row>
    <row r="115" spans="1:2" x14ac:dyDescent="0.25">
      <c r="A115" s="92" t="s">
        <v>303</v>
      </c>
      <c r="B115" s="94" t="s">
        <v>304</v>
      </c>
    </row>
    <row r="116" spans="1:2" x14ac:dyDescent="0.25">
      <c r="A116" s="92" t="s">
        <v>305</v>
      </c>
      <c r="B116" s="94" t="s">
        <v>306</v>
      </c>
    </row>
    <row r="117" spans="1:2" x14ac:dyDescent="0.25">
      <c r="A117" s="92" t="s">
        <v>307</v>
      </c>
      <c r="B117" s="94" t="s">
        <v>308</v>
      </c>
    </row>
    <row r="118" spans="1:2" x14ac:dyDescent="0.25">
      <c r="A118" s="92" t="s">
        <v>309</v>
      </c>
      <c r="B118" s="94" t="s">
        <v>310</v>
      </c>
    </row>
    <row r="119" spans="1:2" x14ac:dyDescent="0.25">
      <c r="A119" s="92" t="s">
        <v>311</v>
      </c>
      <c r="B119" s="94" t="s">
        <v>312</v>
      </c>
    </row>
    <row r="120" spans="1:2" x14ac:dyDescent="0.25">
      <c r="A120" s="92" t="s">
        <v>313</v>
      </c>
      <c r="B120" s="94" t="s">
        <v>314</v>
      </c>
    </row>
    <row r="121" spans="1:2" x14ac:dyDescent="0.25">
      <c r="A121" s="92" t="s">
        <v>315</v>
      </c>
      <c r="B121" s="94" t="s">
        <v>316</v>
      </c>
    </row>
    <row r="122" spans="1:2" x14ac:dyDescent="0.25">
      <c r="A122" s="92" t="s">
        <v>317</v>
      </c>
      <c r="B122" s="94" t="s">
        <v>318</v>
      </c>
    </row>
    <row r="123" spans="1:2" x14ac:dyDescent="0.25">
      <c r="A123" s="92" t="s">
        <v>319</v>
      </c>
      <c r="B123" s="94" t="s">
        <v>320</v>
      </c>
    </row>
    <row r="124" spans="1:2" x14ac:dyDescent="0.25">
      <c r="A124" s="92" t="s">
        <v>321</v>
      </c>
      <c r="B124" s="94" t="s">
        <v>322</v>
      </c>
    </row>
    <row r="125" spans="1:2" x14ac:dyDescent="0.25">
      <c r="A125" s="92" t="s">
        <v>323</v>
      </c>
      <c r="B125" s="94" t="s">
        <v>324</v>
      </c>
    </row>
    <row r="126" spans="1:2" x14ac:dyDescent="0.25">
      <c r="A126" s="92" t="s">
        <v>325</v>
      </c>
      <c r="B126" s="94" t="s">
        <v>326</v>
      </c>
    </row>
    <row r="127" spans="1:2" x14ac:dyDescent="0.25">
      <c r="A127" s="92" t="s">
        <v>327</v>
      </c>
      <c r="B127" s="94" t="s">
        <v>328</v>
      </c>
    </row>
    <row r="128" spans="1:2" x14ac:dyDescent="0.25">
      <c r="A128" s="92" t="s">
        <v>329</v>
      </c>
      <c r="B128" s="94" t="s">
        <v>330</v>
      </c>
    </row>
    <row r="129" spans="1:2" x14ac:dyDescent="0.25">
      <c r="A129" s="92" t="s">
        <v>331</v>
      </c>
      <c r="B129" s="94" t="s">
        <v>332</v>
      </c>
    </row>
    <row r="130" spans="1:2" x14ac:dyDescent="0.25">
      <c r="A130" s="92" t="s">
        <v>333</v>
      </c>
      <c r="B130" s="94" t="s">
        <v>334</v>
      </c>
    </row>
    <row r="131" spans="1:2" x14ac:dyDescent="0.25">
      <c r="A131" s="92" t="s">
        <v>335</v>
      </c>
      <c r="B131" s="94" t="s">
        <v>336</v>
      </c>
    </row>
    <row r="132" spans="1:2" x14ac:dyDescent="0.25">
      <c r="A132" s="92" t="s">
        <v>337</v>
      </c>
      <c r="B132" s="94" t="s">
        <v>338</v>
      </c>
    </row>
    <row r="133" spans="1:2" x14ac:dyDescent="0.25">
      <c r="A133" s="92" t="s">
        <v>339</v>
      </c>
      <c r="B133" s="94" t="s">
        <v>340</v>
      </c>
    </row>
    <row r="134" spans="1:2" x14ac:dyDescent="0.25">
      <c r="A134" s="92" t="s">
        <v>341</v>
      </c>
      <c r="B134" s="94" t="s">
        <v>342</v>
      </c>
    </row>
    <row r="135" spans="1:2" x14ac:dyDescent="0.25">
      <c r="A135" s="92" t="s">
        <v>343</v>
      </c>
      <c r="B135" s="94" t="s">
        <v>344</v>
      </c>
    </row>
    <row r="136" spans="1:2" x14ac:dyDescent="0.25">
      <c r="A136" s="92" t="s">
        <v>345</v>
      </c>
      <c r="B136" s="94" t="s">
        <v>346</v>
      </c>
    </row>
    <row r="137" spans="1:2" x14ac:dyDescent="0.25">
      <c r="A137" s="92" t="s">
        <v>347</v>
      </c>
      <c r="B137" s="94" t="s">
        <v>348</v>
      </c>
    </row>
    <row r="138" spans="1:2" x14ac:dyDescent="0.25">
      <c r="A138" s="92" t="s">
        <v>349</v>
      </c>
      <c r="B138" s="94" t="s">
        <v>350</v>
      </c>
    </row>
    <row r="139" spans="1:2" x14ac:dyDescent="0.25">
      <c r="A139" s="92" t="s">
        <v>351</v>
      </c>
      <c r="B139" s="94" t="s">
        <v>352</v>
      </c>
    </row>
    <row r="140" spans="1:2" x14ac:dyDescent="0.25">
      <c r="A140" s="92" t="s">
        <v>353</v>
      </c>
      <c r="B140" s="94" t="s">
        <v>354</v>
      </c>
    </row>
    <row r="141" spans="1:2" x14ac:dyDescent="0.25">
      <c r="A141" s="92" t="s">
        <v>355</v>
      </c>
      <c r="B141" s="94" t="s">
        <v>356</v>
      </c>
    </row>
    <row r="142" spans="1:2" x14ac:dyDescent="0.25">
      <c r="A142" s="92" t="s">
        <v>357</v>
      </c>
      <c r="B142" s="94" t="s">
        <v>358</v>
      </c>
    </row>
    <row r="143" spans="1:2" x14ac:dyDescent="0.25">
      <c r="A143" s="92" t="s">
        <v>359</v>
      </c>
      <c r="B143" s="94" t="s">
        <v>360</v>
      </c>
    </row>
    <row r="144" spans="1:2" x14ac:dyDescent="0.25">
      <c r="A144" s="92" t="s">
        <v>361</v>
      </c>
      <c r="B144" s="95" t="s">
        <v>362</v>
      </c>
    </row>
    <row r="145" spans="1:2" x14ac:dyDescent="0.25">
      <c r="A145" s="92" t="s">
        <v>363</v>
      </c>
      <c r="B145" s="94" t="s">
        <v>364</v>
      </c>
    </row>
    <row r="146" spans="1:2" x14ac:dyDescent="0.25">
      <c r="A146" s="92" t="s">
        <v>365</v>
      </c>
      <c r="B146" s="94" t="s">
        <v>366</v>
      </c>
    </row>
    <row r="147" spans="1:2" x14ac:dyDescent="0.25">
      <c r="A147" s="92" t="s">
        <v>367</v>
      </c>
      <c r="B147" s="94" t="s">
        <v>368</v>
      </c>
    </row>
    <row r="148" spans="1:2" x14ac:dyDescent="0.25">
      <c r="A148" s="92" t="s">
        <v>369</v>
      </c>
      <c r="B148" s="94" t="s">
        <v>370</v>
      </c>
    </row>
    <row r="149" spans="1:2" x14ac:dyDescent="0.25">
      <c r="A149" s="92" t="s">
        <v>371</v>
      </c>
      <c r="B149" s="94" t="s">
        <v>372</v>
      </c>
    </row>
    <row r="150" spans="1:2" x14ac:dyDescent="0.25">
      <c r="A150" s="92" t="s">
        <v>373</v>
      </c>
      <c r="B150" s="94" t="s">
        <v>374</v>
      </c>
    </row>
    <row r="151" spans="1:2" x14ac:dyDescent="0.25">
      <c r="A151" s="92" t="s">
        <v>375</v>
      </c>
      <c r="B151" s="94" t="s">
        <v>376</v>
      </c>
    </row>
    <row r="152" spans="1:2" x14ac:dyDescent="0.25">
      <c r="A152" s="92" t="s">
        <v>377</v>
      </c>
      <c r="B152" s="94" t="s">
        <v>378</v>
      </c>
    </row>
    <row r="153" spans="1:2" x14ac:dyDescent="0.25">
      <c r="A153" s="92" t="s">
        <v>379</v>
      </c>
      <c r="B153" s="94" t="s">
        <v>380</v>
      </c>
    </row>
    <row r="154" spans="1:2" x14ac:dyDescent="0.25">
      <c r="A154" s="92" t="s">
        <v>381</v>
      </c>
      <c r="B154" s="94" t="s">
        <v>382</v>
      </c>
    </row>
    <row r="155" spans="1:2" x14ac:dyDescent="0.25">
      <c r="A155" s="92" t="s">
        <v>383</v>
      </c>
      <c r="B155" s="94" t="s">
        <v>384</v>
      </c>
    </row>
    <row r="156" spans="1:2" x14ac:dyDescent="0.25">
      <c r="A156" s="92" t="s">
        <v>385</v>
      </c>
      <c r="B156" s="94" t="s">
        <v>386</v>
      </c>
    </row>
    <row r="157" spans="1:2" x14ac:dyDescent="0.25">
      <c r="A157" s="92" t="s">
        <v>387</v>
      </c>
      <c r="B157" s="94" t="s">
        <v>388</v>
      </c>
    </row>
    <row r="158" spans="1:2" x14ac:dyDescent="0.25">
      <c r="A158" s="92" t="s">
        <v>389</v>
      </c>
      <c r="B158" s="94" t="s">
        <v>390</v>
      </c>
    </row>
    <row r="159" spans="1:2" x14ac:dyDescent="0.25">
      <c r="A159" s="92" t="s">
        <v>391</v>
      </c>
      <c r="B159" s="94" t="s">
        <v>392</v>
      </c>
    </row>
    <row r="160" spans="1:2" x14ac:dyDescent="0.25">
      <c r="A160" s="92" t="s">
        <v>393</v>
      </c>
      <c r="B160" s="94" t="s">
        <v>394</v>
      </c>
    </row>
    <row r="161" spans="1:2" x14ac:dyDescent="0.25">
      <c r="A161" s="92" t="s">
        <v>395</v>
      </c>
      <c r="B161" s="94" t="s">
        <v>396</v>
      </c>
    </row>
    <row r="162" spans="1:2" x14ac:dyDescent="0.25">
      <c r="A162" s="92" t="s">
        <v>397</v>
      </c>
      <c r="B162" s="94" t="s">
        <v>398</v>
      </c>
    </row>
    <row r="163" spans="1:2" x14ac:dyDescent="0.25">
      <c r="A163" s="92" t="s">
        <v>399</v>
      </c>
      <c r="B163" s="94" t="s">
        <v>400</v>
      </c>
    </row>
    <row r="164" spans="1:2" x14ac:dyDescent="0.25">
      <c r="A164" s="92" t="s">
        <v>401</v>
      </c>
      <c r="B164" s="94" t="s">
        <v>402</v>
      </c>
    </row>
    <row r="165" spans="1:2" x14ac:dyDescent="0.25">
      <c r="A165" s="92" t="s">
        <v>403</v>
      </c>
      <c r="B165" s="94" t="s">
        <v>404</v>
      </c>
    </row>
    <row r="166" spans="1:2" x14ac:dyDescent="0.25">
      <c r="A166" s="92" t="s">
        <v>405</v>
      </c>
      <c r="B166" s="94" t="s">
        <v>406</v>
      </c>
    </row>
    <row r="167" spans="1:2" x14ac:dyDescent="0.25">
      <c r="A167" s="92" t="s">
        <v>407</v>
      </c>
      <c r="B167" s="94" t="s">
        <v>408</v>
      </c>
    </row>
    <row r="168" spans="1:2" x14ac:dyDescent="0.25">
      <c r="A168" s="92" t="s">
        <v>409</v>
      </c>
      <c r="B168" s="94" t="s">
        <v>410</v>
      </c>
    </row>
    <row r="169" spans="1:2" x14ac:dyDescent="0.25">
      <c r="A169" s="92" t="s">
        <v>411</v>
      </c>
      <c r="B169" s="94" t="s">
        <v>412</v>
      </c>
    </row>
    <row r="170" spans="1:2" x14ac:dyDescent="0.25">
      <c r="A170" s="92" t="s">
        <v>413</v>
      </c>
      <c r="B170" s="94" t="s">
        <v>414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18458F40-C9C6-4FE3-A6B4-A7E9DF7DE0FA}">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Carlos A Paredes S</cp:lastModifiedBy>
  <cp:lastPrinted>2020-06-09T15:40:27Z</cp:lastPrinted>
  <dcterms:created xsi:type="dcterms:W3CDTF">2017-11-15T21:17:43Z</dcterms:created>
  <dcterms:modified xsi:type="dcterms:W3CDTF">2020-06-15T16:44:12Z</dcterms:modified>
</cp:coreProperties>
</file>